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K:\40. 1401 Long Beach Blvd\6. Finance\5. TCAC\1. Application\1. Submittal - DRAFTS\TAB 40 - E-Application\"/>
    </mc:Choice>
  </mc:AlternateContent>
  <xr:revisionPtr revIDLastSave="0" documentId="13_ncr:1_{BD353819-1070-47D2-A351-BE67999D769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9730" yWindow="405" windowWidth="25485" windowHeight="1666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C30" i="4"/>
  <c r="AA958" i="3"/>
  <c r="E40" i="4" l="1"/>
  <c r="E61" i="4" l="1"/>
  <c r="C45" i="4"/>
  <c r="E93" i="4"/>
  <c r="AM571" i="3" l="1"/>
  <c r="W853" i="3" l="1"/>
  <c r="Q402" i="3"/>
  <c r="F30" i="4"/>
  <c r="E45" i="4"/>
  <c r="C13" i="4"/>
  <c r="E13" i="4" s="1"/>
  <c r="C29" i="4"/>
  <c r="E29" i="4" s="1"/>
  <c r="S30" i="4"/>
  <c r="C90" i="4"/>
  <c r="E90" i="4" s="1"/>
  <c r="W876" i="3"/>
  <c r="S45" i="4"/>
  <c r="E88" i="4"/>
  <c r="E83" i="4"/>
  <c r="S65" i="4"/>
  <c r="C86" i="4"/>
  <c r="E86" i="4" s="1"/>
  <c r="C89" i="4"/>
  <c r="E89" i="4" s="1"/>
  <c r="E76" i="4"/>
  <c r="E75" i="4"/>
  <c r="C49" i="4"/>
  <c r="E49" i="4" s="1"/>
  <c r="E43" i="4"/>
  <c r="E79" i="4"/>
  <c r="E41" i="4"/>
  <c r="E66" i="4"/>
  <c r="E65" i="4"/>
  <c r="E46" i="4"/>
  <c r="E47" i="4"/>
  <c r="E48" i="4"/>
  <c r="E50" i="4"/>
  <c r="E51" i="4"/>
  <c r="E52" i="4"/>
  <c r="S41" i="4"/>
  <c r="S40" i="4"/>
  <c r="C80" i="4"/>
  <c r="E80" i="4" s="1"/>
  <c r="S31" i="4"/>
  <c r="S32" i="4"/>
  <c r="S33" i="4"/>
  <c r="S34" i="4"/>
  <c r="S35" i="4"/>
  <c r="S36" i="4"/>
  <c r="S37" i="4"/>
  <c r="S93" i="4"/>
  <c r="E30" i="4" l="1"/>
  <c r="AE967" i="3"/>
  <c r="AO640" i="3"/>
  <c r="AU189" i="24" s="1"/>
  <c r="AO643" i="3"/>
  <c r="AU185" i="24" s="1"/>
  <c r="C69" i="7" l="1"/>
  <c r="C68" i="7"/>
  <c r="C67" i="7"/>
  <c r="C66" i="7"/>
  <c r="A69" i="7"/>
  <c r="A68" i="7"/>
  <c r="A67" i="7"/>
  <c r="A66" i="7"/>
  <c r="F57" i="4"/>
  <c r="F56" i="4"/>
  <c r="F37" i="4"/>
  <c r="F35" i="4"/>
  <c r="F31" i="4"/>
  <c r="M85" i="4"/>
  <c r="N99" i="4"/>
  <c r="K99" i="4"/>
  <c r="S84" i="4"/>
  <c r="S86" i="4"/>
  <c r="S79" i="4"/>
  <c r="S80" i="4"/>
  <c r="S85" i="4"/>
  <c r="S89" i="4"/>
  <c r="S99" i="4"/>
  <c r="F33" i="4"/>
  <c r="F32" i="4"/>
  <c r="E99" i="4" l="1"/>
  <c r="S43" i="4"/>
  <c r="E6" i="7"/>
  <c r="M967" i="3"/>
  <c r="AM565" i="3"/>
  <c r="C640" i="3"/>
  <c r="Z667" i="3" s="1"/>
  <c r="AA928" i="3"/>
  <c r="AA927" i="3"/>
  <c r="Q637" i="3"/>
  <c r="E41" i="7"/>
  <c r="I41" i="7" s="1"/>
  <c r="U211" i="24"/>
  <c r="O735" i="3"/>
  <c r="X735" i="3" s="1"/>
  <c r="O731" i="3"/>
  <c r="AQ116" i="20" s="1"/>
  <c r="O727" i="3"/>
  <c r="X727" i="3" s="1"/>
  <c r="C642" i="3"/>
  <c r="M2" i="4" s="1"/>
  <c r="C641" i="3"/>
  <c r="G675" i="3" s="1"/>
  <c r="T635" i="3"/>
  <c r="G593" i="3"/>
  <c r="H598" i="3" s="1"/>
  <c r="AG457" i="3"/>
  <c r="AG455" i="3"/>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E15" i="7" s="1"/>
  <c r="G15" i="7" s="1"/>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S44" i="21" s="1"/>
  <c r="N44" i="21"/>
  <c r="L45" i="21"/>
  <c r="M45" i="21"/>
  <c r="R45" i="21" s="1" a="1"/>
  <c r="R45" i="21" s="1"/>
  <c r="N45" i="21"/>
  <c r="L46" i="21"/>
  <c r="M46" i="21"/>
  <c r="P46" i="21" s="1" a="1"/>
  <c r="P46" i="21" s="1"/>
  <c r="N46" i="21"/>
  <c r="L47" i="21"/>
  <c r="M47" i="21"/>
  <c r="S47" i="21" s="1"/>
  <c r="N47" i="21"/>
  <c r="L48" i="21"/>
  <c r="M48" i="21"/>
  <c r="P48" i="21" s="1" a="1"/>
  <c r="P48" i="21" s="1"/>
  <c r="N48" i="21"/>
  <c r="L49" i="21"/>
  <c r="M49" i="21"/>
  <c r="R49" i="21" s="1" a="1"/>
  <c r="R49" i="21" s="1"/>
  <c r="N49" i="21"/>
  <c r="L50" i="21"/>
  <c r="M50" i="21"/>
  <c r="P50" i="21" s="1" a="1"/>
  <c r="P50" i="21" s="1"/>
  <c r="N50" i="21"/>
  <c r="L51" i="21"/>
  <c r="M51" i="21"/>
  <c r="U51" i="21" s="1"/>
  <c r="N51" i="21"/>
  <c r="L52" i="21"/>
  <c r="M52" i="21"/>
  <c r="S52" i="21" s="1"/>
  <c r="N52" i="21"/>
  <c r="L53" i="21"/>
  <c r="M53" i="21"/>
  <c r="R53" i="21" s="1" a="1"/>
  <c r="R53" i="21" s="1"/>
  <c r="N53" i="21"/>
  <c r="L54" i="21"/>
  <c r="M54" i="21"/>
  <c r="T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CG726" i="3"/>
  <c r="CI726" i="3" s="1"/>
  <c r="BA1047" i="3"/>
  <c r="AZ1057" i="3"/>
  <c r="AZ1056" i="3"/>
  <c r="AZ1054" i="3"/>
  <c r="AZ1058" i="3" s="1"/>
  <c r="BA1061" i="3"/>
  <c r="BH256" i="3"/>
  <c r="T212" i="3"/>
  <c r="BA1051" i="3" s="1"/>
  <c r="G100" i="21"/>
  <c r="B96" i="21"/>
  <c r="B81" i="21"/>
  <c r="B106" i="21"/>
  <c r="B49" i="21"/>
  <c r="B58" i="21"/>
  <c r="P18" i="21"/>
  <c r="AG453" i="3"/>
  <c r="AG450" i="3"/>
  <c r="BN150" i="3"/>
  <c r="C177" i="20"/>
  <c r="U387" i="20"/>
  <c r="DE726" i="3"/>
  <c r="DE727" i="3"/>
  <c r="FO727" i="3" s="1"/>
  <c r="DE728" i="3"/>
  <c r="FO728" i="3" s="1"/>
  <c r="DE729" i="3"/>
  <c r="FO729" i="3" s="1"/>
  <c r="DE730" i="3"/>
  <c r="FO730" i="3" s="1"/>
  <c r="DE731" i="3"/>
  <c r="FO731" i="3" s="1"/>
  <c r="DE732" i="3"/>
  <c r="FO732" i="3" s="1"/>
  <c r="DE733" i="3"/>
  <c r="FO733" i="3" s="1"/>
  <c r="DE734" i="3"/>
  <c r="FO734" i="3" s="1"/>
  <c r="DE735" i="3"/>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E753" i="3"/>
  <c r="FO753" i="3" s="1"/>
  <c r="DE754" i="3"/>
  <c r="FO754" i="3" s="1"/>
  <c r="DE755" i="3"/>
  <c r="FO755" i="3" s="1"/>
  <c r="DE756" i="3"/>
  <c r="FO756" i="3" s="1"/>
  <c r="DE757" i="3"/>
  <c r="FO757" i="3" s="1"/>
  <c r="DE758" i="3"/>
  <c r="FO758" i="3" s="1"/>
  <c r="DE759" i="3"/>
  <c r="FO759" i="3" s="1"/>
  <c r="DE760" i="3"/>
  <c r="FO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FT749" i="3" s="1"/>
  <c r="DJ750" i="3"/>
  <c r="FT750" i="3" s="1"/>
  <c r="DJ751" i="3"/>
  <c r="FT751" i="3" s="1"/>
  <c r="DJ752" i="3"/>
  <c r="FT752" i="3" s="1"/>
  <c r="DJ753" i="3"/>
  <c r="FT753" i="3" s="1"/>
  <c r="DJ754" i="3"/>
  <c r="FT754" i="3" s="1"/>
  <c r="DJ755" i="3"/>
  <c r="FT755" i="3" s="1"/>
  <c r="DJ756" i="3"/>
  <c r="FT756" i="3" s="1"/>
  <c r="DJ757" i="3"/>
  <c r="FT757" i="3" s="1"/>
  <c r="DJ758" i="3"/>
  <c r="FT758" i="3" s="1"/>
  <c r="DJ759" i="3"/>
  <c r="FT759" i="3" s="1"/>
  <c r="DJ760" i="3"/>
  <c r="FT760" i="3" s="1"/>
  <c r="DO726" i="3"/>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DO753" i="3"/>
  <c r="FY753" i="3" s="1"/>
  <c r="DO754" i="3"/>
  <c r="FY754" i="3" s="1"/>
  <c r="DO755" i="3"/>
  <c r="FY755" i="3" s="1"/>
  <c r="DO756" i="3"/>
  <c r="FY756" i="3" s="1"/>
  <c r="DO757" i="3"/>
  <c r="FY757" i="3" s="1"/>
  <c r="DO758" i="3"/>
  <c r="FY758" i="3" s="1"/>
  <c r="DO759" i="3"/>
  <c r="FY759" i="3" s="1"/>
  <c r="DO760" i="3"/>
  <c r="FY760" i="3" s="1"/>
  <c r="G761" i="3"/>
  <c r="AX703" i="20" s="1"/>
  <c r="L90" i="21"/>
  <c r="X760" i="3"/>
  <c r="AH760" i="3"/>
  <c r="BF759" i="3"/>
  <c r="BS759" i="3"/>
  <c r="BS760" i="3"/>
  <c r="AJ1029" i="3"/>
  <c r="BF748" i="3"/>
  <c r="AH759" i="3"/>
  <c r="AH750" i="3"/>
  <c r="AY1036" i="3"/>
  <c r="AX702" i="20"/>
  <c r="AJ738" i="20"/>
  <c r="AF427" i="3"/>
  <c r="AP595" i="20" s="1"/>
  <c r="AP600" i="20" s="1"/>
  <c r="AO610" i="20"/>
  <c r="AP596" i="20"/>
  <c r="S26" i="4"/>
  <c r="E26" i="13" s="1"/>
  <c r="S38" i="4"/>
  <c r="E38" i="13" s="1"/>
  <c r="S42" i="4"/>
  <c r="E42" i="13" s="1"/>
  <c r="S54" i="4"/>
  <c r="E54" i="13" s="1"/>
  <c r="S70" i="4"/>
  <c r="E70" i="13" s="1"/>
  <c r="S81" i="4"/>
  <c r="E81" i="13" s="1"/>
  <c r="S96" i="4"/>
  <c r="E96" i="13" s="1"/>
  <c r="S104" i="4"/>
  <c r="T11" i="4"/>
  <c r="H11" i="13" s="1"/>
  <c r="T26" i="4"/>
  <c r="H26" i="13" s="1"/>
  <c r="T38" i="4"/>
  <c r="H38" i="13" s="1"/>
  <c r="T42" i="4"/>
  <c r="H42" i="13" s="1"/>
  <c r="T54" i="4"/>
  <c r="H54" i="13" s="1"/>
  <c r="T70" i="4"/>
  <c r="H70" i="13" s="1"/>
  <c r="T81" i="4"/>
  <c r="H81" i="13" s="1"/>
  <c r="T96" i="4"/>
  <c r="H96" i="13" s="1"/>
  <c r="T104" i="4"/>
  <c r="H104" i="13" s="1"/>
  <c r="DG122" i="3"/>
  <c r="R996"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49" i="3"/>
  <c r="EZ749" i="3" s="1"/>
  <c r="CP750" i="3"/>
  <c r="EZ750" i="3" s="1"/>
  <c r="CP751" i="3"/>
  <c r="EZ751" i="3" s="1"/>
  <c r="CP752" i="3"/>
  <c r="EZ752" i="3" s="1"/>
  <c r="CP753" i="3"/>
  <c r="EZ753" i="3" s="1"/>
  <c r="CP754" i="3"/>
  <c r="EZ754" i="3" s="1"/>
  <c r="CP755" i="3"/>
  <c r="EZ755" i="3" s="1"/>
  <c r="CP756" i="3"/>
  <c r="EZ756" i="3" s="1"/>
  <c r="CP757" i="3"/>
  <c r="EZ757" i="3" s="1"/>
  <c r="CP758" i="3"/>
  <c r="EZ758" i="3" s="1"/>
  <c r="CP759" i="3"/>
  <c r="EZ759" i="3" s="1"/>
  <c r="CP760" i="3"/>
  <c r="EZ760" i="3" s="1"/>
  <c r="CP781" i="3"/>
  <c r="CP782" i="3"/>
  <c r="CP783" i="3"/>
  <c r="CP784" i="3"/>
  <c r="CP795" i="3"/>
  <c r="DU795" i="3" s="1"/>
  <c r="CP796" i="3"/>
  <c r="DU796" i="3" s="1"/>
  <c r="CP797" i="3"/>
  <c r="DU797" i="3" s="1"/>
  <c r="CP798" i="3"/>
  <c r="DU798" i="3" s="1"/>
  <c r="CP799" i="3"/>
  <c r="CP800" i="3"/>
  <c r="DU800" i="3" s="1"/>
  <c r="CP801" i="3"/>
  <c r="DU801" i="3" s="1"/>
  <c r="CP802" i="3"/>
  <c r="DU802" i="3" s="1"/>
  <c r="CP803" i="3"/>
  <c r="DU803" i="3" s="1"/>
  <c r="CP804" i="3"/>
  <c r="DU804" i="3" s="1"/>
  <c r="CU726" i="3"/>
  <c r="FE726" i="3" s="1"/>
  <c r="CU727" i="3"/>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CU749" i="3"/>
  <c r="FE749" i="3" s="1"/>
  <c r="CU750" i="3"/>
  <c r="FE750" i="3" s="1"/>
  <c r="CU751" i="3"/>
  <c r="FE751" i="3" s="1"/>
  <c r="CU752" i="3"/>
  <c r="FE752" i="3" s="1"/>
  <c r="CU753" i="3"/>
  <c r="FE753" i="3" s="1"/>
  <c r="CU754" i="3"/>
  <c r="FE754" i="3" s="1"/>
  <c r="CU755" i="3"/>
  <c r="FE755" i="3" s="1"/>
  <c r="CU756" i="3"/>
  <c r="FE756" i="3" s="1"/>
  <c r="CU757" i="3"/>
  <c r="FE757" i="3" s="1"/>
  <c r="CU758" i="3"/>
  <c r="FE758" i="3" s="1"/>
  <c r="CU759" i="3"/>
  <c r="FE759"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FJ727" i="3" s="1"/>
  <c r="CZ728" i="3"/>
  <c r="FJ728" i="3" s="1"/>
  <c r="CZ729" i="3"/>
  <c r="FJ729" i="3" s="1"/>
  <c r="CZ730" i="3"/>
  <c r="FJ730" i="3" s="1"/>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49" i="3"/>
  <c r="FJ749" i="3" s="1"/>
  <c r="CZ750" i="3"/>
  <c r="FJ750" i="3" s="1"/>
  <c r="CZ751" i="3"/>
  <c r="FJ751" i="3" s="1"/>
  <c r="CZ752" i="3"/>
  <c r="FJ752" i="3" s="1"/>
  <c r="CZ753" i="3"/>
  <c r="FJ753" i="3" s="1"/>
  <c r="CZ754" i="3"/>
  <c r="FJ754" i="3" s="1"/>
  <c r="CZ755" i="3"/>
  <c r="FJ755" i="3" s="1"/>
  <c r="CZ756" i="3"/>
  <c r="FJ756" i="3" s="1"/>
  <c r="CZ757" i="3"/>
  <c r="FJ757" i="3" s="1"/>
  <c r="CZ758" i="3"/>
  <c r="FJ758" i="3" s="1"/>
  <c r="CZ759" i="3"/>
  <c r="FJ759" i="3" s="1"/>
  <c r="CZ760" i="3"/>
  <c r="FJ760" i="3" s="1"/>
  <c r="CZ781" i="3"/>
  <c r="CZ782" i="3"/>
  <c r="CZ783" i="3"/>
  <c r="CZ784" i="3"/>
  <c r="CZ795" i="3"/>
  <c r="EE795" i="3" s="1"/>
  <c r="CZ796" i="3"/>
  <c r="CZ797" i="3"/>
  <c r="EE797" i="3" s="1"/>
  <c r="CZ798" i="3"/>
  <c r="EE798" i="3" s="1"/>
  <c r="CZ799" i="3"/>
  <c r="EE799" i="3" s="1"/>
  <c r="CZ800" i="3"/>
  <c r="EE800" i="3" s="1"/>
  <c r="CZ801" i="3"/>
  <c r="EE801" i="3" s="1"/>
  <c r="CZ802" i="3"/>
  <c r="EE802" i="3" s="1"/>
  <c r="CZ803" i="3"/>
  <c r="EE803" i="3" s="1"/>
  <c r="CZ804" i="3"/>
  <c r="EE804"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J781" i="3"/>
  <c r="DJ782" i="3"/>
  <c r="DJ783" i="3"/>
  <c r="DJ784" i="3"/>
  <c r="DJ795" i="3"/>
  <c r="EO795" i="3" s="1"/>
  <c r="DJ796" i="3"/>
  <c r="EO796" i="3" s="1"/>
  <c r="DJ797" i="3"/>
  <c r="DJ798" i="3"/>
  <c r="EO798" i="3" s="1"/>
  <c r="DJ799" i="3"/>
  <c r="EO799" i="3" s="1"/>
  <c r="DJ800" i="3"/>
  <c r="EO800" i="3" s="1"/>
  <c r="DJ801" i="3"/>
  <c r="EO801" i="3" s="1"/>
  <c r="DJ802" i="3"/>
  <c r="EO802" i="3" s="1"/>
  <c r="DJ803" i="3"/>
  <c r="EO803" i="3" s="1"/>
  <c r="DJ804" i="3"/>
  <c r="EO804" i="3" s="1"/>
  <c r="AJ1010" i="3"/>
  <c r="AJ1020" i="3"/>
  <c r="AJ1022" i="3"/>
  <c r="AJ1025" i="3"/>
  <c r="AJ1034"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CG753" i="3"/>
  <c r="CI753" i="3" s="1"/>
  <c r="CG754" i="3"/>
  <c r="CI754" i="3" s="1"/>
  <c r="CG755" i="3"/>
  <c r="CI755" i="3" s="1"/>
  <c r="CG756" i="3"/>
  <c r="CI756" i="3" s="1"/>
  <c r="CG757" i="3"/>
  <c r="CI757" i="3" s="1"/>
  <c r="CG758" i="3"/>
  <c r="CI758" i="3" s="1"/>
  <c r="CG759" i="3"/>
  <c r="CI759" i="3" s="1"/>
  <c r="CG760" i="3"/>
  <c r="CI760" i="3" s="1"/>
  <c r="O805" i="3"/>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CK753" i="3"/>
  <c r="CM753" i="3" s="1"/>
  <c r="CK754" i="3"/>
  <c r="CM754" i="3" s="1"/>
  <c r="CK755" i="3"/>
  <c r="CM755" i="3" s="1"/>
  <c r="CK756" i="3"/>
  <c r="CM756" i="3" s="1"/>
  <c r="CK757" i="3"/>
  <c r="CM757" i="3" s="1"/>
  <c r="CK758" i="3"/>
  <c r="CM758" i="3" s="1"/>
  <c r="CK759" i="3"/>
  <c r="CM759" i="3" s="1"/>
  <c r="CK760" i="3"/>
  <c r="CM760" i="3" s="1"/>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1" i="8"/>
  <c r="I11" i="8"/>
  <c r="J10" i="8"/>
  <c r="I10" i="8"/>
  <c r="J8" i="8"/>
  <c r="I8" i="8"/>
  <c r="J6" i="8"/>
  <c r="I6"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X750" i="3"/>
  <c r="X751" i="3"/>
  <c r="X752" i="3"/>
  <c r="X753" i="3"/>
  <c r="X754" i="3"/>
  <c r="X755" i="3"/>
  <c r="X756" i="3"/>
  <c r="X757" i="3"/>
  <c r="X758" i="3"/>
  <c r="X759" i="3"/>
  <c r="AJ179" i="20"/>
  <c r="T832" i="20" s="1"/>
  <c r="AJ165" i="20"/>
  <c r="T831" i="20" s="1"/>
  <c r="AP306" i="20"/>
  <c r="A33" i="7"/>
  <c r="A32" i="7"/>
  <c r="AT636" i="3"/>
  <c r="AT563" i="3"/>
  <c r="AT637" i="3"/>
  <c r="AT638" i="3"/>
  <c r="AT643" i="3"/>
  <c r="AT644" i="3"/>
  <c r="AT645" i="3"/>
  <c r="AT646" i="3"/>
  <c r="AT565" i="3"/>
  <c r="AT564" i="3"/>
  <c r="AT566" i="3"/>
  <c r="AT567" i="3"/>
  <c r="AT568" i="3"/>
  <c r="AT569" i="3"/>
  <c r="AT570" i="3"/>
  <c r="AT571" i="3"/>
  <c r="AT572" i="3"/>
  <c r="AT573" i="3"/>
  <c r="R24" i="4"/>
  <c r="AF1035" i="3"/>
  <c r="AF1030" i="3"/>
  <c r="E40" i="7"/>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K29" i="7" s="1"/>
  <c r="E28" i="7"/>
  <c r="W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0" i="3"/>
  <c r="AC801" i="3"/>
  <c r="AC802" i="3"/>
  <c r="AC803" i="3"/>
  <c r="AC804" i="3"/>
  <c r="T25" i="15"/>
  <c r="T7" i="15" s="1"/>
  <c r="AO647" i="3"/>
  <c r="AO649" i="3" s="1"/>
  <c r="AD64" i="15"/>
  <c r="W708" i="3"/>
  <c r="BE69" i="3" s="1"/>
  <c r="BG235" i="3"/>
  <c r="BG236" i="3"/>
  <c r="BG237" i="3"/>
  <c r="BG238" i="3"/>
  <c r="BG239" i="3"/>
  <c r="BG241" i="3"/>
  <c r="BG242" i="3"/>
  <c r="BG243" i="3"/>
  <c r="BG245" i="3"/>
  <c r="BG246" i="3"/>
  <c r="BG247" i="3"/>
  <c r="BG248" i="3"/>
  <c r="BG249" i="3"/>
  <c r="BG250" i="3"/>
  <c r="M241"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C26" i="4"/>
  <c r="B26" i="13" s="1"/>
  <c r="G86" i="21"/>
  <c r="G92" i="21"/>
  <c r="G123" i="21"/>
  <c r="M20" i="21"/>
  <c r="M21" i="21"/>
  <c r="M22" i="21"/>
  <c r="T22" i="21" s="1"/>
  <c r="M23" i="21"/>
  <c r="T23" i="21" s="1"/>
  <c r="M24" i="21"/>
  <c r="T24" i="21" s="1"/>
  <c r="M25" i="21"/>
  <c r="T25" i="21" s="1"/>
  <c r="M26" i="21"/>
  <c r="U26" i="21" s="1"/>
  <c r="M27" i="21"/>
  <c r="U27" i="21" s="1"/>
  <c r="M28" i="21"/>
  <c r="M29" i="21"/>
  <c r="M30" i="21"/>
  <c r="U30" i="21" s="1"/>
  <c r="M31" i="21"/>
  <c r="M32" i="21"/>
  <c r="T32" i="21" s="1"/>
  <c r="M33" i="21"/>
  <c r="R33" i="21" s="1" a="1"/>
  <c r="R33" i="21" s="1"/>
  <c r="M34" i="21"/>
  <c r="T34" i="21" s="1"/>
  <c r="M35" i="21"/>
  <c r="T35" i="21" s="1"/>
  <c r="M36" i="21"/>
  <c r="R36" i="21" s="1" a="1"/>
  <c r="R36" i="21" s="1"/>
  <c r="M37" i="21"/>
  <c r="R37" i="21" s="1" a="1"/>
  <c r="R37" i="21" s="1"/>
  <c r="M38" i="21"/>
  <c r="O38" i="21" s="1"/>
  <c r="M39" i="21"/>
  <c r="U39" i="21" s="1"/>
  <c r="M40" i="21"/>
  <c r="M41" i="21"/>
  <c r="M42" i="21"/>
  <c r="R42" i="21" s="1" a="1"/>
  <c r="R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6" i="11"/>
  <c r="C37" i="11"/>
  <c r="C38" i="11"/>
  <c r="B31" i="11"/>
  <c r="B32" i="11"/>
  <c r="B33" i="11"/>
  <c r="B34"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13" i="20"/>
  <c r="AQ114" i="20"/>
  <c r="AQ115" i="20"/>
  <c r="AQ117" i="20"/>
  <c r="AQ118" i="20"/>
  <c r="AQ119"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S10" i="4" s="1"/>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A6" i="8"/>
  <c r="D6" i="8"/>
  <c r="A7" i="8"/>
  <c r="D7" i="8"/>
  <c r="I7" i="8"/>
  <c r="A8" i="8"/>
  <c r="D8" i="8"/>
  <c r="A9" i="8"/>
  <c r="A10" i="8"/>
  <c r="D10" i="8"/>
  <c r="A11" i="8"/>
  <c r="D11" i="8"/>
  <c r="A12" i="8"/>
  <c r="D12" i="8"/>
  <c r="A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O41" i="7"/>
  <c r="U41" i="7"/>
  <c r="AC41" i="7"/>
  <c r="AE41" i="7"/>
  <c r="G42" i="7"/>
  <c r="I42" i="7"/>
  <c r="K42" i="7"/>
  <c r="M42" i="7"/>
  <c r="O42" i="7"/>
  <c r="Q42" i="7"/>
  <c r="S42" i="7"/>
  <c r="U42" i="7"/>
  <c r="W42" i="7"/>
  <c r="Y42" i="7"/>
  <c r="AA42" i="7"/>
  <c r="AC42" i="7"/>
  <c r="AE42" i="7"/>
  <c r="AG42" i="7"/>
  <c r="E58" i="7"/>
  <c r="C11" i="4"/>
  <c r="B11" i="13" s="1"/>
  <c r="C54" i="4"/>
  <c r="C62" i="4"/>
  <c r="C77" i="4"/>
  <c r="C96" i="4"/>
  <c r="B96" i="13" s="1"/>
  <c r="D8" i="4"/>
  <c r="D11" i="4"/>
  <c r="D26" i="4"/>
  <c r="D38" i="4"/>
  <c r="D42" i="4"/>
  <c r="D54" i="4"/>
  <c r="D62" i="4"/>
  <c r="D77" i="4"/>
  <c r="D96" i="4"/>
  <c r="D104" i="4"/>
  <c r="F2" i="4"/>
  <c r="G2" i="4"/>
  <c r="H2" i="4"/>
  <c r="I2" i="4"/>
  <c r="J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N185" i="2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W427" i="3"/>
  <c r="BA462" i="3"/>
  <c r="BA463" i="3"/>
  <c r="BA469" i="3"/>
  <c r="BA470" i="3"/>
  <c r="BA477" i="3"/>
  <c r="BA486" i="3"/>
  <c r="BI550" i="3"/>
  <c r="BI551" i="3"/>
  <c r="BI558" i="3"/>
  <c r="BI559" i="3"/>
  <c r="BI566" i="3"/>
  <c r="BI567" i="3"/>
  <c r="AM574" i="3"/>
  <c r="G576" i="3"/>
  <c r="Z576" i="3"/>
  <c r="BI574" i="3"/>
  <c r="BI575" i="3"/>
  <c r="G585" i="3"/>
  <c r="Z585"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X730" i="3"/>
  <c r="G683" i="3"/>
  <c r="Z683" i="3"/>
  <c r="G691" i="3"/>
  <c r="Z691" i="3"/>
  <c r="X726" i="3"/>
  <c r="X728" i="3"/>
  <c r="X729" i="3"/>
  <c r="X732" i="3"/>
  <c r="X738" i="3"/>
  <c r="X739" i="3"/>
  <c r="X740" i="3"/>
  <c r="X741" i="3"/>
  <c r="X742" i="3"/>
  <c r="X743" i="3"/>
  <c r="X744" i="3"/>
  <c r="X745" i="3"/>
  <c r="X746" i="3"/>
  <c r="X747" i="3"/>
  <c r="X748" i="3"/>
  <c r="X749" i="3"/>
  <c r="M840" i="3"/>
  <c r="Q840" i="3"/>
  <c r="U840" i="3"/>
  <c r="Y840" i="3"/>
  <c r="AC840" i="3"/>
  <c r="AG840" i="3"/>
  <c r="Z911" i="3"/>
  <c r="J7" i="8"/>
  <c r="BE77" i="3"/>
  <c r="D9" i="8" l="1"/>
  <c r="I9" i="8" s="1"/>
  <c r="X731" i="3"/>
  <c r="D5" i="8"/>
  <c r="I5" i="8" s="1"/>
  <c r="Y7" i="15"/>
  <c r="AI7" i="15"/>
  <c r="D13" i="8"/>
  <c r="I13" i="8" s="1"/>
  <c r="J13" i="8" s="1"/>
  <c r="U36" i="21"/>
  <c r="AQ120" i="20"/>
  <c r="FO735" i="3"/>
  <c r="AT639" i="3"/>
  <c r="AF1023" i="3"/>
  <c r="O52" i="21"/>
  <c r="T49" i="21"/>
  <c r="U23" i="21"/>
  <c r="P52" i="21" a="1"/>
  <c r="P52" i="21" s="1"/>
  <c r="U35" i="21"/>
  <c r="T43" i="21"/>
  <c r="S43" i="21"/>
  <c r="P43" i="21" a="1"/>
  <c r="P43" i="21" s="1"/>
  <c r="L2" i="4"/>
  <c r="AH734" i="3"/>
  <c r="AG459" i="3"/>
  <c r="BE24" i="3" s="1"/>
  <c r="O12" i="4"/>
  <c r="P37" i="21" a="1"/>
  <c r="P37" i="21" s="1"/>
  <c r="AH728" i="3"/>
  <c r="R43" i="21" a="1"/>
  <c r="R43" i="21" s="1"/>
  <c r="T36" i="21"/>
  <c r="T27" i="21"/>
  <c r="AH736" i="3"/>
  <c r="U43" i="21"/>
  <c r="D18" i="11"/>
  <c r="R11" i="4"/>
  <c r="E103" i="20"/>
  <c r="AH735" i="3"/>
  <c r="K28" i="7"/>
  <c r="AH731" i="3"/>
  <c r="FJ731" i="3"/>
  <c r="S53" i="21"/>
  <c r="R25" i="21" a="1"/>
  <c r="R25" i="21" s="1"/>
  <c r="M28" i="7"/>
  <c r="U25" i="21"/>
  <c r="O25" i="21" s="1"/>
  <c r="P25" i="21" s="1" a="1"/>
  <c r="P25" i="21" s="1"/>
  <c r="S42" i="21"/>
  <c r="Z675" i="3"/>
  <c r="N12" i="4"/>
  <c r="U54" i="21"/>
  <c r="AC28" i="7"/>
  <c r="I12" i="4"/>
  <c r="D74" i="11"/>
  <c r="O42" i="21"/>
  <c r="D30" i="11"/>
  <c r="D8" i="11"/>
  <c r="T39" i="21"/>
  <c r="AQ112" i="20"/>
  <c r="S48" i="21"/>
  <c r="O761" i="3"/>
  <c r="D40" i="8" s="1"/>
  <c r="FE727" i="3"/>
  <c r="AG29" i="7"/>
  <c r="T45" i="21"/>
  <c r="K2" i="4"/>
  <c r="AH730" i="3"/>
  <c r="P39" i="21" a="1"/>
  <c r="P39" i="21" s="1"/>
  <c r="Y29" i="7"/>
  <c r="U45" i="21"/>
  <c r="U37" i="21"/>
  <c r="U24" i="21"/>
  <c r="T42" i="21"/>
  <c r="AG28" i="7"/>
  <c r="U32" i="21"/>
  <c r="O39" i="21"/>
  <c r="AH732" i="3"/>
  <c r="D23" i="11"/>
  <c r="D7" i="11"/>
  <c r="D91" i="11"/>
  <c r="T37" i="21"/>
  <c r="S37" i="21"/>
  <c r="D101" i="11"/>
  <c r="O37" i="21"/>
  <c r="R52" i="21" a="1"/>
  <c r="R52" i="21" s="1"/>
  <c r="K12" i="4"/>
  <c r="E104" i="20"/>
  <c r="G28" i="7"/>
  <c r="S39" i="21"/>
  <c r="D16" i="11"/>
  <c r="D94" i="11"/>
  <c r="AG454" i="3"/>
  <c r="Y27" i="15" s="1"/>
  <c r="AA28" i="7"/>
  <c r="D57" i="11"/>
  <c r="D92" i="11"/>
  <c r="T52" i="21"/>
  <c r="D77" i="11"/>
  <c r="D62" i="11"/>
  <c r="D47" i="11"/>
  <c r="D28" i="11"/>
  <c r="AH733" i="3"/>
  <c r="C765" i="3"/>
  <c r="CP785" i="3"/>
  <c r="CT786" i="3" s="1"/>
  <c r="P47" i="21" a="1"/>
  <c r="P47" i="21" s="1"/>
  <c r="J5" i="8"/>
  <c r="T47" i="21"/>
  <c r="D61" i="11"/>
  <c r="R26" i="21" a="1"/>
  <c r="R26" i="21" s="1"/>
  <c r="T26" i="21"/>
  <c r="R29" i="21" a="1"/>
  <c r="R29" i="21" s="1"/>
  <c r="U47" i="21"/>
  <c r="AP308" i="20"/>
  <c r="AK351" i="20" s="1"/>
  <c r="T838" i="20" s="1"/>
  <c r="U50" i="21"/>
  <c r="D95" i="11"/>
  <c r="R47" i="21" a="1"/>
  <c r="R47" i="21" s="1"/>
  <c r="E7" i="7"/>
  <c r="G6" i="7"/>
  <c r="AA41" i="7"/>
  <c r="D44" i="11"/>
  <c r="D22" i="11"/>
  <c r="D15" i="11"/>
  <c r="Y41" i="7"/>
  <c r="H12" i="4"/>
  <c r="W41" i="7"/>
  <c r="J9" i="8"/>
  <c r="D42" i="11"/>
  <c r="B82" i="11"/>
  <c r="AH737" i="3"/>
  <c r="R30" i="21" a="1"/>
  <c r="R30" i="21" s="1"/>
  <c r="P33" i="21" a="1"/>
  <c r="P33" i="21" s="1"/>
  <c r="S41" i="7"/>
  <c r="B43" i="11"/>
  <c r="R44" i="21" a="1"/>
  <c r="R44" i="21" s="1"/>
  <c r="Q41" i="7"/>
  <c r="D49" i="11"/>
  <c r="R42" i="4"/>
  <c r="CZ785" i="3"/>
  <c r="DD786" i="3" s="1"/>
  <c r="R997" i="3"/>
  <c r="G153" i="21" s="1"/>
  <c r="G155" i="21" s="1"/>
  <c r="I16" i="21" s="1"/>
  <c r="D104" i="11"/>
  <c r="O47" i="21"/>
  <c r="C12" i="4"/>
  <c r="B12" i="13" s="1"/>
  <c r="B11" i="4"/>
  <c r="M41" i="7"/>
  <c r="BA1067" i="3"/>
  <c r="K41" i="7"/>
  <c r="R995" i="3"/>
  <c r="AG41" i="7"/>
  <c r="E43" i="7"/>
  <c r="D89" i="11"/>
  <c r="D51" i="11"/>
  <c r="D48" i="11"/>
  <c r="D46" i="11"/>
  <c r="S38" i="21"/>
  <c r="B71" i="11"/>
  <c r="D19" i="11"/>
  <c r="S46" i="21"/>
  <c r="T46" i="21"/>
  <c r="DE761" i="3"/>
  <c r="EM663" i="3" s="1"/>
  <c r="U22" i="21"/>
  <c r="D81" i="11"/>
  <c r="EE761" i="3"/>
  <c r="B54" i="4"/>
  <c r="R81" i="4"/>
  <c r="DJ761" i="3"/>
  <c r="ER649" i="3" s="1"/>
  <c r="P53" i="21" a="1"/>
  <c r="P53" i="21" s="1"/>
  <c r="D96" i="11"/>
  <c r="P34" i="21" a="1"/>
  <c r="P34" i="21" s="1"/>
  <c r="U34" i="21"/>
  <c r="T830" i="20"/>
  <c r="AF830" i="20" s="1"/>
  <c r="BE75" i="3" s="1"/>
  <c r="AZ1061" i="3"/>
  <c r="O44" i="21"/>
  <c r="D75" i="11"/>
  <c r="R26" i="4"/>
  <c r="U46" i="21"/>
  <c r="U38" i="21"/>
  <c r="B81" i="4"/>
  <c r="J4" i="8"/>
  <c r="D12" i="13"/>
  <c r="AP388" i="20"/>
  <c r="AQ388" i="20" s="1"/>
  <c r="D38" i="11"/>
  <c r="CZ805" i="3"/>
  <c r="DD806" i="3" s="1"/>
  <c r="R34" i="21" a="1"/>
  <c r="R34" i="21" s="1"/>
  <c r="R38" i="21" a="1"/>
  <c r="R38" i="21" s="1"/>
  <c r="P38" i="21" a="1"/>
  <c r="P38" i="21" s="1"/>
  <c r="T38" i="21"/>
  <c r="S34" i="21"/>
  <c r="B70" i="4"/>
  <c r="L63" i="4"/>
  <c r="L97" i="4" s="1"/>
  <c r="L105" i="4" s="1"/>
  <c r="E12" i="4"/>
  <c r="D21" i="11"/>
  <c r="D14" i="11"/>
  <c r="D5" i="11"/>
  <c r="R28" i="21" a="1"/>
  <c r="R28" i="21" s="1"/>
  <c r="U44" i="21"/>
  <c r="O34" i="21"/>
  <c r="FO726" i="3"/>
  <c r="O53" i="21"/>
  <c r="B26" i="4"/>
  <c r="AH729" i="3"/>
  <c r="L12" i="4"/>
  <c r="J12" i="4"/>
  <c r="D84" i="11"/>
  <c r="D66" i="11"/>
  <c r="D10" i="11"/>
  <c r="G63" i="13"/>
  <c r="G97" i="13" s="1"/>
  <c r="G105" i="13" s="1"/>
  <c r="G107" i="13" s="1"/>
  <c r="R46" i="21" a="1"/>
  <c r="R46" i="21" s="1"/>
  <c r="AH726" i="3"/>
  <c r="AG927" i="3"/>
  <c r="T40" i="21"/>
  <c r="P40" i="21" a="1"/>
  <c r="P40" i="21" s="1"/>
  <c r="S40" i="21"/>
  <c r="V29" i="24"/>
  <c r="D80" i="11"/>
  <c r="C82" i="11"/>
  <c r="AV121" i="20"/>
  <c r="AW120" i="20" s="1"/>
  <c r="J63" i="4"/>
  <c r="J97" i="4" s="1"/>
  <c r="J105" i="4" s="1"/>
  <c r="B105" i="11"/>
  <c r="D20" i="11"/>
  <c r="AK548" i="20"/>
  <c r="T835" i="20" s="1"/>
  <c r="B42" i="13"/>
  <c r="B42" i="4"/>
  <c r="D102" i="11"/>
  <c r="DO785" i="3"/>
  <c r="DS786" i="3" s="1"/>
  <c r="N63" i="4"/>
  <c r="N97" i="4" s="1"/>
  <c r="N105" i="4" s="1"/>
  <c r="C12" i="11"/>
  <c r="D11" i="11"/>
  <c r="B12" i="11"/>
  <c r="R96" i="4"/>
  <c r="I63" i="13"/>
  <c r="I97" i="13" s="1"/>
  <c r="I105" i="13" s="1"/>
  <c r="I107" i="13" s="1"/>
  <c r="O33" i="21"/>
  <c r="T33" i="21"/>
  <c r="U33" i="21"/>
  <c r="S33" i="21"/>
  <c r="T21" i="21"/>
  <c r="U21" i="21"/>
  <c r="O21" i="21" s="1"/>
  <c r="P21" i="21" s="1" a="1"/>
  <c r="P21" i="21" s="1"/>
  <c r="G113" i="21"/>
  <c r="I58" i="7"/>
  <c r="K53" i="7"/>
  <c r="M53" i="7" s="1"/>
  <c r="R40" i="21" a="1"/>
  <c r="R40" i="21" s="1"/>
  <c r="M12" i="4"/>
  <c r="B62" i="4"/>
  <c r="B62" i="13"/>
  <c r="O41" i="21"/>
  <c r="P41" i="21" a="1"/>
  <c r="P41" i="21" s="1"/>
  <c r="R41" i="21" a="1"/>
  <c r="R41" i="21" s="1"/>
  <c r="S41" i="21"/>
  <c r="T41" i="21"/>
  <c r="U41" i="21"/>
  <c r="R20" i="21" a="1"/>
  <c r="R20" i="21" s="1"/>
  <c r="U20" i="21"/>
  <c r="P44" i="21" a="1"/>
  <c r="P44" i="21" s="1"/>
  <c r="U48" i="21"/>
  <c r="AH727" i="3"/>
  <c r="O54" i="21"/>
  <c r="AB29" i="24"/>
  <c r="J28" i="24"/>
  <c r="P54" i="21" a="1"/>
  <c r="P54" i="21" s="1"/>
  <c r="U52" i="21"/>
  <c r="J20" i="24"/>
  <c r="AH29" i="24"/>
  <c r="BG252" i="3"/>
  <c r="BO254" i="3" s="1"/>
  <c r="T276" i="3" s="1"/>
  <c r="Q28" i="7"/>
  <c r="R54" i="4"/>
  <c r="AB233" i="20"/>
  <c r="AB249" i="20" s="1"/>
  <c r="AB251" i="20" s="1"/>
  <c r="AB253" i="20" s="1"/>
  <c r="AB259" i="20" s="1"/>
  <c r="AD208" i="20" s="1"/>
  <c r="AD210" i="20" s="1"/>
  <c r="T30" i="21"/>
  <c r="S28" i="7"/>
  <c r="K63" i="4"/>
  <c r="K97" i="4" s="1"/>
  <c r="K105" i="4" s="1"/>
  <c r="P63" i="4"/>
  <c r="P97" i="4" s="1"/>
  <c r="P105" i="4" s="1"/>
  <c r="D76" i="11"/>
  <c r="R38" i="4"/>
  <c r="D36" i="11"/>
  <c r="D103" i="11"/>
  <c r="AC805" i="3"/>
  <c r="AO57" i="20"/>
  <c r="AN29" i="24"/>
  <c r="DE785" i="3"/>
  <c r="DI786" i="3" s="1"/>
  <c r="U28" i="7"/>
  <c r="H63" i="4"/>
  <c r="H97" i="4" s="1"/>
  <c r="H105" i="4" s="1"/>
  <c r="I63" i="4"/>
  <c r="I97" i="4" s="1"/>
  <c r="I105" i="4" s="1"/>
  <c r="D50" i="11"/>
  <c r="C63" i="13"/>
  <c r="C97" i="13" s="1"/>
  <c r="C105" i="13" s="1"/>
  <c r="G58" i="7"/>
  <c r="BF761" i="3"/>
  <c r="BG760" i="3" s="1"/>
  <c r="BH760" i="3" s="1"/>
  <c r="AK182" i="20"/>
  <c r="J21" i="24"/>
  <c r="R39" i="21" a="1"/>
  <c r="R39" i="21" s="1"/>
  <c r="Y28" i="7"/>
  <c r="AE28" i="7"/>
  <c r="DZ761" i="3"/>
  <c r="D60" i="11"/>
  <c r="C12" i="13"/>
  <c r="D70" i="11"/>
  <c r="CU805" i="3"/>
  <c r="CY806" i="3" s="1"/>
  <c r="T63" i="4"/>
  <c r="H63" i="13" s="1"/>
  <c r="R54" i="21" a="1"/>
  <c r="R54" i="21" s="1"/>
  <c r="T44" i="21"/>
  <c r="O46" i="21"/>
  <c r="AO34" i="20"/>
  <c r="AO71" i="20"/>
  <c r="D88" i="11"/>
  <c r="R23" i="21" a="1"/>
  <c r="R23" i="21" s="1"/>
  <c r="S54" i="21"/>
  <c r="R48" i="21" a="1"/>
  <c r="R48" i="21" s="1"/>
  <c r="S49" i="21"/>
  <c r="J22" i="24"/>
  <c r="AY1033" i="3"/>
  <c r="AF1026" i="3" s="1"/>
  <c r="J23" i="24"/>
  <c r="BD1060" i="3" a="1"/>
  <c r="BD1060" i="3" s="1"/>
  <c r="T48" i="21"/>
  <c r="G77" i="21"/>
  <c r="G79" i="21" s="1"/>
  <c r="D32" i="11"/>
  <c r="D87" i="11"/>
  <c r="D86" i="11"/>
  <c r="R21" i="21" a="1"/>
  <c r="R21" i="21" s="1"/>
  <c r="S36" i="21"/>
  <c r="AH738" i="3"/>
  <c r="ET761" i="3"/>
  <c r="O63" i="4"/>
  <c r="O97" i="4" s="1"/>
  <c r="O105" i="4" s="1"/>
  <c r="D100" i="11"/>
  <c r="C43" i="11"/>
  <c r="D85" i="11"/>
  <c r="U49" i="21"/>
  <c r="AO47" i="20"/>
  <c r="J24" i="24"/>
  <c r="R62" i="4"/>
  <c r="R8" i="4"/>
  <c r="D58" i="11"/>
  <c r="C63" i="11"/>
  <c r="B63" i="11"/>
  <c r="D59" i="11"/>
  <c r="B9" i="11"/>
  <c r="D6" i="11"/>
  <c r="D31" i="11"/>
  <c r="D54" i="11"/>
  <c r="N183" i="24"/>
  <c r="D52" i="11"/>
  <c r="C55" i="11"/>
  <c r="B78" i="11"/>
  <c r="E104" i="13"/>
  <c r="B104" i="4"/>
  <c r="D41" i="11"/>
  <c r="D25" i="11"/>
  <c r="D34" i="11"/>
  <c r="D26" i="11"/>
  <c r="D24" i="11"/>
  <c r="I40" i="7"/>
  <c r="I43" i="7" s="1"/>
  <c r="AC40" i="7"/>
  <c r="AC43" i="7" s="1"/>
  <c r="W40" i="7"/>
  <c r="Q40" i="7"/>
  <c r="U40" i="7"/>
  <c r="U43" i="7" s="1"/>
  <c r="AE40" i="7"/>
  <c r="AE43" i="7" s="1"/>
  <c r="Y40" i="7"/>
  <c r="E22" i="7"/>
  <c r="E35" i="7" s="1"/>
  <c r="U29" i="7"/>
  <c r="M29" i="7"/>
  <c r="I29" i="7"/>
  <c r="FE748" i="3"/>
  <c r="CU761" i="3"/>
  <c r="EC661" i="3" s="1"/>
  <c r="ET805" i="3"/>
  <c r="DO805" i="3"/>
  <c r="D33" i="11"/>
  <c r="CM761" i="3"/>
  <c r="X1061" i="3" s="1"/>
  <c r="AC893" i="3"/>
  <c r="C806" i="3"/>
  <c r="AY1012" i="3"/>
  <c r="D63" i="4"/>
  <c r="D97" i="4" s="1"/>
  <c r="D105" i="4" s="1"/>
  <c r="D12" i="4"/>
  <c r="B8" i="4"/>
  <c r="EJ805" i="3"/>
  <c r="Y620" i="20"/>
  <c r="B96" i="4"/>
  <c r="EO761" i="3"/>
  <c r="M63" i="4"/>
  <c r="M97" i="4" s="1"/>
  <c r="M105" i="4" s="1"/>
  <c r="DU799" i="3"/>
  <c r="DU805" i="3" s="1"/>
  <c r="CP805" i="3"/>
  <c r="R24" i="21" a="1"/>
  <c r="R24" i="21" s="1"/>
  <c r="B77" i="13"/>
  <c r="B77" i="4"/>
  <c r="E26" i="21"/>
  <c r="B97" i="11"/>
  <c r="AJ634" i="20"/>
  <c r="G108" i="21"/>
  <c r="D73" i="11"/>
  <c r="C78" i="11"/>
  <c r="R22" i="21" a="1"/>
  <c r="R22" i="21" s="1"/>
  <c r="E27" i="21"/>
  <c r="DU761" i="3"/>
  <c r="D93" i="11"/>
  <c r="EJ761" i="3"/>
  <c r="D90" i="11"/>
  <c r="U42" i="21"/>
  <c r="P42" i="21" a="1"/>
  <c r="P42" i="21" s="1"/>
  <c r="FT761" i="3"/>
  <c r="BS761" i="3"/>
  <c r="D53" i="11"/>
  <c r="R70" i="4"/>
  <c r="C97" i="11"/>
  <c r="AC785" i="3"/>
  <c r="E9" i="7"/>
  <c r="G8" i="7"/>
  <c r="R77" i="4"/>
  <c r="DO761" i="3"/>
  <c r="EW645" i="3" s="1"/>
  <c r="FY726" i="3"/>
  <c r="B55" i="11"/>
  <c r="J19" i="24"/>
  <c r="D63" i="13"/>
  <c r="D97" i="13" s="1"/>
  <c r="D105" i="13" s="1"/>
  <c r="O35" i="21"/>
  <c r="R35" i="21" a="1"/>
  <c r="R35" i="21" s="1"/>
  <c r="P35" i="21" a="1"/>
  <c r="P35" i="21" s="1"/>
  <c r="S35" i="21"/>
  <c r="T31" i="21"/>
  <c r="U31" i="21"/>
  <c r="R31" i="21" a="1"/>
  <c r="R31" i="21" s="1"/>
  <c r="G22" i="7"/>
  <c r="I15" i="7"/>
  <c r="Q63" i="4"/>
  <c r="Q97" i="4" s="1"/>
  <c r="Q105" i="4" s="1"/>
  <c r="Q12" i="4"/>
  <c r="T29" i="21"/>
  <c r="U29" i="21"/>
  <c r="O29" i="21" s="1"/>
  <c r="P29" i="21" s="1" a="1"/>
  <c r="P29" i="21" s="1"/>
  <c r="J63" i="13"/>
  <c r="J97" i="13" s="1"/>
  <c r="J105" i="13" s="1"/>
  <c r="J107" i="13" s="1"/>
  <c r="AP379" i="20"/>
  <c r="AQ379" i="20" s="1"/>
  <c r="CI761" i="3"/>
  <c r="CZ761" i="3"/>
  <c r="EH667" i="3" s="1"/>
  <c r="FJ726" i="3"/>
  <c r="CP761" i="3"/>
  <c r="DX653" i="3" s="1"/>
  <c r="B27" i="11"/>
  <c r="G40" i="8"/>
  <c r="G12" i="4"/>
  <c r="G63" i="4"/>
  <c r="G97" i="4" s="1"/>
  <c r="F12" i="4"/>
  <c r="F63" i="4"/>
  <c r="F97" i="4" s="1"/>
  <c r="F105" i="4" s="1"/>
  <c r="EZ761" i="3"/>
  <c r="F63" i="13"/>
  <c r="F97" i="13" s="1"/>
  <c r="F105" i="13" s="1"/>
  <c r="F107" i="13" s="1"/>
  <c r="EO797" i="3"/>
  <c r="EO805" i="3" s="1"/>
  <c r="DJ805" i="3"/>
  <c r="DN806" i="3" s="1"/>
  <c r="CU785" i="3"/>
  <c r="CY786" i="3" s="1"/>
  <c r="P29" i="24"/>
  <c r="DZ805" i="3"/>
  <c r="DJ785" i="3"/>
  <c r="DN786" i="3" s="1"/>
  <c r="M18" i="21"/>
  <c r="R32" i="21" a="1"/>
  <c r="R32" i="21" s="1"/>
  <c r="U28" i="21"/>
  <c r="C105" i="11"/>
  <c r="C71" i="11"/>
  <c r="R50" i="21" a="1"/>
  <c r="R50" i="21" s="1"/>
  <c r="BE7" i="3"/>
  <c r="BE8" i="3" s="1"/>
  <c r="K40" i="7"/>
  <c r="AC892" i="3"/>
  <c r="EE796" i="3"/>
  <c r="EE805" i="3" s="1"/>
  <c r="AT642" i="3"/>
  <c r="S50" i="21"/>
  <c r="AT641" i="3"/>
  <c r="E63" i="4"/>
  <c r="E97" i="4" s="1"/>
  <c r="E105" i="4" s="1"/>
  <c r="AT640" i="3"/>
  <c r="S51" i="21"/>
  <c r="B54" i="13"/>
  <c r="E25" i="21"/>
  <c r="F25" i="21" s="1"/>
  <c r="G25" i="21" s="1"/>
  <c r="T51" i="21"/>
  <c r="E28" i="21"/>
  <c r="O40" i="21"/>
  <c r="T50" i="21"/>
  <c r="AD68" i="15"/>
  <c r="R999" i="3"/>
  <c r="C9" i="11"/>
  <c r="AD7" i="15"/>
  <c r="E24" i="21"/>
  <c r="T20" i="21"/>
  <c r="G51" i="21"/>
  <c r="R27" i="21" a="1"/>
  <c r="R27" i="21" s="1"/>
  <c r="B8" i="13"/>
  <c r="DE805" i="3"/>
  <c r="DI806" i="3" s="1"/>
  <c r="O51" i="21"/>
  <c r="O36" i="21"/>
  <c r="P51" i="21" a="1"/>
  <c r="P51" i="21" s="1"/>
  <c r="O48" i="21"/>
  <c r="R51" i="21" a="1"/>
  <c r="R51" i="21" s="1"/>
  <c r="T53" i="21"/>
  <c r="O50" i="21"/>
  <c r="S63" i="4"/>
  <c r="C27" i="11"/>
  <c r="U53" i="21"/>
  <c r="AB48" i="15"/>
  <c r="O49" i="21"/>
  <c r="O45" i="21"/>
  <c r="R998" i="3"/>
  <c r="P49" i="21" a="1"/>
  <c r="P49" i="21" s="1"/>
  <c r="O40" i="7"/>
  <c r="O43" i="7" s="1"/>
  <c r="G40" i="7"/>
  <c r="G43" i="7" s="1"/>
  <c r="O29" i="7"/>
  <c r="W29" i="7"/>
  <c r="AA29" i="7"/>
  <c r="T28" i="21"/>
  <c r="S45" i="21"/>
  <c r="P36" i="21" a="1"/>
  <c r="P36" i="21" s="1"/>
  <c r="S40" i="7"/>
  <c r="AE29" i="7"/>
  <c r="AG40" i="7"/>
  <c r="M40" i="7"/>
  <c r="AA40" i="7"/>
  <c r="O28" i="7"/>
  <c r="U40" i="21"/>
  <c r="Q29" i="7"/>
  <c r="I28" i="7"/>
  <c r="G29" i="7"/>
  <c r="AC29" i="7"/>
  <c r="S29" i="7"/>
  <c r="P45" i="21" a="1"/>
  <c r="P45" i="21" s="1"/>
  <c r="AD27" i="15" l="1"/>
  <c r="S43" i="7"/>
  <c r="D71" i="11"/>
  <c r="M43" i="7"/>
  <c r="ER656" i="3"/>
  <c r="ER645" i="3"/>
  <c r="K43" i="7"/>
  <c r="ER657" i="3"/>
  <c r="ER664" i="3"/>
  <c r="ER662" i="3"/>
  <c r="ER663" i="3"/>
  <c r="ER675" i="3"/>
  <c r="T27" i="15"/>
  <c r="Y43" i="7"/>
  <c r="DN763" i="3"/>
  <c r="ER665" i="3"/>
  <c r="Y808" i="3"/>
  <c r="ER673" i="3"/>
  <c r="AI27" i="15"/>
  <c r="ER647" i="3"/>
  <c r="ER658" i="3"/>
  <c r="EM647" i="3"/>
  <c r="BG747" i="3"/>
  <c r="BH747" i="3" s="1"/>
  <c r="AA43" i="7"/>
  <c r="AG43" i="7"/>
  <c r="ER653" i="3"/>
  <c r="ER677" i="3"/>
  <c r="ER676" i="3"/>
  <c r="R12" i="4"/>
  <c r="G104" i="4"/>
  <c r="G105" i="4" s="1"/>
  <c r="R102" i="4"/>
  <c r="R104" i="4" s="1"/>
  <c r="D43" i="11"/>
  <c r="EC650" i="3"/>
  <c r="EC657" i="3"/>
  <c r="EM657" i="3"/>
  <c r="DI763" i="3"/>
  <c r="ER674" i="3"/>
  <c r="ER646" i="3"/>
  <c r="ER644" i="3"/>
  <c r="ER661" i="3"/>
  <c r="EM668" i="3"/>
  <c r="EM649" i="3"/>
  <c r="EM659" i="3"/>
  <c r="EM643" i="3"/>
  <c r="EM673" i="3"/>
  <c r="AW118" i="20"/>
  <c r="EW655" i="3"/>
  <c r="ER660" i="3"/>
  <c r="ER672" i="3"/>
  <c r="ER652" i="3"/>
  <c r="ER671" i="3"/>
  <c r="Q43" i="7"/>
  <c r="EM645" i="3"/>
  <c r="EM651" i="3"/>
  <c r="EM652" i="3"/>
  <c r="EM653" i="3"/>
  <c r="ER655" i="3"/>
  <c r="ER648" i="3"/>
  <c r="ER666" i="3"/>
  <c r="ER651" i="3"/>
  <c r="EM664" i="3"/>
  <c r="EM666" i="3"/>
  <c r="T837" i="20"/>
  <c r="AF837" i="20" s="1"/>
  <c r="BE79" i="3" s="1"/>
  <c r="EM648" i="3"/>
  <c r="EM654" i="3"/>
  <c r="AW117" i="20"/>
  <c r="ER669" i="3"/>
  <c r="ER643" i="3"/>
  <c r="ER668" i="3"/>
  <c r="ER654" i="3"/>
  <c r="ER667" i="3"/>
  <c r="ER670" i="3"/>
  <c r="EM660" i="3"/>
  <c r="AW119" i="20"/>
  <c r="EM665" i="3"/>
  <c r="EM669" i="3"/>
  <c r="EM674" i="3"/>
  <c r="EM672" i="3"/>
  <c r="EM671" i="3"/>
  <c r="EM655" i="3"/>
  <c r="ER650" i="3"/>
  <c r="ER659" i="3"/>
  <c r="AX705" i="20"/>
  <c r="FE761" i="3"/>
  <c r="EM658" i="3"/>
  <c r="EM676" i="3"/>
  <c r="BG737" i="3"/>
  <c r="BH737" i="3" s="1"/>
  <c r="EW652" i="3"/>
  <c r="BG748" i="3"/>
  <c r="BH748" i="3" s="1"/>
  <c r="BG726" i="3"/>
  <c r="BH726" i="3" s="1"/>
  <c r="BG735" i="3"/>
  <c r="BH735" i="3" s="1"/>
  <c r="BG752" i="3"/>
  <c r="BH752" i="3" s="1"/>
  <c r="K58" i="7"/>
  <c r="BG736" i="3"/>
  <c r="BH736" i="3" s="1"/>
  <c r="BG754" i="3"/>
  <c r="BH754" i="3" s="1"/>
  <c r="BG750" i="3"/>
  <c r="BH750" i="3" s="1"/>
  <c r="BG730" i="3"/>
  <c r="BH730" i="3" s="1"/>
  <c r="BG757" i="3"/>
  <c r="BH757" i="3" s="1"/>
  <c r="J40" i="8"/>
  <c r="Z817" i="3" s="1"/>
  <c r="EC643" i="3"/>
  <c r="BG749" i="3"/>
  <c r="BH749" i="3" s="1"/>
  <c r="D78" i="11"/>
  <c r="DX652" i="3"/>
  <c r="BG744" i="3"/>
  <c r="BH744" i="3" s="1"/>
  <c r="D82" i="11"/>
  <c r="BG758" i="3"/>
  <c r="BH758" i="3" s="1"/>
  <c r="EM650" i="3"/>
  <c r="EC658" i="3"/>
  <c r="BG734" i="3"/>
  <c r="BH734" i="3" s="1"/>
  <c r="EM646" i="3"/>
  <c r="EM662" i="3"/>
  <c r="EH658" i="3"/>
  <c r="T97" i="4"/>
  <c r="H97" i="13" s="1"/>
  <c r="EC656" i="3"/>
  <c r="EH663" i="3"/>
  <c r="EW657" i="3"/>
  <c r="EM667" i="3"/>
  <c r="EM677" i="3"/>
  <c r="FO761" i="3"/>
  <c r="W43" i="7"/>
  <c r="EM661" i="3"/>
  <c r="AX704" i="20"/>
  <c r="B13" i="11"/>
  <c r="I6" i="7"/>
  <c r="G7" i="7"/>
  <c r="EM644" i="3"/>
  <c r="EM675" i="3"/>
  <c r="EC670" i="3"/>
  <c r="EC653" i="3"/>
  <c r="DX654" i="3"/>
  <c r="EC659" i="3"/>
  <c r="D27" i="11"/>
  <c r="DX656" i="3"/>
  <c r="EC646" i="3"/>
  <c r="EW675" i="3"/>
  <c r="EH668" i="3"/>
  <c r="EC669" i="3"/>
  <c r="EW664" i="3"/>
  <c r="EW671" i="3"/>
  <c r="EW676" i="3"/>
  <c r="DX667" i="3"/>
  <c r="D12" i="11"/>
  <c r="DX677" i="3"/>
  <c r="EC666" i="3"/>
  <c r="DX657" i="3"/>
  <c r="EC649" i="3"/>
  <c r="EC655" i="3"/>
  <c r="EC664" i="3"/>
  <c r="AO60" i="20"/>
  <c r="AK61" i="20" s="1"/>
  <c r="AK83" i="20" s="1"/>
  <c r="EM670" i="3"/>
  <c r="EW669" i="3"/>
  <c r="EC645" i="3"/>
  <c r="EH649" i="3"/>
  <c r="EM656" i="3"/>
  <c r="DX665" i="3"/>
  <c r="EH647" i="3"/>
  <c r="DX664" i="3"/>
  <c r="EC651" i="3"/>
  <c r="EW651" i="3"/>
  <c r="BG742" i="3"/>
  <c r="BH742" i="3" s="1"/>
  <c r="AW115" i="20"/>
  <c r="BG727" i="3"/>
  <c r="BH727" i="3" s="1"/>
  <c r="BG731" i="3"/>
  <c r="BH731" i="3" s="1"/>
  <c r="BG729" i="3"/>
  <c r="BH729" i="3" s="1"/>
  <c r="EW677" i="3"/>
  <c r="BG745" i="3"/>
  <c r="BH745" i="3" s="1"/>
  <c r="D105" i="11"/>
  <c r="DU786" i="3"/>
  <c r="R63" i="4"/>
  <c r="R97" i="4" s="1"/>
  <c r="BG756" i="3"/>
  <c r="BH756" i="3" s="1"/>
  <c r="BG759" i="3"/>
  <c r="BH759" i="3" s="1"/>
  <c r="BE9" i="3"/>
  <c r="AW116" i="20"/>
  <c r="BG739" i="3"/>
  <c r="BH739" i="3" s="1"/>
  <c r="BG728" i="3"/>
  <c r="BH728" i="3" s="1"/>
  <c r="BG753" i="3"/>
  <c r="BH753" i="3" s="1"/>
  <c r="BG732" i="3"/>
  <c r="BH732" i="3" s="1"/>
  <c r="BG733" i="3"/>
  <c r="BH733" i="3" s="1"/>
  <c r="BG741" i="3"/>
  <c r="BH741" i="3" s="1"/>
  <c r="BG746" i="3"/>
  <c r="BH746" i="3" s="1"/>
  <c r="EW653" i="3"/>
  <c r="Y809" i="3"/>
  <c r="BG738" i="3"/>
  <c r="BH738" i="3" s="1"/>
  <c r="BG751" i="3"/>
  <c r="BH751" i="3" s="1"/>
  <c r="EW648" i="3"/>
  <c r="BG755" i="3"/>
  <c r="BH755" i="3" s="1"/>
  <c r="BG740" i="3"/>
  <c r="BH740" i="3" s="1"/>
  <c r="BG743" i="3"/>
  <c r="BH743" i="3" s="1"/>
  <c r="D55" i="11"/>
  <c r="D63" i="11"/>
  <c r="G42" i="21" a="1"/>
  <c r="G42" i="21" s="1"/>
  <c r="G43" i="21" s="1"/>
  <c r="O31" i="21" s="1"/>
  <c r="P31" i="21" s="1" a="1"/>
  <c r="P31" i="21" s="1"/>
  <c r="CP810" i="3"/>
  <c r="AB995" i="3" s="1"/>
  <c r="DX668" i="3"/>
  <c r="DX674" i="3"/>
  <c r="DX670" i="3"/>
  <c r="DX671" i="3"/>
  <c r="DO762" i="3"/>
  <c r="DX676" i="3"/>
  <c r="DX647" i="3"/>
  <c r="DX643" i="3"/>
  <c r="DX648" i="3"/>
  <c r="DX650" i="3"/>
  <c r="CT763" i="3"/>
  <c r="DX669" i="3"/>
  <c r="AS375" i="20"/>
  <c r="AS371" i="20" s="1"/>
  <c r="AK482" i="20" s="1"/>
  <c r="T839" i="20" s="1"/>
  <c r="AF839" i="20" s="1"/>
  <c r="BE80" i="3" s="1"/>
  <c r="AS373" i="20"/>
  <c r="AG1058" i="3"/>
  <c r="DJ810" i="3"/>
  <c r="D9" i="11"/>
  <c r="C13" i="11"/>
  <c r="DX658" i="3"/>
  <c r="DE810" i="3"/>
  <c r="AB998" i="3" s="1"/>
  <c r="AJ998" i="3" s="1"/>
  <c r="E29" i="21"/>
  <c r="F24" i="21"/>
  <c r="DX659" i="3"/>
  <c r="S97" i="4"/>
  <c r="E63" i="13"/>
  <c r="EH662" i="3"/>
  <c r="EH659" i="3"/>
  <c r="EH657" i="3"/>
  <c r="EH677" i="3"/>
  <c r="DD763" i="3"/>
  <c r="CZ810" i="3"/>
  <c r="AB997" i="3" s="1"/>
  <c r="AJ997" i="3" s="1"/>
  <c r="EH674" i="3"/>
  <c r="EH669" i="3"/>
  <c r="EH675" i="3"/>
  <c r="EH660" i="3"/>
  <c r="EH676" i="3"/>
  <c r="EH661" i="3"/>
  <c r="EH670" i="3"/>
  <c r="EH654" i="3"/>
  <c r="EH664" i="3"/>
  <c r="EH645" i="3"/>
  <c r="EH655" i="3"/>
  <c r="DX662" i="3"/>
  <c r="DX655" i="3"/>
  <c r="O53" i="7"/>
  <c r="M58" i="7"/>
  <c r="BT727" i="3"/>
  <c r="BU727" i="3" s="1"/>
  <c r="BT735" i="3"/>
  <c r="BU735" i="3" s="1"/>
  <c r="BT760" i="3"/>
  <c r="BU760" i="3" s="1"/>
  <c r="BT728" i="3"/>
  <c r="BU728" i="3" s="1"/>
  <c r="BT736" i="3"/>
  <c r="BU736" i="3" s="1"/>
  <c r="BT744" i="3"/>
  <c r="BU744" i="3" s="1"/>
  <c r="BT752" i="3"/>
  <c r="BU752" i="3" s="1"/>
  <c r="BT726" i="3"/>
  <c r="BT729" i="3"/>
  <c r="BU729" i="3" s="1"/>
  <c r="BT745" i="3"/>
  <c r="BU745" i="3" s="1"/>
  <c r="BT753" i="3"/>
  <c r="BU753" i="3" s="1"/>
  <c r="BT747" i="3"/>
  <c r="BU747" i="3" s="1"/>
  <c r="BT739" i="3"/>
  <c r="BU739" i="3" s="1"/>
  <c r="BT742" i="3"/>
  <c r="BU742" i="3" s="1"/>
  <c r="BT758" i="3"/>
  <c r="BU758" i="3" s="1"/>
  <c r="BT738" i="3"/>
  <c r="BU738" i="3" s="1"/>
  <c r="BT746" i="3"/>
  <c r="BU746" i="3" s="1"/>
  <c r="BT754" i="3"/>
  <c r="BU754" i="3" s="1"/>
  <c r="BT731" i="3"/>
  <c r="BU731" i="3" s="1"/>
  <c r="BT755" i="3"/>
  <c r="BU755" i="3" s="1"/>
  <c r="BT732" i="3"/>
  <c r="BU732" i="3" s="1"/>
  <c r="BT740" i="3"/>
  <c r="BU740" i="3" s="1"/>
  <c r="BT734" i="3"/>
  <c r="BU734" i="3" s="1"/>
  <c r="BT733" i="3"/>
  <c r="BU733" i="3" s="1"/>
  <c r="BT750" i="3"/>
  <c r="BU750" i="3" s="1"/>
  <c r="BT749" i="3"/>
  <c r="BU749" i="3" s="1"/>
  <c r="BT757" i="3"/>
  <c r="BU757" i="3" s="1"/>
  <c r="BT741" i="3"/>
  <c r="BU741" i="3" s="1"/>
  <c r="BT759" i="3"/>
  <c r="BU759" i="3" s="1"/>
  <c r="BT743" i="3"/>
  <c r="BU743" i="3" s="1"/>
  <c r="BT751" i="3"/>
  <c r="BU751" i="3" s="1"/>
  <c r="BT737" i="3"/>
  <c r="BU737" i="3" s="1"/>
  <c r="BT756" i="3"/>
  <c r="BU756" i="3" s="1"/>
  <c r="BT730" i="3"/>
  <c r="BU730" i="3" s="1"/>
  <c r="BT748" i="3"/>
  <c r="BU748" i="3" s="1"/>
  <c r="BE68" i="3"/>
  <c r="X1057" i="3"/>
  <c r="BA1048" i="3"/>
  <c r="BA1057" i="3" s="1" a="1"/>
  <c r="BA1057" i="3" s="1"/>
  <c r="EH644" i="3"/>
  <c r="CY763" i="3"/>
  <c r="EC673" i="3"/>
  <c r="EC668" i="3"/>
  <c r="EC672" i="3"/>
  <c r="EC660" i="3"/>
  <c r="EC647" i="3"/>
  <c r="EC654" i="3"/>
  <c r="EC648" i="3"/>
  <c r="EC652" i="3"/>
  <c r="EC663" i="3"/>
  <c r="EC662" i="3"/>
  <c r="EC674" i="3"/>
  <c r="EC667" i="3"/>
  <c r="EC675" i="3"/>
  <c r="CU810" i="3"/>
  <c r="AB996" i="3" s="1"/>
  <c r="AJ996" i="3" s="1"/>
  <c r="EC644" i="3"/>
  <c r="DX651" i="3"/>
  <c r="EC665" i="3"/>
  <c r="B12" i="4"/>
  <c r="N184" i="24"/>
  <c r="N190" i="24" s="1"/>
  <c r="EH651" i="3"/>
  <c r="DS806" i="3"/>
  <c r="DO810" i="3"/>
  <c r="G35" i="7"/>
  <c r="DX675" i="3"/>
  <c r="EH653" i="3"/>
  <c r="DU785" i="3"/>
  <c r="EH652" i="3"/>
  <c r="I1061" i="3"/>
  <c r="AY1015" i="3" s="1"/>
  <c r="I1057" i="3"/>
  <c r="FJ761" i="3"/>
  <c r="EH643" i="3"/>
  <c r="T18" i="21"/>
  <c r="G60" i="21" s="1"/>
  <c r="K15" i="7"/>
  <c r="I22" i="7"/>
  <c r="I35" i="7" s="1"/>
  <c r="I8" i="7"/>
  <c r="G9" i="7"/>
  <c r="EH650" i="3"/>
  <c r="EW665" i="3"/>
  <c r="EH665" i="3"/>
  <c r="EC671" i="3"/>
  <c r="DX646" i="3"/>
  <c r="EH648" i="3"/>
  <c r="DX645" i="3"/>
  <c r="DX660" i="3"/>
  <c r="DX672" i="3"/>
  <c r="J29" i="24"/>
  <c r="BB4" i="24" s="1" a="1"/>
  <c r="BB4" i="24" s="1"/>
  <c r="EH666" i="3"/>
  <c r="DX644" i="3"/>
  <c r="EW670" i="3"/>
  <c r="AX706" i="20"/>
  <c r="DS763" i="3"/>
  <c r="EW658" i="3"/>
  <c r="EW662" i="3"/>
  <c r="EW660" i="3"/>
  <c r="EW649" i="3"/>
  <c r="EW673" i="3"/>
  <c r="EW666" i="3"/>
  <c r="EW674" i="3"/>
  <c r="EW668" i="3"/>
  <c r="EW667" i="3"/>
  <c r="EW672" i="3"/>
  <c r="EW663" i="3"/>
  <c r="EW661" i="3"/>
  <c r="EW647" i="3"/>
  <c r="EW656" i="3"/>
  <c r="EW650" i="3"/>
  <c r="EW646" i="3"/>
  <c r="EW644" i="3"/>
  <c r="EW659" i="3"/>
  <c r="EW654" i="3"/>
  <c r="EH671" i="3"/>
  <c r="ET807" i="3"/>
  <c r="EH656" i="3"/>
  <c r="EH672" i="3"/>
  <c r="DX649" i="3"/>
  <c r="DX661" i="3"/>
  <c r="DX673" i="3"/>
  <c r="EH646" i="3"/>
  <c r="AC894" i="3"/>
  <c r="DX666" i="3"/>
  <c r="EH673" i="3"/>
  <c r="CT806" i="3"/>
  <c r="DU807" i="3"/>
  <c r="EC676" i="3"/>
  <c r="DX663" i="3"/>
  <c r="BE10" i="3"/>
  <c r="EW643" i="3"/>
  <c r="FY761" i="3"/>
  <c r="EC677" i="3"/>
  <c r="D97" i="11"/>
  <c r="R105" i="4" l="1"/>
  <c r="Z826" i="3"/>
  <c r="ER678" i="3"/>
  <c r="Y129" i="20" s="1"/>
  <c r="Y132" i="20" s="1"/>
  <c r="Y135" i="20" s="1"/>
  <c r="EM678" i="3"/>
  <c r="T129" i="20" s="1"/>
  <c r="T132" i="20" s="1"/>
  <c r="T135" i="20" s="1"/>
  <c r="AX707" i="20"/>
  <c r="AY708" i="20" s="1"/>
  <c r="T105" i="4"/>
  <c r="H105" i="13" s="1"/>
  <c r="T826" i="20"/>
  <c r="AF826" i="20" s="1"/>
  <c r="BE71" i="3" s="1"/>
  <c r="K6" i="7"/>
  <c r="I7" i="7"/>
  <c r="D13" i="11"/>
  <c r="AK190" i="20"/>
  <c r="T833" i="20" s="1"/>
  <c r="AF833" i="20" s="1"/>
  <c r="BE76" i="3" s="1"/>
  <c r="T827" i="20"/>
  <c r="AF827" i="20" s="1"/>
  <c r="BE72" i="3" s="1"/>
  <c r="BH761" i="3"/>
  <c r="AC761" i="3" s="1"/>
  <c r="BE42" i="3" s="1"/>
  <c r="G37" i="21"/>
  <c r="S31" i="21" s="1"/>
  <c r="E4" i="7"/>
  <c r="G4" i="7" s="1"/>
  <c r="BG761" i="3"/>
  <c r="EC678" i="3"/>
  <c r="J129" i="20" s="1"/>
  <c r="J132" i="20" s="1"/>
  <c r="J135" i="20" s="1"/>
  <c r="AW121" i="20"/>
  <c r="AB999" i="3"/>
  <c r="AJ999" i="3" s="1"/>
  <c r="O28" i="21"/>
  <c r="P28" i="21" s="1" a="1"/>
  <c r="P28" i="21" s="1"/>
  <c r="O23" i="21"/>
  <c r="P23" i="21" s="1" a="1"/>
  <c r="P23" i="21" s="1"/>
  <c r="O26" i="21"/>
  <c r="P26" i="21" s="1" a="1"/>
  <c r="P26" i="21" s="1"/>
  <c r="O32" i="21"/>
  <c r="P32" i="21" s="1" a="1"/>
  <c r="P32" i="21" s="1"/>
  <c r="O30" i="21"/>
  <c r="P30" i="21" s="1" a="1"/>
  <c r="P30" i="21" s="1"/>
  <c r="O24" i="21"/>
  <c r="P24" i="21" s="1" a="1"/>
  <c r="P24" i="21" s="1"/>
  <c r="O20" i="21"/>
  <c r="P20" i="21" s="1" a="1"/>
  <c r="P20" i="21" s="1"/>
  <c r="O22" i="21"/>
  <c r="P22" i="21" s="1" a="1"/>
  <c r="P22" i="21" s="1"/>
  <c r="O27" i="21"/>
  <c r="P27" i="21" s="1" a="1"/>
  <c r="P27" i="21" s="1"/>
  <c r="AX708" i="20"/>
  <c r="AO708" i="20" s="1"/>
  <c r="AT19" i="24"/>
  <c r="BB6" i="24" a="1"/>
  <c r="BB6" i="24" s="1"/>
  <c r="I9" i="7"/>
  <c r="K8" i="7"/>
  <c r="BB5" i="24" a="1"/>
  <c r="BB5" i="24" s="1"/>
  <c r="M15" i="7"/>
  <c r="K22" i="7"/>
  <c r="K35" i="7" s="1"/>
  <c r="G52" i="21"/>
  <c r="G54" i="21" s="1"/>
  <c r="G56" i="21" s="1"/>
  <c r="E12" i="21" s="1"/>
  <c r="F27" i="21"/>
  <c r="F28" i="21"/>
  <c r="G28" i="21" s="1"/>
  <c r="G61" i="21"/>
  <c r="G63" i="21" s="1"/>
  <c r="G65" i="21" s="1"/>
  <c r="E13" i="21" s="1"/>
  <c r="EW678" i="3"/>
  <c r="AD129" i="20" s="1"/>
  <c r="AD132" i="20" s="1"/>
  <c r="AD135" i="20" s="1"/>
  <c r="G24" i="21"/>
  <c r="BE11" i="3"/>
  <c r="DX678" i="3"/>
  <c r="E129" i="20" s="1"/>
  <c r="E132" i="20" s="1"/>
  <c r="E135" i="20" s="1"/>
  <c r="DU763" i="3"/>
  <c r="AG1054" i="3"/>
  <c r="AY1014" i="3"/>
  <c r="AJ995" i="3"/>
  <c r="BU726" i="3"/>
  <c r="BU761" i="3" s="1"/>
  <c r="AH761" i="3" s="1"/>
  <c r="BE43" i="3" s="1"/>
  <c r="BT761" i="3"/>
  <c r="O58" i="7"/>
  <c r="Q53" i="7"/>
  <c r="EH678" i="3"/>
  <c r="O129" i="20" s="1"/>
  <c r="O132" i="20" s="1"/>
  <c r="O135" i="20" s="1"/>
  <c r="S105" i="4"/>
  <c r="AZ1055" i="3"/>
  <c r="E97" i="13"/>
  <c r="AT27" i="24"/>
  <c r="AT26" i="24"/>
  <c r="AT29" i="24"/>
  <c r="AT25" i="24"/>
  <c r="AY45" i="24"/>
  <c r="AY47" i="24"/>
  <c r="AY38" i="24"/>
  <c r="AY44" i="24"/>
  <c r="AY43" i="24"/>
  <c r="AY39" i="24"/>
  <c r="AY36" i="24"/>
  <c r="AY46" i="24"/>
  <c r="AY41" i="24"/>
  <c r="AT28" i="24"/>
  <c r="AY42" i="24"/>
  <c r="AT21" i="24"/>
  <c r="AY40" i="24"/>
  <c r="AY37" i="24"/>
  <c r="AT20" i="24"/>
  <c r="AT22" i="24"/>
  <c r="AT23" i="24"/>
  <c r="AT24" i="24"/>
  <c r="DU808" i="3"/>
  <c r="S26" i="21" l="1"/>
  <c r="S30" i="21"/>
  <c r="S32" i="21"/>
  <c r="S24" i="21"/>
  <c r="S23" i="21"/>
  <c r="T107" i="4"/>
  <c r="H107" i="13" s="1"/>
  <c r="AI11" i="15" s="1"/>
  <c r="AI23" i="15" s="1"/>
  <c r="AI26" i="15" s="1"/>
  <c r="AI28" i="15" s="1"/>
  <c r="S27" i="21"/>
  <c r="S28" i="21"/>
  <c r="S22" i="21"/>
  <c r="E92" i="20"/>
  <c r="E93" i="20" s="1"/>
  <c r="E94" i="20" s="1"/>
  <c r="S20" i="21"/>
  <c r="E102" i="20"/>
  <c r="E105" i="20" s="1"/>
  <c r="AP105" i="20" s="1"/>
  <c r="AK108" i="20" s="1"/>
  <c r="T828" i="20" s="1"/>
  <c r="AF828" i="20" s="1"/>
  <c r="BE73" i="3" s="1"/>
  <c r="E5" i="7"/>
  <c r="E11" i="7" s="1"/>
  <c r="E37" i="7" s="1"/>
  <c r="BE12" i="3"/>
  <c r="BE13" i="3" s="1"/>
  <c r="BE14" i="3" s="1"/>
  <c r="BE15" i="3" s="1"/>
  <c r="E11" i="21"/>
  <c r="K7" i="7"/>
  <c r="M6" i="7"/>
  <c r="S25" i="21"/>
  <c r="S21" i="21"/>
  <c r="S29" i="21"/>
  <c r="C39" i="21"/>
  <c r="G159" i="21"/>
  <c r="I17" i="21" s="1"/>
  <c r="AB1000" i="3"/>
  <c r="AJ1001" i="3"/>
  <c r="AJ1054" i="3" s="1"/>
  <c r="AP565" i="20" s="1"/>
  <c r="Q58" i="7"/>
  <c r="S53" i="7"/>
  <c r="BA1065" i="3"/>
  <c r="AZ1060" i="3"/>
  <c r="E137" i="20"/>
  <c r="E138" i="20" s="1"/>
  <c r="AK142" i="20" s="1"/>
  <c r="T829" i="20" s="1"/>
  <c r="AF829" i="20" s="1"/>
  <c r="DU810" i="3"/>
  <c r="U386" i="20" s="1"/>
  <c r="P430" i="3"/>
  <c r="O764" i="3"/>
  <c r="I4" i="7"/>
  <c r="G5" i="7"/>
  <c r="G11" i="7" s="1"/>
  <c r="G37" i="7" s="1"/>
  <c r="M8" i="7"/>
  <c r="K9" i="7"/>
  <c r="G27" i="21"/>
  <c r="F26" i="21"/>
  <c r="M22" i="7"/>
  <c r="M35" i="7" s="1"/>
  <c r="O15" i="7"/>
  <c r="S107" i="4"/>
  <c r="E105" i="13"/>
  <c r="I9" i="21"/>
  <c r="AP718" i="20"/>
  <c r="AJ724" i="20" s="1"/>
  <c r="AK816" i="20" s="1"/>
  <c r="T841" i="20" s="1"/>
  <c r="AF841" i="20" s="1"/>
  <c r="BE82" i="3" s="1"/>
  <c r="AP719" i="20"/>
  <c r="E45" i="7" l="1"/>
  <c r="E48" i="7" s="1"/>
  <c r="E49" i="7"/>
  <c r="AD11" i="15"/>
  <c r="AD23" i="15" s="1"/>
  <c r="AD26" i="15" s="1"/>
  <c r="AD28" i="15" s="1"/>
  <c r="G45" i="21"/>
  <c r="G47" i="21" s="1"/>
  <c r="E10" i="21" s="1"/>
  <c r="AJ1045" i="3"/>
  <c r="I15" i="21" s="1"/>
  <c r="AJ1003" i="3"/>
  <c r="BA1064" i="3"/>
  <c r="BA1068" i="3" s="1"/>
  <c r="O6" i="7"/>
  <c r="M7" i="7"/>
  <c r="AJ1058" i="3"/>
  <c r="AP566" i="20" s="1"/>
  <c r="AP563" i="20"/>
  <c r="AJ1038" i="3"/>
  <c r="AJ1016" i="3"/>
  <c r="G45" i="7"/>
  <c r="G49" i="7"/>
  <c r="G166" i="21"/>
  <c r="G165" i="21"/>
  <c r="AC465" i="3"/>
  <c r="AF564" i="20"/>
  <c r="E107" i="13"/>
  <c r="AA1065" i="3"/>
  <c r="O22" i="7"/>
  <c r="O35" i="7" s="1"/>
  <c r="Q15" i="7"/>
  <c r="G26" i="21"/>
  <c r="G29" i="21"/>
  <c r="F29" i="21"/>
  <c r="M9" i="7"/>
  <c r="O8" i="7"/>
  <c r="K4" i="7"/>
  <c r="I5" i="7"/>
  <c r="I11" i="7" s="1"/>
  <c r="I37" i="7" s="1"/>
  <c r="BE74" i="3"/>
  <c r="S58" i="7"/>
  <c r="U53" i="7"/>
  <c r="E60" i="7" l="1"/>
  <c r="E62" i="7" s="1"/>
  <c r="E47" i="7"/>
  <c r="AJ1062" i="3"/>
  <c r="AA1066" i="3" s="1"/>
  <c r="G1067" i="3" s="1"/>
  <c r="AP567" i="20"/>
  <c r="O7" i="7"/>
  <c r="Q6" i="7"/>
  <c r="I45" i="7"/>
  <c r="I49" i="7"/>
  <c r="U58" i="7"/>
  <c r="W53" i="7"/>
  <c r="O9" i="7"/>
  <c r="Q8" i="7"/>
  <c r="G93" i="21"/>
  <c r="G94" i="21" s="1"/>
  <c r="E15" i="21" s="1"/>
  <c r="G31" i="21"/>
  <c r="G33" i="21" s="1"/>
  <c r="E9" i="21" s="1"/>
  <c r="G102" i="21"/>
  <c r="G104" i="21" s="1"/>
  <c r="E16" i="21" s="1"/>
  <c r="G110" i="21"/>
  <c r="G125" i="21"/>
  <c r="Y11" i="15"/>
  <c r="Y23" i="15" s="1"/>
  <c r="Y26" i="15" s="1"/>
  <c r="Y28" i="15" s="1"/>
  <c r="T11" i="15"/>
  <c r="T23" i="15" s="1"/>
  <c r="M4" i="7"/>
  <c r="K5" i="7"/>
  <c r="K11" i="7" s="1"/>
  <c r="K37" i="7" s="1"/>
  <c r="Q22" i="7"/>
  <c r="Q35" i="7" s="1"/>
  <c r="S15" i="7"/>
  <c r="G60" i="7"/>
  <c r="G47" i="7"/>
  <c r="G48" i="7"/>
  <c r="G62" i="7" l="1"/>
  <c r="G67" i="7" s="1"/>
  <c r="T24" i="15"/>
  <c r="AD38" i="15" s="1"/>
  <c r="AD40" i="15" s="1"/>
  <c r="AP570" i="20"/>
  <c r="AP569" i="20" s="1"/>
  <c r="AP572" i="20" s="1"/>
  <c r="AF565" i="20" s="1"/>
  <c r="AF566" i="20" s="1"/>
  <c r="AK572" i="20" s="1"/>
  <c r="T840" i="20" s="1"/>
  <c r="AF840" i="20" s="1"/>
  <c r="BE81" i="3" s="1"/>
  <c r="Q7" i="7"/>
  <c r="S6" i="7"/>
  <c r="U15" i="7"/>
  <c r="S22" i="7"/>
  <c r="S35" i="7" s="1"/>
  <c r="K49" i="7"/>
  <c r="K45" i="7"/>
  <c r="M5" i="7"/>
  <c r="M11" i="7" s="1"/>
  <c r="M37" i="7" s="1"/>
  <c r="O4" i="7"/>
  <c r="E70" i="7"/>
  <c r="E72" i="7" s="1"/>
  <c r="G115" i="21"/>
  <c r="G127" i="21"/>
  <c r="G111" i="21"/>
  <c r="Q9" i="7"/>
  <c r="S8" i="7"/>
  <c r="Y64" i="15"/>
  <c r="Y68" i="15" s="1"/>
  <c r="Y69" i="15" s="1"/>
  <c r="T26" i="15"/>
  <c r="T28" i="15" s="1"/>
  <c r="T29" i="15" s="1"/>
  <c r="W58" i="7"/>
  <c r="Y53" i="7"/>
  <c r="I60" i="7"/>
  <c r="I47" i="7"/>
  <c r="I48" i="7"/>
  <c r="G66" i="7" l="1"/>
  <c r="G68" i="7"/>
  <c r="G69" i="7"/>
  <c r="I62" i="7"/>
  <c r="I69" i="7" s="1"/>
  <c r="AF843" i="20"/>
  <c r="BE70" i="3" s="1"/>
  <c r="U6" i="7"/>
  <c r="S7" i="7"/>
  <c r="G129" i="21"/>
  <c r="E17" i="21" s="1"/>
  <c r="E14" i="21" s="1"/>
  <c r="E18" i="21" s="1"/>
  <c r="H3" i="21" s="1"/>
  <c r="AA53" i="7"/>
  <c r="Y58" i="7"/>
  <c r="M45" i="7"/>
  <c r="M49" i="7"/>
  <c r="U22" i="7"/>
  <c r="U35" i="7" s="1"/>
  <c r="W15" i="7"/>
  <c r="U8" i="7"/>
  <c r="S9" i="7"/>
  <c r="Y38" i="15"/>
  <c r="Y40" i="15" s="1"/>
  <c r="Y41" i="15" s="1"/>
  <c r="O5" i="7"/>
  <c r="O11" i="7" s="1"/>
  <c r="O37" i="7" s="1"/>
  <c r="Q4" i="7"/>
  <c r="K47" i="7"/>
  <c r="K60" i="7"/>
  <c r="K62" i="7" s="1"/>
  <c r="K48" i="7"/>
  <c r="G70" i="7" l="1"/>
  <c r="G72" i="7" s="1"/>
  <c r="I67" i="7"/>
  <c r="I68" i="7"/>
  <c r="I66" i="7"/>
  <c r="K66" i="7"/>
  <c r="K68" i="7"/>
  <c r="K67" i="7"/>
  <c r="U7" i="7"/>
  <c r="W6" i="7"/>
  <c r="U9" i="7"/>
  <c r="W8" i="7"/>
  <c r="Q5" i="7"/>
  <c r="Q11" i="7" s="1"/>
  <c r="Q37" i="7" s="1"/>
  <c r="S4" i="7"/>
  <c r="O49" i="7"/>
  <c r="O45" i="7"/>
  <c r="W22" i="7"/>
  <c r="W35" i="7" s="1"/>
  <c r="Y15" i="7"/>
  <c r="M47" i="7"/>
  <c r="M60" i="7"/>
  <c r="M62" i="7" s="1"/>
  <c r="M48" i="7"/>
  <c r="AA58" i="7"/>
  <c r="AC53" i="7"/>
  <c r="K69" i="7" l="1"/>
  <c r="K70" i="7" s="1"/>
  <c r="K72" i="7" s="1"/>
  <c r="I70" i="7"/>
  <c r="I72" i="7" s="1"/>
  <c r="M66" i="7"/>
  <c r="M69" i="7"/>
  <c r="M67" i="7"/>
  <c r="M68" i="7"/>
  <c r="Y6" i="7"/>
  <c r="W7" i="7"/>
  <c r="AE53" i="7"/>
  <c r="AC58" i="7"/>
  <c r="Q49" i="7"/>
  <c r="Q45" i="7"/>
  <c r="AA15" i="7"/>
  <c r="Y22" i="7"/>
  <c r="Y35" i="7" s="1"/>
  <c r="O47" i="7"/>
  <c r="O48" i="7"/>
  <c r="O60" i="7"/>
  <c r="U4" i="7"/>
  <c r="S5" i="7"/>
  <c r="S11" i="7" s="1"/>
  <c r="S37" i="7" s="1"/>
  <c r="W9" i="7"/>
  <c r="Y8" i="7"/>
  <c r="O69" i="7" l="1"/>
  <c r="O68" i="7"/>
  <c r="O67" i="7"/>
  <c r="O66" i="7"/>
  <c r="Y7" i="7"/>
  <c r="AA6" i="7"/>
  <c r="S45" i="7"/>
  <c r="S49" i="7"/>
  <c r="Y9" i="7"/>
  <c r="AA8" i="7"/>
  <c r="AC15" i="7"/>
  <c r="AA22" i="7"/>
  <c r="AA35" i="7" s="1"/>
  <c r="Q60" i="7"/>
  <c r="Q66" i="7" s="1"/>
  <c r="Q48" i="7"/>
  <c r="Q47" i="7"/>
  <c r="U5" i="7"/>
  <c r="U11" i="7" s="1"/>
  <c r="U37" i="7" s="1"/>
  <c r="W4" i="7"/>
  <c r="M70" i="7"/>
  <c r="M72" i="7" s="1"/>
  <c r="AG53" i="7"/>
  <c r="AG58" i="7" s="1"/>
  <c r="AE58" i="7"/>
  <c r="AA7" i="7" l="1"/>
  <c r="AC6" i="7"/>
  <c r="Q69" i="7"/>
  <c r="Q68" i="7"/>
  <c r="Q67" i="7"/>
  <c r="O70" i="7"/>
  <c r="O72" i="7" s="1"/>
  <c r="AE15" i="7"/>
  <c r="AC22" i="7"/>
  <c r="AC35" i="7" s="1"/>
  <c r="AC8" i="7"/>
  <c r="AA9" i="7"/>
  <c r="W5" i="7"/>
  <c r="W11" i="7" s="1"/>
  <c r="W37" i="7" s="1"/>
  <c r="Y4" i="7"/>
  <c r="U45" i="7"/>
  <c r="U49" i="7"/>
  <c r="S48" i="7"/>
  <c r="S47" i="7"/>
  <c r="S60" i="7"/>
  <c r="AE6" i="7" l="1"/>
  <c r="AC7" i="7"/>
  <c r="S69" i="7"/>
  <c r="S67" i="7"/>
  <c r="S66" i="7"/>
  <c r="S68" i="7"/>
  <c r="W45" i="7"/>
  <c r="W49" i="7"/>
  <c r="U47" i="7"/>
  <c r="U48" i="7"/>
  <c r="U60" i="7"/>
  <c r="Y5" i="7"/>
  <c r="Y11" i="7" s="1"/>
  <c r="Y37" i="7" s="1"/>
  <c r="AA4" i="7"/>
  <c r="AC9" i="7"/>
  <c r="AE8" i="7"/>
  <c r="AE22" i="7"/>
  <c r="AE35" i="7" s="1"/>
  <c r="AG15" i="7"/>
  <c r="AG22" i="7" s="1"/>
  <c r="AG35" i="7" s="1"/>
  <c r="Q70" i="7"/>
  <c r="Q72" i="7" s="1"/>
  <c r="AG6" i="7" l="1"/>
  <c r="AG7" i="7" s="1"/>
  <c r="AE7" i="7"/>
  <c r="U69" i="7"/>
  <c r="U68" i="7"/>
  <c r="U67" i="7"/>
  <c r="U66" i="7"/>
  <c r="S70" i="7"/>
  <c r="S72" i="7" s="1"/>
  <c r="AC4" i="7"/>
  <c r="AA5" i="7"/>
  <c r="AA11" i="7" s="1"/>
  <c r="AA37" i="7" s="1"/>
  <c r="Y45" i="7"/>
  <c r="Y49" i="7"/>
  <c r="AG8" i="7"/>
  <c r="AG9" i="7" s="1"/>
  <c r="AE9" i="7"/>
  <c r="W48" i="7"/>
  <c r="W47" i="7"/>
  <c r="W60" i="7"/>
  <c r="U70" i="7" l="1"/>
  <c r="U72" i="7" s="1"/>
  <c r="W69" i="7"/>
  <c r="W68" i="7"/>
  <c r="W66" i="7"/>
  <c r="W67" i="7"/>
  <c r="Y47" i="7"/>
  <c r="Y48" i="7"/>
  <c r="Y60" i="7"/>
  <c r="AA45" i="7"/>
  <c r="AA49" i="7"/>
  <c r="AC5" i="7"/>
  <c r="AC11" i="7" s="1"/>
  <c r="AC37" i="7" s="1"/>
  <c r="AE4" i="7"/>
  <c r="W70" i="7" l="1"/>
  <c r="W72" i="7" s="1"/>
  <c r="Y69" i="7"/>
  <c r="Y68" i="7"/>
  <c r="Y67" i="7"/>
  <c r="Y66" i="7"/>
  <c r="AE5" i="7"/>
  <c r="AE11" i="7" s="1"/>
  <c r="AE37" i="7" s="1"/>
  <c r="AG4" i="7"/>
  <c r="AC45" i="7"/>
  <c r="AC49" i="7"/>
  <c r="AA47" i="7"/>
  <c r="AA48" i="7"/>
  <c r="AA60" i="7"/>
  <c r="Y70" i="7" l="1"/>
  <c r="Y72" i="7" s="1"/>
  <c r="AA69" i="7"/>
  <c r="AA68" i="7"/>
  <c r="AA67" i="7"/>
  <c r="AA66" i="7"/>
  <c r="AE45" i="7"/>
  <c r="AE49" i="7"/>
  <c r="AC60" i="7"/>
  <c r="AC48" i="7"/>
  <c r="AC47" i="7"/>
  <c r="AG5" i="7"/>
  <c r="AG11" i="7" s="1"/>
  <c r="AG37" i="7" s="1"/>
  <c r="AC69" i="7" l="1"/>
  <c r="AC68" i="7"/>
  <c r="AC67" i="7"/>
  <c r="AC66" i="7"/>
  <c r="AG49" i="7"/>
  <c r="AG45" i="7"/>
  <c r="AA70" i="7"/>
  <c r="AA72" i="7" s="1"/>
  <c r="AE47" i="7"/>
  <c r="AE60" i="7"/>
  <c r="AE48" i="7"/>
  <c r="AC70" i="7" l="1"/>
  <c r="AC72" i="7" s="1"/>
  <c r="AE69" i="7"/>
  <c r="AE68" i="7"/>
  <c r="AE67" i="7"/>
  <c r="AE66" i="7"/>
  <c r="AG48" i="7"/>
  <c r="AG60" i="7"/>
  <c r="AG47" i="7"/>
  <c r="AG69" i="7" l="1"/>
  <c r="AG68" i="7"/>
  <c r="AG67" i="7"/>
  <c r="AG66" i="7"/>
  <c r="AE70" i="7"/>
  <c r="AE72" i="7" s="1"/>
  <c r="AG70" i="7" l="1"/>
  <c r="AG72" i="7" s="1"/>
  <c r="B35" i="11" l="1"/>
  <c r="B39" i="11" s="1"/>
  <c r="B64" i="11" s="1"/>
  <c r="B98" i="11" s="1"/>
  <c r="B106" i="11" s="1"/>
  <c r="C35" i="11"/>
  <c r="B34" i="13"/>
  <c r="B34" i="4"/>
  <c r="C38" i="4"/>
  <c r="B38" i="13" s="1"/>
  <c r="D35" i="11" l="1"/>
  <c r="C39" i="11"/>
  <c r="C64" i="11" s="1"/>
  <c r="D64" i="11" s="1"/>
  <c r="B38" i="4"/>
  <c r="B63" i="4" s="1"/>
  <c r="C63" i="4"/>
  <c r="D39" i="11" l="1"/>
  <c r="C98" i="11"/>
  <c r="C106" i="11" s="1"/>
  <c r="D106" i="11" s="1"/>
  <c r="B63" i="13"/>
  <c r="C97" i="4"/>
  <c r="D98" i="11" l="1"/>
  <c r="B97" i="4"/>
  <c r="B97" i="13"/>
  <c r="C105" i="4"/>
  <c r="BE101" i="3" l="1"/>
  <c r="AC464" i="3"/>
  <c r="B105" i="13"/>
  <c r="B105" i="4"/>
  <c r="AG268" i="20"/>
  <c r="N180" i="24" l="1"/>
  <c r="BE22" i="3"/>
  <c r="AC463" i="3"/>
  <c r="BE44" i="3" s="1"/>
  <c r="AB265" i="20"/>
  <c r="AG267" i="20" s="1"/>
  <c r="AG269" i="20" s="1"/>
  <c r="AK272" i="20" s="1"/>
  <c r="T834" i="20" s="1"/>
  <c r="AB47" i="15"/>
  <c r="AB49" i="15" s="1"/>
  <c r="AB54" i="15" l="1"/>
  <c r="AB55" i="15" s="1"/>
  <c r="AB56" i="15" s="1"/>
  <c r="N181" i="24"/>
  <c r="N191" i="24"/>
  <c r="AB57" i="15" l="1"/>
  <c r="M26" i="3"/>
  <c r="P204" i="3" l="1"/>
  <c r="BE19" i="3"/>
  <c r="AB59" i="15"/>
  <c r="AB77" i="15" s="1"/>
  <c r="AB78" i="15" s="1"/>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963BBF4F-24F5-4614-B578-0EEEEFBAC81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FDD6C29B-EA58-4C77-A601-E1ACFBD79090}">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<sst xmlns="http://schemas.openxmlformats.org/spreadsheetml/2006/main" count="5126" uniqueCount="2822">
  <si>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</si>
  <si>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</si>
  <si>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</si>
  <si>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</si>
  <si>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</si>
  <si>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</si>
  <si>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</si>
  <si>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</si>
  <si>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</si>
  <si>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</si>
  <si>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</si>
  <si>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</si>
  <si>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</si>
  <si>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</si>
  <si>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</si>
  <si>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</si>
  <si>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</si>
  <si>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</si>
  <si>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</si>
  <si>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</si>
  <si>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</si>
  <si>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</si>
  <si>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</si>
  <si>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</si>
  <si>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</si>
  <si>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</si>
  <si>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</si>
  <si>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</si>
  <si>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</si>
  <si>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</si>
  <si>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</si>
  <si>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</si>
  <si>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</si>
  <si>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</si>
  <si>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</si>
  <si>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</si>
  <si>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</si>
  <si>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</si>
  <si>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</si>
  <si>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</si>
  <si>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</si>
  <si>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</si>
  <si>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</si>
  <si>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</si>
  <si>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</si>
  <si>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</si>
  <si>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</si>
  <si>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</si>
  <si>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</si>
  <si>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</si>
  <si>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</si>
  <si>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</si>
  <si>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</si>
  <si>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</si>
  <si>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</si>
  <si>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</si>
  <si>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</si>
  <si>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</si>
  <si>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</si>
  <si>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</si>
  <si>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</si>
  <si>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</si>
  <si>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</si>
  <si>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</si>
  <si>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</si>
  <si>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</si>
  <si>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</si>
  <si>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</si>
  <si>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</si>
  <si>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</si>
  <si>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</si>
  <si>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</si>
  <si>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</si>
  <si>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</si>
  <si>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</si>
  <si>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</si>
  <si>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</si>
  <si>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</si>
  <si>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</si>
  <si>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</si>
  <si>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</si>
  <si>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</si>
  <si>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</si>
  <si>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</si>
  <si>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</si>
  <si>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</si>
  <si>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</si>
  <si>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</si>
  <si>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</si>
  <si>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</si>
  <si>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</si>
  <si>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</si>
  <si>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</si>
  <si>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</si>
  <si>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</si>
  <si>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</si>
  <si>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</si>
  <si>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</si>
  <si>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</si>
  <si>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</si>
  <si>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</si>
  <si>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</si>
  <si>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</si>
  <si>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</si>
  <si>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</si>
  <si>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</si>
  <si>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</si>
  <si>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</si>
  <si>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</si>
  <si>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</si>
  <si>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</si>
  <si>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</si>
  <si>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</si>
  <si>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</si>
  <si>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</si>
  <si>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</si>
  <si>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</si>
  <si>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</si>
  <si>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</si>
  <si>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</si>
  <si>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</si>
  <si>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</si>
  <si>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</si>
  <si>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</si>
  <si>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</si>
  <si>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</si>
  <si>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</si>
  <si>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</si>
  <si>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</si>
  <si>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</si>
  <si>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</si>
  <si>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</si>
  <si>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</si>
  <si>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</si>
  <si>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</si>
  <si>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</si>
  <si>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</si>
  <si>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</si>
  <si>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</si>
  <si>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</si>
  <si>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</si>
  <si>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</si>
  <si>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</si>
  <si>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</si>
  <si>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</si>
  <si>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</si>
  <si>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</si>
  <si>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</si>
  <si>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</si>
  <si>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</si>
  <si>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</si>
  <si>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</si>
  <si>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</si>
  <si>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</si>
  <si>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</si>
  <si>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</si>
  <si>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</si>
  <si>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</si>
  <si>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</si>
  <si>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</si>
  <si>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</si>
  <si>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</si>
  <si>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</si>
  <si>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</si>
  <si>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</si>
  <si>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</si>
  <si>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</si>
  <si>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</si>
  <si>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</si>
  <si>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</si>
  <si>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</si>
  <si>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</si>
  <si>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</si>
  <si>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</si>
  <si>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</si>
  <si>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</si>
  <si>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</si>
  <si>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</si>
  <si>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</si>
  <si>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</si>
  <si>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</si>
  <si>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</si>
  <si>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</si>
  <si>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</si>
  <si>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</si>
  <si>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</si>
  <si>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</si>
  <si>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</si>
  <si>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</si>
  <si>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</si>
  <si>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</si>
  <si>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</si>
  <si>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</si>
  <si>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</si>
  <si>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</si>
  <si>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</si>
  <si>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</si>
  <si>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</si>
  <si>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</si>
  <si>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</si>
  <si>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</si>
  <si>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</si>
  <si>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</si>
  <si>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</si>
  <si>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</si>
  <si>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</si>
  <si>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</si>
  <si>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</si>
  <si>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</si>
  <si>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</si>
  <si>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</si>
  <si>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</si>
  <si>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</si>
  <si>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</si>
  <si>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</si>
  <si>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</si>
  <si>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</si>
  <si>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</si>
  <si>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</si>
  <si>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</si>
  <si>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</si>
  <si>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</si>
  <si>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</si>
  <si>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</si>
  <si>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</si>
  <si>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</si>
  <si>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</si>
  <si>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</si>
  <si>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</si>
  <si>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</si>
  <si>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</si>
  <si>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</si>
  <si>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</si>
  <si>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</si>
  <si>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</si>
  <si>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</si>
  <si>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</si>
  <si>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</si>
  <si>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</si>
  <si>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</si>
  <si>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</si>
  <si>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</si>
  <si>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</si>
  <si>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</si>
  <si>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</si>
  <si>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</si>
  <si>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</si>
  <si>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</si>
  <si>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</si>
  <si>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</si>
  <si>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</si>
  <si>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</si>
  <si>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</si>
  <si>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</si>
  <si>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</si>
  <si>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</si>
  <si>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</si>
  <si>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</si>
  <si>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</si>
  <si>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</si>
  <si>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</si>
  <si>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</si>
  <si>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</si>
  <si>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</si>
  <si>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</si>
  <si>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</si>
  <si>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</si>
  <si>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</si>
  <si>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</si>
  <si>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</si>
  <si>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</si>
  <si>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</si>
  <si>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</si>
  <si>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</si>
  <si>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</si>
  <si>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</si>
  <si>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</si>
  <si>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</si>
  <si>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</si>
  <si>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</si>
  <si>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</si>
  <si>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</si>
  <si>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</si>
  <si>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</si>
  <si>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</si>
  <si>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</si>
  <si>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</si>
  <si>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</si>
  <si>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</si>
  <si>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</si>
  <si>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</si>
  <si>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</si>
  <si>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</si>
  <si>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</si>
  <si>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</si>
  <si>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</si>
  <si>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</si>
  <si>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</si>
  <si>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</si>
  <si>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</si>
  <si>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</si>
  <si>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</si>
  <si>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</si>
  <si>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</si>
  <si>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</si>
  <si>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</si>
  <si>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</si>
  <si>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</si>
  <si>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</si>
  <si>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</si>
  <si>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</si>
  <si>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</si>
  <si>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</si>
  <si>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</si>
  <si>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</si>
  <si>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</si>
  <si>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</si>
  <si>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</si>
  <si>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</si>
  <si>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</si>
  <si>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</si>
  <si>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</si>
  <si>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</si>
  <si>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</si>
  <si>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</si>
  <si>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</si>
  <si>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</si>
  <si>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</si>
  <si>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</si>
  <si>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</si>
  <si>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</si>
  <si>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</si>
  <si>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</si>
  <si>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</si>
  <si>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</si>
  <si>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</si>
  <si>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</si>
  <si>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</si>
  <si>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</si>
  <si>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</si>
  <si>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</si>
  <si>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</si>
  <si>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</si>
  <si>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</si>
  <si>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</si>
  <si>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</si>
  <si>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</si>
  <si>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</si>
  <si>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</si>
  <si>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</si>
  <si>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</si>
  <si>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</si>
  <si>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</si>
  <si>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</si>
  <si>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</si>
  <si>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</si>
  <si>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</si>
  <si>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</si>
  <si>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</si>
  <si>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</si>
  <si>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</si>
  <si>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</si>
  <si>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</si>
  <si>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</si>
  <si>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</si>
  <si>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</si>
  <si>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</si>
  <si>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</si>
  <si>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</si>
  <si>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</si>
  <si>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</si>
  <si>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</si>
  <si>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</si>
  <si>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</si>
  <si>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</si>
  <si>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</si>
  <si>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</si>
  <si>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</si>
  <si>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</si>
  <si>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</si>
  <si>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</si>
  <si>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</si>
  <si>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</si>
  <si>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</si>
  <si>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</si>
  <si>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</si>
  <si>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</si>
  <si>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</si>
  <si>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</si>
  <si>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</si>
  <si>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</si>
  <si>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</si>
  <si>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</si>
  <si>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</si>
  <si>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</si>
  <si>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</si>
  <si>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</si>
  <si>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</si>
  <si>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</si>
  <si>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</si>
  <si>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</si>
  <si>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</si>
  <si>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</si>
  <si>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</si>
  <si>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</si>
  <si>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</si>
  <si>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</si>
  <si>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</si>
  <si>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</si>
  <si>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</si>
  <si>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</si>
  <si>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</si>
  <si>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</si>
  <si>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</si>
  <si>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</si>
  <si>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</si>
  <si>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</si>
  <si>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</si>
  <si>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</si>
  <si>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</si>
  <si>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</si>
  <si>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</si>
  <si>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</si>
  <si>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</si>
  <si>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</si>
  <si>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</si>
  <si>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</si>
  <si>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</si>
  <si>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</si>
  <si>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</si>
  <si>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</si>
  <si>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</si>
  <si>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</si>
  <si>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</si>
  <si>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</si>
  <si>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</si>
  <si>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</si>
  <si>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</si>
  <si>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</si>
  <si>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</si>
  <si>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</si>
  <si>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</si>
  <si>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</si>
  <si>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</si>
  <si>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</si>
  <si>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</si>
  <si>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</si>
  <si>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</si>
  <si>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</si>
  <si>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</si>
  <si>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</si>
  <si>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</si>
  <si>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</si>
  <si>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</si>
  <si>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</si>
  <si>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</si>
  <si>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</si>
  <si>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</si>
  <si>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</si>
  <si>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</si>
  <si>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</si>
  <si>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</si>
  <si>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</si>
  <si>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</si>
  <si>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</si>
  <si>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</si>
  <si>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</si>
  <si>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</si>
  <si>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</si>
  <si>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</si>
  <si>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</si>
  <si>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</si>
  <si>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</si>
  <si>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</si>
  <si>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</si>
  <si>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</si>
  <si>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</si>
  <si>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</si>
  <si>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</si>
  <si>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</si>
  <si>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</si>
  <si>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</si>
  <si>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</si>
  <si>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</si>
  <si>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</si>
  <si>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</si>
  <si>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</si>
  <si>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</si>
  <si>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</si>
  <si>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</si>
  <si>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</si>
  <si>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</si>
  <si>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</si>
  <si>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</si>
  <si>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</si>
  <si>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</si>
  <si>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</si>
  <si>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</si>
  <si>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</si>
  <si>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</si>
  <si>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</si>
  <si>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</si>
  <si>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</si>
  <si>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</si>
  <si>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</si>
  <si>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</si>
  <si>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</si>
  <si>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</si>
  <si>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</si>
  <si>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</si>
  <si>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</si>
  <si>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</si>
  <si>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</si>
  <si>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</si>
  <si>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</si>
  <si>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</si>
  <si>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</si>
  <si>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</si>
  <si>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</si>
  <si>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</si>
  <si>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</si>
  <si>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</si>
  <si>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</si>
  <si>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</si>
  <si>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</si>
  <si>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</si>
  <si>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</si>
  <si>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</si>
  <si>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</si>
  <si>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</si>
  <si>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</si>
  <si>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</si>
  <si>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</si>
  <si>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</si>
  <si>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</si>
  <si>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</si>
  <si>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</si>
  <si>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</si>
  <si>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</si>
  <si>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</si>
  <si>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</si>
  <si>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</si>
  <si>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</si>
  <si>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</si>
  <si>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</si>
  <si>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</si>
  <si>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</si>
  <si>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</si>
  <si>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</si>
  <si>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</si>
  <si>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</si>
  <si>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</si>
  <si>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</si>
  <si>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</si>
  <si>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</si>
  <si>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</si>
  <si>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</si>
  <si>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</si>
  <si>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</si>
  <si>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</si>
  <si>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</si>
  <si>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</si>
  <si>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</si>
  <si>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</si>
  <si>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</si>
  <si>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</si>
  <si>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</si>
  <si>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</si>
  <si>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</si>
  <si>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</si>
  <si>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</si>
  <si>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</si>
  <si>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</si>
  <si>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</si>
  <si>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</si>
  <si>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</si>
  <si>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</si>
  <si>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</si>
  <si>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</si>
  <si>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</si>
  <si>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</si>
  <si>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</si>
  <si>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</si>
  <si>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</si>
  <si>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</si>
  <si>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</si>
  <si>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</si>
  <si>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</si>
  <si>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</si>
  <si>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</si>
  <si>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</si>
  <si>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</si>
  <si>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</si>
  <si>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</si>
  <si>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</si>
  <si>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</si>
  <si>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</si>
  <si>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</si>
  <si>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</si>
  <si>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</si>
  <si>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</si>
  <si>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</si>
  <si>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</si>
  <si>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</si>
  <si>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</si>
  <si>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</si>
  <si>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</si>
  <si>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</si>
  <si>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</si>
  <si>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</si>
  <si>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</si>
  <si>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</si>
  <si>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</si>
  <si>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</si>
  <si>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</si>
  <si>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</si>
  <si>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</si>
  <si>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</si>
  <si>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</si>
  <si>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</si>
  <si>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</si>
  <si>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</si>
  <si>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</si>
  <si>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</si>
  <si>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</si>
  <si>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</si>
  <si>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</si>
  <si>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</si>
  <si>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</si>
  <si>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</si>
  <si>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</si>
  <si>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</si>
  <si>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</si>
  <si>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</si>
  <si>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</si>
  <si>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</si>
  <si>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</si>
  <si>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</si>
  <si>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</si>
  <si>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</si>
  <si>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</si>
  <si>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</si>
  <si>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</si>
  <si>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</si>
  <si>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</si>
  <si>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</si>
  <si>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</si>
  <si>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</si>
  <si>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</si>
  <si>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</si>
  <si>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</si>
  <si>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</si>
  <si>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</si>
  <si>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</si>
  <si>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</si>
  <si>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</si>
  <si>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</si>
  <si>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</si>
  <si>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</si>
  <si>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</si>
  <si>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</si>
  <si>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</si>
  <si>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</si>
  <si>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</si>
  <si>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</si>
  <si>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</si>
  <si>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</si>
  <si>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</si>
  <si>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</si>
  <si>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</si>
  <si>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</si>
  <si>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</si>
  <si>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</si>
  <si>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</si>
  <si>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</si>
  <si>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</si>
  <si>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</si>
  <si>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</si>
  <si>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</si>
  <si>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</si>
  <si>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</si>
  <si>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</si>
  <si>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</si>
  <si>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</si>
  <si>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</si>
  <si>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</si>
  <si>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</si>
  <si>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</si>
  <si>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</si>
  <si>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</si>
  <si>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</si>
  <si>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</si>
  <si>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</si>
  <si>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</si>
  <si>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</si>
  <si>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</si>
  <si>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</si>
  <si>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</si>
  <si>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</si>
  <si>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</si>
  <si>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</si>
  <si>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</si>
  <si>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</si>
  <si>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</si>
  <si>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</si>
  <si>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</si>
  <si>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</si>
  <si>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</si>
  <si>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</si>
  <si>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</si>
  <si>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</si>
  <si>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</si>
  <si>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</si>
  <si>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</si>
  <si>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</si>
  <si>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</si>
  <si>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</si>
  <si>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</si>
  <si>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</si>
  <si>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</si>
  <si>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</si>
  <si>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</si>
  <si>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</si>
  <si>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</si>
  <si>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</si>
  <si>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</si>
  <si>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</si>
  <si>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</si>
  <si>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</si>
  <si>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</si>
  <si>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</si>
  <si>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</si>
  <si>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</si>
  <si>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</si>
  <si>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</si>
  <si>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</si>
  <si>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</si>
  <si>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</si>
  <si>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</si>
  <si>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</si>
  <si>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</si>
  <si>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</si>
  <si>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</si>
  <si>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</si>
  <si>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</si>
  <si>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</si>
  <si>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</si>
  <si>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</si>
  <si>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</si>
  <si>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</si>
  <si>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</si>
  <si>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</si>
  <si>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</si>
  <si>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</si>
  <si>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</si>
  <si>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</si>
  <si>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</si>
  <si>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</si>
  <si>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</si>
  <si>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</si>
  <si>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</si>
  <si>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</si>
  <si>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</si>
  <si>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</si>
  <si>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</si>
  <si>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</si>
  <si>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</si>
  <si>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</si>
  <si>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</si>
  <si>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</si>
  <si>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</si>
  <si>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</si>
  <si>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</si>
  <si>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</si>
  <si>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</si>
  <si>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</si>
  <si>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</si>
  <si>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</si>
  <si>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</si>
  <si>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</si>
  <si>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</si>
  <si>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</si>
  <si>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</si>
  <si>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</si>
  <si>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</si>
  <si>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</si>
  <si>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</si>
  <si>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</si>
  <si>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</si>
  <si>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</si>
  <si>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</si>
  <si>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</si>
  <si>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</si>
  <si>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</si>
  <si>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</si>
  <si>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</si>
  <si>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</si>
  <si>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</si>
  <si>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</si>
  <si>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</si>
  <si>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</si>
  <si>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</si>
  <si>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</si>
  <si>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</si>
  <si>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</si>
  <si>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</si>
  <si>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</si>
  <si>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</si>
  <si>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</si>
  <si>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</si>
  <si>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</si>
  <si>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</si>
  <si>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</si>
  <si>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</si>
  <si>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</si>
  <si>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</si>
  <si>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</si>
  <si>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</si>
  <si>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</si>
  <si>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</si>
  <si>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</si>
  <si>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</si>
  <si>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</si>
  <si>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</si>
  <si>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</si>
  <si>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</si>
  <si>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</si>
  <si>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</si>
  <si>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</si>
  <si>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</si>
  <si>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</si>
  <si>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</si>
  <si>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</si>
  <si>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</si>
  <si>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</si>
  <si>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</si>
  <si>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</si>
  <si>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</si>
  <si>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</si>
  <si>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</si>
  <si>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</si>
  <si>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</si>
  <si>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</si>
  <si>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</si>
  <si>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</si>
  <si>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</si>
  <si>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</si>
  <si>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</si>
  <si>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</si>
  <si>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</si>
  <si>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</si>
  <si>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</si>
  <si>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</si>
  <si>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</si>
  <si>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</si>
  <si>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</si>
  <si>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</si>
  <si>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</si>
  <si>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</si>
  <si>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</si>
  <si>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</si>
  <si>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</si>
  <si>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</si>
  <si>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</si>
  <si>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</si>
  <si>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</si>
  <si>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</si>
  <si>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</si>
  <si>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</si>
  <si>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</si>
  <si>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</si>
  <si>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</si>
  <si>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</si>
  <si>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</si>
  <si>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</si>
  <si>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</si>
  <si>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</si>
  <si>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</si>
  <si>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</si>
  <si>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</si>
  <si>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</si>
  <si>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</si>
  <si>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</si>
  <si>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</si>
  <si>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</si>
  <si>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</si>
  <si>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</si>
  <si>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</si>
  <si>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</si>
  <si>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</si>
  <si>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</si>
  <si>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</si>
  <si>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</si>
  <si>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</si>
  <si>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</si>
  <si>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</si>
  <si>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</si>
  <si>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</si>
  <si>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</si>
  <si>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</si>
  <si>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</si>
  <si>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</si>
  <si>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</si>
  <si>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</si>
  <si>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</si>
  <si>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</si>
  <si>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</si>
  <si>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</si>
  <si>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</si>
  <si>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</si>
  <si>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</si>
  <si>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</si>
  <si>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</si>
  <si>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</si>
  <si>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</si>
  <si>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</si>
  <si>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</si>
  <si>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</si>
  <si>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</si>
  <si>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</si>
  <si>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</si>
  <si>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</si>
  <si>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</si>
  <si>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</si>
  <si>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</si>
  <si>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</si>
  <si>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</si>
  <si>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</si>
  <si>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</si>
  <si>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</si>
  <si>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</si>
  <si>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</si>
  <si>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</si>
  <si>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</si>
  <si>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</si>
  <si>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</si>
  <si>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</si>
  <si>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</si>
  <si>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</si>
  <si>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</si>
  <si>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</si>
  <si>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</si>
  <si>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</si>
  <si>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</si>
  <si>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</si>
  <si>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</si>
  <si>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</si>
  <si>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</si>
  <si>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</si>
  <si>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</si>
  <si>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</si>
  <si>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</si>
  <si>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</si>
  <si>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</si>
  <si>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</si>
  <si>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</si>
  <si>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</si>
  <si>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</si>
  <si>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</si>
  <si>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</si>
  <si>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</si>
  <si>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</si>
  <si>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</si>
  <si>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</si>
  <si>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</si>
  <si>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</si>
  <si>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</si>
  <si>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</si>
  <si>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</si>
  <si>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</si>
  <si>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</si>
  <si>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</si>
  <si>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</si>
  <si>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</si>
  <si>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</si>
  <si>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</si>
  <si>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</si>
  <si>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</si>
  <si>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</si>
  <si>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</si>
  <si>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</si>
  <si>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</si>
  <si>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</si>
  <si>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</si>
  <si>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</si>
  <si>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</si>
  <si>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</si>
  <si>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</si>
  <si>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</si>
  <si>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</si>
  <si>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</si>
  <si>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</si>
  <si>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</si>
  <si>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</si>
  <si>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</si>
  <si>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</si>
  <si>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</si>
  <si>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</si>
  <si>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</si>
  <si>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</si>
  <si>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</si>
  <si>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</si>
  <si>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</si>
  <si>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</si>
  <si>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</si>
  <si>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</si>
  <si>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</si>
  <si>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</si>
  <si>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</si>
  <si>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</si>
  <si>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</si>
  <si>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</si>
  <si>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</si>
  <si>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</si>
  <si>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</si>
  <si>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</si>
  <si>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</si>
  <si>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</si>
  <si>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</si>
  <si>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</si>
  <si>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</si>
  <si>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</si>
  <si>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</si>
  <si>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</si>
  <si>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</si>
  <si>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</si>
  <si>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</si>
  <si>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</si>
  <si>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</si>
  <si>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</si>
  <si>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</si>
  <si>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</si>
  <si>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</si>
  <si>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</si>
  <si>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</si>
  <si>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</si>
  <si>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</si>
  <si>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</si>
  <si>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</si>
  <si>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</si>
  <si>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</si>
  <si>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</si>
  <si>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</si>
  <si>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</si>
  <si>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</si>
  <si>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</si>
  <si>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</si>
  <si>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</si>
  <si>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</si>
  <si>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</si>
  <si>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</si>
  <si>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</si>
  <si>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</si>
  <si>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</si>
  <si>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</si>
  <si>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</si>
  <si>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</si>
  <si>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</si>
  <si>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</si>
  <si>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</si>
  <si>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</si>
  <si>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</si>
  <si>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</si>
  <si>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</si>
  <si>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</si>
  <si>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</si>
  <si>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</si>
  <si>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</si>
  <si>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</si>
  <si>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</si>
  <si>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</si>
  <si>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</si>
  <si>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</si>
  <si>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</si>
  <si>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</si>
  <si>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</si>
  <si>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</si>
  <si>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</si>
  <si>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</si>
  <si>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</si>
  <si>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</si>
  <si>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</si>
  <si>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</si>
  <si>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</si>
  <si>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</si>
  <si>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</si>
  <si>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</si>
  <si>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</si>
  <si>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</si>
  <si>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</si>
  <si>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</si>
  <si>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</si>
  <si>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</si>
  <si>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</si>
  <si>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</si>
  <si>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</si>
  <si>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</si>
  <si>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</si>
  <si>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</si>
  <si>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</si>
  <si>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</si>
  <si>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</si>
  <si>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</si>
  <si>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</si>
  <si>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</si>
  <si>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</si>
  <si>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</si>
  <si>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</si>
  <si>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</si>
  <si>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</si>
  <si>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</si>
  <si>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</si>
  <si>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</si>
  <si>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</si>
  <si>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</si>
  <si>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</si>
  <si>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</si>
  <si>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</si>
  <si>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</si>
  <si>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</si>
  <si>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</si>
  <si>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</si>
  <si>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</si>
  <si>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</si>
  <si>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</si>
  <si>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</si>
  <si>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</si>
  <si>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</si>
  <si>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</si>
  <si>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</si>
  <si>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</si>
  <si>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</si>
  <si>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</si>
  <si>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</si>
  <si>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</si>
  <si>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</si>
  <si>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</si>
  <si>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</si>
  <si>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</si>
  <si>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</si>
  <si>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</si>
  <si>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</si>
  <si>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</si>
  <si>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</si>
  <si>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</si>
  <si>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</si>
  <si>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</si>
  <si>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</si>
  <si>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</si>
  <si>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</si>
  <si>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</si>
  <si>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</si>
  <si>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</si>
  <si>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</si>
  <si>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</si>
  <si>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</si>
  <si>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</si>
  <si>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</si>
  <si>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</si>
  <si>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</si>
  <si>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</si>
  <si>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</si>
  <si>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</si>
  <si>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</si>
  <si>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</si>
  <si>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</si>
  <si>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</si>
  <si>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</si>
  <si>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</si>
  <si>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</si>
  <si>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</si>
  <si>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</si>
  <si>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</si>
  <si>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</si>
  <si>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</si>
  <si>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</si>
  <si>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</si>
  <si>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</si>
  <si>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</si>
  <si>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</si>
  <si>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</si>
  <si>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</si>
  <si>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</si>
  <si>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</si>
  <si>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</si>
  <si>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</si>
  <si>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</si>
  <si>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</si>
  <si>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</si>
  <si>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</si>
  <si>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</si>
  <si>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</si>
  <si>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</si>
  <si>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</si>
  <si>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</si>
  <si>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</si>
  <si>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</si>
  <si>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</si>
  <si>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</si>
  <si>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</si>
  <si>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</si>
  <si>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</si>
  <si>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</si>
  <si>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</si>
  <si>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</si>
  <si>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</si>
  <si>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</si>
  <si>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</si>
  <si>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</si>
  <si>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</si>
  <si>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</si>
  <si>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</si>
  <si>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</si>
  <si>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</si>
  <si>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</si>
  <si>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</si>
  <si>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</si>
  <si>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</si>
  <si>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</si>
  <si>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</si>
  <si>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</si>
  <si>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</si>
  <si>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</si>
  <si>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</si>
  <si>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</si>
  <si>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</si>
  <si>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</si>
  <si>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</si>
  <si>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</si>
  <si>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</si>
  <si>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</si>
  <si>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</si>
  <si>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</si>
  <si>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</si>
  <si>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</si>
  <si>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</si>
  <si>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</si>
  <si>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</si>
  <si>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</si>
  <si>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</si>
  <si>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</si>
  <si>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</si>
  <si>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</si>
  <si>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</si>
  <si>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</si>
  <si>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</si>
  <si>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</si>
  <si>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</si>
  <si>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</si>
  <si>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</si>
  <si>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</si>
  <si>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</si>
  <si>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</si>
  <si>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</si>
  <si>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</si>
  <si>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</si>
  <si>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</si>
  <si>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</si>
  <si>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</si>
  <si>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</si>
  <si>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</si>
  <si>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</si>
  <si>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</si>
  <si>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</si>
  <si>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</si>
  <si>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</si>
  <si>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</si>
  <si>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</si>
  <si>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</si>
  <si>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</si>
  <si>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</si>
  <si>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</si>
  <si>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</si>
  <si>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</si>
  <si>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</si>
  <si>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</si>
  <si>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</si>
  <si>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</si>
  <si>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</si>
  <si>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</si>
  <si>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</si>
  <si>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</si>
  <si>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</si>
  <si>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</si>
  <si>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</si>
  <si>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</si>
  <si>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</si>
  <si>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</si>
  <si>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</si>
  <si>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</si>
  <si>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</si>
  <si>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</si>
  <si>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</si>
  <si>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</si>
  <si>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</si>
  <si>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</si>
  <si>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</si>
  <si>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</si>
  <si>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</si>
  <si>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</si>
  <si>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</si>
  <si>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</si>
  <si>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</si>
  <si>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</si>
  <si>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</si>
  <si>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</si>
  <si>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</si>
  <si>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</si>
  <si>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</si>
  <si>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</si>
  <si>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</si>
  <si>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</si>
  <si>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</si>
  <si>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</si>
  <si>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</si>
  <si>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</si>
  <si>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</si>
  <si>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</si>
  <si>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</si>
  <si>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</si>
  <si>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</si>
  <si>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</si>
  <si>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</si>
  <si>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</si>
  <si>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</si>
  <si>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</si>
  <si>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</si>
  <si>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</si>
  <si>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</si>
  <si>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</si>
  <si>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</si>
  <si>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</si>
  <si>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</si>
  <si>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</si>
  <si>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</si>
  <si>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</si>
  <si>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</si>
  <si>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</si>
  <si>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</si>
  <si>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</si>
  <si>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</si>
  <si>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</si>
  <si>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</si>
  <si>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</si>
  <si>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</si>
  <si>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</si>
  <si>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</si>
  <si>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</si>
  <si>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</si>
  <si>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</si>
  <si>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</si>
  <si>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</si>
  <si>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</si>
  <si>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</si>
  <si>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</si>
  <si>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</si>
  <si>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</si>
  <si>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</si>
  <si>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</si>
  <si>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</si>
  <si>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</si>
  <si>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</si>
  <si>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</si>
  <si>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</si>
  <si>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</si>
  <si>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</si>
  <si>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</si>
  <si>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</si>
  <si>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</si>
  <si>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</si>
  <si>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</si>
  <si>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</si>
  <si>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</si>
  <si>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</si>
  <si>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</si>
  <si>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</si>
  <si>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</si>
  <si>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</si>
  <si>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</si>
  <si>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</si>
  <si>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</si>
  <si>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</si>
  <si>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</si>
  <si>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</si>
  <si>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</si>
  <si>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</si>
  <si>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</si>
  <si>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</si>
  <si>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</si>
  <si>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</si>
  <si>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</si>
  <si>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</si>
  <si>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</si>
  <si>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</si>
  <si>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</si>
  <si>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</si>
  <si>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</si>
  <si>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</si>
  <si>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</si>
  <si>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</si>
  <si>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</si>
  <si>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</si>
  <si>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</si>
  <si>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</si>
  <si>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</si>
  <si>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</si>
  <si>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</si>
  <si>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</si>
  <si>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</si>
  <si>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</si>
  <si>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</si>
  <si>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</si>
  <si>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</si>
  <si>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</si>
  <si>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</si>
  <si>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</si>
  <si>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</si>
  <si>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</si>
  <si>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</si>
  <si>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</si>
  <si>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</si>
  <si>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</si>
  <si>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</si>
  <si>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</si>
  <si>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</si>
  <si>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</si>
  <si>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</si>
  <si>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</si>
  <si>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</si>
  <si>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</si>
  <si>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</si>
  <si>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</si>
  <si>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</si>
  <si>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</si>
  <si>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</si>
  <si>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</si>
  <si>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</si>
  <si>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</si>
  <si>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</si>
  <si>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</si>
  <si>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</si>
  <si>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</si>
  <si>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</si>
  <si>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</si>
  <si>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</si>
  <si>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</si>
  <si>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</si>
  <si>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</si>
  <si>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</si>
  <si>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</si>
  <si>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</si>
  <si>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</si>
  <si>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</si>
  <si>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</si>
  <si>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</si>
  <si>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</si>
  <si>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</si>
  <si>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</si>
  <si>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</si>
  <si>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</si>
  <si>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</si>
  <si>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</si>
  <si>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</si>
  <si>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</si>
  <si>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</si>
  <si>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</si>
  <si>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</si>
  <si>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</si>
  <si>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</si>
  <si>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</si>
  <si>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</si>
  <si>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</si>
  <si>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</si>
  <si>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</si>
  <si>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</si>
  <si>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</si>
  <si>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</si>
  <si>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</si>
  <si>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</si>
  <si>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</si>
  <si>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</si>
  <si>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</si>
  <si>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</si>
  <si>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</si>
  <si>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</si>
  <si>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</si>
  <si>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</si>
  <si>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</si>
  <si>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</si>
  <si>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</si>
  <si>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</si>
  <si>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</si>
  <si>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</si>
  <si>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</si>
  <si>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</si>
  <si>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</si>
  <si>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</si>
  <si>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</si>
  <si>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</si>
  <si>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</si>
  <si>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</si>
  <si>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</si>
  <si>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</si>
  <si>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</si>
  <si>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</si>
  <si>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</si>
  <si>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</si>
  <si>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</si>
  <si>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</si>
  <si>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</si>
  <si>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</si>
  <si>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</si>
  <si>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</si>
  <si>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</si>
  <si>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</si>
  <si>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</si>
  <si>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</si>
  <si>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</si>
  <si>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</si>
  <si>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</si>
  <si>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</si>
  <si>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</si>
  <si>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</si>
  <si>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</si>
  <si>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</si>
  <si>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</si>
  <si>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</si>
  <si>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</si>
  <si>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</si>
  <si>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</si>
  <si>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</si>
  <si>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</si>
  <si>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</si>
  <si>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</si>
  <si>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</si>
  <si>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</si>
  <si>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</si>
  <si>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</si>
  <si>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</si>
  <si>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</si>
  <si>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</si>
  <si>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</si>
  <si>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</si>
  <si>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</si>
  <si>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</si>
  <si>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</si>
  <si>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</si>
  <si>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</si>
  <si>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</si>
  <si>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</si>
  <si>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</si>
  <si>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</si>
  <si>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</si>
  <si>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</si>
  <si>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</si>
  <si>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</si>
  <si>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</si>
  <si>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</si>
  <si>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</si>
  <si>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</si>
  <si>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</si>
  <si>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</si>
  <si>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</si>
  <si>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</si>
  <si>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</si>
  <si>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</si>
  <si>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</si>
  <si>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</si>
  <si>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</si>
  <si>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</si>
  <si>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</si>
  <si>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</si>
  <si>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</si>
  <si>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</si>
  <si>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</si>
  <si>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</si>
  <si>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</si>
  <si>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</si>
  <si>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</si>
  <si>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</si>
  <si>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</si>
  <si>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</si>
  <si>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</si>
  <si>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</si>
  <si>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</si>
  <si>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</si>
  <si>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</si>
  <si>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</si>
  <si>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</si>
  <si>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</si>
  <si>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</si>
  <si>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</si>
  <si>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</si>
  <si>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</si>
  <si>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</si>
  <si>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</si>
  <si>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</si>
  <si>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</si>
  <si>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</si>
  <si>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</si>
  <si>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</si>
  <si>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</si>
  <si>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</si>
  <si>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</si>
  <si>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</si>
  <si>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</si>
  <si>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</si>
  <si>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</si>
  <si>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</si>
  <si>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</si>
  <si>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</si>
  <si>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</si>
  <si>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</si>
  <si>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</si>
  <si>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</si>
  <si>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</si>
  <si>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</si>
  <si>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</si>
  <si>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</si>
  <si>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</si>
  <si>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</si>
  <si>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</si>
  <si>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</si>
  <si>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</si>
  <si>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</si>
  <si>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</si>
  <si>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</si>
  <si>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</si>
  <si>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</si>
  <si>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</si>
  <si>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</si>
  <si>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</si>
  <si>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</si>
  <si>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</si>
  <si>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</si>
  <si>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</si>
  <si>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</si>
  <si>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</si>
  <si>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</si>
  <si>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</si>
  <si>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</si>
  <si>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</si>
  <si>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</si>
  <si>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</si>
  <si>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</si>
  <si>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</si>
  <si>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</si>
  <si>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</si>
  <si>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</si>
  <si>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</si>
  <si>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</si>
  <si>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</si>
  <si>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</si>
  <si>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</si>
  <si>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</si>
  <si>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</si>
  <si>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</si>
  <si>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</si>
  <si>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</si>
  <si>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</si>
  <si>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</si>
  <si>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</si>
  <si>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</si>
  <si>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</si>
  <si>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</si>
  <si>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</si>
  <si>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</si>
  <si>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</si>
  <si>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</si>
  <si>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</si>
  <si>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</si>
  <si>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</si>
  <si>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</si>
  <si>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</si>
  <si>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</si>
  <si>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</si>
  <si>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</si>
  <si>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</si>
  <si>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</si>
  <si>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</si>
  <si>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</si>
  <si>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</si>
  <si>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</si>
  <si>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</si>
  <si>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</si>
  <si>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</si>
  <si>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</si>
  <si>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</si>
  <si>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</si>
  <si>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</si>
  <si>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</si>
  <si>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</si>
  <si>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</si>
  <si>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</si>
  <si>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</si>
  <si>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</si>
  <si>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</si>
  <si>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</si>
  <si>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</si>
  <si>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</si>
  <si>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</si>
  <si>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</si>
  <si>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</si>
  <si>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</si>
  <si>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</si>
  <si>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</si>
  <si>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</si>
  <si>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</si>
  <si>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</si>
  <si>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</si>
  <si>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</si>
  <si>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</si>
  <si>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</si>
  <si>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</si>
  <si>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</si>
  <si>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</si>
  <si>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</si>
  <si>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</si>
  <si>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</si>
  <si>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</si>
  <si>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</si>
  <si>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</si>
  <si>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</si>
  <si>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</si>
  <si>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</si>
  <si>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</si>
  <si>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</si>
  <si>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</si>
  <si>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</si>
  <si>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</si>
  <si>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</si>
  <si>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</si>
  <si>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</si>
  <si>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</si>
  <si>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</si>
  <si>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</si>
  <si>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</si>
  <si>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</si>
  <si>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</si>
  <si>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</si>
  <si>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</si>
  <si>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</si>
  <si>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</si>
  <si>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</si>
  <si>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</si>
  <si>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</si>
  <si>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</si>
  <si>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</si>
  <si>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</si>
  <si>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</si>
  <si>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</si>
  <si>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</si>
  <si>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</si>
  <si>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</si>
  <si>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</si>
  <si>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</si>
  <si>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</si>
  <si>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</si>
  <si>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</si>
  <si>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</si>
  <si>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</si>
  <si>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</si>
  <si>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</si>
  <si>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</si>
  <si>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</si>
  <si>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</si>
  <si>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</si>
  <si>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</si>
  <si>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</si>
  <si>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</si>
  <si>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</si>
  <si>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</si>
  <si>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</si>
  <si>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</si>
  <si>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</si>
  <si>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</si>
  <si>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</si>
  <si>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</si>
  <si>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</si>
  <si>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</si>
  <si>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</si>
  <si>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</si>
  <si>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</si>
  <si>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</si>
  <si>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</si>
  <si>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</si>
  <si>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</si>
  <si>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</si>
  <si>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</si>
  <si>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</si>
  <si>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</si>
  <si>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</si>
  <si>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</si>
  <si>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</si>
  <si>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</si>
  <si>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</si>
  <si>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</si>
  <si>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</si>
  <si>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</si>
  <si>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</si>
  <si>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</si>
  <si>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</si>
  <si>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</si>
  <si>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</si>
  <si>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</si>
  <si>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</si>
  <si>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</si>
  <si>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</si>
  <si>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</si>
  <si>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</si>
  <si>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</si>
  <si>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</si>
  <si>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</si>
  <si>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</si>
  <si>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</si>
  <si>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</si>
  <si>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</si>
  <si>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</si>
  <si>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</si>
  <si>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</si>
  <si>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</si>
  <si>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</si>
  <si>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</si>
  <si>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</si>
  <si>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</si>
  <si>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</si>
  <si>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</si>
  <si>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</si>
  <si>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</si>
  <si>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</si>
  <si>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</si>
  <si>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</si>
  <si>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</si>
  <si>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</si>
  <si>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</si>
  <si>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</si>
  <si>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</si>
  <si>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</si>
  <si>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</si>
  <si>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</si>
  <si>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</si>
  <si>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</si>
  <si>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</si>
  <si>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</si>
  <si>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</si>
  <si>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</si>
  <si>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</si>
  <si>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</si>
  <si>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</si>
  <si>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</si>
  <si>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</si>
  <si>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</si>
  <si>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</si>
  <si>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</si>
  <si>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</si>
  <si>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</si>
  <si>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</si>
  <si>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</si>
  <si>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</si>
  <si>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</si>
  <si>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</si>
  <si>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</si>
  <si>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</si>
  <si>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</si>
  <si>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</si>
  <si>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</si>
  <si>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</si>
  <si>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</si>
  <si>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</si>
  <si>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</si>
  <si>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</si>
  <si>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</si>
  <si>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</si>
  <si>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</si>
  <si>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</si>
  <si>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</si>
  <si>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</si>
  <si>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</si>
  <si>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</si>
  <si>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</si>
  <si>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</si>
  <si>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</si>
  <si>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</si>
  <si>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</si>
  <si>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</si>
  <si>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</si>
  <si>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</si>
  <si>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</si>
  <si>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</si>
  <si>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</si>
  <si>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</si>
  <si>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</si>
  <si>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</si>
  <si>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</si>
  <si>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</si>
  <si>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</si>
  <si>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</si>
  <si>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</si>
  <si>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</si>
  <si>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</si>
  <si>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</si>
  <si>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</si>
  <si>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</si>
  <si>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</si>
  <si>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</si>
  <si>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</si>
  <si>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</si>
  <si>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</si>
  <si>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</si>
  <si>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</si>
  <si>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</si>
  <si>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</si>
  <si>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</si>
  <si>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</si>
  <si>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</si>
  <si>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</si>
  <si>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</si>
  <si>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</si>
  <si>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</si>
  <si>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</si>
  <si>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</si>
  <si>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</si>
  <si>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</si>
  <si>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</si>
  <si>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</si>
  <si>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</si>
  <si>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</si>
  <si>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</si>
  <si>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</si>
  <si>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</si>
  <si>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</si>
  <si>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</si>
  <si>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</si>
  <si>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</si>
  <si>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</si>
  <si>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</si>
  <si>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</si>
  <si>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</si>
  <si>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</si>
  <si>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</si>
  <si>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</si>
  <si>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</si>
  <si>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</si>
  <si>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</si>
  <si>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</si>
  <si>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</si>
  <si>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</si>
  <si>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</si>
  <si>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</si>
  <si>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</si>
  <si>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</si>
  <si>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</si>
  <si>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</si>
  <si>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</si>
  <si>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</si>
  <si>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</si>
  <si>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</si>
  <si>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</si>
  <si>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</si>
  <si>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</si>
  <si>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</si>
  <si>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</si>
  <si>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</si>
  <si>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</si>
  <si>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</si>
  <si>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</si>
  <si>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</si>
  <si>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</si>
  <si>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</si>
  <si>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</si>
  <si>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</si>
  <si>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</si>
  <si>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</si>
  <si>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</si>
  <si>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</si>
  <si>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</si>
  <si>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</si>
  <si>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</si>
  <si>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</si>
  <si>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</si>
  <si>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</si>
  <si>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</si>
  <si>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</si>
  <si>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</si>
  <si>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</si>
  <si>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</si>
  <si>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</si>
  <si>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</si>
  <si>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</si>
  <si>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</si>
  <si>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</si>
  <si>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</si>
  <si>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</si>
  <si>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</si>
  <si>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</si>
  <si>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</si>
  <si>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</si>
  <si>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</si>
  <si>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</si>
  <si>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</si>
  <si>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</si>
  <si>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</si>
  <si>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</si>
  <si>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</si>
  <si>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</si>
  <si>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</si>
  <si>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</si>
  <si>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</si>
  <si>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</si>
  <si>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</si>
  <si>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</si>
  <si>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</si>
  <si>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</si>
  <si>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</si>
  <si>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</si>
  <si>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</si>
  <si>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</si>
  <si>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</si>
  <si>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</si>
  <si>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</si>
  <si>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</si>
  <si>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</si>
  <si>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</si>
  <si>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</si>
  <si>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</si>
  <si>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</si>
  <si>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</si>
  <si>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</si>
  <si>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</si>
  <si>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</si>
  <si>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</si>
  <si>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</si>
  <si>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</si>
  <si>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</si>
  <si>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</si>
  <si>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</si>
  <si>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</si>
  <si>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</si>
  <si>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</si>
  <si>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</si>
  <si>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</si>
  <si>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</si>
  <si>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</si>
  <si>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</si>
  <si>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</si>
  <si>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</si>
  <si>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</si>
  <si>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</si>
  <si>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</si>
  <si>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</si>
  <si>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</si>
  <si>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</si>
  <si>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</si>
  <si>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</si>
  <si>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</si>
  <si>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</si>
  <si>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</si>
  <si>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</si>
  <si>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</si>
  <si>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</si>
  <si>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</si>
  <si>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</si>
  <si>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</si>
  <si>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</si>
  <si>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</si>
  <si>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</si>
  <si>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</si>
  <si>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</si>
  <si>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</si>
  <si>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</si>
  <si>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</si>
  <si>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</si>
  <si>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</si>
  <si>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</si>
  <si>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</si>
  <si>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</si>
  <si>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</si>
  <si>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</si>
  <si>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</si>
  <si>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</si>
  <si>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</si>
  <si>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</si>
  <si>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</si>
  <si>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</si>
  <si>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</si>
  <si>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</si>
  <si>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</si>
  <si>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</si>
  <si>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</si>
  <si>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</si>
  <si>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</si>
  <si>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</si>
  <si>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</si>
  <si>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</si>
  <si>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</si>
  <si>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</si>
  <si>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</si>
  <si>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</si>
  <si>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</si>
  <si>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</si>
  <si>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</si>
  <si>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</si>
  <si>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</si>
  <si>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</si>
  <si>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</si>
  <si>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</si>
  <si>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</si>
  <si>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</si>
  <si>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</si>
  <si>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</si>
  <si>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</si>
  <si>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</si>
  <si>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</si>
  <si>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</si>
  <si>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</si>
  <si>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</si>
  <si>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</si>
  <si>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</si>
  <si>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</si>
  <si>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</si>
  <si>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</si>
  <si>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</si>
  <si>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</si>
  <si>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</si>
  <si>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</si>
  <si>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</si>
  <si>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</si>
  <si>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</si>
  <si>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</si>
  <si>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</si>
  <si>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</si>
  <si>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</si>
  <si>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</si>
  <si>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</si>
  <si>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</si>
  <si>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</si>
  <si>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</si>
  <si>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</si>
  <si>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</si>
  <si>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</si>
  <si>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</si>
  <si>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</si>
  <si>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</si>
  <si>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</si>
  <si>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</si>
  <si>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</si>
  <si>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</si>
  <si>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</si>
  <si>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</si>
  <si>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</si>
  <si>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</si>
  <si>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</si>
  <si>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</si>
  <si>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</si>
  <si>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</si>
  <si>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</si>
  <si>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</si>
  <si>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</si>
  <si>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</si>
  <si>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</si>
  <si>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</si>
  <si>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</si>
  <si>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</si>
  <si>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</si>
  <si>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</si>
  <si>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</si>
  <si>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</si>
  <si>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</si>
  <si>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</si>
  <si>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</si>
  <si>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</si>
  <si>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</si>
  <si>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</si>
  <si>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</si>
  <si>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</si>
  <si>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</si>
  <si>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</si>
  <si>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</si>
  <si>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</si>
  <si>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</si>
  <si>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</si>
  <si>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</si>
  <si>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</si>
  <si>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</si>
  <si>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</si>
  <si>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</si>
  <si>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</si>
  <si>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</si>
  <si>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</si>
  <si>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</si>
  <si>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</si>
  <si>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</si>
  <si>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</si>
  <si>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</si>
  <si>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</si>
  <si>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</si>
  <si>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</si>
  <si>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</si>
  <si>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</si>
  <si>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</si>
  <si>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</si>
  <si>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</si>
  <si>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</si>
  <si>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</si>
  <si>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</si>
  <si>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</si>
  <si>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</si>
  <si>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</si>
  <si>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</si>
  <si>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</si>
  <si>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</si>
  <si>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</si>
  <si>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</si>
  <si>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</si>
  <si>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</si>
  <si>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</si>
  <si>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</si>
  <si>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</si>
  <si>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</si>
  <si>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</si>
  <si>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</si>
  <si>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</si>
  <si>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</si>
  <si>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</si>
  <si>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</si>
  <si>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</si>
  <si>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</si>
  <si>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</si>
  <si>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</si>
  <si>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</si>
  <si>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</si>
  <si>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</si>
  <si>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</si>
  <si>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</si>
  <si>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</si>
  <si>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</si>
  <si>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</si>
  <si>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</si>
  <si>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</si>
  <si>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</si>
  <si>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</si>
  <si>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</si>
  <si>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</si>
  <si>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</si>
  <si>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</si>
  <si>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</si>
  <si>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</si>
  <si>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</si>
  <si>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</si>
  <si>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</si>
  <si>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</si>
  <si>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</si>
  <si>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</si>
  <si>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</si>
  <si>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</si>
  <si>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</si>
  <si>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</si>
  <si>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</si>
  <si>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</si>
  <si>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</si>
  <si>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</si>
  <si>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</si>
  <si>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</si>
  <si>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</si>
  <si>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</si>
  <si>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</si>
  <si>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</si>
  <si>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</si>
  <si>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</si>
  <si>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</si>
  <si>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</si>
  <si>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</si>
  <si>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</si>
  <si>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</si>
  <si>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</si>
  <si>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</si>
  <si>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</si>
  <si>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</si>
  <si>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</si>
  <si>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</si>
  <si>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</si>
  <si>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</si>
  <si>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</si>
  <si>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</si>
  <si>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</si>
  <si>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</si>
  <si>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</si>
  <si>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</si>
  <si>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</si>
  <si>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</si>
  <si>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</si>
  <si>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</si>
  <si>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</si>
  <si>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</si>
  <si>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</si>
  <si>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</si>
  <si>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</si>
  <si>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</si>
  <si>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</si>
  <si>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</si>
  <si>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</si>
  <si>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</si>
  <si>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</si>
  <si>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</si>
  <si>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</si>
  <si>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</si>
  <si>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</si>
  <si>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</si>
  <si>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</si>
  <si>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</si>
  <si>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</si>
  <si>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</si>
  <si>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</si>
  <si>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</si>
  <si>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</si>
  <si>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</si>
  <si>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</si>
  <si>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</si>
  <si>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</si>
  <si>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</si>
  <si>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</si>
  <si>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</si>
  <si>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</si>
  <si>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</si>
  <si>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</si>
  <si>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</si>
  <si>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</si>
  <si>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</si>
  <si>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</si>
  <si>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</si>
  <si>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</si>
  <si>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</si>
  <si>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</si>
  <si>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</si>
  <si>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</si>
  <si>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</si>
  <si>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</si>
  <si>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</si>
  <si>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</si>
  <si>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</si>
  <si>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</si>
  <si>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</si>
  <si>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</si>
  <si>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</si>
  <si>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</si>
  <si>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</si>
  <si>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</si>
  <si>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</si>
  <si>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</si>
  <si>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</si>
  <si>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</si>
  <si>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</si>
  <si>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</si>
  <si>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</si>
  <si>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</si>
  <si>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</si>
  <si>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</si>
  <si>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</si>
  <si>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</si>
  <si>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</si>
  <si>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</si>
  <si>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</si>
  <si>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</si>
  <si>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</si>
  <si>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</si>
  <si>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</si>
  <si>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</si>
  <si>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</si>
  <si>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</si>
  <si>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</si>
  <si>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</si>
  <si>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</si>
  <si>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</si>
  <si>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</si>
  <si>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</si>
  <si>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</si>
  <si>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</si>
  <si>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</si>
  <si>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</si>
  <si>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</si>
  <si>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</si>
  <si>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</si>
  <si>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</si>
  <si>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</si>
  <si>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</si>
  <si>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</si>
  <si>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</si>
  <si>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</si>
  <si>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</si>
  <si>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</si>
  <si>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</si>
  <si>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</si>
  <si>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</si>
  <si>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</si>
  <si>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</si>
  <si>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</si>
  <si>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</si>
  <si>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</si>
  <si>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</si>
  <si>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</si>
  <si>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</si>
  <si>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</si>
  <si>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</si>
  <si>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</si>
  <si>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</si>
  <si>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</si>
  <si>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</si>
  <si>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</si>
  <si>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</si>
  <si>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</si>
  <si>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</si>
  <si>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</si>
  <si>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</si>
  <si>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</si>
  <si>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</si>
  <si>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</si>
  <si>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</si>
  <si>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</si>
  <si>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</si>
  <si>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</si>
  <si>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</si>
  <si>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</si>
  <si>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</si>
  <si>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</si>
  <si>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</si>
  <si>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</si>
  <si>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</si>
  <si>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</si>
  <si>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</si>
  <si>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</si>
  <si>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</si>
  <si>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</si>
  <si>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</si>
  <si>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</si>
  <si>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</si>
  <si>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</si>
  <si>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</si>
  <si>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</si>
  <si>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</si>
  <si>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</si>
  <si>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</si>
  <si>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</si>
  <si>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</si>
  <si>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</si>
  <si>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</si>
  <si>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</si>
  <si>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</si>
  <si>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</si>
  <si>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</si>
  <si>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</si>
  <si>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</si>
  <si>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</si>
  <si>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</si>
  <si>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</si>
  <si>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</si>
  <si>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</si>
  <si>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</si>
  <si>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</si>
  <si>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</si>
  <si>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</si>
  <si>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</si>
  <si>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</si>
  <si>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</si>
  <si>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</si>
  <si>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</si>
  <si>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</si>
  <si>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</si>
  <si>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</si>
  <si>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</si>
  <si>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</si>
  <si>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</si>
  <si>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</si>
  <si>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</si>
  <si>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</si>
  <si>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</si>
  <si>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</si>
  <si>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</si>
  <si>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</si>
  <si>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</si>
  <si>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</si>
  <si>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</si>
  <si>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</si>
  <si>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</si>
  <si>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</si>
  <si>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</si>
  <si>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</si>
  <si>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</si>
  <si>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</si>
  <si>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</si>
  <si>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</si>
  <si>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</si>
  <si>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</si>
  <si>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</si>
  <si>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</si>
  <si>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</si>
  <si>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</si>
  <si>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</si>
  <si>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</si>
  <si>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</si>
  <si>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</si>
  <si>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</si>
  <si>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</si>
  <si>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</si>
  <si>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</si>
  <si>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</si>
  <si>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</si>
  <si>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</si>
  <si>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</si>
  <si>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</si>
  <si>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</si>
  <si>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</si>
  <si>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</si>
  <si>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</si>
  <si>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</si>
  <si>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</si>
  <si>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</si>
  <si>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</si>
  <si>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</si>
  <si>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</si>
  <si>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</si>
  <si>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</si>
  <si>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</si>
  <si>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</si>
  <si>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</si>
  <si>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</si>
  <si>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</si>
  <si>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</si>
  <si>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</si>
  <si>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</si>
  <si>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</si>
  <si>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</si>
  <si>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</si>
  <si>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</si>
  <si>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</si>
  <si>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</si>
  <si>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</si>
  <si>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</si>
  <si>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</si>
  <si>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</si>
  <si>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</si>
  <si>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</si>
  <si>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</si>
  <si>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</si>
  <si>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</si>
  <si>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</si>
  <si>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</si>
  <si>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</si>
  <si>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</si>
  <si>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</si>
  <si>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</si>
  <si>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</si>
  <si>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</si>
  <si>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</si>
  <si>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</si>
  <si>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</si>
  <si>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</si>
  <si>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</si>
  <si>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</si>
  <si>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</si>
  <si>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</si>
  <si>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</si>
  <si>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</si>
  <si>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</si>
  <si>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</si>
  <si>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</si>
  <si>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</si>
  <si>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</si>
  <si>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</si>
  <si>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</si>
  <si>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</si>
  <si>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</si>
  <si>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</si>
  <si>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</si>
  <si>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</si>
  <si>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</si>
  <si>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</si>
  <si>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</si>
  <si>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</si>
  <si>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</si>
  <si>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</si>
  <si>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</si>
  <si>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</si>
  <si>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</si>
  <si>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</si>
  <si>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</si>
  <si>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</si>
  <si>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</si>
  <si>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</si>
  <si>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</si>
  <si>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</si>
  <si>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</si>
  <si>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</si>
  <si>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</si>
  <si>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</si>
  <si>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</si>
  <si>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</si>
  <si>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</si>
  <si>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</si>
  <si>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</si>
  <si>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</si>
  <si>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</si>
  <si>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</si>
  <si>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</si>
  <si>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</si>
  <si>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</si>
  <si>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</si>
  <si>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</si>
  <si>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</si>
  <si>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</si>
  <si>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</si>
  <si>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</si>
  <si>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</si>
  <si>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</si>
  <si>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</si>
  <si>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</si>
  <si>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</si>
  <si>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</si>
  <si>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</si>
  <si>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</si>
  <si>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</si>
  <si>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</si>
  <si>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</si>
  <si>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</si>
  <si>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</si>
  <si>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</si>
  <si>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</si>
  <si>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</si>
  <si>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</si>
  <si>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</si>
  <si>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</si>
  <si>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</si>
  <si>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</si>
  <si>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</si>
  <si>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</si>
  <si>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</si>
  <si>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</si>
  <si>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</si>
  <si>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1401 Long Beach</t>
  </si>
  <si>
    <t>City of Long Beach</t>
  </si>
  <si>
    <t>Tom Modica</t>
  </si>
  <si>
    <t>411 W. Ocean Blvd.</t>
  </si>
  <si>
    <t>Long Beach</t>
  </si>
  <si>
    <t>(562) 570-5091</t>
  </si>
  <si>
    <t>Tom.Modica@longbeach.gov</t>
  </si>
  <si>
    <t>1401 Long Beach Blvd.</t>
  </si>
  <si>
    <t>7269-016-041, 7269-016-042, 7269-016-159, 7269-016-157, 7269-016-158</t>
  </si>
  <si>
    <t>40%/60% Average Income</t>
  </si>
  <si>
    <t>1000 Corporate Pointe</t>
  </si>
  <si>
    <t>Culver City</t>
  </si>
  <si>
    <t>CA</t>
  </si>
  <si>
    <t>310-642-2058</t>
  </si>
  <si>
    <t>Jordan Johnson</t>
  </si>
  <si>
    <t>jjohnson@century.org</t>
  </si>
  <si>
    <t>Century Affordable Development, Inc</t>
  </si>
  <si>
    <t>CADI XX LLC</t>
  </si>
  <si>
    <t>Managing GP</t>
  </si>
  <si>
    <t xml:space="preserve">Century Affordable Development, Inc. (CADI)										</t>
  </si>
  <si>
    <t>Owner, General Partner, Developer</t>
  </si>
  <si>
    <t xml:space="preserve">1000 Corporate Pointe										</t>
  </si>
  <si>
    <t xml:space="preserve">Culver City, CA 90230										</t>
  </si>
  <si>
    <t xml:space="preserve">310-642-2058					</t>
  </si>
  <si>
    <t>BSB Design</t>
  </si>
  <si>
    <t>970 W 190th St ., Suite 250</t>
  </si>
  <si>
    <t>Torrance, CA 90502</t>
  </si>
  <si>
    <t>Dirk Thelen</t>
  </si>
  <si>
    <t xml:space="preserve">(310) 217-8885 </t>
  </si>
  <si>
    <t>dthelen@BSBDesign.com</t>
  </si>
  <si>
    <t>Gubb &amp; Barshay LLP</t>
  </si>
  <si>
    <t>235 Montgomery Street, Suite 1110</t>
  </si>
  <si>
    <t>San Francisco, CA 94104</t>
  </si>
  <si>
    <t>Nicole Kline</t>
  </si>
  <si>
    <t xml:space="preserve">(415) 781-6600					</t>
  </si>
  <si>
    <t xml:space="preserve">nkline@gubbandbarshay.com										</t>
  </si>
  <si>
    <t>LENA Construction</t>
  </si>
  <si>
    <t>1112 S San Julian St</t>
  </si>
  <si>
    <t>Los Angeles, CA 90015</t>
  </si>
  <si>
    <t>Kevin Napoli</t>
  </si>
  <si>
    <t xml:space="preserve">213.799.0750			</t>
  </si>
  <si>
    <t xml:space="preserve">knapoli@lenacon.com										</t>
  </si>
  <si>
    <t>Partner Energy</t>
  </si>
  <si>
    <t>680 Knox Street, #150</t>
  </si>
  <si>
    <t>Los Angeles, CA 90502</t>
  </si>
  <si>
    <t>Greg Switzer</t>
  </si>
  <si>
    <t xml:space="preserve">310-220-6199					</t>
  </si>
  <si>
    <t xml:space="preserve">GSwitzer@ptrenergy.com										</t>
  </si>
  <si>
    <t>TBD</t>
  </si>
  <si>
    <t>California Housing Partnership</t>
  </si>
  <si>
    <t>600 Wilshire Boulevard, #890</t>
  </si>
  <si>
    <t>Los Angeles, CA 90017</t>
  </si>
  <si>
    <t>Paul Beesemeyer</t>
  </si>
  <si>
    <t xml:space="preserve">213-892-8775					</t>
  </si>
  <si>
    <t xml:space="preserve">paul@chpc.net										</t>
  </si>
  <si>
    <t>Market Insights Consulting, LLC</t>
  </si>
  <si>
    <t>30021 Tomas St., Ste. 300</t>
  </si>
  <si>
    <t>RSM, CA 92688</t>
  </si>
  <si>
    <t>Buck Panchal</t>
  </si>
  <si>
    <t xml:space="preserve">(949) 709-1938 					</t>
  </si>
  <si>
    <t xml:space="preserve">panchal@marketinsights.info										</t>
  </si>
  <si>
    <t>California Housing Finance Agency (CalHFA)</t>
  </si>
  <si>
    <t>500 Capitol Mall, Suite 400, MS 990</t>
  </si>
  <si>
    <t>Sacramento, CA 95814</t>
  </si>
  <si>
    <t>Kevin Brown</t>
  </si>
  <si>
    <t>916-326-8808</t>
  </si>
  <si>
    <t>916-326-6430</t>
  </si>
  <si>
    <t>kbrown@calhfa.ca.gov</t>
  </si>
  <si>
    <t>Century Villages Property Management</t>
  </si>
  <si>
    <t xml:space="preserve">2001 River Avenue </t>
  </si>
  <si>
    <t>Long Beach, CA 90810</t>
  </si>
  <si>
    <t>Axiom Apartments LP</t>
  </si>
  <si>
    <t>Joanne Cordero</t>
  </si>
  <si>
    <t>Interim CEO</t>
  </si>
  <si>
    <t>1317 E 7th St., Los Angeles, CA 90021</t>
  </si>
  <si>
    <t>Century Affordable Development, Inc.</t>
  </si>
  <si>
    <t>Inner City Infill Site</t>
  </si>
  <si>
    <t>213-542-9750</t>
  </si>
  <si>
    <t>Specific Plan</t>
  </si>
  <si>
    <t>Midtown Specific Plan (Transit Node District) (SP-1)</t>
  </si>
  <si>
    <t>153 units per Case No. 2011-13 (SPR20-039) Conditions of Approval</t>
  </si>
  <si>
    <t>City of Long Beach &amp; Long Beach Community Investment Corporation</t>
  </si>
  <si>
    <t>Gateway Cities Affordable Housing Trust</t>
  </si>
  <si>
    <t>HCD - AHSC</t>
  </si>
  <si>
    <t>CalHFA Mixed Income Program</t>
  </si>
  <si>
    <t>2030</t>
  </si>
  <si>
    <t>Wells Fargo Construction Tax-Exempt Loan</t>
  </si>
  <si>
    <t>Wells Fargo Taxable Tail Construction Loan</t>
  </si>
  <si>
    <t>City of Long Beach &amp; Long Beach Community Investment Company</t>
  </si>
  <si>
    <t>Costs Deferred Until Conversion</t>
  </si>
  <si>
    <t>LP Equity Contribution</t>
  </si>
  <si>
    <t>GP Equity</t>
  </si>
  <si>
    <t>Tax Exempt Construction Loan</t>
  </si>
  <si>
    <t>Taxable Construction Loan</t>
  </si>
  <si>
    <t>16401 Paramount Boulevard</t>
  </si>
  <si>
    <t>Paramount, CA 90723</t>
  </si>
  <si>
    <t xml:space="preserve">Grant Henninger </t>
  </si>
  <si>
    <t xml:space="preserve">714-323-5731 </t>
  </si>
  <si>
    <t>Soft Financing</t>
  </si>
  <si>
    <t>411 W. Ocean Boulevard, 3rd Floor</t>
  </si>
  <si>
    <t>Long Beach, CA 90802</t>
  </si>
  <si>
    <t>Christopher Koontz</t>
  </si>
  <si>
    <t>(562) 570-6288</t>
  </si>
  <si>
    <t>Oscar Alvarado</t>
  </si>
  <si>
    <t>310-642-2079</t>
  </si>
  <si>
    <t>Fee Waiver</t>
  </si>
  <si>
    <t>Tax Exempt Perm Loan</t>
  </si>
  <si>
    <t>Sacramento, CA  95814</t>
  </si>
  <si>
    <t>Perm Loan</t>
  </si>
  <si>
    <t>651 Bannon Street, 8th Floor</t>
  </si>
  <si>
    <t>Sacramento, CA 95811</t>
  </si>
  <si>
    <t>Johnston Duckett</t>
  </si>
  <si>
    <t xml:space="preserve">916.347.6674 </t>
  </si>
  <si>
    <t>Air Conditioning</t>
  </si>
  <si>
    <t>Housing Authority of the City of Long Beach - U.S. Department of Housing Development</t>
  </si>
  <si>
    <t>CalHFA Section 811</t>
  </si>
  <si>
    <t>Project-based contract (PBC)</t>
  </si>
  <si>
    <t>Housing Authority of the City of Long Beach</t>
  </si>
  <si>
    <t>Project-based vouchers (PBVs)</t>
  </si>
  <si>
    <t>100% DD - 4/18/25</t>
  </si>
  <si>
    <t>4th</t>
  </si>
  <si>
    <t>5th</t>
  </si>
  <si>
    <t>6th</t>
  </si>
  <si>
    <t>Century Villages at Cabrillo, Inc. – Oasis Residential Services (CORS)</t>
  </si>
  <si>
    <t>Social services provider - 1 FTE service coordinator, adult education, health and wellness, skill building, financial literacy etc.</t>
  </si>
  <si>
    <t>Axiom Apartments LP is the seller entity of which Axiom Apartments GP LLC is the Managing General Partner and The Skid Row Housing Trust is the sole member of. The seller is not a related party to the Borrower, 1401 Long Beach LP. CADI XX LLC, the Managing General Partner of 1401 Long Beach LP, purchased the property from Axiom Apartments LP on 9/27/23.</t>
  </si>
  <si>
    <t>1401 Long Beach will be all-electric, achieve LEED status, have PV, and energy star appliances.</t>
  </si>
  <si>
    <t>GMP</t>
  </si>
  <si>
    <t>NEPA</t>
  </si>
  <si>
    <t>Phase I</t>
  </si>
  <si>
    <t>None identified in the Phase I.</t>
  </si>
  <si>
    <t>School fees are based on $5.17 per square foot of building.  Project has nearly 200K SF</t>
  </si>
  <si>
    <t>BABA related Hard Costs</t>
  </si>
  <si>
    <t>Build America Buy America Act is required due to the funding</t>
  </si>
  <si>
    <t>Construction Close</t>
  </si>
  <si>
    <t>Cash</t>
  </si>
  <si>
    <t>Completion</t>
  </si>
  <si>
    <t>Conversion</t>
  </si>
  <si>
    <t>Final LP Pay-In</t>
  </si>
  <si>
    <t>Senior Vice President</t>
  </si>
  <si>
    <t>Century Affordable Development, Inc. (CADI)</t>
  </si>
  <si>
    <t>City of Long Beach, HCD AHSC and Gateway Cities Affordable Housing Trust require prevailing wage.</t>
  </si>
  <si>
    <t>Local - Approved by ED</t>
  </si>
  <si>
    <t>Phone, internet, copier, IT, training</t>
  </si>
  <si>
    <t>CalHFA Annual Monitoring Fee</t>
  </si>
  <si>
    <t>Long Beach Monitoring Fee</t>
  </si>
  <si>
    <t>AHSC Mandatory</t>
  </si>
  <si>
    <t>Issuer &amp; Trustee Fee</t>
  </si>
  <si>
    <t>Other: Bond Premium</t>
  </si>
  <si>
    <t>Other: CalHFA MIP Fees</t>
  </si>
  <si>
    <t>Above residual receipts line for cash flow</t>
  </si>
  <si>
    <t>Fire protection</t>
  </si>
  <si>
    <t>Jeff Isaacs</t>
  </si>
  <si>
    <t>333 S. Grand Ave., 9th Floor</t>
  </si>
  <si>
    <t xml:space="preserve">213-358-7511 </t>
  </si>
  <si>
    <t>Tax Credit Equity</t>
  </si>
  <si>
    <t>Section 811</t>
  </si>
  <si>
    <t>Century Affordable Development, Inc (CADI XX LLC )</t>
  </si>
  <si>
    <t xml:space="preserve">Contract dated 4/14/24 between Century Affordable Development, Inc. and LENA Construction to review conceptual drawings and provide feedback, establish hard cost budget,  assist owner in managing design team, and prepare multiple hard cost budget updates.  </t>
  </si>
  <si>
    <t>Novogradac &amp; Company, LLP</t>
  </si>
  <si>
    <t>2033 N. Main Street, Suite 400</t>
  </si>
  <si>
    <t>Walnut Creek, CA 94596</t>
  </si>
  <si>
    <t>Kim Cabugao</t>
  </si>
  <si>
    <t xml:space="preserve">925-949-4218					</t>
  </si>
  <si>
    <t xml:space="preserve">kim.cabugao@novoco.com										</t>
  </si>
  <si>
    <t>Contributed Developer Fee</t>
  </si>
  <si>
    <t>Utility Relocation</t>
  </si>
  <si>
    <t>Commercial Prevailing Wages are required because the building is over four stories</t>
  </si>
  <si>
    <t xml:space="preserve">Marisa Hoffman </t>
  </si>
  <si>
    <t>(562) 388-7967</t>
  </si>
  <si>
    <t>mhoffman@century.org</t>
  </si>
  <si>
    <t>Site Maintenance</t>
  </si>
  <si>
    <t>Transition Reserve Pooled</t>
  </si>
  <si>
    <t>1401 Long Beach, L.P.</t>
  </si>
  <si>
    <t>Not Applicable</t>
  </si>
  <si>
    <t>Provided</t>
  </si>
  <si>
    <t>Secured by Fee Interest</t>
  </si>
  <si>
    <t>Daniel Perl</t>
  </si>
  <si>
    <t>(415) 801-8514</t>
  </si>
  <si>
    <t>916.326.8810</t>
  </si>
  <si>
    <t>Ashley Carroll</t>
  </si>
  <si>
    <t>333 Market Street</t>
  </si>
  <si>
    <t>Variable</t>
  </si>
  <si>
    <t>Fixed</t>
  </si>
  <si>
    <t>City of Long Beach Fee Waiver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</si>
</sst>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18" applyNumberFormat="0" applyAlignment="0" applyProtection="0"/>
    <xf numFmtId="0" fontId="82" fillId="36" borderId="18" applyNumberFormat="0" applyAlignment="0" applyProtection="0"/>
    <xf numFmtId="0" fontId="83"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6" fillId="0" borderId="0" applyFont="0" applyFill="0" applyBorder="0" applyAlignment="0" applyProtection="0"/>
    <xf numFmtId="43" fontId="30" fillId="0" borderId="0" applyFont="0" applyFill="0" applyBorder="0" applyAlignment="0" applyProtection="0"/>
    <xf numFmtId="43" fontId="56" fillId="0" borderId="0" applyFont="0" applyFill="0" applyBorder="0" applyAlignment="0" applyProtection="0"/>
    <xf numFmtId="44" fontId="7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72"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3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6" fillId="0" borderId="0" applyFont="0" applyFill="0" applyBorder="0" applyAlignment="0" applyProtection="0"/>
    <xf numFmtId="44" fontId="6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30" fillId="0" borderId="0" applyFont="0" applyFill="0" applyBorder="0" applyAlignment="0" applyProtection="0"/>
    <xf numFmtId="44" fontId="6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0" fillId="0" borderId="0" applyFont="0" applyFill="0" applyBorder="0" applyAlignment="0" applyProtection="0"/>
    <xf numFmtId="44" fontId="30"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90" fillId="0" borderId="23" applyNumberFormat="0" applyFill="0" applyAlignment="0" applyProtection="0"/>
    <xf numFmtId="0" fontId="91" fillId="40" borderId="0" applyNumberFormat="0" applyBorder="0" applyAlignment="0" applyProtection="0"/>
    <xf numFmtId="0" fontId="92" fillId="0" borderId="0"/>
    <xf numFmtId="0" fontId="56" fillId="0" borderId="0"/>
    <xf numFmtId="0" fontId="92" fillId="0" borderId="0"/>
    <xf numFmtId="0" fontId="56" fillId="0" borderId="0"/>
    <xf numFmtId="0" fontId="56"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6" fillId="0" borderId="0"/>
    <xf numFmtId="169" fontId="57" fillId="0" borderId="0"/>
    <xf numFmtId="0" fontId="79" fillId="0" borderId="0"/>
    <xf numFmtId="0" fontId="30" fillId="0" borderId="0"/>
    <xf numFmtId="0" fontId="30" fillId="0" borderId="0"/>
    <xf numFmtId="0" fontId="62" fillId="0" borderId="0"/>
    <xf numFmtId="0" fontId="56" fillId="0" borderId="0"/>
    <xf numFmtId="0" fontId="62" fillId="0" borderId="0"/>
    <xf numFmtId="0" fontId="56" fillId="0" borderId="0"/>
    <xf numFmtId="0" fontId="67" fillId="0" borderId="0"/>
    <xf numFmtId="0" fontId="56"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79" fillId="0" borderId="0"/>
    <xf numFmtId="0" fontId="79" fillId="0" borderId="0"/>
    <xf numFmtId="0" fontId="79" fillId="0" borderId="0"/>
    <xf numFmtId="0" fontId="79" fillId="0" borderId="0"/>
    <xf numFmtId="0" fontId="67" fillId="0" borderId="0"/>
    <xf numFmtId="0" fontId="56" fillId="0" borderId="0">
      <alignment vertical="top"/>
    </xf>
    <xf numFmtId="0" fontId="79" fillId="0" borderId="0"/>
    <xf numFmtId="0" fontId="79" fillId="0" borderId="0"/>
    <xf numFmtId="0" fontId="79" fillId="0" borderId="0"/>
    <xf numFmtId="0" fontId="79" fillId="0" borderId="0"/>
    <xf numFmtId="0" fontId="67" fillId="0" borderId="0"/>
    <xf numFmtId="0" fontId="30" fillId="0" borderId="0"/>
    <xf numFmtId="0" fontId="79" fillId="0" borderId="0"/>
    <xf numFmtId="0" fontId="30" fillId="0" borderId="0"/>
    <xf numFmtId="0" fontId="79" fillId="0" borderId="0"/>
    <xf numFmtId="0" fontId="79" fillId="0" borderId="0"/>
    <xf numFmtId="0" fontId="79" fillId="0" borderId="0"/>
    <xf numFmtId="0" fontId="79"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79" fillId="0" borderId="0"/>
    <xf numFmtId="0" fontId="62"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56" fillId="0" borderId="0">
      <alignment vertical="top"/>
    </xf>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21" fillId="0" borderId="0" applyProtection="0">
      <protection locked="0"/>
    </xf>
    <xf numFmtId="0" fontId="30" fillId="0" borderId="0" applyProtection="0">
      <protection locked="0"/>
    </xf>
    <xf numFmtId="0" fontId="30" fillId="0" borderId="0" applyProtection="0">
      <protection locked="0"/>
    </xf>
    <xf numFmtId="0" fontId="57" fillId="0" borderId="0"/>
    <xf numFmtId="0" fontId="21" fillId="0" borderId="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94" fillId="36" borderId="25" applyNumberFormat="0" applyAlignment="0" applyProtection="0"/>
    <xf numFmtId="0" fontId="94" fillId="36" borderId="25" applyNumberFormat="0" applyAlignment="0" applyProtection="0"/>
    <xf numFmtId="0" fontId="26"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10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9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14" fillId="0" borderId="0" applyFont="0" applyFill="0" applyBorder="0" applyAlignment="0" applyProtection="0"/>
    <xf numFmtId="0" fontId="11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4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4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8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56" fillId="0" borderId="0">
      <alignment vertical="top"/>
    </xf>
    <xf numFmtId="0" fontId="56" fillId="0" borderId="0">
      <alignment vertical="top"/>
    </xf>
    <xf numFmtId="0" fontId="4" fillId="0" borderId="0"/>
    <xf numFmtId="0" fontId="4" fillId="0" borderId="0"/>
    <xf numFmtId="0" fontId="56" fillId="0" borderId="0">
      <alignment vertical="top"/>
    </xf>
    <xf numFmtId="0" fontId="182" fillId="0" borderId="0">
      <alignment vertical="top"/>
    </xf>
    <xf numFmtId="0" fontId="56" fillId="0" borderId="0">
      <alignment vertical="top"/>
    </xf>
    <xf numFmtId="0" fontId="56" fillId="0" borderId="0">
      <alignment vertical="top"/>
    </xf>
    <xf numFmtId="0" fontId="18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7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7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56" fillId="0" borderId="0">
      <alignment vertical="top"/>
    </xf>
    <xf numFmtId="0" fontId="56" fillId="0" borderId="0">
      <alignment vertical="top"/>
    </xf>
    <xf numFmtId="4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93" fillId="0" borderId="0"/>
    <xf numFmtId="0" fontId="71" fillId="41" borderId="24" applyNumberFormat="0" applyFont="0" applyAlignment="0" applyProtection="0"/>
    <xf numFmtId="0" fontId="7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83"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5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cellStyleXfs>
  <cellXfs count="2619">
    <xf numFmtId="0" fontId="0" fillId="0" borderId="0" xfId="0"/>
    <xf numFmtId="0" fontId="28" fillId="0" borderId="0" xfId="0" applyFont="1"/>
    <xf numFmtId="0" fontId="21" fillId="0" borderId="0" xfId="0" applyFont="1"/>
    <xf numFmtId="0" fontId="30" fillId="0" borderId="0" xfId="0" applyFont="1"/>
    <xf numFmtId="0" fontId="0" fillId="0" borderId="4" xfId="0" applyBorder="1"/>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1" fillId="0" borderId="0" xfId="543"/>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2" fillId="0" borderId="0" xfId="0" applyFont="1"/>
    <xf numFmtId="0" fontId="34"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7" fillId="0" borderId="3" xfId="0" applyFont="1" applyBorder="1" applyAlignment="1">
      <alignment horizontal="left"/>
    </xf>
    <xf numFmtId="0" fontId="37" fillId="0" borderId="9" xfId="0" applyFont="1" applyBorder="1" applyAlignment="1">
      <alignment horizontal="lef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28" fillId="0" borderId="9" xfId="0" applyFont="1" applyBorder="1"/>
    <xf numFmtId="164" fontId="0" fillId="0" borderId="0" xfId="0" applyNumberFormat="1" applyAlignment="1">
      <alignment horizontal="center"/>
    </xf>
    <xf numFmtId="0" fontId="0" fillId="0" borderId="12" xfId="0" applyBorder="1"/>
    <xf numFmtId="49" fontId="21" fillId="0" borderId="0" xfId="543" applyNumberFormat="1"/>
    <xf numFmtId="0" fontId="21" fillId="0" borderId="8" xfId="543" applyBorder="1"/>
    <xf numFmtId="0" fontId="21" fillId="0" borderId="9" xfId="543" applyBorder="1"/>
    <xf numFmtId="0" fontId="21" fillId="0" borderId="10" xfId="543" applyBorder="1"/>
    <xf numFmtId="0" fontId="21" fillId="0" borderId="1" xfId="543" applyBorder="1"/>
    <xf numFmtId="0" fontId="21" fillId="0" borderId="12" xfId="543" applyBorder="1"/>
    <xf numFmtId="0" fontId="21" fillId="0" borderId="2" xfId="543" applyBorder="1"/>
    <xf numFmtId="0" fontId="21" fillId="0" borderId="7" xfId="543" applyBorder="1"/>
    <xf numFmtId="0" fontId="29" fillId="0" borderId="6" xfId="543" applyFont="1" applyBorder="1" applyAlignment="1">
      <alignment vertical="top" wrapText="1"/>
    </xf>
    <xf numFmtId="0" fontId="0" fillId="2" borderId="2" xfId="0" applyFill="1" applyBorder="1"/>
    <xf numFmtId="0" fontId="0" fillId="2" borderId="7" xfId="0" applyFill="1" applyBorder="1"/>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45"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21" fillId="0" borderId="0" xfId="0" applyFont="1" applyAlignment="1">
      <alignment horizontal="left"/>
    </xf>
    <xf numFmtId="0" fontId="21" fillId="0" borderId="0" xfId="0" applyFont="1" applyAlignment="1">
      <alignment vertical="top"/>
    </xf>
    <xf numFmtId="0" fontId="44" fillId="0" borderId="0" xfId="0" applyFont="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46" fillId="0" borderId="0" xfId="0" applyFont="1"/>
    <xf numFmtId="0" fontId="28" fillId="0" borderId="7" xfId="543" applyFont="1" applyBorder="1" applyAlignment="1">
      <alignment horizontal="right"/>
    </xf>
    <xf numFmtId="0" fontId="29" fillId="0" borderId="9" xfId="543" applyFont="1" applyBorder="1"/>
    <xf numFmtId="0" fontId="29" fillId="0" borderId="6" xfId="543" applyFont="1" applyBorder="1" applyAlignment="1">
      <alignment horizontal="right"/>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24" fillId="0" borderId="11" xfId="0" applyFont="1" applyBorder="1" applyAlignment="1">
      <alignment horizontal="right" vertical="top" wrapText="1"/>
    </xf>
    <xf numFmtId="0" fontId="51" fillId="0" borderId="0" xfId="0" applyFont="1" applyAlignment="1">
      <alignment horizontal="left" vertical="top"/>
    </xf>
    <xf numFmtId="0" fontId="53" fillId="0" borderId="0" xfId="0" applyFont="1" applyAlignment="1">
      <alignment vertical="top" wrapText="1"/>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0" fontId="21"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39" fillId="0" borderId="0" xfId="0" applyFont="1" applyAlignment="1">
      <alignment horizontal="center"/>
    </xf>
    <xf numFmtId="49" fontId="28" fillId="0" borderId="0" xfId="0" applyNumberFormat="1" applyFont="1" applyAlignment="1">
      <alignment horizontal="center"/>
    </xf>
    <xf numFmtId="0" fontId="48" fillId="0" borderId="0" xfId="0" applyFont="1" applyAlignment="1">
      <alignment horizontal="center"/>
    </xf>
    <xf numFmtId="0" fontId="50" fillId="0" borderId="3" xfId="0" applyFont="1" applyBorder="1"/>
    <xf numFmtId="168" fontId="0" fillId="0" borderId="0" xfId="0" applyNumberFormat="1" applyAlignment="1">
      <alignment horizontal="center"/>
    </xf>
    <xf numFmtId="0" fontId="51" fillId="0" borderId="4" xfId="0" applyFont="1" applyBorder="1" applyAlignment="1">
      <alignment horizontal="right"/>
    </xf>
    <xf numFmtId="0" fontId="56" fillId="0" borderId="0" xfId="0" applyFont="1"/>
    <xf numFmtId="168" fontId="21" fillId="0" borderId="0" xfId="0" applyNumberFormat="1" applyFont="1" applyAlignment="1">
      <alignment horizontal="left" vertical="top"/>
    </xf>
    <xf numFmtId="0" fontId="53" fillId="0" borderId="0" xfId="0" applyFont="1" applyAlignment="1">
      <alignment horizontal="right" vertical="top" wrapText="1"/>
    </xf>
    <xf numFmtId="0" fontId="53" fillId="0" borderId="14" xfId="0" applyFont="1" applyBorder="1" applyAlignment="1">
      <alignment vertical="top" wrapText="1"/>
    </xf>
    <xf numFmtId="0" fontId="53" fillId="0" borderId="11" xfId="0" applyFont="1" applyBorder="1" applyAlignment="1" applyProtection="1">
      <alignment vertical="top"/>
      <protection locked="0"/>
    </xf>
    <xf numFmtId="0" fontId="28" fillId="0" borderId="0" xfId="542" applyFont="1" applyProtection="1">
      <protection locked="0"/>
    </xf>
    <xf numFmtId="0" fontId="21" fillId="0" borderId="0" xfId="539" applyProtection="1"/>
    <xf numFmtId="0" fontId="28" fillId="0" borderId="0" xfId="543" applyFont="1"/>
    <xf numFmtId="0" fontId="21" fillId="0" borderId="0" xfId="0" applyFont="1" applyProtection="1">
      <protection locked="0"/>
    </xf>
    <xf numFmtId="0" fontId="59"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26" fillId="0" borderId="0" xfId="0" applyFont="1"/>
    <xf numFmtId="0" fontId="61" fillId="0" borderId="0" xfId="0" applyFont="1"/>
    <xf numFmtId="0" fontId="59" fillId="0" borderId="0" xfId="0" applyFont="1"/>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0" fillId="0" borderId="0" xfId="0" applyFont="1"/>
    <xf numFmtId="168" fontId="26" fillId="0" borderId="0" xfId="0" applyNumberFormat="1" applyFont="1"/>
    <xf numFmtId="10" fontId="26" fillId="0" borderId="0" xfId="0" applyNumberFormat="1" applyFont="1" applyAlignment="1">
      <alignment horizontal="center"/>
    </xf>
    <xf numFmtId="3" fontId="63" fillId="0" borderId="0" xfId="0" applyNumberFormat="1" applyFont="1"/>
    <xf numFmtId="3" fontId="26" fillId="0" borderId="0" xfId="0" applyNumberFormat="1" applyFont="1"/>
    <xf numFmtId="168" fontId="60" fillId="0" borderId="0" xfId="0" applyNumberFormat="1" applyFont="1"/>
    <xf numFmtId="168" fontId="60"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3" fontId="30" fillId="0" borderId="0" xfId="0" applyNumberFormat="1" applyFont="1" applyAlignment="1">
      <alignment vertical="top"/>
    </xf>
    <xf numFmtId="10" fontId="28" fillId="0" borderId="0" xfId="0" applyNumberFormat="1" applyFont="1" applyAlignment="1">
      <alignment horizontal="center"/>
    </xf>
    <xf numFmtId="0" fontId="59" fillId="0" borderId="6" xfId="0" applyFont="1" applyBorder="1" applyAlignment="1">
      <alignment horizontal="center"/>
    </xf>
    <xf numFmtId="0" fontId="30" fillId="0" borderId="4" xfId="271" applyBorder="1"/>
    <xf numFmtId="0" fontId="30" fillId="0" borderId="6" xfId="271" applyBorder="1"/>
    <xf numFmtId="4" fontId="48" fillId="0" borderId="0" xfId="0" applyNumberFormat="1" applyFont="1" applyAlignment="1">
      <alignment horizontal="center"/>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46"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38"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69" fillId="0" borderId="0" xfId="0" applyFont="1" applyAlignment="1">
      <alignment horizontal="left" vertical="center"/>
    </xf>
    <xf numFmtId="49" fontId="45" fillId="0" borderId="0" xfId="0" applyNumberFormat="1" applyFont="1" applyAlignment="1">
      <alignment horizontal="center"/>
    </xf>
    <xf numFmtId="0" fontId="50" fillId="0" borderId="0" xfId="0" applyFont="1"/>
    <xf numFmtId="5" fontId="73" fillId="0" borderId="11" xfId="541" applyNumberFormat="1" applyFont="1" applyBorder="1" applyAlignment="1" applyProtection="1">
      <alignment horizontal="center"/>
    </xf>
    <xf numFmtId="5" fontId="73" fillId="42"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50" fillId="0" borderId="0" xfId="0" applyFont="1" applyAlignment="1">
      <alignment vertical="top"/>
    </xf>
    <xf numFmtId="0" fontId="50" fillId="2" borderId="0" xfId="0" applyFont="1" applyFill="1" applyAlignment="1">
      <alignment vertical="top" wrapText="1"/>
    </xf>
    <xf numFmtId="0" fontId="75" fillId="0" borderId="13" xfId="0" applyFont="1" applyBorder="1" applyAlignment="1">
      <alignment vertical="top" wrapText="1"/>
    </xf>
    <xf numFmtId="0" fontId="35" fillId="0" borderId="0" xfId="0" applyFont="1" applyAlignment="1">
      <alignment vertical="top" wrapText="1"/>
    </xf>
    <xf numFmtId="0" fontId="75" fillId="2" borderId="13" xfId="0" applyFont="1" applyFill="1" applyBorder="1" applyAlignment="1">
      <alignment vertical="top" wrapText="1"/>
    </xf>
    <xf numFmtId="0" fontId="75" fillId="0" borderId="0" xfId="0" applyFont="1" applyAlignment="1">
      <alignment vertical="top" wrapText="1"/>
    </xf>
    <xf numFmtId="0" fontId="75"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59"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99" fillId="0" borderId="0" xfId="0" applyFont="1" applyAlignment="1">
      <alignment horizontal="left" vertical="top"/>
    </xf>
    <xf numFmtId="0" fontId="100" fillId="0" borderId="0" xfId="0" applyFont="1" applyAlignment="1">
      <alignment horizontal="left" vertical="top"/>
    </xf>
    <xf numFmtId="0" fontId="6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35" fillId="0" borderId="8" xfId="569" applyFont="1" applyBorder="1" applyAlignment="1">
      <alignment vertical="top" wrapText="1"/>
    </xf>
    <xf numFmtId="0" fontId="35"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24"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0"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8" fillId="0" borderId="0" xfId="569" applyFont="1" applyAlignment="1">
      <alignment horizontal="left" vertical="top"/>
    </xf>
    <xf numFmtId="0" fontId="103" fillId="0" borderId="0" xfId="569" applyFont="1" applyAlignment="1">
      <alignment horizontal="left" vertical="top"/>
    </xf>
    <xf numFmtId="0" fontId="59"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21" fillId="0" borderId="0" xfId="569" applyAlignment="1">
      <alignment vertical="top"/>
    </xf>
    <xf numFmtId="0" fontId="50" fillId="0" borderId="0" xfId="569" applyFont="1" applyAlignment="1">
      <alignment horizontal="right" vertical="top" wrapText="1"/>
    </xf>
    <xf numFmtId="0" fontId="28" fillId="0" borderId="0" xfId="569" applyFont="1" applyAlignment="1">
      <alignment horizontal="left" vertical="top" wrapText="1"/>
    </xf>
    <xf numFmtId="168" fontId="50"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75" fillId="0" borderId="0" xfId="569" applyFont="1" applyAlignment="1">
      <alignment vertical="top" wrapText="1"/>
    </xf>
    <xf numFmtId="0" fontId="75" fillId="0" borderId="12" xfId="569" applyFont="1" applyBorder="1" applyAlignment="1">
      <alignment vertical="top" wrapText="1"/>
    </xf>
    <xf numFmtId="0" fontId="75" fillId="0" borderId="8" xfId="569" applyFont="1" applyBorder="1" applyAlignment="1">
      <alignment vertical="top" wrapText="1"/>
    </xf>
    <xf numFmtId="0" fontId="35" fillId="0" borderId="0" xfId="569" applyFont="1" applyAlignment="1">
      <alignment horizontal="right" vertical="top" wrapText="1"/>
    </xf>
    <xf numFmtId="0" fontId="75"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vertical="center"/>
    </xf>
    <xf numFmtId="0" fontId="40"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0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26" fillId="0" borderId="11" xfId="271" applyNumberFormat="1" applyFont="1" applyBorder="1"/>
    <xf numFmtId="168" fontId="26" fillId="0" borderId="0" xfId="271" applyNumberFormat="1" applyFont="1"/>
    <xf numFmtId="0" fontId="21" fillId="0" borderId="3" xfId="569" applyBorder="1"/>
    <xf numFmtId="0" fontId="102" fillId="0" borderId="0" xfId="1834"/>
    <xf numFmtId="0" fontId="0" fillId="0" borderId="0" xfId="0" applyAlignment="1">
      <alignment horizontal="left" vertical="top"/>
    </xf>
    <xf numFmtId="0" fontId="101" fillId="0" borderId="0" xfId="0" applyFont="1" applyAlignment="1">
      <alignment vertical="top" wrapText="1"/>
    </xf>
    <xf numFmtId="0" fontId="50" fillId="0" borderId="0" xfId="271" applyFont="1" applyAlignment="1">
      <alignment vertical="top" wrapText="1"/>
    </xf>
    <xf numFmtId="0" fontId="28" fillId="0" borderId="12" xfId="543" applyFont="1" applyBorder="1" applyAlignment="1">
      <alignment horizontal="right"/>
    </xf>
    <xf numFmtId="0" fontId="44" fillId="0" borderId="0" xfId="1192" applyFont="1"/>
    <xf numFmtId="0" fontId="50" fillId="0" borderId="11" xfId="0" applyFont="1" applyBorder="1" applyAlignment="1">
      <alignment horizontal="right" vertical="center"/>
    </xf>
    <xf numFmtId="0" fontId="44" fillId="0" borderId="0" xfId="0" applyFont="1" applyAlignment="1">
      <alignment vertical="top" wrapText="1"/>
    </xf>
    <xf numFmtId="6" fontId="51" fillId="0" borderId="0" xfId="569" applyNumberFormat="1" applyFont="1" applyAlignment="1">
      <alignment horizontal="right" vertical="top"/>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44" fillId="0" borderId="0" xfId="0" applyFont="1" applyAlignment="1">
      <alignment horizontal="left" vertical="top"/>
    </xf>
    <xf numFmtId="0" fontId="44" fillId="0" borderId="0" xfId="0" applyFont="1" applyAlignment="1">
      <alignment vertical="top"/>
    </xf>
    <xf numFmtId="0" fontId="21" fillId="0" borderId="0" xfId="569" applyAlignment="1">
      <alignment horizontal="center"/>
    </xf>
    <xf numFmtId="49" fontId="28" fillId="0" borderId="0" xfId="569" applyNumberFormat="1" applyFont="1" applyAlignment="1">
      <alignment horizontal="center"/>
    </xf>
    <xf numFmtId="0" fontId="48"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48"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46" fillId="0" borderId="0" xfId="569" applyFont="1" applyAlignment="1">
      <alignment horizontal="left"/>
    </xf>
    <xf numFmtId="4" fontId="48"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45" fillId="0" borderId="0" xfId="569" applyFont="1" applyAlignment="1">
      <alignment horizontal="left"/>
    </xf>
    <xf numFmtId="0" fontId="22"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0" fontId="21" fillId="0" borderId="11" xfId="271" applyFont="1" applyBorder="1" applyAlignment="1">
      <alignment horizontal="right" vertical="top" wrapText="1"/>
    </xf>
    <xf numFmtId="0" fontId="29" fillId="0" borderId="0" xfId="569" applyFont="1" applyAlignment="1">
      <alignment horizontal="left"/>
    </xf>
    <xf numFmtId="0" fontId="99" fillId="0" borderId="0" xfId="0" applyFont="1"/>
    <xf numFmtId="0" fontId="110" fillId="0" borderId="0" xfId="0" applyFont="1" applyAlignment="1">
      <alignment horizontal="left" vertical="top"/>
    </xf>
    <xf numFmtId="0" fontId="111" fillId="0" borderId="0" xfId="0" applyFont="1" applyAlignment="1">
      <alignment horizontal="left" vertical="top"/>
    </xf>
    <xf numFmtId="168" fontId="29"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21" fillId="0" borderId="0" xfId="271" applyFont="1" applyAlignment="1">
      <alignment horizontal="left" vertical="top"/>
    </xf>
    <xf numFmtId="0" fontId="50" fillId="0" borderId="0" xfId="569" applyFont="1"/>
    <xf numFmtId="4" fontId="21" fillId="0" borderId="0" xfId="1192" applyNumberFormat="1" applyAlignment="1">
      <alignment vertical="top" wrapText="1"/>
    </xf>
    <xf numFmtId="0" fontId="28" fillId="0" borderId="16" xfId="271" applyFont="1" applyBorder="1"/>
    <xf numFmtId="0" fontId="55" fillId="0" borderId="0" xfId="569" applyFont="1"/>
    <xf numFmtId="0" fontId="40" fillId="0" borderId="0" xfId="569" applyFont="1"/>
    <xf numFmtId="49" fontId="21" fillId="0" borderId="0" xfId="1192" applyNumberFormat="1" applyAlignment="1">
      <alignment vertical="top" wrapText="1"/>
    </xf>
    <xf numFmtId="0" fontId="52" fillId="0" borderId="9" xfId="543" applyFont="1" applyBorder="1" applyAlignment="1">
      <alignment vertical="top"/>
    </xf>
    <xf numFmtId="0" fontId="21" fillId="0" borderId="0" xfId="0" applyFont="1" applyAlignment="1">
      <alignment vertical="center"/>
    </xf>
    <xf numFmtId="0" fontId="112" fillId="0" borderId="0" xfId="0" applyFont="1"/>
    <xf numFmtId="3" fontId="99" fillId="0" borderId="0" xfId="0" applyNumberFormat="1" applyFont="1"/>
    <xf numFmtId="0" fontId="99" fillId="0" borderId="0" xfId="0" applyFont="1" applyAlignment="1">
      <alignment horizontal="left"/>
    </xf>
    <xf numFmtId="168" fontId="113" fillId="0" borderId="0" xfId="0" applyNumberFormat="1" applyFont="1" applyAlignment="1">
      <alignment horizontal="left" vertical="top"/>
    </xf>
    <xf numFmtId="0" fontId="99" fillId="0" borderId="0" xfId="0" applyFont="1" applyAlignment="1">
      <alignment horizontal="left" vertical="center"/>
    </xf>
    <xf numFmtId="0" fontId="11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1" fillId="0" borderId="0" xfId="1192" quotePrefix="1" applyAlignment="1">
      <alignment horizontal="center"/>
    </xf>
    <xf numFmtId="0" fontId="45"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21" fillId="0" borderId="0" xfId="4495" applyFont="1" applyAlignment="1">
      <alignment horizontal="left" vertical="center"/>
    </xf>
    <xf numFmtId="0" fontId="117" fillId="0" borderId="0" xfId="4496" applyFont="1" applyAlignment="1">
      <alignment vertical="center"/>
    </xf>
    <xf numFmtId="0" fontId="116" fillId="0" borderId="0" xfId="4496" applyFont="1"/>
    <xf numFmtId="0" fontId="116" fillId="0" borderId="0" xfId="4496" applyFont="1" applyAlignment="1">
      <alignment vertical="center"/>
    </xf>
    <xf numFmtId="0" fontId="11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1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1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right" vertical="top"/>
    </xf>
    <xf numFmtId="0" fontId="116" fillId="0" borderId="53" xfId="4496" applyFont="1" applyBorder="1" applyAlignment="1">
      <alignment vertical="top" wrapText="1"/>
    </xf>
    <xf numFmtId="0" fontId="116" fillId="0" borderId="0" xfId="4496" applyFont="1" applyAlignment="1">
      <alignment vertical="top" wrapText="1"/>
    </xf>
    <xf numFmtId="10" fontId="116" fillId="0" borderId="0" xfId="4496" applyNumberFormat="1" applyFont="1" applyAlignment="1">
      <alignment vertical="top" wrapText="1"/>
    </xf>
    <xf numFmtId="0" fontId="116" fillId="0" borderId="54" xfId="4496" applyFont="1" applyBorder="1" applyAlignment="1">
      <alignment vertical="top" wrapText="1"/>
    </xf>
    <xf numFmtId="0" fontId="116" fillId="0" borderId="0" xfId="4496" applyFont="1" applyAlignment="1">
      <alignment vertical="top"/>
    </xf>
    <xf numFmtId="165" fontId="11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1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8" xfId="4495" applyFont="1" applyBorder="1"/>
    <xf numFmtId="0" fontId="29" fillId="0" borderId="0" xfId="4495" applyFont="1" applyAlignment="1">
      <alignment horizontal="left"/>
    </xf>
    <xf numFmtId="0" fontId="21" fillId="0" borderId="0" xfId="4495" applyFont="1" applyAlignment="1">
      <alignment horizontal="center"/>
    </xf>
    <xf numFmtId="0" fontId="37" fillId="0" borderId="0" xfId="4495" applyFont="1"/>
    <xf numFmtId="0" fontId="29" fillId="0" borderId="8" xfId="4495" applyFont="1" applyBorder="1"/>
    <xf numFmtId="0" fontId="50"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0"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1" fontId="114" fillId="0" borderId="0" xfId="4495" applyNumberFormat="1"/>
    <xf numFmtId="0" fontId="21" fillId="0" borderId="0" xfId="4495" applyFont="1" applyAlignment="1">
      <alignmen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21" fillId="0" borderId="53" xfId="4495" applyFont="1" applyBorder="1" applyAlignment="1">
      <alignment vertical="top"/>
    </xf>
    <xf numFmtId="0" fontId="21" fillId="0" borderId="54" xfId="4495" applyFont="1" applyBorder="1" applyAlignment="1">
      <alignment vertical="top" wrapText="1"/>
    </xf>
    <xf numFmtId="0" fontId="56" fillId="0" borderId="53" xfId="4495" applyFont="1" applyBorder="1"/>
    <xf numFmtId="0" fontId="29" fillId="0" borderId="54" xfId="4495" applyFont="1" applyBorder="1" applyAlignment="1">
      <alignment horizontal="left" vertical="top"/>
    </xf>
    <xf numFmtId="0" fontId="56"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1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1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quotePrefix="1" applyFont="1"/>
    <xf numFmtId="0" fontId="29" fillId="0" borderId="0" xfId="4495" applyFont="1" applyAlignment="1">
      <alignment horizontal="left" vertical="top" shrinkToFit="1"/>
    </xf>
    <xf numFmtId="0" fontId="45" fillId="0" borderId="0" xfId="4495" applyFont="1"/>
    <xf numFmtId="0" fontId="29" fillId="0" borderId="3" xfId="4495" applyFont="1" applyBorder="1" applyAlignment="1">
      <alignment horizontal="center"/>
    </xf>
    <xf numFmtId="0" fontId="114" fillId="0" borderId="8" xfId="4495" applyBorder="1"/>
    <xf numFmtId="0" fontId="28" fillId="0" borderId="8" xfId="4495" applyFont="1" applyBorder="1" applyAlignment="1">
      <alignment vertical="top"/>
    </xf>
    <xf numFmtId="0" fontId="114" fillId="0" borderId="0" xfId="4495" applyAlignment="1">
      <alignment vertical="top"/>
    </xf>
    <xf numFmtId="0" fontId="28" fillId="0" borderId="4" xfId="4495" applyFont="1" applyBorder="1" applyAlignment="1">
      <alignment horizontal="center" vertical="top"/>
    </xf>
    <xf numFmtId="0" fontId="119" fillId="0" borderId="0" xfId="4495" applyFont="1" applyAlignment="1">
      <alignment horizontal="left" vertical="top"/>
    </xf>
    <xf numFmtId="0" fontId="11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23" fillId="0" borderId="0" xfId="4495" applyFont="1" applyAlignment="1">
      <alignment vertical="top" wrapText="1"/>
    </xf>
    <xf numFmtId="0" fontId="29" fillId="0" borderId="6" xfId="4495" applyFont="1" applyBorder="1"/>
    <xf numFmtId="1" fontId="29" fillId="0" borderId="8" xfId="4495" applyNumberFormat="1" applyFont="1" applyBorder="1" applyAlignment="1">
      <alignment horizontal="center" vertical="top"/>
    </xf>
    <xf numFmtId="0" fontId="114" fillId="0" borderId="12" xfId="4495" applyBorder="1"/>
    <xf numFmtId="0" fontId="29" fillId="0" borderId="9" xfId="4495" applyFont="1" applyBorder="1"/>
    <xf numFmtId="0" fontId="114" fillId="0" borderId="10" xfId="4495" applyBorder="1"/>
    <xf numFmtId="0" fontId="37" fillId="0" borderId="3" xfId="4495" applyFont="1" applyBorder="1"/>
    <xf numFmtId="0" fontId="28" fillId="0" borderId="4" xfId="4495" applyFont="1" applyBorder="1"/>
    <xf numFmtId="0" fontId="114" fillId="0" borderId="12" xfId="4495" applyBorder="1" applyAlignment="1">
      <alignment vertical="top"/>
    </xf>
    <xf numFmtId="0" fontId="37" fillId="0" borderId="1" xfId="4495" applyFont="1" applyBorder="1"/>
    <xf numFmtId="0" fontId="123" fillId="0" borderId="2" xfId="4495" applyFont="1" applyBorder="1" applyAlignment="1">
      <alignment horizontal="left" wrapText="1"/>
    </xf>
    <xf numFmtId="0" fontId="123" fillId="0" borderId="2" xfId="4495" applyFont="1" applyBorder="1" applyAlignment="1">
      <alignment horizontal="left"/>
    </xf>
    <xf numFmtId="0" fontId="123" fillId="0" borderId="7" xfId="4495" applyFont="1" applyBorder="1" applyAlignment="1">
      <alignment horizontal="left" wrapText="1"/>
    </xf>
    <xf numFmtId="0" fontId="123" fillId="0" borderId="0" xfId="4495" applyFont="1" applyAlignment="1">
      <alignment horizontal="left" wrapText="1"/>
    </xf>
    <xf numFmtId="0" fontId="37" fillId="0" borderId="9" xfId="4495" applyFont="1" applyBorder="1"/>
    <xf numFmtId="0" fontId="29" fillId="0" borderId="10" xfId="4495" applyFont="1" applyBorder="1"/>
    <xf numFmtId="0" fontId="12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37" fillId="0" borderId="0" xfId="4495" applyFont="1" applyAlignment="1">
      <alignment vertical="top"/>
    </xf>
    <xf numFmtId="0" fontId="29" fillId="0" borderId="61" xfId="4495" applyFont="1" applyBorder="1"/>
    <xf numFmtId="0" fontId="11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14" fillId="0" borderId="61" xfId="4495" applyBorder="1"/>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1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22" fillId="0" borderId="0" xfId="4495" applyFont="1"/>
    <xf numFmtId="0" fontId="11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1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0" fillId="0" borderId="0" xfId="4495" applyFont="1" applyAlignment="1">
      <alignment horizontal="left" vertical="top"/>
    </xf>
    <xf numFmtId="0" fontId="29"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1" fillId="0" borderId="0" xfId="4495" applyFont="1"/>
    <xf numFmtId="0" fontId="50"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0" fillId="0" borderId="51" xfId="4495" applyFont="1" applyBorder="1" applyAlignment="1">
      <alignment horizontal="left" vertical="top"/>
    </xf>
    <xf numFmtId="0" fontId="114" fillId="0" borderId="53" xfId="4495" applyBorder="1"/>
    <xf numFmtId="0" fontId="10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1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180" fontId="59" fillId="0" borderId="0" xfId="4495" applyNumberFormat="1" applyFont="1" applyAlignment="1">
      <alignment horizontal="center" vertical="center"/>
    </xf>
    <xf numFmtId="0" fontId="21" fillId="0" borderId="12" xfId="4495" applyFont="1" applyBorder="1" applyAlignment="1">
      <alignment vertical="top"/>
    </xf>
    <xf numFmtId="0" fontId="45" fillId="0" borderId="0" xfId="4495" applyFont="1" applyAlignment="1">
      <alignmen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right"/>
    </xf>
    <xf numFmtId="0" fontId="21" fillId="0" borderId="59" xfId="4495" applyFont="1" applyBorder="1" applyAlignment="1">
      <alignment horizontal="right"/>
    </xf>
    <xf numFmtId="0" fontId="45"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2" fontId="21" fillId="0" borderId="0" xfId="1192" applyNumberFormat="1"/>
    <xf numFmtId="6" fontId="21" fillId="0" borderId="0" xfId="1192" applyNumberFormat="1"/>
    <xf numFmtId="0" fontId="28" fillId="0" borderId="0" xfId="1192" applyFont="1"/>
    <xf numFmtId="0" fontId="45" fillId="0" borderId="0" xfId="1192" applyFont="1"/>
    <xf numFmtId="168" fontId="21" fillId="0" borderId="0" xfId="4495" applyNumberFormat="1" applyFont="1"/>
    <xf numFmtId="0" fontId="28" fillId="0" borderId="0" xfId="1192" applyFont="1" applyAlignment="1">
      <alignment vertical="center"/>
    </xf>
    <xf numFmtId="0" fontId="112" fillId="0" borderId="0" xfId="1192" applyFont="1" applyAlignment="1">
      <alignment horizontal="left"/>
    </xf>
    <xf numFmtId="0" fontId="109" fillId="0" borderId="0" xfId="1192" applyFont="1" applyAlignment="1">
      <alignment horizontal="left"/>
    </xf>
    <xf numFmtId="0" fontId="10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1" fillId="0" borderId="4" xfId="4495" applyFont="1" applyBorder="1"/>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16" fillId="0" borderId="0" xfId="4496" applyNumberFormat="1" applyFont="1" applyAlignment="1">
      <alignment horizontal="center" vertical="top" wrapText="1"/>
    </xf>
    <xf numFmtId="168" fontId="116" fillId="0" borderId="0" xfId="4496" applyNumberFormat="1" applyFont="1" applyAlignment="1">
      <alignment vertical="top" wrapText="1"/>
    </xf>
    <xf numFmtId="165" fontId="116" fillId="0" borderId="64" xfId="4496" applyNumberFormat="1" applyFont="1" applyBorder="1" applyAlignment="1">
      <alignment horizontal="center" vertical="top" wrapText="1"/>
    </xf>
    <xf numFmtId="165" fontId="116" fillId="0" borderId="53" xfId="4496" applyNumberFormat="1" applyFont="1" applyBorder="1" applyAlignment="1">
      <alignment horizontal="left" vertical="top"/>
    </xf>
    <xf numFmtId="165" fontId="116" fillId="0" borderId="53" xfId="4496" applyNumberFormat="1" applyFont="1" applyBorder="1" applyAlignment="1">
      <alignment horizontal="center" vertical="top" wrapText="1"/>
    </xf>
    <xf numFmtId="168" fontId="116" fillId="0" borderId="0" xfId="4496" applyNumberFormat="1" applyFont="1" applyAlignment="1">
      <alignment vertical="top"/>
    </xf>
    <xf numFmtId="1" fontId="116" fillId="0" borderId="0" xfId="4496" applyNumberFormat="1" applyFont="1" applyAlignment="1">
      <alignment vertical="top" wrapText="1"/>
    </xf>
    <xf numFmtId="164" fontId="29" fillId="0" borderId="0" xfId="4495" applyNumberFormat="1" applyFont="1"/>
    <xf numFmtId="0" fontId="134" fillId="0" borderId="50" xfId="1192" applyFont="1" applyBorder="1" applyAlignment="1">
      <alignment horizontal="left"/>
    </xf>
    <xf numFmtId="0" fontId="135" fillId="0" borderId="51" xfId="4495" applyFont="1" applyBorder="1" applyAlignment="1">
      <alignment vertical="top"/>
    </xf>
    <xf numFmtId="0" fontId="134" fillId="0" borderId="51" xfId="4495" applyFont="1" applyBorder="1" applyAlignment="1">
      <alignment vertical="top" wrapText="1"/>
    </xf>
    <xf numFmtId="0" fontId="135" fillId="0" borderId="51" xfId="4495" applyFont="1" applyBorder="1"/>
    <xf numFmtId="0" fontId="135" fillId="0" borderId="53" xfId="1192" applyFont="1" applyBorder="1" applyAlignment="1">
      <alignment horizontal="left"/>
    </xf>
    <xf numFmtId="0" fontId="135" fillId="0" borderId="0" xfId="4495" applyFont="1" applyAlignment="1">
      <alignment vertical="top"/>
    </xf>
    <xf numFmtId="0" fontId="134" fillId="0" borderId="0" xfId="4495" applyFont="1" applyAlignment="1">
      <alignment vertical="top" wrapText="1"/>
    </xf>
    <xf numFmtId="0" fontId="135" fillId="0" borderId="0" xfId="4495" applyFont="1"/>
    <xf numFmtId="0" fontId="134" fillId="0" borderId="53" xfId="1192" applyFont="1" applyBorder="1" applyAlignment="1">
      <alignment horizontal="left"/>
    </xf>
    <xf numFmtId="0" fontId="134" fillId="0" borderId="57" xfId="1192" applyFont="1" applyBorder="1" applyAlignment="1">
      <alignment horizontal="left"/>
    </xf>
    <xf numFmtId="0" fontId="135" fillId="0" borderId="58" xfId="4495" applyFont="1" applyBorder="1" applyAlignment="1">
      <alignment vertical="top"/>
    </xf>
    <xf numFmtId="0" fontId="134" fillId="0" borderId="58" xfId="4495" applyFont="1" applyBorder="1" applyAlignment="1">
      <alignment vertical="top" wrapText="1"/>
    </xf>
    <xf numFmtId="0" fontId="135" fillId="0" borderId="58" xfId="4495" applyFont="1" applyBorder="1"/>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27" fillId="0" borderId="0" xfId="0" applyFont="1" applyAlignment="1">
      <alignment horizontal="center" vertical="center" wrapText="1"/>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21" fillId="0" borderId="12" xfId="543" quotePrefix="1" applyBorder="1"/>
    <xf numFmtId="0" fontId="50"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3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6" xfId="4495" applyFont="1" applyBorder="1" applyAlignment="1">
      <alignment vertical="top" wrapText="1"/>
    </xf>
    <xf numFmtId="0" fontId="13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6" xfId="4495" applyFont="1" applyBorder="1" applyAlignment="1">
      <alignment horizontal="left" vertical="top" wrapText="1"/>
    </xf>
    <xf numFmtId="2" fontId="11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3" xfId="4495" applyFont="1" applyBorder="1" applyAlignment="1">
      <alignment vertical="top" wrapText="1"/>
    </xf>
    <xf numFmtId="9" fontId="21" fillId="0" borderId="0" xfId="543" applyNumberFormat="1" applyAlignment="1">
      <alignment horizontal="center"/>
    </xf>
    <xf numFmtId="0" fontId="46" fillId="0" borderId="0" xfId="4496" applyFont="1"/>
    <xf numFmtId="168" fontId="50" fillId="5" borderId="11" xfId="0" applyNumberFormat="1" applyFont="1" applyFill="1" applyBorder="1" applyAlignment="1" applyProtection="1">
      <alignment vertical="top" wrapText="1"/>
      <protection locked="0"/>
    </xf>
    <xf numFmtId="43" fontId="48"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45" fillId="0" borderId="0" xfId="0" applyFont="1" applyAlignment="1">
      <alignment horizontal="left"/>
    </xf>
    <xf numFmtId="0" fontId="21" fillId="0" borderId="0" xfId="0" quotePrefix="1" applyFont="1" applyAlignment="1">
      <alignment horizontal="left"/>
    </xf>
    <xf numFmtId="0" fontId="45" fillId="0" borderId="0" xfId="1192" applyFont="1" applyAlignment="1">
      <alignment horizontal="left"/>
    </xf>
    <xf numFmtId="0" fontId="48"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16" fillId="0" borderId="0" xfId="4496" applyNumberFormat="1" applyFont="1" applyAlignment="1">
      <alignment horizontal="center" vertical="top" wrapText="1"/>
    </xf>
    <xf numFmtId="10" fontId="116" fillId="0" borderId="64" xfId="4496" applyNumberFormat="1" applyFont="1" applyBorder="1" applyAlignment="1">
      <alignment horizontal="center" vertical="top" wrapText="1"/>
    </xf>
    <xf numFmtId="10" fontId="116" fillId="0" borderId="53" xfId="4496" applyNumberFormat="1" applyFont="1" applyBorder="1" applyAlignment="1">
      <alignment horizontal="left" vertical="top"/>
    </xf>
    <xf numFmtId="0" fontId="116" fillId="0" borderId="0" xfId="4495" applyFont="1"/>
    <xf numFmtId="10" fontId="116" fillId="0" borderId="0" xfId="4495" applyNumberFormat="1" applyFont="1"/>
    <xf numFmtId="172" fontId="21" fillId="0" borderId="0" xfId="4495" applyNumberFormat="1" applyFont="1"/>
    <xf numFmtId="0" fontId="0" fillId="0" borderId="10" xfId="0" applyBorder="1" applyAlignment="1">
      <alignment horizontal="left"/>
    </xf>
    <xf numFmtId="1" fontId="21" fillId="0" borderId="0" xfId="1192" applyNumberFormat="1" applyAlignment="1">
      <alignment horizontal="center"/>
    </xf>
    <xf numFmtId="0" fontId="114" fillId="0" borderId="63" xfId="4495" applyBorder="1"/>
    <xf numFmtId="0" fontId="50"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4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49" fontId="28" fillId="0" borderId="0" xfId="0" applyNumberFormat="1" applyFont="1"/>
    <xf numFmtId="49" fontId="28" fillId="0" borderId="0" xfId="0" applyNumberFormat="1" applyFont="1" applyAlignment="1">
      <alignment vertical="top"/>
    </xf>
    <xf numFmtId="175" fontId="21" fillId="0" borderId="0" xfId="543" applyNumberFormat="1" applyAlignment="1">
      <alignment vertical="center"/>
    </xf>
    <xf numFmtId="0" fontId="92" fillId="43" borderId="6" xfId="4496" applyFont="1" applyFill="1" applyBorder="1" applyAlignment="1" applyProtection="1">
      <alignment horizontal="center"/>
      <protection locked="0"/>
    </xf>
    <xf numFmtId="0" fontId="92" fillId="0" borderId="0" xfId="4496" applyFont="1"/>
    <xf numFmtId="0" fontId="92" fillId="0" borderId="0" xfId="4496" applyFont="1" applyAlignment="1">
      <alignment wrapText="1"/>
    </xf>
    <xf numFmtId="0" fontId="130" fillId="0" borderId="0" xfId="4496" applyFont="1"/>
    <xf numFmtId="181" fontId="131" fillId="0" borderId="0" xfId="4498" applyNumberFormat="1" applyFont="1" applyBorder="1" applyProtection="1"/>
    <xf numFmtId="0" fontId="132" fillId="0" borderId="0" xfId="4496" applyFont="1" applyAlignment="1">
      <alignment vertical="center" wrapText="1"/>
    </xf>
    <xf numFmtId="49" fontId="92" fillId="0" borderId="0" xfId="4496" applyNumberFormat="1" applyFont="1" applyAlignment="1">
      <alignment horizontal="center"/>
    </xf>
    <xf numFmtId="182" fontId="92" fillId="0" borderId="6" xfId="4496" applyNumberFormat="1" applyFont="1" applyBorder="1"/>
    <xf numFmtId="0" fontId="92" fillId="0" borderId="0" xfId="4496" applyFont="1" applyAlignment="1">
      <alignment vertical="center"/>
    </xf>
    <xf numFmtId="182" fontId="92" fillId="0" borderId="0" xfId="4496" applyNumberFormat="1" applyFont="1" applyAlignment="1">
      <alignment vertical="center"/>
    </xf>
    <xf numFmtId="175" fontId="92" fillId="0" borderId="0" xfId="4499" applyNumberFormat="1" applyFont="1" applyFill="1" applyBorder="1" applyAlignment="1" applyProtection="1">
      <alignment horizontal="left" vertical="center"/>
    </xf>
    <xf numFmtId="9" fontId="92" fillId="0" borderId="0" xfId="4499" applyFont="1" applyFill="1" applyBorder="1" applyAlignment="1" applyProtection="1">
      <alignment vertical="center"/>
    </xf>
    <xf numFmtId="183" fontId="92" fillId="0" borderId="0" xfId="4496" applyNumberFormat="1" applyFont="1" applyAlignment="1">
      <alignment vertical="center" wrapText="1"/>
    </xf>
    <xf numFmtId="9" fontId="92" fillId="0" borderId="0" xfId="4499" applyFont="1" applyBorder="1" applyAlignment="1" applyProtection="1">
      <alignment vertical="center"/>
    </xf>
    <xf numFmtId="164" fontId="92" fillId="0" borderId="0" xfId="4496" applyNumberFormat="1" applyFont="1" applyAlignment="1">
      <alignment vertical="center" wrapText="1"/>
    </xf>
    <xf numFmtId="0" fontId="92" fillId="0" borderId="0" xfId="4496" applyFont="1" applyAlignment="1">
      <alignment horizontal="center" vertical="center"/>
    </xf>
    <xf numFmtId="182" fontId="92" fillId="0" borderId="11" xfId="8721" applyNumberFormat="1" applyFont="1" applyBorder="1" applyProtection="1"/>
    <xf numFmtId="182" fontId="92" fillId="0" borderId="11" xfId="4496" applyNumberFormat="1" applyFont="1" applyBorder="1"/>
    <xf numFmtId="164" fontId="92" fillId="0" borderId="0" xfId="4496" applyNumberFormat="1" applyFont="1" applyAlignment="1">
      <alignment wrapText="1"/>
    </xf>
    <xf numFmtId="49" fontId="92" fillId="0" borderId="0" xfId="4496" applyNumberFormat="1" applyFont="1" applyAlignment="1">
      <alignment horizontal="left"/>
    </xf>
    <xf numFmtId="0" fontId="133" fillId="0" borderId="0" xfId="4496" applyFont="1"/>
    <xf numFmtId="9" fontId="92" fillId="0" borderId="11" xfId="4494" applyFont="1" applyFill="1" applyBorder="1" applyAlignment="1" applyProtection="1">
      <alignment horizontal="right"/>
    </xf>
    <xf numFmtId="1" fontId="92" fillId="0" borderId="0" xfId="4496" applyNumberFormat="1" applyFont="1"/>
    <xf numFmtId="0" fontId="130" fillId="45" borderId="3" xfId="4496" applyFont="1" applyFill="1" applyBorder="1" applyAlignment="1">
      <alignment horizontal="left" indent="1"/>
    </xf>
    <xf numFmtId="0" fontId="92" fillId="45" borderId="4" xfId="4496" applyFont="1" applyFill="1" applyBorder="1"/>
    <xf numFmtId="2" fontId="92" fillId="45" borderId="5" xfId="4496" applyNumberFormat="1" applyFont="1" applyFill="1" applyBorder="1"/>
    <xf numFmtId="181" fontId="92" fillId="0" borderId="0" xfId="4496" applyNumberFormat="1" applyFont="1"/>
    <xf numFmtId="165" fontId="131" fillId="0" borderId="0" xfId="4499" applyNumberFormat="1" applyFont="1" applyFill="1" applyBorder="1" applyProtection="1"/>
    <xf numFmtId="9" fontId="92" fillId="0" borderId="0" xfId="4494" applyFont="1" applyFill="1" applyProtection="1"/>
    <xf numFmtId="0" fontId="92" fillId="0" borderId="11" xfId="4496" applyFont="1" applyBorder="1" applyAlignment="1">
      <alignment horizontal="center"/>
    </xf>
    <xf numFmtId="2" fontId="92" fillId="0" borderId="11" xfId="4496" applyNumberFormat="1" applyFont="1" applyBorder="1" applyAlignment="1">
      <alignment horizontal="center"/>
    </xf>
    <xf numFmtId="0" fontId="92" fillId="0" borderId="0" xfId="4496" applyFont="1" applyAlignment="1">
      <alignment vertical="top" wrapText="1"/>
    </xf>
    <xf numFmtId="0" fontId="92" fillId="0" borderId="11" xfId="4496" applyFont="1" applyBorder="1" applyAlignment="1">
      <alignment horizontal="center" vertical="top" wrapText="1"/>
    </xf>
    <xf numFmtId="182" fontId="92" fillId="0" borderId="0" xfId="8721" applyNumberFormat="1" applyFont="1" applyBorder="1" applyProtection="1"/>
    <xf numFmtId="0" fontId="92" fillId="0" borderId="0" xfId="4496" applyFont="1" applyAlignment="1">
      <alignment horizontal="left" indent="1"/>
    </xf>
    <xf numFmtId="182" fontId="92" fillId="0" borderId="0" xfId="4496" applyNumberFormat="1" applyFont="1"/>
    <xf numFmtId="184" fontId="92" fillId="0" borderId="0" xfId="4496" applyNumberFormat="1" applyFont="1"/>
    <xf numFmtId="0" fontId="92" fillId="0" borderId="0" xfId="4496" applyFont="1" applyAlignment="1">
      <alignment horizontal="left"/>
    </xf>
    <xf numFmtId="0" fontId="9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92" fillId="0" borderId="0" xfId="4496" applyFont="1" applyAlignment="1">
      <alignment horizontal="right"/>
    </xf>
    <xf numFmtId="0" fontId="92" fillId="0" borderId="15" xfId="4496" applyFont="1" applyBorder="1" applyAlignment="1">
      <alignment horizontal="center" vertical="top" wrapText="1"/>
    </xf>
    <xf numFmtId="2" fontId="92" fillId="0" borderId="15" xfId="4496" applyNumberFormat="1" applyFont="1" applyBorder="1" applyAlignment="1">
      <alignment horizontal="center"/>
    </xf>
    <xf numFmtId="0" fontId="92" fillId="0" borderId="15" xfId="4496" applyFont="1" applyBorder="1" applyAlignment="1">
      <alignment horizontal="center"/>
    </xf>
    <xf numFmtId="0" fontId="130" fillId="0" borderId="68" xfId="4496" applyFont="1" applyBorder="1" applyAlignment="1">
      <alignment horizontal="center" vertical="top" wrapText="1"/>
    </xf>
    <xf numFmtId="0" fontId="130" fillId="0" borderId="68" xfId="4496" applyFont="1" applyBorder="1" applyAlignment="1">
      <alignment horizontal="center"/>
    </xf>
    <xf numFmtId="0" fontId="144" fillId="0" borderId="0" xfId="4496" applyFont="1" applyAlignment="1">
      <alignment horizontal="right" vertical="center"/>
    </xf>
    <xf numFmtId="175" fontId="92" fillId="0" borderId="0" xfId="4499" applyNumberFormat="1" applyFont="1" applyFill="1" applyBorder="1" applyAlignment="1" applyProtection="1">
      <alignment horizontal="right" vertical="center"/>
    </xf>
    <xf numFmtId="0" fontId="92" fillId="0" borderId="66" xfId="4496" applyFont="1" applyBorder="1" applyAlignment="1">
      <alignment vertical="center"/>
    </xf>
    <xf numFmtId="0" fontId="92" fillId="0" borderId="41" xfId="4496" applyFont="1" applyBorder="1" applyAlignment="1">
      <alignment vertical="center"/>
    </xf>
    <xf numFmtId="182" fontId="92" fillId="0" borderId="73" xfId="4496" applyNumberFormat="1" applyFont="1" applyBorder="1" applyAlignment="1">
      <alignment vertical="center"/>
    </xf>
    <xf numFmtId="175" fontId="92" fillId="0" borderId="42" xfId="4499" applyNumberFormat="1" applyFont="1" applyFill="1" applyBorder="1" applyAlignment="1" applyProtection="1">
      <alignment horizontal="left" vertical="center"/>
    </xf>
    <xf numFmtId="0" fontId="92" fillId="0" borderId="42" xfId="4496" applyFont="1" applyBorder="1" applyAlignment="1">
      <alignment vertical="center"/>
    </xf>
    <xf numFmtId="0" fontId="92" fillId="0" borderId="44" xfId="4496" applyFont="1" applyBorder="1" applyAlignment="1">
      <alignment vertical="center"/>
    </xf>
    <xf numFmtId="49" fontId="92" fillId="0" borderId="0" xfId="4496" applyNumberFormat="1" applyFont="1" applyAlignment="1">
      <alignment horizontal="center" vertical="center"/>
    </xf>
    <xf numFmtId="0" fontId="92" fillId="0" borderId="65" xfId="4496" applyFont="1" applyBorder="1" applyAlignment="1">
      <alignment vertical="center"/>
    </xf>
    <xf numFmtId="0" fontId="92" fillId="0" borderId="29" xfId="4496" applyFont="1" applyBorder="1" applyAlignment="1">
      <alignment vertical="center"/>
    </xf>
    <xf numFmtId="0" fontId="92" fillId="0" borderId="29" xfId="4496" applyFont="1" applyBorder="1" applyAlignment="1">
      <alignment horizontal="right" vertical="center"/>
    </xf>
    <xf numFmtId="5" fontId="92" fillId="0" borderId="29" xfId="4496" applyNumberFormat="1" applyFont="1" applyBorder="1" applyAlignment="1">
      <alignment vertical="center"/>
    </xf>
    <xf numFmtId="0" fontId="92" fillId="0" borderId="31" xfId="4496" applyFont="1" applyBorder="1" applyAlignment="1">
      <alignment vertical="center"/>
    </xf>
    <xf numFmtId="175" fontId="130" fillId="0" borderId="42" xfId="4494" applyNumberFormat="1" applyFont="1" applyFill="1" applyBorder="1" applyAlignment="1" applyProtection="1">
      <alignment horizontal="center" vertical="center"/>
    </xf>
    <xf numFmtId="0" fontId="130" fillId="0" borderId="29" xfId="4496" applyFont="1" applyBorder="1" applyAlignment="1">
      <alignment vertical="center"/>
    </xf>
    <xf numFmtId="0" fontId="130" fillId="0" borderId="0" xfId="4496" applyFont="1" applyAlignment="1">
      <alignment vertical="center"/>
    </xf>
    <xf numFmtId="0" fontId="130" fillId="0" borderId="42" xfId="4496" applyFont="1" applyBorder="1" applyAlignment="1">
      <alignment vertical="center"/>
    </xf>
    <xf numFmtId="9" fontId="130" fillId="0" borderId="42" xfId="4499" applyFont="1" applyFill="1" applyBorder="1" applyAlignment="1" applyProtection="1">
      <alignment vertical="center"/>
    </xf>
    <xf numFmtId="182" fontId="130" fillId="0" borderId="68" xfId="8721" applyNumberFormat="1" applyFont="1" applyBorder="1" applyProtection="1"/>
    <xf numFmtId="182" fontId="130" fillId="0" borderId="68" xfId="4496" applyNumberFormat="1" applyFont="1" applyBorder="1"/>
    <xf numFmtId="0" fontId="144" fillId="0" borderId="0" xfId="4496" applyFont="1" applyAlignment="1">
      <alignment horizontal="right"/>
    </xf>
    <xf numFmtId="0" fontId="92" fillId="0" borderId="0" xfId="4496" applyFont="1" applyAlignment="1">
      <alignment horizontal="right" vertical="top" wrapText="1" indent="1"/>
    </xf>
    <xf numFmtId="182" fontId="92" fillId="0" borderId="6" xfId="8721" applyNumberFormat="1" applyFont="1" applyBorder="1" applyAlignment="1" applyProtection="1">
      <alignment horizontal="center"/>
    </xf>
    <xf numFmtId="0" fontId="92" fillId="0" borderId="0" xfId="4496" applyFont="1" applyAlignment="1">
      <alignment horizontal="right" indent="1"/>
    </xf>
    <xf numFmtId="0" fontId="92" fillId="0" borderId="0" xfId="4496" applyFont="1" applyAlignment="1">
      <alignment horizontal="right" vertical="top"/>
    </xf>
    <xf numFmtId="0" fontId="130" fillId="0" borderId="0" xfId="4496" applyFont="1" applyAlignment="1">
      <alignment horizontal="right"/>
    </xf>
    <xf numFmtId="182" fontId="130" fillId="0" borderId="0" xfId="8721" applyNumberFormat="1" applyFont="1" applyBorder="1" applyAlignment="1" applyProtection="1">
      <alignment horizontal="center"/>
    </xf>
    <xf numFmtId="10" fontId="92" fillId="0" borderId="0" xfId="4494" applyNumberFormat="1" applyFont="1" applyBorder="1" applyAlignment="1" applyProtection="1">
      <alignment horizontal="center"/>
    </xf>
    <xf numFmtId="184" fontId="92" fillId="0" borderId="6" xfId="4496" applyNumberFormat="1" applyFont="1" applyBorder="1"/>
    <xf numFmtId="0" fontId="130" fillId="0" borderId="0" xfId="4496" applyFont="1" applyAlignment="1">
      <alignment horizontal="right" vertical="top"/>
    </xf>
    <xf numFmtId="182" fontId="130" fillId="0" borderId="0" xfId="4496" applyNumberFormat="1" applyFont="1"/>
    <xf numFmtId="182" fontId="92" fillId="0" borderId="6" xfId="8721" applyNumberFormat="1" applyFont="1" applyBorder="1" applyProtection="1"/>
    <xf numFmtId="184" fontId="92" fillId="0" borderId="0" xfId="4496" applyNumberFormat="1" applyFont="1" applyAlignment="1">
      <alignment horizontal="center"/>
    </xf>
    <xf numFmtId="0" fontId="92" fillId="0" borderId="6" xfId="4496" applyFont="1" applyBorder="1" applyAlignment="1">
      <alignment horizontal="right" vertical="top" wrapText="1" indent="1"/>
    </xf>
    <xf numFmtId="0" fontId="92" fillId="0" borderId="67" xfId="4496" applyFont="1" applyBorder="1" applyAlignment="1">
      <alignment horizontal="right" indent="1"/>
    </xf>
    <xf numFmtId="0" fontId="92" fillId="0" borderId="72" xfId="4496" applyFont="1" applyBorder="1" applyAlignment="1">
      <alignment horizontal="right" indent="1"/>
    </xf>
    <xf numFmtId="0" fontId="92" fillId="0" borderId="72" xfId="4496" quotePrefix="1" applyFont="1" applyBorder="1" applyAlignment="1">
      <alignment horizontal="right" indent="1"/>
    </xf>
    <xf numFmtId="0" fontId="92" fillId="0" borderId="69" xfId="4496" applyFont="1" applyBorder="1" applyAlignment="1">
      <alignment horizontal="right" indent="1"/>
    </xf>
    <xf numFmtId="182" fontId="92" fillId="0" borderId="71" xfId="4496" applyNumberFormat="1" applyFont="1" applyBorder="1"/>
    <xf numFmtId="182" fontId="92" fillId="0" borderId="76" xfId="4496" applyNumberFormat="1" applyFont="1" applyBorder="1"/>
    <xf numFmtId="182" fontId="92" fillId="0" borderId="77" xfId="4496" applyNumberFormat="1" applyFont="1" applyBorder="1"/>
    <xf numFmtId="175" fontId="28" fillId="0" borderId="0" xfId="543" applyNumberFormat="1" applyFont="1" applyAlignment="1">
      <alignment vertical="center"/>
    </xf>
    <xf numFmtId="10" fontId="130" fillId="0" borderId="0" xfId="4494" applyNumberFormat="1" applyFont="1" applyProtection="1"/>
    <xf numFmtId="0" fontId="28" fillId="0" borderId="0" xfId="1192" applyFont="1" applyAlignment="1">
      <alignment horizontal="left" indent="1"/>
    </xf>
    <xf numFmtId="168" fontId="130" fillId="0" borderId="68" xfId="4499" applyNumberFormat="1" applyFont="1" applyFill="1" applyBorder="1" applyAlignment="1" applyProtection="1">
      <alignment horizontal="left" vertical="center" indent="1"/>
    </xf>
    <xf numFmtId="182" fontId="92" fillId="0" borderId="13" xfId="4496" applyNumberFormat="1" applyFont="1" applyBorder="1"/>
    <xf numFmtId="182" fontId="92" fillId="0" borderId="70" xfId="4496" applyNumberFormat="1" applyFont="1" applyBorder="1"/>
    <xf numFmtId="0" fontId="39" fillId="0" borderId="0" xfId="4495" applyFont="1" applyAlignment="1">
      <alignment vertical="center"/>
    </xf>
    <xf numFmtId="0" fontId="116" fillId="0" borderId="0" xfId="4496" applyFont="1" applyAlignment="1">
      <alignment vertical="center" wrapText="1"/>
    </xf>
    <xf numFmtId="0" fontId="26" fillId="43" borderId="0" xfId="1192" applyFont="1" applyFill="1"/>
    <xf numFmtId="3" fontId="63" fillId="43" borderId="6" xfId="1192" applyNumberFormat="1" applyFont="1" applyFill="1" applyBorder="1"/>
    <xf numFmtId="0" fontId="146" fillId="0" borderId="0" xfId="0" applyFont="1"/>
    <xf numFmtId="0" fontId="26" fillId="0" borderId="11" xfId="253" applyFont="1" applyBorder="1" applyAlignment="1" applyProtection="1">
      <alignment horizontal="center" wrapText="1"/>
      <protection locked="0"/>
    </xf>
    <xf numFmtId="0" fontId="147" fillId="0" borderId="0" xfId="0" applyFont="1"/>
    <xf numFmtId="0" fontId="14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21" fillId="43" borderId="3" xfId="569" applyFill="1" applyBorder="1"/>
    <xf numFmtId="0" fontId="15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3" fontId="26" fillId="43" borderId="11" xfId="271" applyNumberFormat="1" applyFont="1" applyFill="1" applyBorder="1" applyAlignment="1" applyProtection="1">
      <alignment horizontal="left"/>
      <protection locked="0"/>
    </xf>
    <xf numFmtId="0" fontId="92" fillId="43" borderId="6" xfId="4496" applyFont="1" applyFill="1" applyBorder="1" applyProtection="1">
      <protection locked="0"/>
    </xf>
    <xf numFmtId="1" fontId="92" fillId="0" borderId="0" xfId="4496" applyNumberFormat="1" applyFont="1" applyProtection="1">
      <protection locked="0"/>
    </xf>
    <xf numFmtId="182" fontId="156" fillId="0" borderId="11" xfId="4496" applyNumberFormat="1" applyFont="1" applyBorder="1"/>
    <xf numFmtId="44" fontId="92" fillId="0" borderId="0" xfId="4496" applyNumberFormat="1" applyFont="1"/>
    <xf numFmtId="182" fontId="26" fillId="0" borderId="11" xfId="4496" applyNumberFormat="1" applyFont="1" applyBorder="1"/>
    <xf numFmtId="9" fontId="92" fillId="0" borderId="0" xfId="4494" applyFont="1"/>
    <xf numFmtId="182" fontId="92" fillId="43" borderId="6" xfId="8721" applyNumberFormat="1" applyFont="1" applyFill="1" applyBorder="1" applyProtection="1">
      <protection locked="0"/>
    </xf>
    <xf numFmtId="168" fontId="168" fillId="48" borderId="79" xfId="700" applyNumberFormat="1" applyFont="1" applyFill="1" applyBorder="1" applyAlignment="1" applyProtection="1">
      <protection locked="0"/>
    </xf>
    <xf numFmtId="3" fontId="43" fillId="10" borderId="0" xfId="543" applyNumberFormat="1" applyFont="1" applyFill="1" applyAlignment="1">
      <alignment vertical="center" wrapText="1"/>
    </xf>
    <xf numFmtId="0" fontId="175" fillId="0" borderId="0" xfId="543" applyFont="1" applyAlignment="1">
      <alignment horizontal="left" vertical="center"/>
    </xf>
    <xf numFmtId="0" fontId="176" fillId="0" borderId="0" xfId="543" applyFont="1" applyAlignment="1">
      <alignment horizontal="right" vertical="top" wrapText="1"/>
    </xf>
    <xf numFmtId="168" fontId="176" fillId="0" borderId="0" xfId="543" applyNumberFormat="1" applyFont="1" applyAlignment="1">
      <alignment horizontal="center" vertical="center"/>
    </xf>
    <xf numFmtId="0" fontId="177" fillId="0" borderId="0" xfId="543" applyFont="1" applyAlignment="1">
      <alignment horizontal="left" vertical="center"/>
    </xf>
    <xf numFmtId="0" fontId="177" fillId="0" borderId="0" xfId="543" applyFont="1" applyAlignment="1">
      <alignment horizontal="right" vertical="top" wrapText="1"/>
    </xf>
    <xf numFmtId="168" fontId="176" fillId="0" borderId="104" xfId="543" applyNumberFormat="1" applyFont="1" applyBorder="1" applyAlignment="1">
      <alignment horizontal="center" vertical="center"/>
    </xf>
    <xf numFmtId="0" fontId="17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6" fillId="52" borderId="113" xfId="0" applyFont="1" applyFill="1" applyBorder="1"/>
    <xf numFmtId="0" fontId="11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21" fillId="0" borderId="0" xfId="0" applyNumberFormat="1" applyFont="1"/>
    <xf numFmtId="185" fontId="162" fillId="0" borderId="0" xfId="698" applyNumberFormat="1" applyFont="1"/>
    <xf numFmtId="0" fontId="179" fillId="0" borderId="0" xfId="0" applyFont="1" applyAlignment="1">
      <alignment horizontal="center"/>
    </xf>
    <xf numFmtId="0" fontId="21" fillId="0" borderId="0" xfId="569" quotePrefix="1"/>
    <xf numFmtId="168" fontId="149" fillId="0" borderId="0" xfId="0" applyNumberFormat="1" applyFont="1" applyAlignment="1">
      <alignment vertical="center" wrapText="1"/>
    </xf>
    <xf numFmtId="168" fontId="18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16" fillId="0" borderId="58" xfId="4496" applyFont="1" applyBorder="1" applyAlignment="1">
      <alignment vertical="center"/>
    </xf>
    <xf numFmtId="0" fontId="28" fillId="0" borderId="5" xfId="4495" applyFont="1" applyBorder="1"/>
    <xf numFmtId="182" fontId="92" fillId="0" borderId="6" xfId="4496" applyNumberFormat="1" applyFont="1" applyBorder="1" applyAlignment="1">
      <alignment vertical="center"/>
    </xf>
    <xf numFmtId="1" fontId="92" fillId="0" borderId="0" xfId="4496" applyNumberFormat="1" applyFont="1" applyAlignment="1">
      <alignment horizontal="right" vertical="top" wrapText="1" indent="1"/>
    </xf>
    <xf numFmtId="3" fontId="92" fillId="43" borderId="6" xfId="4496" applyNumberFormat="1" applyFont="1" applyFill="1" applyBorder="1" applyAlignment="1" applyProtection="1">
      <alignment horizontal="center"/>
      <protection locked="0"/>
    </xf>
    <xf numFmtId="0" fontId="5" fillId="0" borderId="0" xfId="8736"/>
    <xf numFmtId="0" fontId="162" fillId="0" borderId="0" xfId="8736" applyFont="1"/>
    <xf numFmtId="0" fontId="97" fillId="0" borderId="0" xfId="8736" applyFont="1"/>
    <xf numFmtId="0" fontId="5" fillId="47" borderId="66" xfId="8736" applyFill="1" applyBorder="1"/>
    <xf numFmtId="0" fontId="5" fillId="47" borderId="0" xfId="8736" applyFill="1"/>
    <xf numFmtId="0" fontId="96" fillId="47" borderId="0" xfId="8736" applyFont="1" applyFill="1"/>
    <xf numFmtId="182" fontId="167" fillId="47" borderId="0" xfId="8737" applyNumberFormat="1" applyFont="1" applyFill="1" applyBorder="1" applyAlignment="1"/>
    <xf numFmtId="0" fontId="5" fillId="47" borderId="41" xfId="8736" applyFill="1" applyBorder="1"/>
    <xf numFmtId="0" fontId="97" fillId="47" borderId="0" xfId="8736" applyFont="1" applyFill="1"/>
    <xf numFmtId="0" fontId="171" fillId="47" borderId="0" xfId="8736" applyFont="1" applyFill="1"/>
    <xf numFmtId="0" fontId="96" fillId="47" borderId="41" xfId="8736" applyFont="1" applyFill="1" applyBorder="1"/>
    <xf numFmtId="0" fontId="96" fillId="0" borderId="0" xfId="8736" applyFont="1"/>
    <xf numFmtId="0" fontId="159" fillId="0" borderId="0" xfId="8736" applyFont="1"/>
    <xf numFmtId="0" fontId="96" fillId="54" borderId="100" xfId="8736" applyFont="1" applyFill="1" applyBorder="1"/>
    <xf numFmtId="0" fontId="5" fillId="53" borderId="99" xfId="8736" applyFill="1" applyBorder="1"/>
    <xf numFmtId="0" fontId="5" fillId="52" borderId="99" xfId="8736" applyFill="1" applyBorder="1"/>
    <xf numFmtId="0" fontId="9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96" fillId="45" borderId="0" xfId="8736" applyFont="1" applyFill="1"/>
    <xf numFmtId="0" fontId="96" fillId="45" borderId="12" xfId="8736" applyFont="1" applyFill="1" applyBorder="1"/>
    <xf numFmtId="0" fontId="96" fillId="45" borderId="29" xfId="8736" applyFont="1" applyFill="1" applyBorder="1"/>
    <xf numFmtId="0" fontId="96" fillId="45" borderId="80" xfId="8736" applyFont="1" applyFill="1" applyBorder="1"/>
    <xf numFmtId="0" fontId="96" fillId="45" borderId="79" xfId="8736" applyFont="1" applyFill="1" applyBorder="1"/>
    <xf numFmtId="0" fontId="96" fillId="45" borderId="78" xfId="8736" applyFont="1" applyFill="1" applyBorder="1"/>
    <xf numFmtId="0" fontId="96" fillId="45" borderId="93" xfId="8736" applyFont="1" applyFill="1" applyBorder="1"/>
    <xf numFmtId="0" fontId="96" fillId="45" borderId="6" xfId="8736" applyFont="1" applyFill="1" applyBorder="1"/>
    <xf numFmtId="0" fontId="96" fillId="45" borderId="10" xfId="8736" applyFont="1" applyFill="1" applyBorder="1"/>
    <xf numFmtId="0" fontId="162" fillId="44" borderId="0" xfId="8736" applyFont="1" applyFill="1"/>
    <xf numFmtId="10" fontId="162" fillId="44" borderId="0" xfId="1022" applyNumberFormat="1" applyFont="1" applyFill="1"/>
    <xf numFmtId="0" fontId="5" fillId="45" borderId="29" xfId="8736" applyFill="1" applyBorder="1"/>
    <xf numFmtId="0" fontId="5" fillId="45" borderId="31" xfId="8736" applyFill="1" applyBorder="1"/>
    <xf numFmtId="0" fontId="96" fillId="45" borderId="92" xfId="8736" applyFont="1" applyFill="1" applyBorder="1"/>
    <xf numFmtId="0" fontId="96" fillId="45" borderId="74" xfId="8736" applyFont="1" applyFill="1" applyBorder="1"/>
    <xf numFmtId="0" fontId="173" fillId="47" borderId="0" xfId="8736" applyFont="1" applyFill="1"/>
    <xf numFmtId="0" fontId="96" fillId="45" borderId="31" xfId="8736" applyFont="1" applyFill="1" applyBorder="1"/>
    <xf numFmtId="0" fontId="5" fillId="47" borderId="0" xfId="8736" applyFill="1" applyAlignment="1">
      <alignment horizontal="left"/>
    </xf>
    <xf numFmtId="0" fontId="165" fillId="51" borderId="11" xfId="8736" applyFont="1" applyFill="1" applyBorder="1"/>
    <xf numFmtId="0" fontId="165" fillId="51" borderId="76" xfId="8736" applyFont="1" applyFill="1" applyBorder="1"/>
    <xf numFmtId="0" fontId="5" fillId="48" borderId="66" xfId="8736" applyFill="1" applyBorder="1"/>
    <xf numFmtId="0" fontId="5" fillId="48" borderId="0" xfId="8736" applyFill="1"/>
    <xf numFmtId="0" fontId="5" fillId="48" borderId="78" xfId="8736" applyFill="1" applyBorder="1"/>
    <xf numFmtId="0" fontId="96" fillId="47" borderId="66" xfId="8736" applyFont="1" applyFill="1" applyBorder="1"/>
    <xf numFmtId="49" fontId="9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57" fillId="0" borderId="0" xfId="8736" applyFont="1"/>
    <xf numFmtId="0" fontId="21" fillId="0" borderId="0" xfId="0" applyFont="1" applyAlignment="1">
      <alignment horizontal="left" vertical="top" wrapText="1"/>
    </xf>
    <xf numFmtId="0" fontId="21" fillId="0" borderId="0" xfId="1192" applyAlignment="1">
      <alignment horizontal="left" vertical="top" wrapText="1"/>
    </xf>
    <xf numFmtId="0" fontId="28" fillId="0" borderId="0" xfId="0" applyFont="1" applyAlignment="1">
      <alignment horizontal="left" vertical="top" wrapText="1"/>
    </xf>
    <xf numFmtId="0" fontId="44" fillId="0" borderId="0" xfId="0" applyFont="1" applyAlignment="1">
      <alignment horizontal="left" vertical="top" wrapText="1"/>
    </xf>
    <xf numFmtId="0" fontId="21" fillId="0" borderId="0" xfId="0" applyFont="1" applyAlignment="1">
      <alignment horizontal="left" wrapText="1"/>
    </xf>
    <xf numFmtId="0" fontId="22" fillId="0" borderId="0" xfId="244" applyAlignment="1">
      <alignment horizontal="left" vertical="top"/>
    </xf>
    <xf numFmtId="0" fontId="21" fillId="0" borderId="0" xfId="569" applyAlignment="1">
      <alignment wrapText="1"/>
    </xf>
    <xf numFmtId="0" fontId="21" fillId="0" borderId="0" xfId="1192" applyAlignment="1">
      <alignment vertical="top" wrapText="1"/>
    </xf>
    <xf numFmtId="0" fontId="39" fillId="0" borderId="0" xfId="569" applyFont="1" applyAlignment="1">
      <alignment horizontal="center"/>
    </xf>
    <xf numFmtId="0" fontId="28" fillId="0" borderId="0" xfId="569" applyFont="1" applyAlignment="1">
      <alignment horizontal="center"/>
    </xf>
    <xf numFmtId="0" fontId="21" fillId="0" borderId="0" xfId="569" applyAlignment="1">
      <alignment horizontal="left" vertical="top" wrapText="1"/>
    </xf>
    <xf numFmtId="0" fontId="21" fillId="0" borderId="0" xfId="569" applyAlignment="1">
      <alignment horizontal="left"/>
    </xf>
    <xf numFmtId="4" fontId="21" fillId="0" borderId="0" xfId="1192" applyNumberFormat="1" applyAlignment="1">
      <alignment horizontal="left" vertical="top" wrapText="1"/>
    </xf>
    <xf numFmtId="0" fontId="21" fillId="0" borderId="0" xfId="569"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0" fontId="28" fillId="0" borderId="0" xfId="569" applyFont="1" applyAlignment="1">
      <alignment horizontal="left"/>
    </xf>
    <xf numFmtId="0" fontId="21" fillId="0" borderId="0" xfId="1192"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0" fontId="28" fillId="0" borderId="4" xfId="0" applyFont="1" applyBorder="1" applyAlignment="1">
      <alignment horizontal="left"/>
    </xf>
    <xf numFmtId="0" fontId="21" fillId="0" borderId="0" xfId="569" applyAlignment="1">
      <alignment vertical="top" wrapText="1"/>
    </xf>
    <xf numFmtId="4" fontId="21" fillId="0" borderId="0" xfId="0"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1192" applyFont="1" applyAlignment="1">
      <alignment horizontal="left" vertical="top" wrapText="1"/>
    </xf>
    <xf numFmtId="0" fontId="21" fillId="0" borderId="0" xfId="0" applyFont="1" applyAlignment="1">
      <alignment vertical="top"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0" borderId="4" xfId="0" applyFont="1" applyBorder="1" applyAlignment="1">
      <alignment horizontal="center"/>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0" fontId="28" fillId="0" borderId="6" xfId="0" applyFont="1" applyBorder="1" applyAlignment="1">
      <alignment horizontal="center"/>
    </xf>
    <xf numFmtId="0" fontId="21"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21" fillId="0" borderId="0" xfId="0" applyFont="1" applyAlignment="1">
      <alignment wrapText="1"/>
    </xf>
    <xf numFmtId="0" fontId="0" fillId="0" borderId="0" xfId="0" applyAlignment="1">
      <alignment vertical="top" wrapText="1"/>
    </xf>
    <xf numFmtId="0" fontId="21" fillId="0" borderId="0" xfId="543" applyAlignment="1">
      <alignment horizontal="center"/>
    </xf>
    <xf numFmtId="0" fontId="0" fillId="0" borderId="3"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0" fontId="21" fillId="0" borderId="3" xfId="0" applyFont="1" applyBorder="1"/>
    <xf numFmtId="0" fontId="21" fillId="0" borderId="4" xfId="0" applyFont="1" applyBorder="1"/>
    <xf numFmtId="0" fontId="21" fillId="0" borderId="5" xfId="0" applyFont="1" applyBorder="1"/>
    <xf numFmtId="0" fontId="28" fillId="0" borderId="7" xfId="0" applyFont="1" applyBorder="1" applyAlignment="1">
      <alignment horizontal="right"/>
    </xf>
    <xf numFmtId="0" fontId="28" fillId="0" borderId="2" xfId="0" applyFont="1" applyBorder="1" applyAlignment="1">
      <alignment horizontal="center"/>
    </xf>
    <xf numFmtId="0" fontId="28" fillId="0" borderId="8" xfId="0" applyFont="1" applyBorder="1" applyAlignment="1">
      <alignment horizontal="center" wrapText="1"/>
    </xf>
    <xf numFmtId="0" fontId="28" fillId="0" borderId="1" xfId="0" applyFont="1" applyBorder="1" applyAlignment="1">
      <alignment horizontal="center" wrapText="1"/>
    </xf>
    <xf numFmtId="0" fontId="28" fillId="0" borderId="0" xfId="0" applyFont="1" applyAlignment="1">
      <alignment horizontal="center" vertical="center"/>
    </xf>
    <xf numFmtId="0" fontId="47"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9" fillId="0" borderId="0" xfId="0" applyFont="1" applyAlignment="1">
      <alignment horizontal="center"/>
    </xf>
    <xf numFmtId="0" fontId="50" fillId="0" borderId="0" xfId="0" applyFont="1" applyAlignment="1">
      <alignment vertical="top" wrapText="1"/>
    </xf>
    <xf numFmtId="0" fontId="21" fillId="0" borderId="0" xfId="569" applyAlignment="1">
      <alignment horizontal="right" vertical="top" wrapText="1"/>
    </xf>
    <xf numFmtId="0" fontId="96" fillId="47" borderId="41" xfId="8736" applyFont="1" applyFill="1" applyBorder="1" applyAlignment="1">
      <alignment horizontal="center"/>
    </xf>
    <xf numFmtId="0" fontId="166" fillId="51" borderId="11" xfId="8736" applyFont="1" applyFill="1" applyBorder="1" applyAlignment="1">
      <alignment horizontal="center"/>
    </xf>
    <xf numFmtId="0" fontId="166" fillId="51" borderId="76" xfId="8736" applyFont="1" applyFill="1" applyBorder="1" applyAlignment="1">
      <alignment horizontal="center"/>
    </xf>
    <xf numFmtId="0" fontId="50" fillId="0" borderId="0" xfId="569" applyFont="1" applyAlignment="1">
      <alignment horizontal="left"/>
    </xf>
    <xf numFmtId="0" fontId="21" fillId="0" borderId="0" xfId="4495" applyFont="1" applyAlignment="1">
      <alignment horizontal="left" vertical="top" wrapText="1"/>
    </xf>
    <xf numFmtId="0" fontId="28" fillId="0" borderId="0" xfId="4495" applyFont="1" applyAlignment="1">
      <alignment horizontal="center" vertical="top"/>
    </xf>
    <xf numFmtId="0" fontId="21" fillId="0" borderId="0" xfId="4495" applyFont="1" applyAlignment="1">
      <alignment wrapText="1"/>
    </xf>
    <xf numFmtId="0" fontId="21" fillId="0" borderId="0" xfId="4495" applyFont="1" applyAlignment="1">
      <alignment horizontal="left"/>
    </xf>
    <xf numFmtId="0" fontId="114" fillId="0" borderId="0" xfId="4495" applyAlignment="1">
      <alignment horizontal="center"/>
    </xf>
    <xf numFmtId="0" fontId="21" fillId="0" borderId="58" xfId="4495" applyFont="1" applyBorder="1" applyAlignment="1">
      <alignment horizontal="left" vertical="top" wrapText="1"/>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8" fillId="0" borderId="0" xfId="4495" applyFont="1" applyAlignment="1">
      <alignment horizontal="right"/>
    </xf>
    <xf numFmtId="0" fontId="21" fillId="0" borderId="0" xfId="4495" applyFont="1" applyAlignment="1">
      <alignment horizontal="left" vertical="center" wrapText="1"/>
    </xf>
    <xf numFmtId="0" fontId="29" fillId="0" borderId="0" xfId="4495" applyFont="1" applyAlignment="1">
      <alignment horizontal="center"/>
    </xf>
    <xf numFmtId="0" fontId="123" fillId="0" borderId="0" xfId="4495" applyFont="1" applyAlignment="1">
      <alignment horizontal="left" vertical="top" wrapText="1"/>
    </xf>
    <xf numFmtId="0" fontId="28" fillId="0" borderId="0" xfId="4495" applyFont="1" applyAlignment="1">
      <alignment horizontal="center"/>
    </xf>
    <xf numFmtId="0" fontId="28" fillId="0" borderId="54" xfId="4495" applyFont="1" applyBorder="1" applyAlignment="1">
      <alignment horizontal="center"/>
    </xf>
    <xf numFmtId="0" fontId="28" fillId="0" borderId="54" xfId="4495" applyFont="1" applyBorder="1" applyAlignment="1">
      <alignment horizontal="center" vertical="top"/>
    </xf>
    <xf numFmtId="0" fontId="114" fillId="0" borderId="53" xfId="4495" applyBorder="1" applyAlignment="1">
      <alignment horizontal="center"/>
    </xf>
    <xf numFmtId="0" fontId="28" fillId="0" borderId="4" xfId="4495" applyFont="1" applyBorder="1" applyAlignment="1">
      <alignment horizontal="left"/>
    </xf>
    <xf numFmtId="0" fontId="28" fillId="0" borderId="5" xfId="4495" applyFont="1" applyBorder="1" applyAlignment="1">
      <alignment horizontal="left"/>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165" fontId="21" fillId="0" borderId="0" xfId="1192" applyNumberFormat="1" applyAlignment="1">
      <alignment horizontal="right"/>
    </xf>
    <xf numFmtId="0" fontId="21" fillId="0" borderId="51" xfId="4495" applyFont="1" applyBorder="1" applyAlignment="1">
      <alignment horizontal="left" vertical="top" wrapText="1"/>
    </xf>
    <xf numFmtId="0" fontId="28" fillId="0" borderId="0" xfId="4495" applyFont="1" applyAlignment="1">
      <alignment horizontal="left" vertical="top"/>
    </xf>
    <xf numFmtId="0" fontId="114" fillId="0" borderId="0" xfId="4495" applyAlignment="1" applyProtection="1">
      <alignment horizontal="center"/>
      <protection locked="0"/>
    </xf>
    <xf numFmtId="0" fontId="21" fillId="0" borderId="0" xfId="1192" applyAlignment="1">
      <alignment horizontal="right"/>
    </xf>
    <xf numFmtId="0" fontId="116" fillId="0" borderId="53" xfId="4496" applyFont="1" applyBorder="1" applyAlignment="1">
      <alignment horizontal="left" vertical="top" wrapText="1"/>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9" fontId="21" fillId="0" borderId="0" xfId="1192" quotePrefix="1" applyNumberFormat="1" applyAlignment="1">
      <alignment horizontal="center"/>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168" fontId="92" fillId="0" borderId="11" xfId="4499" applyNumberFormat="1" applyFont="1" applyFill="1" applyBorder="1" applyAlignment="1" applyProtection="1">
      <alignment horizontal="left" vertical="center" indent="1"/>
    </xf>
    <xf numFmtId="0" fontId="43" fillId="0" borderId="0" xfId="0" applyFont="1"/>
    <xf numFmtId="0" fontId="21" fillId="8" borderId="0" xfId="542" quotePrefix="1" applyFont="1" applyFill="1" applyAlignment="1">
      <alignment horizontal="left"/>
    </xf>
    <xf numFmtId="0" fontId="28" fillId="8" borderId="0" xfId="539" applyFont="1" applyFill="1" applyAlignment="1" applyProtection="1">
      <alignment horizontal="centerContinuous"/>
    </xf>
    <xf numFmtId="0" fontId="21" fillId="8" borderId="0" xfId="542" applyFont="1" applyFill="1"/>
    <xf numFmtId="168" fontId="28" fillId="0" borderId="6" xfId="543" applyNumberFormat="1" applyFont="1" applyBorder="1" applyAlignment="1">
      <alignment horizontal="left"/>
    </xf>
    <xf numFmtId="168" fontId="28" fillId="0" borderId="6" xfId="543" applyNumberFormat="1" applyFont="1" applyBorder="1" applyAlignment="1">
      <alignment horizontal="center"/>
    </xf>
    <xf numFmtId="0" fontId="45" fillId="0" borderId="0" xfId="244" applyFont="1" applyFill="1" applyBorder="1" applyAlignment="1" applyProtection="1">
      <alignment horizontal="left"/>
    </xf>
    <xf numFmtId="0" fontId="21" fillId="0" borderId="0" xfId="0" applyFont="1" applyAlignment="1">
      <alignment horizontal="left" indent="4"/>
    </xf>
    <xf numFmtId="0" fontId="21" fillId="9" borderId="6" xfId="0" applyFont="1" applyFill="1" applyBorder="1"/>
    <xf numFmtId="166" fontId="21" fillId="0" borderId="0" xfId="0" applyNumberFormat="1" applyFont="1" applyAlignment="1">
      <alignment horizontal="left"/>
    </xf>
    <xf numFmtId="166" fontId="21" fillId="0" borderId="0" xfId="0" applyNumberFormat="1" applyFont="1"/>
    <xf numFmtId="168" fontId="21" fillId="0" borderId="0" xfId="0" applyNumberFormat="1" applyFont="1" applyAlignment="1">
      <alignment horizontal="right"/>
    </xf>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5" fontId="21" fillId="0" borderId="0" xfId="542" applyNumberFormat="1" applyFont="1"/>
    <xf numFmtId="0" fontId="21" fillId="0" borderId="11" xfId="0" applyFont="1" applyBorder="1" applyAlignment="1">
      <alignment horizontal="left"/>
    </xf>
    <xf numFmtId="0" fontId="21" fillId="0" borderId="7" xfId="0" applyFont="1" applyBorder="1"/>
    <xf numFmtId="0" fontId="21" fillId="0" borderId="12" xfId="0" applyFont="1" applyBorder="1"/>
    <xf numFmtId="0" fontId="21" fillId="0" borderId="10" xfId="0" applyFont="1" applyBorder="1"/>
    <xf numFmtId="0" fontId="31" fillId="0" borderId="0" xfId="543" applyFont="1"/>
    <xf numFmtId="0" fontId="21" fillId="0" borderId="1" xfId="0" applyFont="1" applyBorder="1"/>
    <xf numFmtId="0" fontId="39" fillId="0" borderId="7" xfId="543" applyFont="1" applyBorder="1"/>
    <xf numFmtId="0" fontId="28" fillId="0" borderId="12" xfId="543" applyFont="1" applyBorder="1" applyAlignment="1">
      <alignment horizontal="center" vertical="top"/>
    </xf>
    <xf numFmtId="0" fontId="29" fillId="0" borderId="8" xfId="543" applyFont="1" applyBorder="1" applyAlignment="1">
      <alignment horizontal="left" vertical="top" wrapText="1"/>
    </xf>
    <xf numFmtId="0" fontId="29" fillId="0" borderId="12" xfId="543" applyFont="1" applyBorder="1" applyAlignment="1">
      <alignment horizontal="center" vertical="top" wrapText="1"/>
    </xf>
    <xf numFmtId="0" fontId="29" fillId="0" borderId="1" xfId="543" applyFont="1" applyBorder="1" applyAlignment="1">
      <alignment horizontal="left" vertical="top" wrapText="1"/>
    </xf>
    <xf numFmtId="0" fontId="29" fillId="0" borderId="2" xfId="543" applyFont="1" applyBorder="1" applyAlignment="1">
      <alignment horizontal="center" vertical="top" wrapText="1"/>
    </xf>
    <xf numFmtId="0" fontId="29" fillId="0" borderId="0" xfId="543" applyFont="1" applyAlignment="1">
      <alignment horizontal="center" vertical="top" wrapText="1"/>
    </xf>
    <xf numFmtId="0" fontId="29" fillId="0" borderId="9" xfId="543" applyFont="1" applyBorder="1" applyAlignment="1">
      <alignment horizontal="left" vertical="top" wrapText="1"/>
    </xf>
    <xf numFmtId="0" fontId="29" fillId="0" borderId="6" xfId="543" applyFont="1" applyBorder="1" applyAlignment="1">
      <alignment horizontal="center" vertical="top" wrapText="1"/>
    </xf>
    <xf numFmtId="0" fontId="28" fillId="0" borderId="0" xfId="543" applyFont="1" applyAlignment="1">
      <alignment horizontal="center"/>
    </xf>
    <xf numFmtId="0" fontId="37" fillId="0" borderId="9" xfId="543" applyFont="1" applyBorder="1" applyAlignment="1">
      <alignment horizontal="left" vertical="top" wrapText="1"/>
    </xf>
    <xf numFmtId="0" fontId="21" fillId="0" borderId="15" xfId="0" applyFont="1" applyBorder="1"/>
    <xf numFmtId="0" fontId="37" fillId="0" borderId="8" xfId="543" applyFont="1" applyBorder="1" applyAlignment="1">
      <alignment horizontal="left" vertical="top" wrapText="1"/>
    </xf>
    <xf numFmtId="0" fontId="37" fillId="0" borderId="0" xfId="543" applyFont="1" applyAlignment="1">
      <alignment horizontal="center" vertical="top" wrapText="1"/>
    </xf>
    <xf numFmtId="2" fontId="21" fillId="0" borderId="11" xfId="0" applyNumberFormat="1" applyFont="1" applyBorder="1"/>
    <xf numFmtId="0" fontId="29" fillId="0" borderId="0" xfId="543" applyFont="1" applyAlignment="1">
      <alignment horizontal="center"/>
    </xf>
    <xf numFmtId="0" fontId="37" fillId="0" borderId="4" xfId="543" applyFont="1" applyBorder="1" applyAlignment="1">
      <alignment horizontal="right" vertical="top" wrapText="1"/>
    </xf>
    <xf numFmtId="0" fontId="37" fillId="0" borderId="0" xfId="543" applyFont="1" applyAlignment="1">
      <alignment horizontal="right" vertical="top" wrapText="1"/>
    </xf>
    <xf numFmtId="0" fontId="28" fillId="0" borderId="0" xfId="543" applyFont="1" applyAlignment="1">
      <alignment horizontal="right" vertical="top" wrapText="1"/>
    </xf>
    <xf numFmtId="0" fontId="28" fillId="0" borderId="2" xfId="543" applyFont="1" applyBorder="1" applyAlignment="1">
      <alignment horizontal="right" vertical="top" wrapText="1"/>
    </xf>
    <xf numFmtId="0" fontId="28" fillId="0" borderId="0" xfId="543" applyFont="1" applyAlignment="1">
      <alignment vertical="center" wrapText="1"/>
    </xf>
    <xf numFmtId="0" fontId="29" fillId="0" borderId="0" xfId="543" applyFont="1"/>
    <xf numFmtId="0" fontId="21" fillId="0" borderId="0" xfId="543" applyAlignment="1">
      <alignment horizontal="left"/>
    </xf>
    <xf numFmtId="0" fontId="50" fillId="4" borderId="11" xfId="0" applyFont="1" applyFill="1" applyBorder="1" applyAlignment="1">
      <alignment vertical="top" wrapText="1"/>
    </xf>
    <xf numFmtId="0" fontId="50" fillId="2" borderId="11" xfId="0" applyFont="1" applyFill="1" applyBorder="1" applyAlignment="1">
      <alignment vertical="top" wrapText="1"/>
    </xf>
    <xf numFmtId="168" fontId="50" fillId="6" borderId="11" xfId="0" applyNumberFormat="1" applyFont="1" applyFill="1" applyBorder="1" applyAlignment="1">
      <alignment horizontal="center" vertical="top" wrapText="1"/>
    </xf>
    <xf numFmtId="0" fontId="50" fillId="0" borderId="11" xfId="0" applyFont="1" applyBorder="1" applyAlignment="1">
      <alignment horizontal="right" vertical="top"/>
    </xf>
    <xf numFmtId="168" fontId="50" fillId="0" borderId="11" xfId="0" applyNumberFormat="1" applyFont="1" applyBorder="1" applyAlignment="1">
      <alignment vertical="top"/>
    </xf>
    <xf numFmtId="168" fontId="50" fillId="5" borderId="11" xfId="0" applyNumberFormat="1" applyFont="1" applyFill="1" applyBorder="1" applyAlignment="1" applyProtection="1">
      <alignment vertical="top"/>
      <protection locked="0"/>
    </xf>
    <xf numFmtId="168" fontId="50" fillId="6" borderId="11" xfId="0" applyNumberFormat="1" applyFont="1" applyFill="1" applyBorder="1" applyAlignment="1">
      <alignment horizontal="center" vertical="top"/>
    </xf>
    <xf numFmtId="0" fontId="50" fillId="2" borderId="11" xfId="0" applyFont="1" applyFill="1" applyBorder="1" applyAlignment="1" applyProtection="1">
      <alignment vertical="top"/>
      <protection locked="0"/>
    </xf>
    <xf numFmtId="168" fontId="50" fillId="44" borderId="11" xfId="0" applyNumberFormat="1" applyFont="1" applyFill="1" applyBorder="1" applyAlignment="1">
      <alignment vertical="top" wrapText="1"/>
    </xf>
    <xf numFmtId="0" fontId="50" fillId="0" borderId="0" xfId="0" applyFont="1" applyAlignment="1">
      <alignment horizontal="left" vertical="top"/>
    </xf>
    <xf numFmtId="3" fontId="50" fillId="0" borderId="11" xfId="0" applyNumberFormat="1" applyFont="1" applyBorder="1" applyAlignment="1">
      <alignment vertical="top" wrapText="1"/>
    </xf>
    <xf numFmtId="0" fontId="50" fillId="2" borderId="12" xfId="0" applyFont="1" applyFill="1" applyBorder="1" applyAlignment="1">
      <alignmen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172" fontId="21" fillId="0" borderId="0" xfId="0" applyNumberFormat="1" applyFont="1" applyAlignment="1">
      <alignment horizontal="center"/>
    </xf>
    <xf numFmtId="10" fontId="43" fillId="0" borderId="0" xfId="0" applyNumberFormat="1" applyFont="1" applyAlignment="1">
      <alignment horizontal="center"/>
    </xf>
    <xf numFmtId="172" fontId="21" fillId="5" borderId="0" xfId="0" applyNumberFormat="1" applyFont="1" applyFill="1" applyAlignment="1">
      <alignment horizontal="center"/>
    </xf>
    <xf numFmtId="3" fontId="21" fillId="0" borderId="0" xfId="0" applyNumberFormat="1" applyFont="1" applyAlignment="1">
      <alignment vertical="top"/>
    </xf>
    <xf numFmtId="2" fontId="26" fillId="0" borderId="0" xfId="0" applyNumberFormat="1" applyFont="1"/>
    <xf numFmtId="9" fontId="21" fillId="0" borderId="11" xfId="4494" applyFont="1" applyBorder="1" applyAlignment="1">
      <alignment horizont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50" fillId="0" borderId="0" xfId="0" applyFont="1" applyAlignment="1">
      <alignment vertical="top" wrapText="1"/>
    </xf>
    <xf numFmtId="0" fontId="21" fillId="0" borderId="0" xfId="0" applyFont="1" applyAlignment="1">
      <alignment horizontal="left" vertical="top" wrapText="1"/>
    </xf>
    <xf numFmtId="0" fontId="22" fillId="0" borderId="0" xfId="244" applyAlignment="1"/>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44" fillId="0" borderId="0" xfId="0" applyFont="1" applyAlignment="1">
      <alignment horizontal="left" vertical="top" wrapText="1"/>
    </xf>
    <xf numFmtId="0" fontId="21" fillId="0" borderId="0" xfId="0" applyFont="1" applyAlignment="1">
      <alignment horizontal="left" wrapText="1"/>
    </xf>
    <xf numFmtId="0" fontId="22" fillId="0" borderId="0" xfId="244" applyAlignment="1" applyProtection="1">
      <alignment horizontal="left"/>
    </xf>
    <xf numFmtId="0" fontId="107" fillId="0" borderId="0" xfId="0" applyFont="1" applyAlignment="1">
      <alignment horizontal="left" wrapText="1"/>
    </xf>
    <xf numFmtId="0" fontId="30" fillId="0" borderId="0" xfId="0" applyFont="1" applyAlignment="1">
      <alignment horizontal="left" wrapText="1"/>
    </xf>
    <xf numFmtId="0" fontId="27" fillId="3" borderId="0" xfId="0" applyFont="1" applyFill="1" applyAlignment="1">
      <alignment horizontal="center" vertical="center" wrapText="1"/>
    </xf>
    <xf numFmtId="0" fontId="27" fillId="3" borderId="16" xfId="0" applyFont="1" applyFill="1" applyBorder="1" applyAlignment="1">
      <alignment horizontal="center" vertical="center" wrapText="1"/>
    </xf>
    <xf numFmtId="0" fontId="99" fillId="0" borderId="0" xfId="0" applyFont="1" applyAlignment="1">
      <alignment horizontal="left" vertical="top" wrapText="1"/>
    </xf>
    <xf numFmtId="0" fontId="22" fillId="0" borderId="0" xfId="244" applyAlignment="1">
      <alignment horizontal="left" vertical="top"/>
    </xf>
    <xf numFmtId="0" fontId="108" fillId="0" borderId="0" xfId="569" applyFont="1" applyAlignment="1">
      <alignment horizontal="center"/>
    </xf>
    <xf numFmtId="0" fontId="10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569" applyAlignment="1">
      <alignment horizontal="left" wrapText="1"/>
    </xf>
    <xf numFmtId="0" fontId="39" fillId="0" borderId="0" xfId="569" applyFont="1" applyAlignment="1">
      <alignment horizontal="center"/>
    </xf>
    <xf numFmtId="0" fontId="28" fillId="0" borderId="0" xfId="569" applyFont="1" applyAlignment="1">
      <alignment horizontal="center"/>
    </xf>
    <xf numFmtId="0" fontId="21" fillId="0" borderId="0" xfId="569" applyAlignment="1">
      <alignment horizontal="left" vertical="top" wrapText="1"/>
    </xf>
    <xf numFmtId="0" fontId="21" fillId="0" borderId="0" xfId="569" applyAlignment="1">
      <alignment horizontal="left"/>
    </xf>
    <xf numFmtId="0" fontId="39" fillId="0" borderId="0" xfId="569" applyFont="1" applyAlignment="1">
      <alignment horizontal="left" vertical="top" wrapText="1"/>
    </xf>
    <xf numFmtId="0" fontId="28" fillId="0" borderId="4" xfId="569" applyFont="1" applyBorder="1" applyAlignment="1">
      <alignment horizontal="left"/>
    </xf>
    <xf numFmtId="4" fontId="21" fillId="0" borderId="0" xfId="1192" applyNumberFormat="1" applyAlignment="1">
      <alignment horizontal="left" vertical="top" wrapText="1"/>
    </xf>
    <xf numFmtId="49" fontId="21" fillId="0" borderId="0" xfId="0" applyNumberFormat="1" applyFont="1" applyAlignment="1">
      <alignment horizontal="left" vertical="top" wrapText="1"/>
    </xf>
    <xf numFmtId="0" fontId="22" fillId="0" borderId="0" xfId="244" applyAlignment="1" applyProtection="1">
      <alignment horizontal="left" vertical="top" wrapText="1"/>
    </xf>
    <xf numFmtId="0" fontId="21" fillId="0" borderId="0" xfId="569" applyAlignment="1">
      <alignment horizontal="left" vertical="top"/>
    </xf>
    <xf numFmtId="0" fontId="28" fillId="0" borderId="4" xfId="569" applyFont="1" applyBorder="1"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4" fontId="21" fillId="0" borderId="0" xfId="569" applyNumberFormat="1" applyAlignment="1">
      <alignment horizontal="left" vertical="top" wrapText="1"/>
    </xf>
    <xf numFmtId="0" fontId="28" fillId="0" borderId="0" xfId="569" applyFont="1" applyAlignment="1">
      <alignment horizontal="left"/>
    </xf>
    <xf numFmtId="0" fontId="39" fillId="0" borderId="0" xfId="1192" applyFont="1" applyAlignment="1">
      <alignment horizontal="left"/>
    </xf>
    <xf numFmtId="0" fontId="21" fillId="0" borderId="0" xfId="1192" applyAlignment="1">
      <alignment horizontal="left"/>
    </xf>
    <xf numFmtId="0" fontId="21" fillId="0" borderId="0" xfId="0" applyFont="1"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49" fontId="21" fillId="0" borderId="0" xfId="1192" applyNumberFormat="1" applyAlignment="1">
      <alignment horizontal="left" vertical="top" wrapText="1"/>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0" fontId="21" fillId="0" borderId="0" xfId="569" applyAlignment="1">
      <alignment horizontal="left" vertical="center" wrapText="1"/>
    </xf>
    <xf numFmtId="0" fontId="28" fillId="0" borderId="4" xfId="0" applyFont="1" applyBorder="1" applyAlignment="1">
      <alignment horizontal="left"/>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0" fontId="21" fillId="0" borderId="0" xfId="569" applyAlignment="1">
      <alignment vertical="top" wrapText="1"/>
    </xf>
    <xf numFmtId="0" fontId="39" fillId="0" borderId="0" xfId="0" applyFont="1" applyAlignment="1">
      <alignment horizontal="lef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4" fontId="21" fillId="0" borderId="0" xfId="0" applyNumberFormat="1" applyFont="1" applyAlignment="1">
      <alignment horizontal="left" vertical="top" wrapText="1"/>
    </xf>
    <xf numFmtId="0" fontId="21" fillId="0" borderId="27" xfId="569" applyBorder="1"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1" fillId="0" borderId="0" xfId="0" quotePrefix="1" applyFont="1" applyAlignment="1">
      <alignment horizontal="left" vertical="top" wrapText="1"/>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1192" applyFont="1" applyAlignment="1">
      <alignment horizontal="left" vertical="top" wrapText="1"/>
    </xf>
    <xf numFmtId="0" fontId="21" fillId="0" borderId="0" xfId="0" applyFont="1" applyAlignment="1">
      <alignment horizontal="left" vertical="center" wrapText="1"/>
    </xf>
    <xf numFmtId="0" fontId="22" fillId="0" borderId="0" xfId="244" applyFill="1" applyBorder="1" applyAlignment="1">
      <alignment horizontal="left" vertical="top"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39" fillId="0" borderId="0" xfId="569" applyFont="1" applyAlignment="1">
      <alignment horizontal="left" vertical="top"/>
    </xf>
    <xf numFmtId="0" fontId="39" fillId="0" borderId="0" xfId="0" applyFont="1" applyAlignment="1">
      <alignment horizontal="left" vertical="top"/>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45" borderId="11" xfId="0" applyFont="1" applyFill="1" applyBorder="1" applyAlignment="1">
      <alignment horizontal="center"/>
    </xf>
    <xf numFmtId="168" fontId="177" fillId="0" borderId="105" xfId="543" applyNumberFormat="1" applyFont="1" applyBorder="1" applyAlignment="1">
      <alignment horizontal="right" vertical="center" wrapText="1"/>
    </xf>
    <xf numFmtId="175" fontId="177" fillId="0" borderId="107" xfId="543" applyNumberFormat="1" applyFont="1" applyBorder="1" applyAlignment="1">
      <alignment horizontal="center" vertical="center" wrapText="1"/>
    </xf>
    <xf numFmtId="175" fontId="177" fillId="0" borderId="108" xfId="543" applyNumberFormat="1" applyFont="1" applyBorder="1" applyAlignment="1">
      <alignment horizontal="center" vertical="center" wrapText="1"/>
    </xf>
    <xf numFmtId="175" fontId="177" fillId="0" borderId="109" xfId="543" applyNumberFormat="1" applyFont="1" applyBorder="1" applyAlignment="1">
      <alignment horizontal="center" vertical="center" wrapText="1"/>
    </xf>
    <xf numFmtId="0" fontId="17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2" borderId="11" xfId="0" applyFont="1" applyFill="1" applyBorder="1" applyAlignment="1">
      <alignment horizontal="center"/>
    </xf>
    <xf numFmtId="0" fontId="21" fillId="0" borderId="11" xfId="0" applyFont="1" applyBorder="1" applyAlignment="1">
      <alignment horizontal="center"/>
    </xf>
    <xf numFmtId="0" fontId="0" fillId="0" borderId="11" xfId="0" applyBorder="1" applyAlignment="1">
      <alignment horizontal="center"/>
    </xf>
    <xf numFmtId="166" fontId="21" fillId="5" borderId="4" xfId="0" applyNumberFormat="1"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10" fontId="21"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68" fontId="21"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6" xfId="0" applyFont="1" applyBorder="1" applyAlignment="1">
      <alignment horizontal="center"/>
    </xf>
    <xf numFmtId="0" fontId="28" fillId="0" borderId="10" xfId="0" applyFont="1" applyBorder="1" applyAlignment="1">
      <alignment horizontal="center"/>
    </xf>
    <xf numFmtId="3" fontId="21" fillId="0" borderId="11" xfId="0" applyNumberFormat="1" applyFont="1" applyBorder="1" applyAlignment="1">
      <alignment horizontal="center"/>
    </xf>
    <xf numFmtId="0" fontId="21" fillId="5" borderId="11" xfId="0" applyFont="1" applyFill="1" applyBorder="1" applyAlignment="1" applyProtection="1">
      <alignment vertical="center" wrapText="1"/>
      <protection locked="0"/>
    </xf>
    <xf numFmtId="0" fontId="21" fillId="5" borderId="11" xfId="0" applyFont="1" applyFill="1" applyBorder="1" applyAlignment="1" applyProtection="1">
      <alignment horizontal="left" vertical="center" wrapText="1"/>
      <protection locked="0"/>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8" fillId="0" borderId="11" xfId="0" applyNumberFormat="1" applyFont="1" applyBorder="1" applyAlignment="1">
      <alignment horizontal="center" vertical="center" wrapText="1"/>
    </xf>
    <xf numFmtId="10" fontId="21" fillId="5" borderId="4" xfId="0" applyNumberFormat="1" applyFont="1" applyFill="1" applyBorder="1" applyAlignment="1" applyProtection="1">
      <alignment horizontal="righ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0" borderId="9" xfId="0" applyFont="1" applyBorder="1" applyAlignment="1">
      <alignment horizontal="center"/>
    </xf>
    <xf numFmtId="0" fontId="29" fillId="5" borderId="6" xfId="0" applyFont="1" applyFill="1" applyBorder="1" applyAlignment="1" applyProtection="1">
      <alignment horizontal="left"/>
      <protection locked="0"/>
    </xf>
    <xf numFmtId="0" fontId="21" fillId="5" borderId="11" xfId="0" applyFont="1" applyFill="1" applyBorder="1" applyAlignment="1" applyProtection="1">
      <alignment horizontal="center"/>
      <protection locked="0"/>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1"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5" borderId="6" xfId="0" applyFont="1" applyFill="1" applyBorder="1" applyAlignment="1" applyProtection="1">
      <alignment horizontal="left"/>
      <protection locked="0"/>
    </xf>
    <xf numFmtId="0" fontId="21"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5" borderId="6" xfId="244" applyFont="1" applyFill="1" applyBorder="1" applyAlignment="1" applyProtection="1">
      <alignment horizontal="left"/>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5" borderId="0" xfId="244"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0" borderId="0" xfId="0" applyAlignment="1">
      <alignment wrapText="1"/>
    </xf>
    <xf numFmtId="0" fontId="29" fillId="43" borderId="6" xfId="0" applyFont="1" applyFill="1" applyBorder="1" applyAlignment="1" applyProtection="1">
      <alignment horizontal="left"/>
      <protection locked="0"/>
    </xf>
    <xf numFmtId="0" fontId="146" fillId="0" borderId="0" xfId="0" applyFont="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1" fillId="43" borderId="6" xfId="0" applyFont="1" applyFill="1" applyBorder="1" applyAlignment="1" applyProtection="1">
      <alignment vertical="center"/>
      <protection locked="0"/>
    </xf>
    <xf numFmtId="0" fontId="27" fillId="3" borderId="0" xfId="0" applyFont="1" applyFill="1" applyAlignment="1">
      <alignment horizontal="center" vertical="center"/>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1" fillId="0" borderId="6" xfId="0" applyFont="1" applyBorder="1" applyAlignment="1">
      <alignment horizontal="left"/>
    </xf>
    <xf numFmtId="166" fontId="21" fillId="5" borderId="6" xfId="0" applyNumberFormat="1" applyFont="1" applyFill="1" applyBorder="1" applyAlignment="1" applyProtection="1">
      <alignment horizontal="left"/>
      <protection locked="0"/>
    </xf>
    <xf numFmtId="0" fontId="21" fillId="0" borderId="0" xfId="0" applyFont="1" applyAlignment="1">
      <alignment wrapText="1"/>
    </xf>
    <xf numFmtId="0" fontId="0" fillId="43" borderId="6" xfId="0" applyFill="1" applyBorder="1" applyAlignment="1" applyProtection="1">
      <alignment horizontal="left" vertical="top" wrapText="1"/>
      <protection locked="0"/>
    </xf>
    <xf numFmtId="166" fontId="30" fillId="5" borderId="6" xfId="271" applyNumberFormat="1" applyFill="1" applyBorder="1" applyAlignment="1" applyProtection="1">
      <alignment horizontal="left"/>
      <protection locked="0"/>
    </xf>
    <xf numFmtId="0" fontId="21"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30"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1" fontId="21"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1" fillId="43" borderId="4" xfId="0" applyFont="1" applyFill="1" applyBorder="1" applyAlignment="1" applyProtection="1">
      <alignment horizontal="left" wrapText="1"/>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1"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21" fillId="5" borderId="11" xfId="0" applyFont="1" applyFill="1" applyBorder="1" applyAlignment="1" applyProtection="1">
      <alignment horizontal="left" wrapText="1"/>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1"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8" fillId="0" borderId="11" xfId="0" applyFont="1" applyBorder="1" applyAlignment="1">
      <alignment horizontal="center"/>
    </xf>
    <xf numFmtId="0" fontId="28"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21" fillId="0" borderId="0" xfId="543" applyNumberFormat="1" applyAlignment="1">
      <alignment horizontal="center"/>
    </xf>
    <xf numFmtId="0" fontId="21" fillId="0" borderId="0" xfId="543" applyAlignment="1">
      <alignment horizontal="center"/>
    </xf>
    <xf numFmtId="171" fontId="21" fillId="0" borderId="0" xfId="543" applyNumberFormat="1" applyAlignment="1">
      <alignment horizontal="center"/>
    </xf>
    <xf numFmtId="171" fontId="21" fillId="0" borderId="0" xfId="543" applyNumberFormat="1" applyAlignment="1">
      <alignment horizontal="right"/>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168" fontId="0" fillId="0" borderId="11" xfId="0" applyNumberFormat="1" applyBorder="1"/>
    <xf numFmtId="168" fontId="149"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17" fontId="0" fillId="5" borderId="4" xfId="0" quotePrefix="1" applyNumberFormat="1" applyFill="1" applyBorder="1" applyAlignment="1" applyProtection="1">
      <alignment horizontal="center"/>
      <protection locked="0"/>
    </xf>
    <xf numFmtId="0" fontId="28" fillId="0" borderId="11" xfId="0" applyFont="1" applyBorder="1" applyAlignment="1">
      <alignment horizontal="center" vertical="center" wrapText="1"/>
    </xf>
    <xf numFmtId="0" fontId="28" fillId="0" borderId="9" xfId="0" applyFont="1" applyBorder="1" applyAlignment="1">
      <alignment horizontal="right"/>
    </xf>
    <xf numFmtId="0" fontId="28" fillId="0" borderId="10" xfId="0" applyFont="1" applyBorder="1" applyAlignment="1">
      <alignment horizontal="right"/>
    </xf>
    <xf numFmtId="0" fontId="21" fillId="0" borderId="11" xfId="543" applyBorder="1" applyAlignment="1">
      <alignment horizontal="center"/>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168" fontId="0" fillId="0" borderId="11" xfId="0" applyNumberFormat="1" applyBorder="1" applyAlignment="1">
      <alignment horizontal="center"/>
    </xf>
    <xf numFmtId="0" fontId="29" fillId="5" borderId="3" xfId="543" applyFont="1" applyFill="1" applyBorder="1" applyAlignment="1">
      <alignment horizontal="center"/>
    </xf>
    <xf numFmtId="0" fontId="29" fillId="5" borderId="4" xfId="543" applyFont="1" applyFill="1" applyBorder="1" applyAlignment="1">
      <alignment horizontal="center"/>
    </xf>
    <xf numFmtId="0" fontId="29"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21" fillId="0" borderId="3" xfId="0" applyFont="1" applyBorder="1"/>
    <xf numFmtId="0" fontId="21" fillId="0" borderId="4" xfId="0" applyFont="1" applyBorder="1"/>
    <xf numFmtId="0" fontId="21" fillId="0" borderId="5" xfId="0" applyFont="1" applyBorder="1"/>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8" fontId="21" fillId="5" borderId="3"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9" fontId="2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168" fontId="21"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0" fillId="5" borderId="6" xfId="271" applyFill="1" applyBorder="1" applyProtection="1">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0" fontId="28" fillId="0" borderId="1" xfId="543" applyFont="1" applyBorder="1" applyAlignment="1">
      <alignment horizontal="right"/>
    </xf>
    <xf numFmtId="0" fontId="28" fillId="0" borderId="2" xfId="543" applyFont="1" applyBorder="1" applyAlignment="1">
      <alignment horizontal="right"/>
    </xf>
    <xf numFmtId="0" fontId="28" fillId="0" borderId="7" xfId="543" applyFont="1" applyBorder="1" applyAlignment="1">
      <alignment horizontal="right"/>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10" xfId="0" applyFont="1" applyBorder="1" applyAlignment="1">
      <alignment horizontal="left" wrapText="1"/>
    </xf>
    <xf numFmtId="0" fontId="29" fillId="0" borderId="3" xfId="543" applyFont="1" applyBorder="1" applyAlignment="1">
      <alignment horizontal="center"/>
    </xf>
    <xf numFmtId="0" fontId="29" fillId="0" borderId="5" xfId="543" applyFont="1" applyBorder="1" applyAlignment="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145" fillId="0" borderId="8" xfId="543" applyFont="1" applyBorder="1" applyAlignment="1">
      <alignment horizontal="center" vertical="center" wrapText="1"/>
    </xf>
    <xf numFmtId="0" fontId="145" fillId="0" borderId="0" xfId="543" applyFont="1" applyAlignment="1">
      <alignment horizontal="center" vertical="center" wrapText="1"/>
    </xf>
    <xf numFmtId="0" fontId="145" fillId="0" borderId="12" xfId="543" applyFont="1" applyBorder="1" applyAlignment="1">
      <alignment horizontal="center" vertical="center" wrapText="1"/>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28" fillId="0" borderId="4" xfId="543" applyFont="1" applyBorder="1" applyAlignment="1">
      <alignment horizontal="right" vertical="top" wrapText="1"/>
    </xf>
    <xf numFmtId="0" fontId="28" fillId="0" borderId="5" xfId="543" applyFont="1" applyBorder="1" applyAlignment="1">
      <alignment horizontal="right" vertical="top" wrapText="1"/>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9" fillId="43" borderId="11" xfId="8721" applyNumberFormat="1" applyFont="1" applyFill="1" applyBorder="1" applyAlignment="1" applyProtection="1">
      <alignment horizontal="center" vertical="center" wrapText="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0" fontId="28" fillId="0" borderId="11" xfId="0" applyFont="1" applyBorder="1" applyAlignment="1">
      <alignment horizontal="center" vertical="center"/>
    </xf>
    <xf numFmtId="0" fontId="47"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9" fillId="0" borderId="0" xfId="0" applyFont="1" applyAlignment="1">
      <alignment horizontal="center"/>
    </xf>
    <xf numFmtId="0" fontId="152" fillId="0" borderId="8" xfId="543" applyFont="1" applyBorder="1" applyAlignment="1">
      <alignment horizontal="center" wrapText="1"/>
    </xf>
    <xf numFmtId="0" fontId="152" fillId="0" borderId="0" xfId="543" applyFont="1" applyAlignment="1">
      <alignment horizontal="center" wrapText="1"/>
    </xf>
    <xf numFmtId="0" fontId="152" fillId="0" borderId="12" xfId="543" applyFont="1" applyBorder="1" applyAlignment="1">
      <alignment horizontal="center" wrapText="1"/>
    </xf>
    <xf numFmtId="0" fontId="152" fillId="0" borderId="9" xfId="543" applyFont="1" applyBorder="1" applyAlignment="1">
      <alignment horizontal="center" wrapText="1"/>
    </xf>
    <xf numFmtId="0" fontId="152" fillId="0" borderId="6" xfId="543" applyFont="1" applyBorder="1" applyAlignment="1">
      <alignment horizontal="center" wrapText="1"/>
    </xf>
    <xf numFmtId="0" fontId="152" fillId="0" borderId="10" xfId="543" applyFont="1" applyBorder="1" applyAlignment="1">
      <alignment horizontal="center" wrapText="1"/>
    </xf>
    <xf numFmtId="0" fontId="152" fillId="0" borderId="8" xfId="543" applyFont="1" applyBorder="1" applyAlignment="1">
      <alignment horizontal="center" vertical="top" wrapText="1"/>
    </xf>
    <xf numFmtId="0" fontId="152" fillId="0" borderId="0" xfId="543" applyFont="1" applyAlignment="1">
      <alignment horizontal="center" vertical="top" wrapText="1"/>
    </xf>
    <xf numFmtId="0" fontId="152" fillId="0" borderId="12" xfId="543" applyFont="1" applyBorder="1" applyAlignment="1">
      <alignment horizontal="center" vertical="top" wrapText="1"/>
    </xf>
    <xf numFmtId="0" fontId="152" fillId="0" borderId="9" xfId="543" applyFont="1" applyBorder="1" applyAlignment="1">
      <alignment horizontal="center" vertical="top" wrapText="1"/>
    </xf>
    <xf numFmtId="0" fontId="152" fillId="0" borderId="6" xfId="543" applyFont="1" applyBorder="1" applyAlignment="1">
      <alignment horizontal="center" vertical="top" wrapText="1"/>
    </xf>
    <xf numFmtId="0" fontId="152" fillId="0" borderId="10" xfId="543" applyFont="1" applyBorder="1" applyAlignment="1">
      <alignment horizontal="center" vertical="top" wrapText="1"/>
    </xf>
    <xf numFmtId="0" fontId="149" fillId="0" borderId="0" xfId="0" applyFont="1" applyAlignment="1">
      <alignment horizontal="center" vertical="center" wrapText="1"/>
    </xf>
    <xf numFmtId="0" fontId="21" fillId="5" borderId="3" xfId="543" applyFill="1" applyBorder="1" applyAlignment="1" applyProtection="1">
      <alignment horizontal="left" vertical="top" wrapText="1"/>
      <protection locked="0"/>
    </xf>
    <xf numFmtId="0" fontId="21" fillId="5" borderId="4" xfId="543" applyFill="1" applyBorder="1" applyAlignment="1" applyProtection="1">
      <alignment horizontal="left" vertical="top" wrapText="1"/>
      <protection locked="0"/>
    </xf>
    <xf numFmtId="0" fontId="21" fillId="5" borderId="5" xfId="543" applyFill="1" applyBorder="1" applyAlignment="1" applyProtection="1">
      <alignment horizontal="left" vertical="top" wrapText="1"/>
      <protection locked="0"/>
    </xf>
    <xf numFmtId="0" fontId="21" fillId="0" borderId="0" xfId="543" applyAlignment="1">
      <alignment wrapText="1"/>
    </xf>
    <xf numFmtId="0" fontId="51"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96" fillId="44" borderId="0" xfId="8736" applyFont="1" applyFill="1" applyAlignment="1">
      <alignment horizontal="left"/>
    </xf>
    <xf numFmtId="0" fontId="3"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58" fillId="44" borderId="0" xfId="8736" applyFont="1" applyFill="1" applyAlignment="1">
      <alignment horizontal="left" vertical="top"/>
    </xf>
    <xf numFmtId="0" fontId="5" fillId="48" borderId="80" xfId="8736" applyFill="1" applyBorder="1" applyAlignment="1" applyProtection="1">
      <alignment horizontal="left"/>
      <protection locked="0"/>
    </xf>
    <xf numFmtId="0" fontId="9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59" fillId="47" borderId="0" xfId="8736" applyFont="1" applyFill="1" applyAlignment="1">
      <alignment horizontal="left" vertical="top" wrapText="1"/>
    </xf>
    <xf numFmtId="0" fontId="9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0" fontId="160" fillId="47" borderId="65" xfId="8736" applyFont="1" applyFill="1" applyBorder="1" applyAlignment="1">
      <alignment horizontal="center"/>
    </xf>
    <xf numFmtId="0" fontId="160" fillId="47" borderId="29" xfId="8736" applyFont="1" applyFill="1" applyBorder="1" applyAlignment="1">
      <alignment horizontal="center"/>
    </xf>
    <xf numFmtId="0" fontId="16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59" fillId="47" borderId="66" xfId="8736" applyFont="1" applyFill="1" applyBorder="1" applyAlignment="1">
      <alignment horizontal="center"/>
    </xf>
    <xf numFmtId="0" fontId="159" fillId="47" borderId="0" xfId="8736" applyFont="1" applyFill="1" applyAlignment="1">
      <alignment horizontal="center"/>
    </xf>
    <xf numFmtId="0" fontId="159" fillId="47" borderId="41" xfId="8736" applyFont="1" applyFill="1" applyBorder="1" applyAlignment="1">
      <alignment horizontal="center"/>
    </xf>
    <xf numFmtId="0" fontId="96" fillId="47" borderId="66" xfId="8736" applyFont="1" applyFill="1" applyBorder="1" applyAlignment="1">
      <alignment horizontal="center"/>
    </xf>
    <xf numFmtId="0" fontId="96" fillId="47" borderId="0" xfId="8736" applyFont="1" applyFill="1" applyAlignment="1">
      <alignment horizontal="center"/>
    </xf>
    <xf numFmtId="0" fontId="96" fillId="47" borderId="41" xfId="8736" applyFont="1" applyFill="1" applyBorder="1" applyAlignment="1">
      <alignment horizontal="center"/>
    </xf>
    <xf numFmtId="0" fontId="96" fillId="47" borderId="0" xfId="8736" applyFont="1" applyFill="1" applyAlignment="1">
      <alignment horizontal="left"/>
    </xf>
    <xf numFmtId="0" fontId="161" fillId="50" borderId="3" xfId="698" applyNumberFormat="1" applyFont="1" applyFill="1" applyBorder="1" applyAlignment="1" applyProtection="1">
      <alignment horizontal="center"/>
      <protection locked="0"/>
    </xf>
    <xf numFmtId="0" fontId="161" fillId="50" borderId="4" xfId="698" applyNumberFormat="1" applyFont="1" applyFill="1" applyBorder="1" applyAlignment="1" applyProtection="1">
      <alignment horizontal="center"/>
      <protection locked="0"/>
    </xf>
    <xf numFmtId="0" fontId="161" fillId="50" borderId="81" xfId="698" applyNumberFormat="1" applyFont="1" applyFill="1" applyBorder="1" applyAlignment="1" applyProtection="1">
      <alignment horizontal="center"/>
      <protection locked="0"/>
    </xf>
    <xf numFmtId="43" fontId="159" fillId="49" borderId="72" xfId="698" applyFont="1" applyFill="1" applyBorder="1" applyAlignment="1" applyProtection="1">
      <alignment horizontal="right"/>
      <protection hidden="1"/>
    </xf>
    <xf numFmtId="43" fontId="159" fillId="49" borderId="11" xfId="698" applyFont="1" applyFill="1" applyBorder="1" applyAlignment="1" applyProtection="1">
      <alignment horizontal="right"/>
      <protection hidden="1"/>
    </xf>
    <xf numFmtId="44" fontId="159" fillId="0" borderId="11" xfId="700" applyFont="1" applyBorder="1" applyAlignment="1" applyProtection="1">
      <alignment horizontal="center"/>
      <protection hidden="1"/>
    </xf>
    <xf numFmtId="168" fontId="159" fillId="0" borderId="11" xfId="700" applyNumberFormat="1" applyFont="1" applyBorder="1" applyAlignment="1" applyProtection="1">
      <alignment horizontal="center"/>
      <protection hidden="1"/>
    </xf>
    <xf numFmtId="9" fontId="159" fillId="0" borderId="11" xfId="1022" applyFont="1" applyBorder="1" applyAlignment="1" applyProtection="1">
      <alignment horizontal="center"/>
      <protection hidden="1"/>
    </xf>
    <xf numFmtId="43" fontId="159" fillId="49" borderId="3" xfId="698" applyFont="1" applyFill="1" applyBorder="1" applyAlignment="1" applyProtection="1">
      <alignment horizontal="center"/>
      <protection hidden="1"/>
    </xf>
    <xf numFmtId="43" fontId="159" fillId="49" borderId="4" xfId="698" applyFont="1" applyFill="1" applyBorder="1" applyAlignment="1" applyProtection="1">
      <alignment horizontal="center"/>
      <protection hidden="1"/>
    </xf>
    <xf numFmtId="43" fontId="159" fillId="49" borderId="81" xfId="698" applyFont="1" applyFill="1" applyBorder="1" applyAlignment="1" applyProtection="1">
      <alignment horizontal="center"/>
      <protection hidden="1"/>
    </xf>
    <xf numFmtId="0" fontId="162" fillId="49" borderId="72" xfId="698" applyNumberFormat="1" applyFont="1" applyFill="1" applyBorder="1" applyAlignment="1" applyProtection="1">
      <alignment horizontal="center"/>
      <protection hidden="1"/>
    </xf>
    <xf numFmtId="0" fontId="162" fillId="49" borderId="11" xfId="698" applyNumberFormat="1" applyFont="1" applyFill="1" applyBorder="1" applyAlignment="1" applyProtection="1">
      <alignment horizontal="center"/>
      <protection hidden="1"/>
    </xf>
    <xf numFmtId="0" fontId="162" fillId="48" borderId="11" xfId="569" applyFont="1" applyFill="1" applyBorder="1" applyAlignment="1" applyProtection="1">
      <alignment horizontal="center"/>
      <protection locked="0"/>
    </xf>
    <xf numFmtId="14" fontId="161" fillId="48" borderId="11" xfId="700" applyNumberFormat="1" applyFont="1" applyFill="1" applyBorder="1" applyAlignment="1" applyProtection="1">
      <alignment horizontal="center"/>
      <protection locked="0"/>
    </xf>
    <xf numFmtId="168" fontId="162" fillId="48" borderId="11" xfId="700" applyNumberFormat="1" applyFont="1" applyFill="1" applyBorder="1" applyAlignment="1" applyProtection="1">
      <alignment horizontal="center"/>
      <protection locked="0"/>
    </xf>
    <xf numFmtId="9" fontId="162" fillId="48" borderId="11" xfId="1022" applyFont="1" applyFill="1" applyBorder="1" applyAlignment="1" applyProtection="1">
      <alignment horizontal="center"/>
      <protection locked="0"/>
    </xf>
    <xf numFmtId="44" fontId="161" fillId="48" borderId="11" xfId="700" applyFont="1" applyFill="1" applyBorder="1" applyAlignment="1" applyProtection="1">
      <alignment horizontal="center"/>
      <protection locked="0"/>
    </xf>
    <xf numFmtId="0" fontId="164" fillId="45" borderId="11" xfId="8736" applyFont="1" applyFill="1" applyBorder="1" applyAlignment="1">
      <alignment horizontal="left" wrapText="1"/>
    </xf>
    <xf numFmtId="43" fontId="159" fillId="45" borderId="80" xfId="698" applyFont="1" applyFill="1" applyBorder="1" applyAlignment="1" applyProtection="1">
      <alignment horizontal="center"/>
      <protection hidden="1"/>
    </xf>
    <xf numFmtId="43" fontId="159" fillId="45" borderId="79" xfId="698" applyFont="1" applyFill="1" applyBorder="1" applyAlignment="1" applyProtection="1">
      <alignment horizontal="center"/>
      <protection hidden="1"/>
    </xf>
    <xf numFmtId="43" fontId="159" fillId="45" borderId="78" xfId="698" applyFont="1" applyFill="1" applyBorder="1" applyAlignment="1" applyProtection="1">
      <alignment horizontal="center"/>
      <protection hidden="1"/>
    </xf>
    <xf numFmtId="43" fontId="163" fillId="49" borderId="66" xfId="698" applyFont="1" applyFill="1" applyBorder="1" applyAlignment="1" applyProtection="1">
      <alignment horizontal="center" wrapText="1"/>
      <protection hidden="1"/>
    </xf>
    <xf numFmtId="43" fontId="163" fillId="49" borderId="0" xfId="698" applyFont="1" applyFill="1" applyBorder="1" applyAlignment="1" applyProtection="1">
      <alignment horizontal="center" wrapText="1"/>
      <protection hidden="1"/>
    </xf>
    <xf numFmtId="43" fontId="163" fillId="49" borderId="12" xfId="698" applyFont="1" applyFill="1" applyBorder="1" applyAlignment="1" applyProtection="1">
      <alignment horizontal="center" wrapText="1"/>
      <protection hidden="1"/>
    </xf>
    <xf numFmtId="43" fontId="163" fillId="49" borderId="83" xfId="698" applyFont="1" applyFill="1" applyBorder="1" applyAlignment="1" applyProtection="1">
      <alignment horizontal="center" wrapText="1"/>
      <protection hidden="1"/>
    </xf>
    <xf numFmtId="43" fontId="163" fillId="49" borderId="6" xfId="698" applyFont="1" applyFill="1" applyBorder="1" applyAlignment="1" applyProtection="1">
      <alignment horizontal="center" wrapText="1"/>
      <protection hidden="1"/>
    </xf>
    <xf numFmtId="43" fontId="163" fillId="49" borderId="10" xfId="698" applyFont="1" applyFill="1" applyBorder="1" applyAlignment="1" applyProtection="1">
      <alignment horizontal="center" wrapText="1"/>
      <protection hidden="1"/>
    </xf>
    <xf numFmtId="43" fontId="163" fillId="49" borderId="8" xfId="698" applyFont="1" applyFill="1" applyBorder="1" applyAlignment="1" applyProtection="1">
      <alignment horizontal="center" wrapText="1"/>
      <protection hidden="1"/>
    </xf>
    <xf numFmtId="43" fontId="163" fillId="49" borderId="9" xfId="698" applyFont="1" applyFill="1" applyBorder="1" applyAlignment="1" applyProtection="1">
      <alignment horizontal="center" wrapText="1"/>
      <protection hidden="1"/>
    </xf>
    <xf numFmtId="14" fontId="163" fillId="0" borderId="8" xfId="700" applyNumberFormat="1" applyFont="1" applyFill="1" applyBorder="1" applyAlignment="1" applyProtection="1">
      <alignment horizontal="center" wrapText="1"/>
      <protection hidden="1"/>
    </xf>
    <xf numFmtId="14" fontId="163" fillId="0" borderId="0" xfId="700" applyNumberFormat="1" applyFont="1" applyFill="1" applyBorder="1" applyAlignment="1" applyProtection="1">
      <alignment horizontal="center" wrapText="1"/>
      <protection hidden="1"/>
    </xf>
    <xf numFmtId="14" fontId="163" fillId="0" borderId="12" xfId="700" applyNumberFormat="1" applyFont="1" applyFill="1" applyBorder="1" applyAlignment="1" applyProtection="1">
      <alignment horizontal="center" wrapText="1"/>
      <protection hidden="1"/>
    </xf>
    <xf numFmtId="14" fontId="163" fillId="0" borderId="9" xfId="700" applyNumberFormat="1" applyFont="1" applyFill="1" applyBorder="1" applyAlignment="1" applyProtection="1">
      <alignment horizontal="center" wrapText="1"/>
      <protection hidden="1"/>
    </xf>
    <xf numFmtId="14" fontId="163" fillId="0" borderId="6" xfId="700" applyNumberFormat="1" applyFont="1" applyFill="1" applyBorder="1" applyAlignment="1" applyProtection="1">
      <alignment horizontal="center" wrapText="1"/>
      <protection hidden="1"/>
    </xf>
    <xf numFmtId="14" fontId="163" fillId="0" borderId="10" xfId="700" applyNumberFormat="1" applyFont="1" applyFill="1" applyBorder="1" applyAlignment="1" applyProtection="1">
      <alignment horizontal="center" wrapText="1"/>
      <protection hidden="1"/>
    </xf>
    <xf numFmtId="44" fontId="163" fillId="0" borderId="8" xfId="700" applyFont="1" applyBorder="1" applyAlignment="1" applyProtection="1">
      <alignment horizontal="center" wrapText="1"/>
      <protection hidden="1"/>
    </xf>
    <xf numFmtId="44" fontId="163" fillId="0" borderId="0" xfId="700" applyFont="1" applyBorder="1" applyAlignment="1" applyProtection="1">
      <alignment horizontal="center" wrapText="1"/>
      <protection hidden="1"/>
    </xf>
    <xf numFmtId="44" fontId="163" fillId="0" borderId="12" xfId="700" applyFont="1" applyBorder="1" applyAlignment="1" applyProtection="1">
      <alignment horizontal="center" wrapText="1"/>
      <protection hidden="1"/>
    </xf>
    <xf numFmtId="44" fontId="163" fillId="0" borderId="9" xfId="700" applyFont="1" applyBorder="1" applyAlignment="1" applyProtection="1">
      <alignment horizontal="center" wrapText="1"/>
      <protection hidden="1"/>
    </xf>
    <xf numFmtId="44" fontId="163" fillId="0" borderId="6" xfId="700" applyFont="1" applyBorder="1" applyAlignment="1" applyProtection="1">
      <alignment horizontal="center" wrapText="1"/>
      <protection hidden="1"/>
    </xf>
    <xf numFmtId="44" fontId="163" fillId="0" borderId="10" xfId="700" applyFont="1" applyBorder="1" applyAlignment="1" applyProtection="1">
      <alignment horizontal="center" wrapText="1"/>
      <protection hidden="1"/>
    </xf>
    <xf numFmtId="43" fontId="163" fillId="49" borderId="41" xfId="698" applyFont="1" applyFill="1" applyBorder="1" applyAlignment="1" applyProtection="1">
      <alignment horizontal="center" wrapText="1"/>
      <protection hidden="1"/>
    </xf>
    <xf numFmtId="43" fontId="163" fillId="49" borderId="82" xfId="698" applyFont="1" applyFill="1" applyBorder="1" applyAlignment="1" applyProtection="1">
      <alignment horizontal="center" wrapText="1"/>
      <protection hidden="1"/>
    </xf>
    <xf numFmtId="0" fontId="165"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6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58" fillId="45" borderId="80" xfId="569" applyFont="1" applyFill="1" applyBorder="1" applyAlignment="1" applyProtection="1">
      <alignment horizontal="center" wrapText="1"/>
      <protection hidden="1"/>
    </xf>
    <xf numFmtId="0" fontId="158" fillId="45" borderId="79" xfId="569" applyFont="1" applyFill="1" applyBorder="1" applyAlignment="1" applyProtection="1">
      <alignment horizontal="center" wrapText="1"/>
      <protection hidden="1"/>
    </xf>
    <xf numFmtId="0" fontId="158" fillId="45" borderId="78" xfId="569" applyFont="1" applyFill="1" applyBorder="1" applyAlignment="1" applyProtection="1">
      <alignment horizontal="center" wrapText="1"/>
      <protection hidden="1"/>
    </xf>
    <xf numFmtId="0" fontId="158" fillId="45" borderId="13" xfId="569" applyFont="1" applyFill="1" applyBorder="1" applyAlignment="1" applyProtection="1">
      <alignment horizontal="left" wrapText="1"/>
      <protection hidden="1"/>
    </xf>
    <xf numFmtId="0" fontId="158" fillId="45" borderId="13" xfId="569" applyFont="1" applyFill="1" applyBorder="1" applyAlignment="1" applyProtection="1">
      <alignment horizontal="center" wrapText="1"/>
      <protection hidden="1"/>
    </xf>
    <xf numFmtId="0" fontId="167" fillId="45" borderId="67" xfId="8736" applyFont="1" applyFill="1" applyBorder="1" applyAlignment="1">
      <alignment horizontal="right"/>
    </xf>
    <xf numFmtId="0" fontId="167" fillId="45" borderId="68" xfId="8736" applyFont="1" applyFill="1" applyBorder="1" applyAlignment="1">
      <alignment horizontal="right"/>
    </xf>
    <xf numFmtId="168" fontId="162" fillId="44" borderId="68" xfId="700" applyNumberFormat="1" applyFont="1" applyFill="1" applyBorder="1" applyAlignment="1">
      <alignment horizontal="left"/>
    </xf>
    <xf numFmtId="168" fontId="162" fillId="44" borderId="71" xfId="700" applyNumberFormat="1" applyFont="1" applyFill="1" applyBorder="1" applyAlignment="1">
      <alignment horizontal="left"/>
    </xf>
    <xf numFmtId="0" fontId="164" fillId="48" borderId="66" xfId="8736" applyFont="1" applyFill="1" applyBorder="1" applyAlignment="1">
      <alignment horizontal="left" wrapText="1"/>
    </xf>
    <xf numFmtId="0" fontId="164" fillId="48" borderId="0" xfId="8736" applyFont="1" applyFill="1" applyAlignment="1">
      <alignment horizontal="left" wrapText="1"/>
    </xf>
    <xf numFmtId="0" fontId="164" fillId="48" borderId="41" xfId="8736" applyFont="1" applyFill="1" applyBorder="1" applyAlignment="1">
      <alignment horizontal="left" wrapText="1"/>
    </xf>
    <xf numFmtId="0" fontId="164" fillId="48" borderId="73" xfId="8736" applyFont="1" applyFill="1" applyBorder="1" applyAlignment="1">
      <alignment horizontal="left" wrapText="1"/>
    </xf>
    <xf numFmtId="0" fontId="164" fillId="48" borderId="42" xfId="8736" applyFont="1" applyFill="1" applyBorder="1" applyAlignment="1">
      <alignment horizontal="left" wrapText="1"/>
    </xf>
    <xf numFmtId="0" fontId="164" fillId="48" borderId="44" xfId="8736" applyFont="1" applyFill="1" applyBorder="1" applyAlignment="1">
      <alignment horizontal="left" wrapText="1"/>
    </xf>
    <xf numFmtId="0" fontId="166" fillId="45" borderId="69" xfId="8736" applyFont="1" applyFill="1" applyBorder="1" applyAlignment="1">
      <alignment horizontal="right"/>
    </xf>
    <xf numFmtId="0" fontId="166" fillId="45" borderId="70" xfId="8736" applyFont="1" applyFill="1" applyBorder="1" applyAlignment="1">
      <alignment horizontal="right"/>
    </xf>
    <xf numFmtId="0" fontId="158" fillId="44" borderId="70" xfId="700" applyNumberFormat="1" applyFont="1" applyFill="1" applyBorder="1" applyAlignment="1">
      <alignment horizontal="left"/>
    </xf>
    <xf numFmtId="168" fontId="158" fillId="44" borderId="70" xfId="700" applyNumberFormat="1" applyFont="1" applyFill="1" applyBorder="1" applyAlignment="1">
      <alignment horizontal="left"/>
    </xf>
    <xf numFmtId="168" fontId="158" fillId="44" borderId="77" xfId="700" applyNumberFormat="1" applyFont="1" applyFill="1" applyBorder="1" applyAlignment="1">
      <alignment horizontal="left"/>
    </xf>
    <xf numFmtId="0" fontId="159" fillId="47" borderId="0" xfId="8736" applyFont="1" applyFill="1" applyAlignment="1">
      <alignment horizontal="right"/>
    </xf>
    <xf numFmtId="168" fontId="163" fillId="47" borderId="0" xfId="700" applyNumberFormat="1" applyFont="1" applyFill="1" applyBorder="1" applyAlignment="1" applyProtection="1">
      <alignment horizontal="left"/>
      <protection locked="0"/>
    </xf>
    <xf numFmtId="0" fontId="165" fillId="48" borderId="87" xfId="8736" applyFont="1" applyFill="1" applyBorder="1" applyAlignment="1" applyProtection="1">
      <alignment horizontal="center"/>
      <protection locked="0"/>
    </xf>
    <xf numFmtId="0" fontId="165" fillId="48" borderId="86" xfId="8736" applyFont="1" applyFill="1" applyBorder="1" applyAlignment="1" applyProtection="1">
      <alignment horizontal="center"/>
      <protection locked="0"/>
    </xf>
    <xf numFmtId="0" fontId="167" fillId="48" borderId="70" xfId="8736" applyFont="1" applyFill="1" applyBorder="1" applyAlignment="1" applyProtection="1">
      <alignment horizontal="left"/>
      <protection locked="0"/>
    </xf>
    <xf numFmtId="0" fontId="167" fillId="48" borderId="77" xfId="8736" applyFont="1" applyFill="1" applyBorder="1" applyAlignment="1" applyProtection="1">
      <alignment horizontal="left"/>
      <protection locked="0"/>
    </xf>
    <xf numFmtId="168" fontId="165" fillId="48" borderId="86" xfId="700" applyNumberFormat="1" applyFont="1" applyFill="1" applyBorder="1" applyAlignment="1" applyProtection="1">
      <alignment horizontal="left"/>
      <protection locked="0"/>
    </xf>
    <xf numFmtId="168" fontId="165" fillId="48" borderId="85" xfId="700" applyNumberFormat="1" applyFont="1" applyFill="1" applyBorder="1" applyAlignment="1" applyProtection="1">
      <alignment horizontal="left"/>
      <protection locked="0"/>
    </xf>
    <xf numFmtId="0" fontId="165" fillId="48" borderId="87" xfId="8736" applyFont="1" applyFill="1" applyBorder="1" applyAlignment="1" applyProtection="1">
      <alignment horizontal="left"/>
      <protection locked="0"/>
    </xf>
    <xf numFmtId="0" fontId="165" fillId="48" borderId="86" xfId="8736" applyFont="1" applyFill="1" applyBorder="1" applyAlignment="1" applyProtection="1">
      <alignment horizontal="left"/>
      <protection locked="0"/>
    </xf>
    <xf numFmtId="0" fontId="165" fillId="48" borderId="85" xfId="8736" applyFont="1" applyFill="1" applyBorder="1" applyAlignment="1" applyProtection="1">
      <alignment horizontal="left"/>
      <protection locked="0"/>
    </xf>
    <xf numFmtId="0" fontId="96" fillId="48" borderId="80" xfId="8736" applyFont="1" applyFill="1" applyBorder="1" applyAlignment="1">
      <alignment horizontal="left"/>
    </xf>
    <xf numFmtId="0" fontId="96"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65" fillId="48" borderId="72" xfId="8736" applyFont="1" applyFill="1" applyBorder="1" applyAlignment="1" applyProtection="1">
      <alignment horizontal="center"/>
      <protection locked="0"/>
    </xf>
    <xf numFmtId="0" fontId="165" fillId="48" borderId="11" xfId="8736" applyFont="1" applyFill="1" applyBorder="1" applyAlignment="1" applyProtection="1">
      <alignment horizontal="center"/>
      <protection locked="0"/>
    </xf>
    <xf numFmtId="0" fontId="167" fillId="48" borderId="11" xfId="8736" applyFont="1" applyFill="1" applyBorder="1" applyAlignment="1" applyProtection="1">
      <alignment horizontal="left"/>
      <protection locked="0"/>
    </xf>
    <xf numFmtId="168" fontId="165" fillId="48" borderId="11" xfId="700" applyNumberFormat="1" applyFont="1" applyFill="1" applyBorder="1" applyAlignment="1" applyProtection="1">
      <alignment horizontal="left"/>
      <protection locked="0"/>
    </xf>
    <xf numFmtId="0" fontId="165" fillId="48" borderId="11" xfId="8736" applyFont="1" applyFill="1" applyBorder="1" applyAlignment="1" applyProtection="1">
      <alignment horizontal="left"/>
      <protection locked="0"/>
    </xf>
    <xf numFmtId="0" fontId="165" fillId="48" borderId="76"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67" fillId="48" borderId="72" xfId="8736" applyFont="1" applyFill="1" applyBorder="1" applyAlignment="1" applyProtection="1">
      <alignment horizontal="center"/>
      <protection locked="0"/>
    </xf>
    <xf numFmtId="0" fontId="167" fillId="48" borderId="11" xfId="8736" applyFont="1" applyFill="1" applyBorder="1" applyAlignment="1" applyProtection="1">
      <alignment horizontal="center"/>
      <protection locked="0"/>
    </xf>
    <xf numFmtId="43" fontId="162" fillId="50" borderId="72" xfId="698" applyFont="1" applyFill="1" applyBorder="1" applyAlignment="1" applyProtection="1">
      <alignment horizontal="left" wrapText="1"/>
      <protection hidden="1"/>
    </xf>
    <xf numFmtId="43" fontId="162"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59" fillId="50" borderId="111" xfId="698" applyFont="1" applyFill="1" applyBorder="1" applyAlignment="1" applyProtection="1">
      <alignment horizontal="center"/>
      <protection hidden="1"/>
    </xf>
    <xf numFmtId="43" fontId="159" fillId="50" borderId="84" xfId="698" applyFont="1" applyFill="1" applyBorder="1" applyAlignment="1" applyProtection="1">
      <alignment horizontal="center"/>
      <protection hidden="1"/>
    </xf>
    <xf numFmtId="43" fontId="159" fillId="50" borderId="102" xfId="698" applyFont="1" applyFill="1" applyBorder="1" applyAlignment="1" applyProtection="1">
      <alignment horizontal="center"/>
      <protection hidden="1"/>
    </xf>
    <xf numFmtId="0" fontId="165" fillId="45" borderId="72" xfId="8736" applyFont="1" applyFill="1" applyBorder="1" applyAlignment="1">
      <alignment horizontal="right"/>
    </xf>
    <xf numFmtId="0" fontId="165" fillId="45" borderId="11" xfId="8736" applyFont="1" applyFill="1" applyBorder="1" applyAlignment="1">
      <alignment horizontal="right"/>
    </xf>
    <xf numFmtId="43" fontId="162" fillId="50" borderId="98" xfId="698" applyFont="1" applyFill="1" applyBorder="1" applyAlignment="1" applyProtection="1">
      <alignment horizontal="left"/>
      <protection hidden="1"/>
    </xf>
    <xf numFmtId="43" fontId="162"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65" fillId="48" borderId="9" xfId="8736" applyFont="1" applyFill="1" applyBorder="1" applyAlignment="1">
      <alignment horizontal="center"/>
    </xf>
    <xf numFmtId="0" fontId="165" fillId="48" borderId="6" xfId="8736" applyFont="1" applyFill="1" applyBorder="1" applyAlignment="1">
      <alignment horizontal="center"/>
    </xf>
    <xf numFmtId="0" fontId="165" fillId="48" borderId="82" xfId="8736" applyFont="1" applyFill="1" applyBorder="1" applyAlignment="1">
      <alignment horizontal="center"/>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168" fontId="167" fillId="44" borderId="11" xfId="700" applyNumberFormat="1" applyFont="1" applyFill="1" applyBorder="1" applyAlignment="1">
      <alignment horizontal="left"/>
    </xf>
    <xf numFmtId="0" fontId="96" fillId="45" borderId="65" xfId="8736" applyFont="1" applyFill="1" applyBorder="1" applyAlignment="1">
      <alignment horizontal="left" wrapText="1"/>
    </xf>
    <xf numFmtId="0" fontId="96" fillId="45" borderId="29" xfId="8736" applyFont="1" applyFill="1" applyBorder="1" applyAlignment="1">
      <alignment horizontal="left" wrapText="1"/>
    </xf>
    <xf numFmtId="0" fontId="96" fillId="45" borderId="31" xfId="8736" applyFont="1" applyFill="1" applyBorder="1" applyAlignment="1">
      <alignment horizontal="left" wrapText="1"/>
    </xf>
    <xf numFmtId="0" fontId="96" fillId="45" borderId="73" xfId="8736" applyFont="1" applyFill="1" applyBorder="1" applyAlignment="1">
      <alignment horizontal="left" wrapText="1"/>
    </xf>
    <xf numFmtId="0" fontId="96" fillId="45" borderId="42" xfId="8736" applyFont="1" applyFill="1" applyBorder="1" applyAlignment="1">
      <alignment horizontal="left" wrapText="1"/>
    </xf>
    <xf numFmtId="0" fontId="96" fillId="45" borderId="44" xfId="8736" applyFont="1" applyFill="1" applyBorder="1" applyAlignment="1">
      <alignment horizontal="left" wrapText="1"/>
    </xf>
    <xf numFmtId="43" fontId="162" fillId="50" borderId="72" xfId="698" applyFont="1" applyFill="1" applyBorder="1" applyAlignment="1" applyProtection="1">
      <alignment horizontal="left"/>
      <protection hidden="1"/>
    </xf>
    <xf numFmtId="43" fontId="162"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96" fillId="45" borderId="67" xfId="8736" applyFont="1" applyFill="1" applyBorder="1" applyAlignment="1">
      <alignment horizontal="center"/>
    </xf>
    <xf numFmtId="0" fontId="96" fillId="45" borderId="68" xfId="8736" applyFont="1" applyFill="1" applyBorder="1" applyAlignment="1">
      <alignment horizontal="center"/>
    </xf>
    <xf numFmtId="0" fontId="159" fillId="45" borderId="68" xfId="8736" applyFont="1" applyFill="1" applyBorder="1" applyAlignment="1">
      <alignment horizontal="center"/>
    </xf>
    <xf numFmtId="0" fontId="159" fillId="45" borderId="71" xfId="8736" applyFont="1" applyFill="1" applyBorder="1" applyAlignment="1">
      <alignment horizontal="center"/>
    </xf>
    <xf numFmtId="0" fontId="166" fillId="51" borderId="11" xfId="8736" applyFont="1" applyFill="1" applyBorder="1" applyAlignment="1">
      <alignment horizontal="center"/>
    </xf>
    <xf numFmtId="0" fontId="166" fillId="51" borderId="76" xfId="8736" applyFont="1" applyFill="1" applyBorder="1" applyAlignment="1">
      <alignment horizontal="center"/>
    </xf>
    <xf numFmtId="0" fontId="167" fillId="45" borderId="72" xfId="8736" applyFont="1" applyFill="1" applyBorder="1" applyAlignment="1">
      <alignment horizontal="right"/>
    </xf>
    <xf numFmtId="0" fontId="167" fillId="45" borderId="11" xfId="8736" applyFont="1" applyFill="1" applyBorder="1" applyAlignment="1">
      <alignment horizontal="right"/>
    </xf>
    <xf numFmtId="168" fontId="167" fillId="48" borderId="11" xfId="700" applyNumberFormat="1" applyFont="1" applyFill="1" applyBorder="1" applyAlignment="1" applyProtection="1">
      <alignment horizontal="left"/>
      <protection locked="0"/>
    </xf>
    <xf numFmtId="168" fontId="165" fillId="44" borderId="11" xfId="700" applyNumberFormat="1" applyFont="1" applyFill="1" applyBorder="1" applyAlignment="1" applyProtection="1">
      <alignment horizontal="left"/>
      <protection locked="0"/>
    </xf>
    <xf numFmtId="0" fontId="96" fillId="45" borderId="71" xfId="8736" applyFont="1" applyFill="1" applyBorder="1" applyAlignment="1">
      <alignment horizontal="center"/>
    </xf>
    <xf numFmtId="0" fontId="159" fillId="45" borderId="67" xfId="8736" applyFont="1" applyFill="1" applyBorder="1" applyAlignment="1">
      <alignment horizontal="left"/>
    </xf>
    <xf numFmtId="0" fontId="159" fillId="45" borderId="68" xfId="8736" applyFont="1" applyFill="1" applyBorder="1" applyAlignment="1">
      <alignment horizontal="left"/>
    </xf>
    <xf numFmtId="0" fontId="159" fillId="45" borderId="71" xfId="8736" applyFont="1" applyFill="1" applyBorder="1" applyAlignment="1">
      <alignment horizontal="left"/>
    </xf>
    <xf numFmtId="0" fontId="96" fillId="45" borderId="72" xfId="8736" applyFont="1" applyFill="1" applyBorder="1" applyAlignment="1">
      <alignment horizontal="center"/>
    </xf>
    <xf numFmtId="0" fontId="96" fillId="45" borderId="11" xfId="8736" applyFont="1" applyFill="1" applyBorder="1" applyAlignment="1">
      <alignment horizontal="center"/>
    </xf>
    <xf numFmtId="0" fontId="96" fillId="45" borderId="76" xfId="8736" applyFont="1" applyFill="1" applyBorder="1" applyAlignment="1">
      <alignment horizontal="center"/>
    </xf>
    <xf numFmtId="0" fontId="165" fillId="48" borderId="72" xfId="8736" applyFont="1" applyFill="1" applyBorder="1" applyAlignment="1" applyProtection="1">
      <alignment horizontal="left" vertical="top"/>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14" fontId="165" fillId="48" borderId="11" xfId="8736" applyNumberFormat="1" applyFont="1" applyFill="1" applyBorder="1" applyAlignment="1" applyProtection="1">
      <alignment horizontal="center"/>
      <protection locked="0"/>
    </xf>
    <xf numFmtId="14" fontId="165" fillId="48" borderId="76" xfId="8736" applyNumberFormat="1" applyFont="1" applyFill="1" applyBorder="1" applyAlignment="1" applyProtection="1">
      <alignment horizontal="center"/>
      <protection locked="0"/>
    </xf>
    <xf numFmtId="0" fontId="165" fillId="48" borderId="69" xfId="8736" applyFont="1" applyFill="1" applyBorder="1" applyAlignment="1" applyProtection="1">
      <alignment horizontal="center"/>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4" fontId="165" fillId="48" borderId="77" xfId="8736" applyNumberFormat="1" applyFont="1" applyFill="1" applyBorder="1" applyAlignment="1" applyProtection="1">
      <alignment horizontal="center"/>
      <protection locked="0"/>
    </xf>
    <xf numFmtId="0" fontId="164" fillId="45" borderId="72" xfId="8736" applyFont="1" applyFill="1" applyBorder="1" applyAlignment="1">
      <alignment horizontal="center"/>
    </xf>
    <xf numFmtId="0" fontId="164" fillId="45" borderId="11" xfId="8736" applyFont="1" applyFill="1" applyBorder="1" applyAlignment="1">
      <alignment horizontal="center"/>
    </xf>
    <xf numFmtId="0" fontId="168" fillId="48" borderId="11" xfId="8736" applyFont="1" applyFill="1" applyBorder="1" applyAlignment="1" applyProtection="1">
      <alignment horizontal="left"/>
      <protection locked="0"/>
    </xf>
    <xf numFmtId="14" fontId="167" fillId="48" borderId="11" xfId="8736" applyNumberFormat="1" applyFont="1" applyFill="1" applyBorder="1" applyAlignment="1" applyProtection="1">
      <alignment horizontal="center"/>
      <protection locked="0"/>
    </xf>
    <xf numFmtId="168" fontId="167" fillId="48" borderId="11" xfId="8737" applyNumberFormat="1" applyFont="1" applyFill="1" applyBorder="1" applyAlignment="1" applyProtection="1">
      <alignment horizontal="center"/>
      <protection locked="0"/>
    </xf>
    <xf numFmtId="168" fontId="167" fillId="48" borderId="76" xfId="8737" applyNumberFormat="1" applyFont="1" applyFill="1" applyBorder="1" applyAlignment="1" applyProtection="1">
      <alignment horizontal="center"/>
      <protection locked="0"/>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0" fontId="168" fillId="48" borderId="70" xfId="8736" applyFont="1" applyFill="1" applyBorder="1" applyAlignment="1" applyProtection="1">
      <alignment horizontal="left"/>
      <protection locked="0"/>
    </xf>
    <xf numFmtId="0" fontId="167" fillId="48" borderId="70" xfId="8736" applyFont="1" applyFill="1" applyBorder="1" applyAlignment="1" applyProtection="1">
      <alignment horizontal="center"/>
      <protection locked="0"/>
    </xf>
    <xf numFmtId="14" fontId="167" fillId="48" borderId="70" xfId="8736" applyNumberFormat="1" applyFont="1" applyFill="1" applyBorder="1" applyAlignment="1" applyProtection="1">
      <alignment horizontal="center"/>
      <protection locked="0"/>
    </xf>
    <xf numFmtId="168" fontId="167" fillId="48" borderId="70" xfId="8737" applyNumberFormat="1" applyFont="1" applyFill="1" applyBorder="1" applyAlignment="1" applyProtection="1">
      <alignment horizontal="center"/>
      <protection locked="0"/>
    </xf>
    <xf numFmtId="168" fontId="167" fillId="48" borderId="77" xfId="8737" applyNumberFormat="1" applyFont="1" applyFill="1" applyBorder="1" applyAlignment="1" applyProtection="1">
      <alignment horizontal="center"/>
      <protection locked="0"/>
    </xf>
    <xf numFmtId="0" fontId="169" fillId="45" borderId="69" xfId="8736" applyFont="1" applyFill="1" applyBorder="1" applyAlignment="1">
      <alignment horizontal="left"/>
    </xf>
    <xf numFmtId="0" fontId="169" fillId="45" borderId="70" xfId="8736" applyFont="1" applyFill="1" applyBorder="1" applyAlignment="1">
      <alignment horizontal="left"/>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159" fillId="45" borderId="67" xfId="8736" applyFont="1" applyFill="1" applyBorder="1" applyAlignment="1">
      <alignment horizontal="center"/>
    </xf>
    <xf numFmtId="0" fontId="158" fillId="45" borderId="11" xfId="8736" applyFont="1" applyFill="1" applyBorder="1" applyAlignment="1">
      <alignment horizontal="center"/>
    </xf>
    <xf numFmtId="0" fontId="169" fillId="45" borderId="72" xfId="8736" applyFont="1" applyFill="1" applyBorder="1" applyAlignment="1">
      <alignment horizontal="left"/>
    </xf>
    <xf numFmtId="0" fontId="169" fillId="45" borderId="11" xfId="8736" applyFont="1" applyFill="1" applyBorder="1" applyAlignment="1">
      <alignment horizontal="left"/>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158" fillId="45" borderId="11" xfId="8736" applyFont="1" applyFill="1" applyBorder="1" applyAlignment="1">
      <alignment horizontal="center" wrapText="1"/>
    </xf>
    <xf numFmtId="0" fontId="158" fillId="45" borderId="76" xfId="8736" applyFont="1" applyFill="1" applyBorder="1" applyAlignment="1">
      <alignment horizontal="center" wrapText="1"/>
    </xf>
    <xf numFmtId="0" fontId="158" fillId="48" borderId="90" xfId="8736" applyFont="1" applyFill="1" applyBorder="1" applyAlignment="1">
      <alignment horizontal="left"/>
    </xf>
    <xf numFmtId="0" fontId="158" fillId="48" borderId="4" xfId="8736" applyFont="1" applyFill="1" applyBorder="1" applyAlignment="1">
      <alignment horizontal="left"/>
    </xf>
    <xf numFmtId="0" fontId="158" fillId="48" borderId="5" xfId="8736"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8" fillId="45" borderId="72" xfId="8736" applyFont="1" applyFill="1" applyBorder="1" applyAlignment="1">
      <alignment horizontal="left"/>
    </xf>
    <xf numFmtId="0" fontId="158" fillId="45" borderId="11" xfId="8736" applyFont="1" applyFill="1" applyBorder="1" applyAlignment="1">
      <alignment horizontal="left"/>
    </xf>
    <xf numFmtId="0" fontId="170" fillId="48" borderId="11" xfId="8736" applyFont="1" applyFill="1" applyBorder="1" applyAlignment="1" applyProtection="1">
      <alignment horizontal="left"/>
      <protection locked="0"/>
    </xf>
    <xf numFmtId="0" fontId="170" fillId="48" borderId="76" xfId="8736" applyFont="1" applyFill="1" applyBorder="1" applyAlignment="1" applyProtection="1">
      <alignment horizontal="left"/>
      <protection locked="0"/>
    </xf>
    <xf numFmtId="0" fontId="167" fillId="48" borderId="72" xfId="8736" applyFont="1" applyFill="1" applyBorder="1" applyAlignment="1" applyProtection="1">
      <alignment horizontal="left" vertical="top"/>
      <protection locked="0"/>
    </xf>
    <xf numFmtId="0" fontId="167" fillId="48" borderId="11" xfId="8736" applyFont="1" applyFill="1" applyBorder="1" applyAlignment="1" applyProtection="1">
      <alignment horizontal="left" vertical="top"/>
      <protection locked="0"/>
    </xf>
    <xf numFmtId="0" fontId="167" fillId="48" borderId="76" xfId="8736" applyFont="1" applyFill="1" applyBorder="1" applyAlignment="1" applyProtection="1">
      <alignment horizontal="left" vertical="top"/>
      <protection locked="0"/>
    </xf>
    <xf numFmtId="0" fontId="167" fillId="48" borderId="69" xfId="8736" applyFont="1" applyFill="1" applyBorder="1" applyAlignment="1" applyProtection="1">
      <alignment horizontal="left" vertical="top"/>
      <protection locked="0"/>
    </xf>
    <xf numFmtId="0" fontId="167" fillId="48" borderId="70" xfId="8736" applyFont="1" applyFill="1" applyBorder="1" applyAlignment="1" applyProtection="1">
      <alignment horizontal="left" vertical="top"/>
      <protection locked="0"/>
    </xf>
    <xf numFmtId="0" fontId="167" fillId="48" borderId="77" xfId="8736" applyFont="1" applyFill="1" applyBorder="1" applyAlignment="1" applyProtection="1">
      <alignment horizontal="left" vertical="top"/>
      <protection locked="0"/>
    </xf>
    <xf numFmtId="0" fontId="158" fillId="45" borderId="67" xfId="8736" applyFont="1" applyFill="1" applyBorder="1" applyAlignment="1">
      <alignment horizontal="left"/>
    </xf>
    <xf numFmtId="0" fontId="158" fillId="45" borderId="68" xfId="8736" applyFont="1" applyFill="1" applyBorder="1" applyAlignment="1">
      <alignment horizontal="left"/>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81" xfId="8736" applyFont="1" applyFill="1" applyBorder="1" applyAlignment="1" applyProtection="1">
      <alignment horizontal="center"/>
      <protection locked="0"/>
    </xf>
    <xf numFmtId="0" fontId="166" fillId="45" borderId="11" xfId="8736" applyFont="1" applyFill="1" applyBorder="1" applyAlignment="1">
      <alignment horizontal="center"/>
    </xf>
    <xf numFmtId="0" fontId="172" fillId="45" borderId="11" xfId="8736" applyFont="1" applyFill="1" applyBorder="1" applyAlignment="1">
      <alignment horizontal="left"/>
    </xf>
    <xf numFmtId="0" fontId="172" fillId="45" borderId="76" xfId="8736" applyFont="1" applyFill="1" applyBorder="1" applyAlignment="1">
      <alignment horizontal="left"/>
    </xf>
    <xf numFmtId="0" fontId="159" fillId="45" borderId="93" xfId="8736" applyFont="1" applyFill="1" applyBorder="1" applyAlignment="1">
      <alignment horizontal="center"/>
    </xf>
    <xf numFmtId="0" fontId="159" fillId="45" borderId="92" xfId="8736" applyFont="1" applyFill="1" applyBorder="1" applyAlignment="1">
      <alignment horizontal="center"/>
    </xf>
    <xf numFmtId="0" fontId="159" fillId="45" borderId="91" xfId="8736" applyFont="1" applyFill="1" applyBorder="1" applyAlignment="1">
      <alignment horizontal="center"/>
    </xf>
    <xf numFmtId="0" fontId="166" fillId="45" borderId="72" xfId="8736" applyFont="1" applyFill="1" applyBorder="1" applyAlignment="1">
      <alignment horizontal="center"/>
    </xf>
    <xf numFmtId="0" fontId="96" fillId="45" borderId="67" xfId="8736" applyFont="1" applyFill="1" applyBorder="1" applyAlignment="1" applyProtection="1">
      <alignment horizontal="left" vertical="center" wrapText="1"/>
      <protection locked="0"/>
    </xf>
    <xf numFmtId="0" fontId="96" fillId="45" borderId="68" xfId="8736" applyFont="1" applyFill="1" applyBorder="1" applyAlignment="1" applyProtection="1">
      <alignment horizontal="left" vertical="center" wrapText="1"/>
      <protection locked="0"/>
    </xf>
    <xf numFmtId="0" fontId="96" fillId="45" borderId="72" xfId="8736" applyFont="1" applyFill="1" applyBorder="1" applyAlignment="1" applyProtection="1">
      <alignment horizontal="left" vertical="center" wrapText="1"/>
      <protection locked="0"/>
    </xf>
    <xf numFmtId="0" fontId="96" fillId="45" borderId="11" xfId="8736" applyFont="1" applyFill="1" applyBorder="1" applyAlignment="1" applyProtection="1">
      <alignment horizontal="left" vertical="center" wrapText="1"/>
      <protection locked="0"/>
    </xf>
    <xf numFmtId="0" fontId="162" fillId="48" borderId="68" xfId="8736" applyFont="1" applyFill="1" applyBorder="1" applyAlignment="1" applyProtection="1">
      <alignment horizontal="left" vertical="center" wrapText="1"/>
      <protection locked="0"/>
    </xf>
    <xf numFmtId="0" fontId="162" fillId="48" borderId="71" xfId="8736" applyFont="1" applyFill="1" applyBorder="1" applyAlignment="1" applyProtection="1">
      <alignment horizontal="left" vertical="center" wrapText="1"/>
      <protection locked="0"/>
    </xf>
    <xf numFmtId="0" fontId="162" fillId="48" borderId="11" xfId="8736" applyFont="1" applyFill="1" applyBorder="1" applyAlignment="1" applyProtection="1">
      <alignment horizontal="left" vertical="center" wrapText="1"/>
      <protection locked="0"/>
    </xf>
    <xf numFmtId="0" fontId="162" fillId="48" borderId="76" xfId="8736" applyFont="1" applyFill="1" applyBorder="1" applyAlignment="1" applyProtection="1">
      <alignment horizontal="left" vertical="center" wrapText="1"/>
      <protection locked="0"/>
    </xf>
    <xf numFmtId="0" fontId="165" fillId="48" borderId="72" xfId="8736" applyFont="1" applyFill="1" applyBorder="1" applyAlignment="1" applyProtection="1">
      <alignment horizontal="left" vertical="top" wrapText="1"/>
      <protection locked="0"/>
    </xf>
    <xf numFmtId="0" fontId="165" fillId="48" borderId="11" xfId="8736" applyFont="1" applyFill="1" applyBorder="1" applyAlignment="1" applyProtection="1">
      <alignment horizontal="left" vertical="top" wrapText="1"/>
      <protection locked="0"/>
    </xf>
    <xf numFmtId="0" fontId="165" fillId="48" borderId="69" xfId="8736" applyFont="1" applyFill="1" applyBorder="1" applyAlignment="1" applyProtection="1">
      <alignment horizontal="left" vertical="top" wrapText="1"/>
      <protection locked="0"/>
    </xf>
    <xf numFmtId="0" fontId="165" fillId="48" borderId="70"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center" vertical="center" wrapText="1"/>
      <protection locked="0"/>
    </xf>
    <xf numFmtId="0" fontId="162" fillId="48" borderId="76" xfId="8736" applyFont="1" applyFill="1" applyBorder="1" applyAlignment="1" applyProtection="1">
      <alignment horizontal="center" vertical="center" wrapText="1"/>
      <protection locked="0"/>
    </xf>
    <xf numFmtId="0" fontId="162" fillId="48" borderId="70" xfId="8736" applyFont="1" applyFill="1" applyBorder="1" applyAlignment="1" applyProtection="1">
      <alignment horizontal="center" vertical="center" wrapText="1"/>
      <protection locked="0"/>
    </xf>
    <xf numFmtId="0" fontId="162" fillId="48" borderId="77" xfId="8736" applyFont="1" applyFill="1" applyBorder="1" applyAlignment="1" applyProtection="1">
      <alignment horizontal="center" vertical="center" wrapText="1"/>
      <protection locked="0"/>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96" fillId="45" borderId="67" xfId="8736" applyFont="1" applyFill="1" applyBorder="1" applyAlignment="1">
      <alignment horizontal="left" wrapText="1"/>
    </xf>
    <xf numFmtId="0" fontId="96" fillId="45" borderId="68" xfId="8736" applyFont="1" applyFill="1" applyBorder="1" applyAlignment="1">
      <alignment horizontal="left" wrapText="1"/>
    </xf>
    <xf numFmtId="0" fontId="96" fillId="45" borderId="71" xfId="8736" applyFont="1" applyFill="1" applyBorder="1" applyAlignment="1">
      <alignment horizontal="left" wrapText="1"/>
    </xf>
    <xf numFmtId="0" fontId="96" fillId="45" borderId="72" xfId="8736" applyFont="1" applyFill="1" applyBorder="1" applyAlignment="1">
      <alignment horizontal="left" wrapText="1"/>
    </xf>
    <xf numFmtId="0" fontId="96" fillId="45" borderId="11" xfId="8736" applyFont="1" applyFill="1" applyBorder="1" applyAlignment="1">
      <alignment horizontal="left" wrapText="1"/>
    </xf>
    <xf numFmtId="0" fontId="96" fillId="45" borderId="76" xfId="8736" applyFont="1" applyFill="1" applyBorder="1" applyAlignment="1">
      <alignment horizontal="left" wrapText="1"/>
    </xf>
    <xf numFmtId="0" fontId="96" fillId="45" borderId="65" xfId="8736" applyFont="1" applyFill="1" applyBorder="1" applyAlignment="1">
      <alignment horizontal="center"/>
    </xf>
    <xf numFmtId="0" fontId="96" fillId="45" borderId="29" xfId="8736" applyFont="1" applyFill="1" applyBorder="1" applyAlignment="1">
      <alignment horizontal="center"/>
    </xf>
    <xf numFmtId="0" fontId="96" fillId="45" borderId="31" xfId="8736" applyFont="1" applyFill="1" applyBorder="1" applyAlignment="1">
      <alignment horizontal="center"/>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66" fillId="45" borderId="11" xfId="8736" applyFont="1" applyFill="1" applyBorder="1" applyAlignment="1">
      <alignment horizontal="center" wrapText="1"/>
    </xf>
    <xf numFmtId="0" fontId="158" fillId="45" borderId="76" xfId="8736" applyFont="1" applyFill="1" applyBorder="1" applyAlignment="1">
      <alignment horizontal="center"/>
    </xf>
    <xf numFmtId="0" fontId="5" fillId="48" borderId="9" xfId="8736"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96" fillId="45" borderId="67" xfId="8736" applyFont="1" applyFill="1" applyBorder="1" applyAlignment="1">
      <alignment horizontal="center" wrapText="1"/>
    </xf>
    <xf numFmtId="0" fontId="96" fillId="45" borderId="68" xfId="8736" applyFont="1" applyFill="1" applyBorder="1" applyAlignment="1">
      <alignment horizontal="center" wrapText="1"/>
    </xf>
    <xf numFmtId="0" fontId="96" fillId="45" borderId="71" xfId="8736" applyFont="1" applyFill="1" applyBorder="1" applyAlignment="1">
      <alignment horizontal="center" wrapText="1"/>
    </xf>
    <xf numFmtId="0" fontId="162" fillId="48" borderId="68" xfId="8736" applyFont="1" applyFill="1" applyBorder="1" applyAlignment="1" applyProtection="1">
      <alignment horizontal="left" wrapText="1"/>
      <protection locked="0"/>
    </xf>
    <xf numFmtId="0" fontId="162" fillId="48" borderId="71" xfId="8736" applyFont="1" applyFill="1" applyBorder="1" applyAlignment="1" applyProtection="1">
      <alignment horizontal="left" wrapText="1"/>
      <protection locked="0"/>
    </xf>
    <xf numFmtId="0" fontId="162" fillId="48" borderId="11" xfId="8736" applyFont="1" applyFill="1" applyBorder="1" applyAlignment="1" applyProtection="1">
      <alignment horizontal="left" wrapText="1"/>
      <protection locked="0"/>
    </xf>
    <xf numFmtId="0" fontId="162" fillId="48" borderId="76" xfId="8736" applyFont="1" applyFill="1" applyBorder="1" applyAlignment="1" applyProtection="1">
      <alignment horizontal="left" wrapText="1"/>
      <protection locked="0"/>
    </xf>
    <xf numFmtId="3" fontId="5" fillId="48" borderId="70" xfId="8736" applyNumberFormat="1" applyFill="1" applyBorder="1" applyAlignment="1" applyProtection="1">
      <alignment horizontal="center"/>
      <protection locked="0"/>
    </xf>
    <xf numFmtId="0" fontId="1" fillId="48" borderId="9" xfId="8736" applyFont="1" applyFill="1" applyBorder="1" applyAlignment="1" applyProtection="1">
      <alignment horizontal="center"/>
      <protection locked="0"/>
    </xf>
    <xf numFmtId="0" fontId="167" fillId="48" borderId="72" xfId="8736" applyFont="1" applyFill="1" applyBorder="1" applyAlignment="1" applyProtection="1">
      <alignment horizontal="right"/>
      <protection locked="0"/>
    </xf>
    <xf numFmtId="0" fontId="167" fillId="48" borderId="11" xfId="8736" applyFont="1" applyFill="1" applyBorder="1" applyAlignment="1" applyProtection="1">
      <alignment horizontal="right"/>
      <protection locked="0"/>
    </xf>
    <xf numFmtId="168" fontId="167" fillId="48" borderId="76" xfId="700" applyNumberFormat="1" applyFont="1" applyFill="1" applyBorder="1" applyAlignment="1" applyProtection="1">
      <alignment horizontal="left"/>
      <protection locked="0"/>
    </xf>
    <xf numFmtId="0" fontId="159" fillId="45" borderId="98" xfId="8736" applyFont="1" applyFill="1" applyBorder="1" applyAlignment="1">
      <alignment horizontal="center"/>
    </xf>
    <xf numFmtId="0" fontId="159" fillId="45" borderId="13" xfId="8736" applyFont="1" applyFill="1" applyBorder="1" applyAlignment="1">
      <alignment horizontal="center"/>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0" fontId="159" fillId="45" borderId="89" xfId="8736" applyFont="1" applyFill="1" applyBorder="1" applyAlignment="1">
      <alignment horizontal="right"/>
    </xf>
    <xf numFmtId="0" fontId="159" fillId="45" borderId="43" xfId="8736" applyFont="1" applyFill="1" applyBorder="1" applyAlignment="1">
      <alignment horizontal="right"/>
    </xf>
    <xf numFmtId="168" fontId="159" fillId="45" borderId="43" xfId="8736" applyNumberFormat="1" applyFont="1" applyFill="1" applyBorder="1" applyAlignment="1">
      <alignment horizontal="left"/>
    </xf>
    <xf numFmtId="168" fontId="159" fillId="45" borderId="88" xfId="8736" applyNumberFormat="1" applyFont="1" applyFill="1" applyBorder="1" applyAlignment="1">
      <alignment horizontal="left"/>
    </xf>
    <xf numFmtId="0" fontId="165" fillId="48" borderId="68" xfId="8736" applyFont="1" applyFill="1" applyBorder="1" applyAlignment="1" applyProtection="1">
      <alignment horizontal="left"/>
      <protection locked="0"/>
    </xf>
    <xf numFmtId="0" fontId="165" fillId="48" borderId="71" xfId="8736" applyFont="1" applyFill="1" applyBorder="1" applyAlignment="1" applyProtection="1">
      <alignment horizontal="left"/>
      <protection locked="0"/>
    </xf>
    <xf numFmtId="0" fontId="159" fillId="45" borderId="69" xfId="8736" applyFont="1" applyFill="1" applyBorder="1" applyAlignment="1">
      <alignment horizontal="center"/>
    </xf>
    <xf numFmtId="0" fontId="159"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0" fontId="162" fillId="48" borderId="74" xfId="8736" applyFont="1" applyFill="1" applyBorder="1" applyAlignment="1" applyProtection="1">
      <alignment horizontal="left"/>
      <protection locked="0"/>
    </xf>
    <xf numFmtId="0" fontId="159" fillId="45" borderId="72" xfId="8736" applyFont="1" applyFill="1" applyBorder="1" applyAlignment="1">
      <alignment horizontal="center"/>
    </xf>
    <xf numFmtId="0" fontId="159" fillId="45" borderId="11" xfId="8736" applyFont="1" applyFill="1" applyBorder="1" applyAlignment="1">
      <alignment horizontal="center"/>
    </xf>
    <xf numFmtId="0" fontId="159" fillId="45" borderId="3" xfId="8736" applyFont="1" applyFill="1" applyBorder="1" applyAlignment="1">
      <alignment horizontal="center"/>
    </xf>
    <xf numFmtId="0" fontId="159" fillId="45" borderId="4" xfId="8736" applyFont="1" applyFill="1" applyBorder="1" applyAlignment="1">
      <alignment horizontal="center"/>
    </xf>
    <xf numFmtId="0" fontId="159" fillId="45" borderId="81" xfId="8736" applyFont="1" applyFill="1" applyBorder="1" applyAlignment="1">
      <alignment horizontal="center"/>
    </xf>
    <xf numFmtId="0" fontId="96" fillId="45" borderId="69" xfId="8736" applyFont="1" applyFill="1" applyBorder="1" applyAlignment="1">
      <alignment horizontal="center"/>
    </xf>
    <xf numFmtId="0" fontId="96" fillId="45" borderId="70" xfId="8736" applyFont="1" applyFill="1" applyBorder="1" applyAlignment="1">
      <alignment horizontal="center"/>
    </xf>
    <xf numFmtId="0" fontId="165" fillId="44" borderId="72" xfId="8736" applyFont="1" applyFill="1" applyBorder="1" applyAlignment="1" applyProtection="1">
      <alignment horizontal="right"/>
      <protection locked="0"/>
    </xf>
    <xf numFmtId="0" fontId="165" fillId="44" borderId="11" xfId="8736" applyFont="1" applyFill="1" applyBorder="1" applyAlignment="1" applyProtection="1">
      <alignment horizontal="right"/>
      <protection locked="0"/>
    </xf>
    <xf numFmtId="0" fontId="165" fillId="44" borderId="76" xfId="8736" applyFont="1" applyFill="1" applyBorder="1" applyAlignment="1" applyProtection="1">
      <alignment horizontal="right"/>
      <protection locked="0"/>
    </xf>
    <xf numFmtId="0" fontId="165" fillId="48" borderId="5" xfId="8736" applyFont="1" applyFill="1" applyBorder="1" applyAlignment="1" applyProtection="1">
      <alignment horizontal="left"/>
      <protection locked="0"/>
    </xf>
    <xf numFmtId="0" fontId="165" fillId="44" borderId="69" xfId="8736" applyFont="1" applyFill="1" applyBorder="1" applyAlignment="1" applyProtection="1">
      <alignment horizontal="right"/>
      <protection locked="0"/>
    </xf>
    <xf numFmtId="0" fontId="165" fillId="44" borderId="70" xfId="8736" applyFont="1" applyFill="1" applyBorder="1" applyAlignment="1" applyProtection="1">
      <alignment horizontal="right"/>
      <protection locked="0"/>
    </xf>
    <xf numFmtId="0" fontId="165" fillId="44" borderId="77" xfId="8736" applyFont="1" applyFill="1" applyBorder="1" applyAlignment="1" applyProtection="1">
      <alignment horizontal="right"/>
      <protection locked="0"/>
    </xf>
    <xf numFmtId="0" fontId="165" fillId="48" borderId="95" xfId="8736" applyFont="1" applyFill="1" applyBorder="1" applyAlignment="1" applyProtection="1">
      <alignment horizontal="left"/>
      <protection locked="0"/>
    </xf>
    <xf numFmtId="0" fontId="159" fillId="45" borderId="65" xfId="8736" applyFont="1" applyFill="1" applyBorder="1" applyAlignment="1">
      <alignment horizontal="center"/>
    </xf>
    <xf numFmtId="0" fontId="159" fillId="45" borderId="29" xfId="8736" applyFont="1" applyFill="1" applyBorder="1" applyAlignment="1">
      <alignment horizontal="center"/>
    </xf>
    <xf numFmtId="0" fontId="159" fillId="45" borderId="31" xfId="8736" applyFont="1" applyFill="1" applyBorder="1" applyAlignment="1">
      <alignment horizontal="center"/>
    </xf>
    <xf numFmtId="168" fontId="165" fillId="48" borderId="11" xfId="8737" applyNumberFormat="1" applyFont="1" applyFill="1" applyBorder="1" applyAlignment="1" applyProtection="1">
      <alignment horizontal="center"/>
      <protection locked="0"/>
    </xf>
    <xf numFmtId="1" fontId="165" fillId="48" borderId="11" xfId="8736" applyNumberFormat="1" applyFont="1" applyFill="1" applyBorder="1" applyAlignment="1" applyProtection="1">
      <alignment horizontal="center"/>
      <protection locked="0"/>
    </xf>
    <xf numFmtId="0" fontId="165" fillId="48" borderId="11" xfId="700" applyNumberFormat="1" applyFont="1" applyFill="1" applyBorder="1" applyAlignment="1" applyProtection="1">
      <alignment horizontal="left"/>
      <protection locked="0"/>
    </xf>
    <xf numFmtId="0" fontId="165" fillId="48" borderId="76" xfId="700" applyNumberFormat="1" applyFont="1" applyFill="1" applyBorder="1" applyAlignment="1" applyProtection="1">
      <alignment horizontal="left"/>
      <protection locked="0"/>
    </xf>
    <xf numFmtId="168" fontId="166" fillId="45" borderId="70" xfId="8737" applyNumberFormat="1" applyFont="1" applyFill="1" applyBorder="1" applyAlignment="1">
      <alignment horizontal="center"/>
    </xf>
    <xf numFmtId="1" fontId="166" fillId="45" borderId="70" xfId="8737" applyNumberFormat="1" applyFont="1" applyFill="1" applyBorder="1" applyAlignment="1">
      <alignment horizontal="center"/>
    </xf>
    <xf numFmtId="0" fontId="166" fillId="45" borderId="70" xfId="8737" applyNumberFormat="1" applyFont="1" applyFill="1" applyBorder="1" applyAlignment="1">
      <alignment horizontal="center"/>
    </xf>
    <xf numFmtId="0" fontId="166" fillId="45" borderId="77" xfId="8737" applyNumberFormat="1" applyFont="1" applyFill="1" applyBorder="1" applyAlignment="1">
      <alignment horizontal="center"/>
    </xf>
    <xf numFmtId="0" fontId="158" fillId="45" borderId="11" xfId="8736" applyFont="1" applyFill="1" applyBorder="1" applyAlignment="1">
      <alignment horizontal="center" vertical="center" wrapText="1"/>
    </xf>
    <xf numFmtId="0" fontId="158" fillId="45" borderId="76" xfId="8736" applyFont="1" applyFill="1" applyBorder="1" applyAlignment="1">
      <alignment horizontal="center" vertical="center" wrapText="1"/>
    </xf>
    <xf numFmtId="1" fontId="170" fillId="48" borderId="70" xfId="8736" applyNumberFormat="1" applyFont="1" applyFill="1" applyBorder="1" applyAlignment="1" applyProtection="1">
      <alignment horizontal="center"/>
      <protection locked="0"/>
    </xf>
    <xf numFmtId="1" fontId="170" fillId="48" borderId="94" xfId="8736" applyNumberFormat="1" applyFont="1" applyFill="1" applyBorder="1" applyAlignment="1" applyProtection="1">
      <alignment horizontal="center"/>
      <protection locked="0"/>
    </xf>
    <xf numFmtId="1" fontId="170" fillId="48" borderId="86" xfId="8736" applyNumberFormat="1" applyFont="1" applyFill="1" applyBorder="1" applyAlignment="1" applyProtection="1">
      <alignment horizontal="center"/>
      <protection locked="0"/>
    </xf>
    <xf numFmtId="1" fontId="170" fillId="48" borderId="95" xfId="8736" applyNumberFormat="1" applyFont="1" applyFill="1" applyBorder="1" applyAlignment="1" applyProtection="1">
      <alignment horizontal="center"/>
      <protection locked="0"/>
    </xf>
    <xf numFmtId="1" fontId="170" fillId="48" borderId="3" xfId="8736" applyNumberFormat="1" applyFont="1" applyFill="1" applyBorder="1" applyAlignment="1" applyProtection="1">
      <alignment horizontal="center"/>
      <protection locked="0"/>
    </xf>
    <xf numFmtId="1" fontId="170" fillId="48" borderId="4" xfId="8736" applyNumberFormat="1" applyFont="1" applyFill="1" applyBorder="1" applyAlignment="1" applyProtection="1">
      <alignment horizontal="center"/>
      <protection locked="0"/>
    </xf>
    <xf numFmtId="1" fontId="170" fillId="48" borderId="5" xfId="8736" applyNumberFormat="1" applyFont="1" applyFill="1" applyBorder="1" applyAlignment="1" applyProtection="1">
      <alignment horizontal="center"/>
      <protection locked="0"/>
    </xf>
    <xf numFmtId="1" fontId="158" fillId="44" borderId="3" xfId="8736" applyNumberFormat="1" applyFont="1" applyFill="1" applyBorder="1" applyAlignment="1">
      <alignment horizontal="center"/>
    </xf>
    <xf numFmtId="1" fontId="158" fillId="44" borderId="4" xfId="8736" applyNumberFormat="1" applyFont="1" applyFill="1" applyBorder="1" applyAlignment="1">
      <alignment horizontal="center"/>
    </xf>
    <xf numFmtId="1" fontId="158" fillId="44" borderId="5" xfId="8736" applyNumberFormat="1" applyFont="1" applyFill="1" applyBorder="1" applyAlignment="1">
      <alignment horizontal="center"/>
    </xf>
    <xf numFmtId="9" fontId="158" fillId="44" borderId="3" xfId="8738" applyFont="1" applyFill="1" applyBorder="1" applyAlignment="1">
      <alignment horizontal="center"/>
    </xf>
    <xf numFmtId="9" fontId="158" fillId="44" borderId="4" xfId="8738" applyFont="1" applyFill="1" applyBorder="1" applyAlignment="1">
      <alignment horizontal="center"/>
    </xf>
    <xf numFmtId="9" fontId="158" fillId="44" borderId="81" xfId="8738" applyFont="1" applyFill="1" applyBorder="1" applyAlignment="1">
      <alignment horizontal="center"/>
    </xf>
    <xf numFmtId="0" fontId="165" fillId="48" borderId="69" xfId="8736" applyFont="1" applyFill="1" applyBorder="1" applyAlignment="1" applyProtection="1">
      <alignment horizontal="right"/>
      <protection locked="0"/>
    </xf>
    <xf numFmtId="0" fontId="165" fillId="48" borderId="70" xfId="8736" applyFont="1" applyFill="1" applyBorder="1" applyAlignment="1" applyProtection="1">
      <alignment horizontal="right"/>
      <protection locked="0"/>
    </xf>
    <xf numFmtId="0" fontId="170" fillId="48" borderId="70" xfId="8736" applyFont="1" applyFill="1" applyBorder="1" applyAlignment="1" applyProtection="1">
      <alignment horizontal="center"/>
      <protection locked="0"/>
    </xf>
    <xf numFmtId="9" fontId="158" fillId="44" borderId="94" xfId="8738" applyFont="1" applyFill="1" applyBorder="1" applyAlignment="1">
      <alignment horizontal="center"/>
    </xf>
    <xf numFmtId="9" fontId="158" fillId="44" borderId="86" xfId="8738" applyFont="1" applyFill="1" applyBorder="1" applyAlignment="1">
      <alignment horizontal="center"/>
    </xf>
    <xf numFmtId="9" fontId="158" fillId="44" borderId="85" xfId="8738" applyFont="1" applyFill="1" applyBorder="1" applyAlignment="1">
      <alignment horizontal="center"/>
    </xf>
    <xf numFmtId="0" fontId="170" fillId="48" borderId="11" xfId="8736" applyFont="1" applyFill="1" applyBorder="1" applyAlignment="1" applyProtection="1">
      <alignment horizontal="center"/>
      <protection locked="0"/>
    </xf>
    <xf numFmtId="1" fontId="170" fillId="48" borderId="11" xfId="8736" applyNumberFormat="1" applyFont="1" applyFill="1" applyBorder="1" applyAlignment="1" applyProtection="1">
      <alignment horizontal="center"/>
      <protection locked="0"/>
    </xf>
    <xf numFmtId="0" fontId="166" fillId="44" borderId="101" xfId="8736" applyFont="1" applyFill="1" applyBorder="1" applyAlignment="1">
      <alignment horizontal="center"/>
    </xf>
    <xf numFmtId="0" fontId="166" fillId="44" borderId="42" xfId="8736" applyFont="1" applyFill="1" applyBorder="1" applyAlignment="1">
      <alignment horizontal="center"/>
    </xf>
    <xf numFmtId="0" fontId="166" fillId="44" borderId="96" xfId="8736" applyFont="1" applyFill="1" applyBorder="1" applyAlignment="1">
      <alignment horizontal="center"/>
    </xf>
    <xf numFmtId="9" fontId="166" fillId="44" borderId="101" xfId="1022" applyFont="1" applyFill="1" applyBorder="1" applyAlignment="1">
      <alignment horizontal="center"/>
    </xf>
    <xf numFmtId="9" fontId="166" fillId="44" borderId="42" xfId="1022" applyFont="1" applyFill="1" applyBorder="1" applyAlignment="1">
      <alignment horizontal="center"/>
    </xf>
    <xf numFmtId="9" fontId="166" fillId="44" borderId="44" xfId="1022" applyFont="1" applyFill="1" applyBorder="1" applyAlignment="1">
      <alignment horizontal="center"/>
    </xf>
    <xf numFmtId="0" fontId="159" fillId="45" borderId="80" xfId="8736" applyFont="1" applyFill="1" applyBorder="1" applyAlignment="1">
      <alignment horizontal="center"/>
    </xf>
    <xf numFmtId="0" fontId="159" fillId="45" borderId="79" xfId="8736" applyFont="1" applyFill="1" applyBorder="1" applyAlignment="1">
      <alignment horizontal="center"/>
    </xf>
    <xf numFmtId="0" fontId="159" fillId="45" borderId="78" xfId="8736" applyFont="1" applyFill="1" applyBorder="1" applyAlignment="1">
      <alignment horizontal="center"/>
    </xf>
    <xf numFmtId="0" fontId="158" fillId="45" borderId="98" xfId="8736" applyFont="1" applyFill="1" applyBorder="1" applyAlignment="1">
      <alignment horizontal="center" vertical="center" wrapText="1"/>
    </xf>
    <xf numFmtId="0" fontId="158" fillId="45" borderId="13" xfId="8736" applyFont="1" applyFill="1" applyBorder="1" applyAlignment="1">
      <alignment horizontal="center" vertical="center"/>
    </xf>
    <xf numFmtId="0" fontId="158" fillId="45" borderId="72" xfId="8736" applyFont="1" applyFill="1" applyBorder="1" applyAlignment="1">
      <alignment horizontal="center" vertical="center"/>
    </xf>
    <xf numFmtId="0" fontId="158" fillId="45" borderId="11" xfId="8736" applyFont="1" applyFill="1" applyBorder="1" applyAlignment="1">
      <alignment horizontal="center" vertical="center"/>
    </xf>
    <xf numFmtId="0" fontId="166" fillId="45" borderId="13"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11" xfId="8736" applyFont="1" applyFill="1" applyBorder="1" applyAlignment="1">
      <alignment horizontal="center" vertical="center"/>
    </xf>
    <xf numFmtId="0" fontId="166" fillId="45" borderId="9" xfId="8736" applyFont="1" applyFill="1" applyBorder="1" applyAlignment="1">
      <alignment horizontal="center" vertical="center"/>
    </xf>
    <xf numFmtId="0" fontId="166" fillId="45" borderId="3" xfId="8736" applyFont="1" applyFill="1" applyBorder="1" applyAlignment="1">
      <alignment horizontal="center" vertical="center"/>
    </xf>
    <xf numFmtId="0" fontId="158" fillId="45" borderId="80" xfId="8736" applyFont="1" applyFill="1" applyBorder="1" applyAlignment="1">
      <alignment horizontal="center"/>
    </xf>
    <xf numFmtId="0" fontId="158" fillId="45" borderId="79" xfId="8736" applyFont="1" applyFill="1" applyBorder="1" applyAlignment="1">
      <alignment horizontal="center"/>
    </xf>
    <xf numFmtId="0" fontId="158" fillId="45" borderId="78" xfId="8736" applyFont="1" applyFill="1" applyBorder="1" applyAlignment="1">
      <alignment horizontal="center"/>
    </xf>
    <xf numFmtId="0" fontId="158" fillId="45" borderId="65" xfId="8736" applyFont="1" applyFill="1" applyBorder="1" applyAlignment="1">
      <alignment horizontal="center" vertical="center" wrapText="1"/>
    </xf>
    <xf numFmtId="0" fontId="158" fillId="45" borderId="29" xfId="8736" applyFont="1" applyFill="1" applyBorder="1" applyAlignment="1">
      <alignment horizontal="center" vertical="center" wrapText="1"/>
    </xf>
    <xf numFmtId="0" fontId="158" fillId="45" borderId="31" xfId="8736" applyFont="1" applyFill="1" applyBorder="1" applyAlignment="1">
      <alignment horizontal="center" vertical="center" wrapText="1"/>
    </xf>
    <xf numFmtId="0" fontId="158" fillId="45" borderId="73" xfId="8736" applyFont="1" applyFill="1" applyBorder="1" applyAlignment="1">
      <alignment horizontal="center" vertical="center" wrapText="1"/>
    </xf>
    <xf numFmtId="0" fontId="158" fillId="45" borderId="42" xfId="8736" applyFont="1" applyFill="1" applyBorder="1" applyAlignment="1">
      <alignment horizontal="center" vertical="center" wrapText="1"/>
    </xf>
    <xf numFmtId="0" fontId="158" fillId="45" borderId="44" xfId="8736" applyFont="1" applyFill="1" applyBorder="1" applyAlignment="1">
      <alignment horizontal="center" vertical="center" wrapText="1"/>
    </xf>
    <xf numFmtId="9" fontId="166" fillId="48" borderId="13" xfId="8736" applyNumberFormat="1" applyFont="1" applyFill="1" applyBorder="1" applyAlignment="1" applyProtection="1">
      <alignment horizontal="center"/>
      <protection locked="0"/>
    </xf>
    <xf numFmtId="0" fontId="166" fillId="44" borderId="73" xfId="8736" applyFont="1" applyFill="1" applyBorder="1" applyAlignment="1">
      <alignment horizontal="center"/>
    </xf>
    <xf numFmtId="0" fontId="158" fillId="44" borderId="9" xfId="8736" applyFont="1" applyFill="1" applyBorder="1" applyAlignment="1">
      <alignment horizontal="center"/>
    </xf>
    <xf numFmtId="0" fontId="158" fillId="44" borderId="6" xfId="8736" applyFont="1" applyFill="1" applyBorder="1" applyAlignment="1">
      <alignment horizontal="center"/>
    </xf>
    <xf numFmtId="0" fontId="158" fillId="44" borderId="82" xfId="8736" applyFont="1" applyFill="1" applyBorder="1" applyAlignment="1">
      <alignment horizontal="center"/>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9" fontId="158" fillId="48" borderId="9" xfId="8736" applyNumberFormat="1" applyFont="1" applyFill="1" applyBorder="1" applyAlignment="1" applyProtection="1">
      <alignment horizontal="center"/>
      <protection locked="0"/>
    </xf>
    <xf numFmtId="9" fontId="158" fillId="48" borderId="6" xfId="8736" applyNumberFormat="1" applyFont="1" applyFill="1" applyBorder="1" applyAlignment="1" applyProtection="1">
      <alignment horizontal="center"/>
      <protection locked="0"/>
    </xf>
    <xf numFmtId="9" fontId="158" fillId="48" borderId="10" xfId="8736" applyNumberFormat="1" applyFont="1" applyFill="1" applyBorder="1" applyAlignment="1" applyProtection="1">
      <alignment horizontal="center"/>
      <protection locked="0"/>
    </xf>
    <xf numFmtId="0" fontId="158" fillId="44" borderId="10" xfId="8736" applyFont="1" applyFill="1" applyBorder="1" applyAlignment="1">
      <alignment horizontal="center"/>
    </xf>
    <xf numFmtId="0" fontId="165" fillId="48" borderId="3" xfId="8736" applyFont="1" applyFill="1" applyBorder="1" applyAlignment="1" applyProtection="1">
      <alignment horizontal="center"/>
      <protection locked="0"/>
    </xf>
    <xf numFmtId="0" fontId="165" fillId="48" borderId="4" xfId="8736" applyFont="1" applyFill="1" applyBorder="1" applyAlignment="1" applyProtection="1">
      <alignment horizontal="center"/>
      <protection locked="0"/>
    </xf>
    <xf numFmtId="0" fontId="165" fillId="48" borderId="5" xfId="8736" applyFont="1" applyFill="1" applyBorder="1" applyAlignment="1" applyProtection="1">
      <alignment horizontal="center"/>
      <protection locked="0"/>
    </xf>
    <xf numFmtId="10" fontId="166" fillId="44" borderId="3" xfId="8736" applyNumberFormat="1" applyFont="1" applyFill="1" applyBorder="1" applyAlignment="1">
      <alignment horizontal="center"/>
    </xf>
    <xf numFmtId="10" fontId="166" fillId="44" borderId="4" xfId="8736" applyNumberFormat="1" applyFont="1" applyFill="1" applyBorder="1" applyAlignment="1">
      <alignment horizontal="center"/>
    </xf>
    <xf numFmtId="10" fontId="166" fillId="44" borderId="81" xfId="8736" applyNumberFormat="1" applyFont="1" applyFill="1" applyBorder="1" applyAlignment="1">
      <alignment horizontal="center"/>
    </xf>
    <xf numFmtId="0" fontId="166" fillId="44" borderId="87" xfId="8736" applyFont="1" applyFill="1" applyBorder="1" applyAlignment="1">
      <alignment horizontal="center"/>
    </xf>
    <xf numFmtId="0" fontId="166" fillId="44" borderId="86" xfId="8736" applyFont="1" applyFill="1" applyBorder="1" applyAlignment="1">
      <alignment horizontal="center"/>
    </xf>
    <xf numFmtId="0" fontId="166" fillId="44" borderId="95" xfId="8736" applyFont="1" applyFill="1" applyBorder="1" applyAlignment="1">
      <alignment horizontal="center"/>
    </xf>
    <xf numFmtId="0" fontId="165" fillId="44" borderId="94" xfId="8736" applyFont="1" applyFill="1" applyBorder="1" applyAlignment="1">
      <alignment horizontal="center"/>
    </xf>
    <xf numFmtId="0" fontId="165" fillId="44" borderId="86" xfId="8736" applyFont="1" applyFill="1" applyBorder="1" applyAlignment="1">
      <alignment horizontal="center"/>
    </xf>
    <xf numFmtId="0" fontId="165" fillId="44" borderId="95" xfId="8736" applyFont="1" applyFill="1" applyBorder="1" applyAlignment="1">
      <alignment horizontal="center"/>
    </xf>
    <xf numFmtId="10" fontId="166" fillId="44" borderId="94" xfId="8736" applyNumberFormat="1" applyFont="1" applyFill="1" applyBorder="1" applyAlignment="1">
      <alignment horizontal="center"/>
    </xf>
    <xf numFmtId="10" fontId="166" fillId="44" borderId="86" xfId="8736" applyNumberFormat="1" applyFont="1" applyFill="1" applyBorder="1" applyAlignment="1">
      <alignment horizontal="center"/>
    </xf>
    <xf numFmtId="10" fontId="166" fillId="44" borderId="85" xfId="8736" applyNumberFormat="1" applyFont="1" applyFill="1" applyBorder="1" applyAlignment="1">
      <alignment horizontal="center"/>
    </xf>
    <xf numFmtId="9" fontId="165" fillId="48" borderId="90" xfId="8736" applyNumberFormat="1" applyFont="1" applyFill="1" applyBorder="1" applyAlignment="1" applyProtection="1">
      <alignment horizontal="center"/>
      <protection locked="0"/>
    </xf>
    <xf numFmtId="9" fontId="165" fillId="48" borderId="4" xfId="8736" applyNumberFormat="1" applyFont="1" applyFill="1" applyBorder="1" applyAlignment="1" applyProtection="1">
      <alignment horizontal="center"/>
      <protection locked="0"/>
    </xf>
    <xf numFmtId="9" fontId="165" fillId="48" borderId="5" xfId="8736" applyNumberFormat="1" applyFont="1" applyFill="1" applyBorder="1" applyAlignment="1" applyProtection="1">
      <alignment horizontal="center"/>
      <protection locked="0"/>
    </xf>
    <xf numFmtId="0" fontId="165" fillId="44" borderId="3" xfId="8736" applyFont="1" applyFill="1" applyBorder="1" applyAlignment="1">
      <alignment horizontal="center"/>
    </xf>
    <xf numFmtId="0" fontId="165" fillId="44" borderId="4" xfId="8736" applyFont="1" applyFill="1" applyBorder="1" applyAlignment="1">
      <alignment horizontal="center"/>
    </xf>
    <xf numFmtId="0" fontId="165" fillId="44" borderId="5" xfId="8736" applyFont="1" applyFill="1" applyBorder="1" applyAlignment="1">
      <alignment horizontal="center"/>
    </xf>
    <xf numFmtId="0" fontId="96" fillId="45" borderId="80" xfId="8736" applyFont="1" applyFill="1" applyBorder="1" applyAlignment="1">
      <alignment horizontal="right"/>
    </xf>
    <xf numFmtId="0" fontId="96" fillId="45" borderId="79" xfId="8736" applyFont="1" applyFill="1" applyBorder="1" applyAlignment="1">
      <alignment horizontal="right"/>
    </xf>
    <xf numFmtId="0" fontId="9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66" fillId="45" borderId="11" xfId="8736" applyFont="1" applyFill="1" applyBorder="1" applyAlignment="1">
      <alignment horizontal="right"/>
    </xf>
    <xf numFmtId="14" fontId="162" fillId="48" borderId="11" xfId="8736" applyNumberFormat="1" applyFont="1" applyFill="1" applyBorder="1" applyAlignment="1" applyProtection="1">
      <alignment horizontal="center" vertical="center"/>
      <protection locked="0"/>
    </xf>
    <xf numFmtId="0" fontId="162" fillId="48" borderId="11" xfId="8736" applyFont="1" applyFill="1" applyBorder="1" applyAlignment="1" applyProtection="1">
      <alignment horizontal="center" vertical="center"/>
      <protection locked="0"/>
    </xf>
    <xf numFmtId="0" fontId="166" fillId="45" borderId="97" xfId="8736" applyFont="1" applyFill="1" applyBorder="1" applyAlignment="1">
      <alignment horizontal="center"/>
    </xf>
    <xf numFmtId="0" fontId="166" fillId="45" borderId="2" xfId="8736" applyFont="1" applyFill="1" applyBorder="1" applyAlignment="1">
      <alignment horizontal="center"/>
    </xf>
    <xf numFmtId="0" fontId="166" fillId="45" borderId="7"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66" fillId="45" borderId="81" xfId="8736" applyFont="1" applyFill="1" applyBorder="1" applyAlignment="1">
      <alignment horizontal="center"/>
    </xf>
    <xf numFmtId="0" fontId="96" fillId="45" borderId="80" xfId="8736" applyFont="1" applyFill="1" applyBorder="1" applyAlignment="1">
      <alignment horizontal="center"/>
    </xf>
    <xf numFmtId="0" fontId="96" fillId="45" borderId="79" xfId="8736" applyFont="1" applyFill="1" applyBorder="1" applyAlignment="1">
      <alignment horizontal="center"/>
    </xf>
    <xf numFmtId="0" fontId="96" fillId="45" borderId="78" xfId="8736" applyFont="1" applyFill="1" applyBorder="1" applyAlignment="1">
      <alignment horizontal="center"/>
    </xf>
    <xf numFmtId="0" fontId="162" fillId="48" borderId="80" xfId="8736" applyFont="1" applyFill="1" applyBorder="1" applyAlignment="1" applyProtection="1">
      <alignment horizontal="center"/>
      <protection locked="0"/>
    </xf>
    <xf numFmtId="0" fontId="162" fillId="48" borderId="79" xfId="8736" applyFont="1" applyFill="1" applyBorder="1" applyAlignment="1" applyProtection="1">
      <alignment horizontal="center"/>
      <protection locked="0"/>
    </xf>
    <xf numFmtId="0" fontId="162" fillId="48" borderId="78" xfId="8736" applyFont="1" applyFill="1" applyBorder="1" applyAlignment="1" applyProtection="1">
      <alignment horizontal="center"/>
      <protection locked="0"/>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63" fillId="45" borderId="11" xfId="8736" applyFont="1" applyFill="1" applyBorder="1" applyAlignment="1">
      <alignment horizontal="right" wrapText="1"/>
    </xf>
    <xf numFmtId="168" fontId="167" fillId="44" borderId="11" xfId="8737" applyNumberFormat="1" applyFont="1" applyFill="1" applyBorder="1" applyAlignment="1" applyProtection="1">
      <alignment horizontal="left"/>
    </xf>
    <xf numFmtId="0" fontId="169" fillId="45" borderId="11" xfId="8736" applyFont="1" applyFill="1" applyBorder="1" applyAlignment="1">
      <alignment horizontal="right"/>
    </xf>
    <xf numFmtId="14" fontId="162" fillId="48" borderId="11" xfId="8736" applyNumberFormat="1"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3" fillId="45" borderId="11" xfId="8736" applyFont="1" applyFill="1" applyBorder="1" applyAlignment="1">
      <alignment horizontal="right"/>
    </xf>
    <xf numFmtId="1" fontId="162" fillId="48" borderId="11" xfId="8736" applyNumberFormat="1"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62" fillId="44" borderId="80" xfId="8736" applyFont="1" applyFill="1" applyBorder="1" applyAlignment="1">
      <alignment horizontal="left"/>
    </xf>
    <xf numFmtId="0" fontId="162" fillId="44" borderId="79" xfId="8736" applyFont="1" applyFill="1" applyBorder="1" applyAlignment="1">
      <alignment horizontal="left"/>
    </xf>
    <xf numFmtId="0" fontId="162" fillId="44" borderId="78" xfId="8736" applyFont="1" applyFill="1" applyBorder="1" applyAlignment="1">
      <alignment horizontal="left"/>
    </xf>
    <xf numFmtId="0" fontId="174" fillId="51" borderId="65" xfId="8736" applyFont="1" applyFill="1" applyBorder="1" applyAlignment="1">
      <alignment horizontal="center"/>
    </xf>
    <xf numFmtId="0" fontId="174" fillId="51" borderId="29" xfId="8736" applyFont="1" applyFill="1" applyBorder="1" applyAlignment="1">
      <alignment horizontal="center"/>
    </xf>
    <xf numFmtId="0" fontId="174" fillId="51" borderId="31" xfId="8736" applyFont="1" applyFill="1" applyBorder="1" applyAlignment="1">
      <alignment horizontal="center"/>
    </xf>
    <xf numFmtId="0" fontId="159" fillId="48" borderId="66" xfId="8736" applyFont="1" applyFill="1" applyBorder="1" applyAlignment="1">
      <alignment horizontal="center"/>
    </xf>
    <xf numFmtId="0" fontId="159" fillId="48" borderId="0" xfId="8736" applyFont="1" applyFill="1" applyAlignment="1">
      <alignment horizontal="center"/>
    </xf>
    <xf numFmtId="0" fontId="159" fillId="48" borderId="41" xfId="8736" applyFont="1" applyFill="1" applyBorder="1" applyAlignment="1">
      <alignment horizontal="center"/>
    </xf>
    <xf numFmtId="0" fontId="159" fillId="45" borderId="5" xfId="8736" applyFont="1" applyFill="1" applyBorder="1" applyAlignment="1">
      <alignment horizont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168" fontId="21" fillId="0" borderId="5" xfId="569" applyNumberFormat="1" applyBorder="1" applyAlignment="1">
      <alignment horizontal="center"/>
    </xf>
    <xf numFmtId="168" fontId="21" fillId="0" borderId="11" xfId="569" applyNumberFormat="1" applyBorder="1" applyAlignment="1">
      <alignment horizontal="center"/>
    </xf>
    <xf numFmtId="168" fontId="21" fillId="0" borderId="3" xfId="569" applyNumberFormat="1" applyBorder="1" applyAlignment="1">
      <alignment horizontal="center"/>
    </xf>
    <xf numFmtId="168" fontId="21" fillId="0" borderId="4" xfId="569" applyNumberFormat="1" applyBorder="1" applyAlignment="1">
      <alignment horizontal="center"/>
    </xf>
    <xf numFmtId="179" fontId="28" fillId="0" borderId="0" xfId="569" applyNumberFormat="1" applyFont="1" applyAlignment="1">
      <alignment horizontal="center" wrapText="1"/>
    </xf>
    <xf numFmtId="0" fontId="28" fillId="0" borderId="16" xfId="271" applyFont="1" applyBorder="1" applyAlignment="1">
      <alignment horizontal="center"/>
    </xf>
    <xf numFmtId="164" fontId="28" fillId="0" borderId="0" xfId="569" applyNumberFormat="1" applyFont="1" applyAlignment="1">
      <alignment horizontal="center"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50" fillId="0" borderId="0" xfId="569" applyFont="1" applyAlignment="1">
      <alignment horizontal="left"/>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9" fontId="21" fillId="0" borderId="5" xfId="569" applyNumberFormat="1" applyBorder="1" applyAlignment="1">
      <alignment horizontal="center"/>
    </xf>
    <xf numFmtId="9" fontId="21" fillId="0" borderId="11"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0" fontId="28" fillId="0" borderId="11" xfId="569" applyFont="1" applyBorder="1" applyAlignment="1">
      <alignment horizontal="center" wrapText="1"/>
    </xf>
    <xf numFmtId="168" fontId="21" fillId="0" borderId="7" xfId="569" applyNumberFormat="1" applyBorder="1" applyAlignment="1">
      <alignment horizontal="center"/>
    </xf>
    <xf numFmtId="168" fontId="21" fillId="0" borderId="15" xfId="569" applyNumberFormat="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0" borderId="11" xfId="569" applyNumberFormat="1" applyBorder="1" applyAlignment="1">
      <alignment horizontal="right"/>
    </xf>
    <xf numFmtId="0" fontId="28" fillId="0" borderId="6" xfId="569" applyFon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01" fillId="0" borderId="0" xfId="569" applyFont="1" applyAlignment="1">
      <alignment horizontal="left"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9" fontId="21" fillId="0" borderId="15" xfId="569" applyNumberFormat="1" applyBorder="1" applyAlignment="1">
      <alignment horizontal="center"/>
    </xf>
    <xf numFmtId="0" fontId="21" fillId="0" borderId="11" xfId="569" applyBorder="1" applyAlignment="1">
      <alignment horizontal="center"/>
    </xf>
    <xf numFmtId="0" fontId="101" fillId="0" borderId="0" xfId="0" applyFont="1" applyAlignment="1">
      <alignment horizontal="left" vertical="top" wrapText="1"/>
    </xf>
    <xf numFmtId="0" fontId="21" fillId="0" borderId="0" xfId="4495" applyFont="1" applyAlignment="1">
      <alignment horizontal="left" vertical="top" wrapText="1"/>
    </xf>
    <xf numFmtId="0" fontId="28" fillId="0" borderId="0" xfId="4495" applyFont="1" applyAlignment="1">
      <alignment horizontal="center" vertical="top"/>
    </xf>
    <xf numFmtId="0" fontId="21" fillId="5" borderId="6" xfId="4495" applyFont="1" applyFill="1" applyBorder="1" applyAlignment="1" applyProtection="1">
      <alignment horizontal="center" vertical="center" wrapText="1" shrinkToFit="1"/>
      <protection locked="0"/>
    </xf>
    <xf numFmtId="0" fontId="21" fillId="0" borderId="3" xfId="4495" applyFont="1" applyBorder="1" applyAlignment="1">
      <alignment horizontal="center"/>
    </xf>
    <xf numFmtId="0" fontId="21" fillId="0" borderId="5" xfId="4495" applyFont="1" applyBorder="1" applyAlignment="1">
      <alignment horizontal="center"/>
    </xf>
    <xf numFmtId="0" fontId="28" fillId="0" borderId="0" xfId="4495" applyFont="1" applyAlignment="1">
      <alignment horizontal="left" wrapText="1"/>
    </xf>
    <xf numFmtId="0" fontId="21" fillId="0" borderId="0" xfId="4495" applyFont="1" applyAlignment="1">
      <alignment wrapText="1"/>
    </xf>
    <xf numFmtId="0" fontId="21" fillId="0" borderId="0" xfId="4495" applyFont="1" applyAlignment="1">
      <alignment horizontal="left"/>
    </xf>
    <xf numFmtId="0" fontId="21" fillId="5" borderId="6" xfId="4495" applyFont="1" applyFill="1" applyBorder="1" applyAlignment="1" applyProtection="1">
      <alignment horizontal="center"/>
      <protection locked="0"/>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0" xfId="1192" applyNumberFormat="1" applyAlignment="1">
      <alignment horizontal="right"/>
    </xf>
    <xf numFmtId="168" fontId="21" fillId="0" borderId="6" xfId="1192" applyNumberFormat="1" applyBorder="1" applyAlignment="1">
      <alignment horizontal="right"/>
    </xf>
    <xf numFmtId="168" fontId="21" fillId="43" borderId="6" xfId="543" applyNumberFormat="1" applyFill="1" applyBorder="1" applyAlignment="1" applyProtection="1">
      <alignment horizontal="center"/>
      <protection locked="0"/>
    </xf>
    <xf numFmtId="168" fontId="21" fillId="0" borderId="4" xfId="1192" applyNumberFormat="1" applyBorder="1" applyAlignment="1">
      <alignment horizontal="right"/>
    </xf>
    <xf numFmtId="0" fontId="114" fillId="5" borderId="6" xfId="4495" applyFill="1" applyBorder="1" applyAlignment="1" applyProtection="1">
      <alignment horizontal="center"/>
      <protection locked="0"/>
    </xf>
    <xf numFmtId="0" fontId="112" fillId="0" borderId="4" xfId="1192" applyFont="1" applyBorder="1" applyAlignment="1">
      <alignment horizontal="left"/>
    </xf>
    <xf numFmtId="0" fontId="135" fillId="0" borderId="6" xfId="1192" applyFont="1" applyBorder="1" applyAlignment="1">
      <alignment horizontal="center"/>
    </xf>
    <xf numFmtId="0" fontId="114" fillId="5" borderId="50" xfId="4495" applyFill="1" applyBorder="1" applyAlignment="1">
      <alignment horizontal="center"/>
    </xf>
    <xf numFmtId="0" fontId="114" fillId="5" borderId="51" xfId="4495" applyFill="1" applyBorder="1" applyAlignment="1">
      <alignment horizontal="center"/>
    </xf>
    <xf numFmtId="0" fontId="114" fillId="0" borderId="0" xfId="4495" applyAlignment="1">
      <alignment horizontal="center"/>
    </xf>
    <xf numFmtId="0" fontId="114" fillId="5" borderId="62" xfId="4495" applyFill="1" applyBorder="1" applyAlignment="1">
      <alignment horizontal="center"/>
    </xf>
    <xf numFmtId="0" fontId="114" fillId="5" borderId="63" xfId="4495" applyFill="1" applyBorder="1" applyAlignment="1">
      <alignment horizontal="center"/>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16" fillId="0" borderId="3" xfId="4496" applyNumberFormat="1" applyFont="1" applyBorder="1" applyAlignment="1">
      <alignment horizontal="center" vertical="top" wrapText="1"/>
    </xf>
    <xf numFmtId="165" fontId="116" fillId="0" borderId="4" xfId="4496" applyNumberFormat="1" applyFont="1" applyBorder="1" applyAlignment="1">
      <alignment horizontal="center" vertical="top" wrapText="1"/>
    </xf>
    <xf numFmtId="165" fontId="11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35" fillId="0" borderId="0" xfId="1192" applyFont="1" applyAlignment="1">
      <alignment horizontal="center"/>
    </xf>
    <xf numFmtId="168" fontId="21" fillId="5" borderId="4" xfId="1192" applyNumberFormat="1" applyFill="1" applyBorder="1" applyAlignment="1" applyProtection="1">
      <alignment horizontal="center"/>
      <protection locked="0"/>
    </xf>
    <xf numFmtId="4" fontId="29" fillId="0" borderId="6" xfId="4495" applyNumberFormat="1" applyFont="1" applyBorder="1" applyAlignment="1">
      <alignment horizontal="center"/>
    </xf>
    <xf numFmtId="1" fontId="21" fillId="5" borderId="2" xfId="1192" applyNumberFormat="1" applyFill="1" applyBorder="1" applyAlignment="1" applyProtection="1">
      <alignment horizontal="center"/>
      <protection locked="0"/>
    </xf>
    <xf numFmtId="4" fontId="29" fillId="0" borderId="0" xfId="4495" applyNumberFormat="1" applyFont="1" applyAlignment="1">
      <alignment horizontal="center"/>
    </xf>
    <xf numFmtId="0" fontId="21" fillId="0" borderId="53" xfId="4495" applyFont="1" applyBorder="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168" fontId="21" fillId="0" borderId="6" xfId="4496" applyNumberFormat="1" applyFont="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0" fontId="21" fillId="0" borderId="4" xfId="4495" applyFont="1" applyBorder="1" applyAlignment="1">
      <alignment horizontal="center"/>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9" fillId="0" borderId="58" xfId="4495" applyFont="1" applyBorder="1" applyAlignment="1">
      <alignment horizontal="left" vertical="top" wrapText="1"/>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9" fillId="5" borderId="58" xfId="4495" applyNumberFormat="1" applyFont="1" applyFill="1" applyBorder="1" applyAlignment="1">
      <alignment horizontal="left"/>
    </xf>
    <xf numFmtId="9" fontId="29" fillId="5" borderId="6" xfId="4495" applyNumberFormat="1" applyFont="1" applyFill="1" applyBorder="1" applyAlignment="1">
      <alignment horizontal="left"/>
    </xf>
    <xf numFmtId="0" fontId="29" fillId="5" borderId="6" xfId="4495" applyFont="1" applyFill="1" applyBorder="1" applyAlignment="1">
      <alignment horizontal="left"/>
    </xf>
    <xf numFmtId="0" fontId="28" fillId="0" borderId="0" xfId="4495" applyFont="1" applyAlignment="1">
      <alignment horizontal="right"/>
    </xf>
    <xf numFmtId="0" fontId="50" fillId="0" borderId="51" xfId="4495" applyFont="1" applyBorder="1" applyAlignment="1">
      <alignment horizontal="left" wrapText="1"/>
    </xf>
    <xf numFmtId="0" fontId="50" fillId="0" borderId="0" xfId="4495" applyFont="1" applyAlignment="1">
      <alignment horizontal="left"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29" fillId="0" borderId="2" xfId="4495" applyNumberFormat="1" applyFont="1" applyBorder="1" applyAlignment="1">
      <alignment horizontal="center"/>
    </xf>
    <xf numFmtId="0" fontId="29" fillId="0" borderId="0" xfId="4495" applyFont="1" applyAlignment="1">
      <alignment horizontal="center"/>
    </xf>
    <xf numFmtId="0" fontId="123" fillId="0" borderId="0" xfId="4495" applyFont="1" applyAlignment="1">
      <alignment horizontal="left" vertical="top" wrapText="1"/>
    </xf>
    <xf numFmtId="0" fontId="37" fillId="42" borderId="2" xfId="4495" applyFont="1" applyFill="1" applyBorder="1" applyAlignment="1">
      <alignment horizontal="center"/>
    </xf>
    <xf numFmtId="0" fontId="37" fillId="42" borderId="6" xfId="4495" applyFont="1" applyFill="1" applyBorder="1" applyAlignment="1">
      <alignment horizontal="center"/>
    </xf>
    <xf numFmtId="0" fontId="28" fillId="0" borderId="11" xfId="4495" applyFont="1" applyBorder="1" applyAlignment="1">
      <alignment horizontal="center"/>
    </xf>
    <xf numFmtId="0" fontId="11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8" fillId="0" borderId="51" xfId="4495" applyFont="1" applyBorder="1" applyAlignment="1">
      <alignment horizontal="center" vertical="top"/>
    </xf>
    <xf numFmtId="0" fontId="28" fillId="0" borderId="52" xfId="4495" applyFont="1" applyBorder="1" applyAlignment="1">
      <alignment horizontal="center" vertical="top"/>
    </xf>
    <xf numFmtId="0" fontId="21" fillId="0" borderId="6" xfId="1192" applyBorder="1" applyAlignment="1">
      <alignment horizontal="right"/>
    </xf>
    <xf numFmtId="9" fontId="21" fillId="5" borderId="4" xfId="1192" applyNumberFormat="1" applyFill="1" applyBorder="1" applyAlignment="1" applyProtection="1">
      <alignment horizontal="left"/>
      <protection locked="0"/>
    </xf>
    <xf numFmtId="0" fontId="28" fillId="0" borderId="54" xfId="4495" applyFont="1" applyBorder="1" applyAlignment="1">
      <alignment horizontal="center" vertical="top"/>
    </xf>
    <xf numFmtId="0" fontId="114" fillId="0" borderId="53" xfId="4495" applyBorder="1" applyAlignment="1">
      <alignment horizontal="center"/>
    </xf>
    <xf numFmtId="0" fontId="29" fillId="5" borderId="0" xfId="4495" applyFont="1" applyFill="1" applyAlignment="1">
      <alignment horizontal="left" vertical="top"/>
    </xf>
    <xf numFmtId="0" fontId="114" fillId="5" borderId="53" xfId="4495" applyFill="1" applyBorder="1" applyAlignment="1">
      <alignment horizontal="center"/>
    </xf>
    <xf numFmtId="0" fontId="114" fillId="5" borderId="0" xfId="4495" applyFill="1" applyAlignment="1">
      <alignment horizontal="center"/>
    </xf>
    <xf numFmtId="0" fontId="114" fillId="5" borderId="55" xfId="4495" applyFill="1" applyBorder="1" applyAlignment="1">
      <alignment horizontal="center"/>
    </xf>
    <xf numFmtId="0" fontId="11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11" xfId="4495" applyNumberFormat="1" applyFont="1" applyBorder="1" applyAlignment="1">
      <alignment horizontal="center"/>
    </xf>
    <xf numFmtId="0" fontId="28" fillId="0" borderId="3" xfId="4495"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1" fontId="21" fillId="46" borderId="11" xfId="4495" applyNumberFormat="1" applyFont="1" applyFill="1" applyBorder="1" applyAlignment="1">
      <alignment horizontal="center"/>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0" fontId="2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28" fillId="0" borderId="4" xfId="4495" applyNumberFormat="1"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0" fontId="21" fillId="45" borderId="11" xfId="4495" applyFont="1" applyFill="1" applyBorder="1" applyAlignment="1">
      <alignment horizontal="center"/>
    </xf>
    <xf numFmtId="0" fontId="123" fillId="0" borderId="0" xfId="4495" applyFont="1" applyAlignment="1">
      <alignment horizontal="left" vertical="center" wrapText="1"/>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50" fillId="0" borderId="0" xfId="0" applyFont="1" applyAlignment="1" applyProtection="1">
      <alignment horizontal="left"/>
      <protection locked="0"/>
    </xf>
    <xf numFmtId="168" fontId="149" fillId="0" borderId="0" xfId="0" applyNumberFormat="1" applyFont="1" applyAlignment="1">
      <alignment horizontal="center" vertical="top" wrapText="1"/>
    </xf>
    <xf numFmtId="168" fontId="149" fillId="0" borderId="12" xfId="0" applyNumberFormat="1" applyFont="1" applyBorder="1" applyAlignment="1">
      <alignment horizontal="center" vertical="top" wrapText="1"/>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14" fillId="5" borderId="62" xfId="4495" applyFill="1" applyBorder="1" applyAlignment="1" applyProtection="1">
      <alignment horizontal="center"/>
      <protection locked="0"/>
    </xf>
    <xf numFmtId="0" fontId="114" fillId="5" borderId="63" xfId="4495" applyFill="1" applyBorder="1" applyAlignment="1" applyProtection="1">
      <alignment horizontal="center"/>
      <protection locked="0"/>
    </xf>
    <xf numFmtId="0" fontId="116" fillId="0" borderId="50" xfId="4496" applyFont="1" applyBorder="1" applyAlignment="1">
      <alignment horizontal="left" wrapText="1"/>
    </xf>
    <xf numFmtId="0" fontId="116" fillId="0" borderId="51" xfId="4496" applyFont="1" applyBorder="1" applyAlignment="1">
      <alignment horizontal="left" wrapText="1"/>
    </xf>
    <xf numFmtId="0" fontId="116" fillId="0" borderId="52" xfId="4496" applyFont="1" applyBorder="1" applyAlignment="1">
      <alignment horizontal="left" wrapText="1"/>
    </xf>
    <xf numFmtId="0" fontId="116" fillId="0" borderId="57" xfId="4496" applyFont="1" applyBorder="1" applyAlignment="1">
      <alignment horizontal="left" wrapText="1"/>
    </xf>
    <xf numFmtId="0" fontId="116" fillId="0" borderId="58" xfId="4496" applyFont="1" applyBorder="1" applyAlignment="1">
      <alignment horizontal="left" wrapText="1"/>
    </xf>
    <xf numFmtId="0" fontId="116" fillId="0" borderId="59" xfId="4496" applyFont="1" applyBorder="1" applyAlignment="1">
      <alignment horizontal="left" wrapText="1"/>
    </xf>
    <xf numFmtId="0" fontId="21" fillId="5" borderId="6" xfId="1192" applyFill="1" applyBorder="1" applyAlignment="1" applyProtection="1">
      <alignment horizontal="left"/>
      <protection locked="0"/>
    </xf>
    <xf numFmtId="165" fontId="21" fillId="0" borderId="0" xfId="1192" applyNumberFormat="1" applyAlignment="1">
      <alignment horizontal="right"/>
    </xf>
    <xf numFmtId="0" fontId="21" fillId="0" borderId="59" xfId="4495" applyFont="1" applyBorder="1" applyAlignment="1">
      <alignment horizontal="left" vertical="top" wrapText="1"/>
    </xf>
    <xf numFmtId="0" fontId="21" fillId="0" borderId="4" xfId="4496" applyFont="1" applyBorder="1" applyAlignment="1">
      <alignment horizontal="center"/>
    </xf>
    <xf numFmtId="0" fontId="21" fillId="0" borderId="5" xfId="4496" applyFont="1" applyBorder="1" applyAlignment="1">
      <alignment horizontal="center"/>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0" fontId="21" fillId="0" borderId="6" xfId="1192" applyBorder="1" applyAlignment="1">
      <alignment horizontal="left"/>
    </xf>
    <xf numFmtId="2" fontId="21" fillId="0" borderId="0" xfId="1192" applyNumberFormat="1" applyAlignment="1">
      <alignment horizontal="right"/>
    </xf>
    <xf numFmtId="0" fontId="28" fillId="0" borderId="0" xfId="4495" applyFont="1" applyAlignment="1">
      <alignment horizontal="left" vertical="top"/>
    </xf>
    <xf numFmtId="0" fontId="114" fillId="0" borderId="0" xfId="4495" applyAlignment="1" applyProtection="1">
      <alignment horizontal="center"/>
      <protection locked="0"/>
    </xf>
    <xf numFmtId="9" fontId="21" fillId="0" borderId="4" xfId="543" applyNumberFormat="1" applyBorder="1" applyAlignment="1">
      <alignment horizontal="center"/>
    </xf>
    <xf numFmtId="168" fontId="21" fillId="0" borderId="6" xfId="4495" applyNumberFormat="1" applyFont="1" applyBorder="1" applyAlignment="1">
      <alignment horizontal="right"/>
    </xf>
    <xf numFmtId="168" fontId="112" fillId="0" borderId="6" xfId="4495" applyNumberFormat="1" applyFont="1" applyBorder="1" applyAlignment="1">
      <alignment horizontal="right"/>
    </xf>
    <xf numFmtId="168" fontId="21" fillId="43" borderId="6" xfId="4495" applyNumberFormat="1" applyFont="1" applyFill="1" applyBorder="1" applyAlignment="1" applyProtection="1">
      <alignment horizontal="right"/>
      <protection locked="0"/>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9"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21" fillId="44" borderId="6" xfId="4495" applyFont="1" applyFill="1" applyBorder="1" applyAlignment="1">
      <alignment horizontal="left"/>
    </xf>
    <xf numFmtId="0" fontId="21" fillId="0" borderId="0" xfId="1192" applyAlignment="1">
      <alignment horizontal="right"/>
    </xf>
    <xf numFmtId="0" fontId="116" fillId="5" borderId="6" xfId="4496" applyFont="1" applyFill="1" applyBorder="1" applyAlignment="1" applyProtection="1">
      <alignment horizontal="center"/>
      <protection locked="0"/>
    </xf>
    <xf numFmtId="0" fontId="116" fillId="0" borderId="50" xfId="4496" applyFont="1" applyBorder="1" applyAlignment="1">
      <alignment horizontal="left" vertical="top" wrapText="1"/>
    </xf>
    <xf numFmtId="0" fontId="116" fillId="0" borderId="51" xfId="4496" applyFont="1" applyBorder="1" applyAlignment="1">
      <alignment horizontal="left" vertical="top" wrapText="1"/>
    </xf>
    <xf numFmtId="0" fontId="116" fillId="0" borderId="52" xfId="4496" applyFont="1" applyBorder="1" applyAlignment="1">
      <alignment horizontal="left" vertical="top" wrapText="1"/>
    </xf>
    <xf numFmtId="0" fontId="116" fillId="0" borderId="53" xfId="4496" applyFont="1" applyBorder="1" applyAlignment="1">
      <alignment horizontal="left" vertical="top" wrapText="1"/>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1" fontId="21" fillId="5" borderId="4" xfId="1192" applyNumberFormat="1" applyFill="1" applyBorder="1" applyAlignment="1" applyProtection="1">
      <alignment horizontal="center"/>
      <protection locked="0"/>
    </xf>
    <xf numFmtId="1" fontId="116" fillId="0" borderId="55" xfId="4496" applyNumberFormat="1" applyFont="1" applyBorder="1" applyAlignment="1">
      <alignment horizontal="center" vertical="top" wrapText="1"/>
    </xf>
    <xf numFmtId="1" fontId="116" fillId="0" borderId="6" xfId="4496" applyNumberFormat="1" applyFont="1" applyBorder="1" applyAlignment="1">
      <alignment horizontal="center" vertical="top" wrapText="1"/>
    </xf>
    <xf numFmtId="165" fontId="116" fillId="0" borderId="55" xfId="4496" applyNumberFormat="1" applyFont="1" applyBorder="1" applyAlignment="1">
      <alignment horizontal="center" vertical="top" wrapText="1"/>
    </xf>
    <xf numFmtId="165" fontId="116" fillId="0" borderId="6" xfId="4496" applyNumberFormat="1" applyFont="1" applyBorder="1" applyAlignment="1">
      <alignment horizontal="center" vertical="top" wrapText="1"/>
    </xf>
    <xf numFmtId="168" fontId="116" fillId="43" borderId="55" xfId="4496" applyNumberFormat="1" applyFont="1" applyFill="1" applyBorder="1" applyAlignment="1" applyProtection="1">
      <alignment horizontal="center" vertical="top" wrapText="1"/>
      <protection locked="0"/>
    </xf>
    <xf numFmtId="168" fontId="116" fillId="43" borderId="6" xfId="4496" applyNumberFormat="1" applyFont="1" applyFill="1" applyBorder="1" applyAlignment="1" applyProtection="1">
      <alignment horizontal="center" vertical="top" wrapText="1"/>
      <protection locked="0"/>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0" fontId="116" fillId="0" borderId="3" xfId="4496" applyNumberFormat="1" applyFont="1" applyBorder="1" applyAlignment="1">
      <alignment horizontal="center" vertical="top" wrapText="1"/>
    </xf>
    <xf numFmtId="10" fontId="116" fillId="0" borderId="4" xfId="4496" applyNumberFormat="1" applyFont="1" applyBorder="1" applyAlignment="1">
      <alignment horizontal="center" vertical="top" wrapText="1"/>
    </xf>
    <xf numFmtId="10" fontId="116" fillId="0" borderId="5" xfId="4496" applyNumberFormat="1" applyFont="1" applyBorder="1" applyAlignment="1">
      <alignment horizontal="center" vertical="top" wrapText="1"/>
    </xf>
    <xf numFmtId="168" fontId="116" fillId="0" borderId="6" xfId="4496" applyNumberFormat="1" applyFont="1" applyBorder="1" applyAlignment="1">
      <alignment horizontal="center" vertical="top"/>
    </xf>
    <xf numFmtId="0" fontId="116" fillId="0" borderId="55" xfId="4496" applyFont="1" applyBorder="1" applyAlignment="1">
      <alignment horizontal="center" vertical="top" wrapText="1"/>
    </xf>
    <xf numFmtId="0" fontId="116" fillId="0" borderId="6" xfId="4496" applyFont="1" applyBorder="1" applyAlignment="1">
      <alignment horizontal="center" vertical="top"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116" fillId="0" borderId="57" xfId="4496" applyFont="1" applyBorder="1" applyAlignment="1">
      <alignment horizontal="left" vertical="top" wrapText="1"/>
    </xf>
    <xf numFmtId="0" fontId="116" fillId="0" borderId="58" xfId="4496" applyFont="1" applyBorder="1" applyAlignment="1">
      <alignment horizontal="left" vertical="top" wrapText="1"/>
    </xf>
    <xf numFmtId="0" fontId="116" fillId="0" borderId="59" xfId="4496" applyFont="1" applyBorder="1" applyAlignment="1">
      <alignment horizontal="left" vertical="top" wrapText="1"/>
    </xf>
    <xf numFmtId="165" fontId="116" fillId="0" borderId="60" xfId="4496" applyNumberFormat="1" applyFont="1" applyBorder="1" applyAlignment="1">
      <alignment horizontal="center" vertical="top" wrapText="1"/>
    </xf>
    <xf numFmtId="0" fontId="116" fillId="5" borderId="60" xfId="4496" applyFont="1" applyFill="1" applyBorder="1" applyAlignment="1" applyProtection="1">
      <alignment horizontal="center"/>
      <protection locked="0"/>
    </xf>
    <xf numFmtId="0" fontId="116" fillId="5" borderId="4" xfId="4496" applyFont="1" applyFill="1" applyBorder="1" applyAlignment="1" applyProtection="1">
      <alignment horizontal="center"/>
      <protection locked="0"/>
    </xf>
    <xf numFmtId="0" fontId="116" fillId="5" borderId="55" xfId="4496" applyFont="1" applyFill="1" applyBorder="1" applyAlignment="1" applyProtection="1">
      <alignment horizontal="center"/>
      <protection locked="0"/>
    </xf>
    <xf numFmtId="168" fontId="116" fillId="0" borderId="55" xfId="4496" applyNumberFormat="1" applyFont="1" applyBorder="1" applyAlignment="1">
      <alignment horizontal="center" vertical="top"/>
    </xf>
    <xf numFmtId="0" fontId="92" fillId="0" borderId="3" xfId="4496" applyFont="1" applyBorder="1" applyAlignment="1">
      <alignment horizontal="left" indent="2"/>
    </xf>
    <xf numFmtId="0" fontId="92" fillId="0" borderId="4" xfId="4496" applyFont="1" applyBorder="1" applyAlignment="1">
      <alignment horizontal="left" indent="2"/>
    </xf>
    <xf numFmtId="0" fontId="92" fillId="0" borderId="5" xfId="4496" applyFont="1" applyBorder="1" applyAlignment="1">
      <alignment horizontal="left" indent="2"/>
    </xf>
    <xf numFmtId="9" fontId="130" fillId="45" borderId="3" xfId="4499" applyFont="1" applyFill="1" applyBorder="1" applyAlignment="1" applyProtection="1">
      <alignment horizontal="center" vertical="center"/>
    </xf>
    <xf numFmtId="9" fontId="130" fillId="45" borderId="4" xfId="4499" applyFont="1" applyFill="1" applyBorder="1" applyAlignment="1" applyProtection="1">
      <alignment horizontal="center" vertical="center"/>
    </xf>
    <xf numFmtId="9" fontId="130" fillId="45" borderId="5" xfId="4499" applyFont="1" applyFill="1" applyBorder="1" applyAlignment="1" applyProtection="1">
      <alignment horizontal="center" vertical="center"/>
    </xf>
    <xf numFmtId="0" fontId="92" fillId="0" borderId="0" xfId="4496" applyFont="1" applyAlignment="1">
      <alignment wrapText="1"/>
    </xf>
    <xf numFmtId="49" fontId="92" fillId="45" borderId="15" xfId="4496" applyNumberFormat="1" applyFont="1" applyFill="1" applyBorder="1" applyAlignment="1">
      <alignment horizontal="center" vertical="center" wrapText="1"/>
    </xf>
    <xf numFmtId="49" fontId="92" fillId="45" borderId="13" xfId="4496" applyNumberFormat="1" applyFont="1" applyFill="1" applyBorder="1" applyAlignment="1">
      <alignment horizontal="center" vertical="center" wrapText="1"/>
    </xf>
    <xf numFmtId="0" fontId="130" fillId="0" borderId="75" xfId="4496" applyFont="1" applyBorder="1" applyAlignment="1">
      <alignment horizontal="center" vertical="top" wrapText="1"/>
    </xf>
    <xf numFmtId="0" fontId="130" fillId="0" borderId="74" xfId="4496" applyFont="1" applyBorder="1" applyAlignment="1">
      <alignment horizontal="center" vertical="top" wrapText="1"/>
    </xf>
    <xf numFmtId="0" fontId="92" fillId="0" borderId="0" xfId="4496" applyFont="1" applyAlignment="1">
      <alignment horizontal="left" wrapText="1"/>
    </xf>
    <xf numFmtId="0" fontId="92" fillId="0" borderId="0" xfId="4496" applyFont="1" applyAlignment="1">
      <alignment horizontal="center" vertical="center" wrapText="1"/>
    </xf>
    <xf numFmtId="0" fontId="92" fillId="43" borderId="0" xfId="4496" applyFont="1" applyFill="1" applyAlignment="1" applyProtection="1">
      <alignment horizontal="left" vertical="top" wrapText="1"/>
      <protection locked="0"/>
    </xf>
    <xf numFmtId="0" fontId="92" fillId="43" borderId="6" xfId="4496" applyFont="1" applyFill="1" applyBorder="1" applyAlignment="1" applyProtection="1">
      <alignment horizontal="left" vertical="top" wrapText="1"/>
      <protection locked="0"/>
    </xf>
    <xf numFmtId="0" fontId="92" fillId="0" borderId="0" xfId="4496" applyFont="1" applyAlignment="1">
      <alignment horizontal="left" wrapText="1" indent="1"/>
    </xf>
    <xf numFmtId="168" fontId="92" fillId="0" borderId="11" xfId="4499" applyNumberFormat="1" applyFont="1" applyFill="1" applyBorder="1" applyAlignment="1" applyProtection="1">
      <alignment horizontal="left" vertical="center" indent="1"/>
    </xf>
    <xf numFmtId="0" fontId="130" fillId="0" borderId="68" xfId="4496" applyFont="1" applyBorder="1" applyAlignment="1">
      <alignment horizontal="left" indent="1"/>
    </xf>
    <xf numFmtId="168" fontId="92" fillId="0" borderId="70" xfId="4499" applyNumberFormat="1" applyFont="1" applyFill="1" applyBorder="1" applyAlignment="1" applyProtection="1">
      <alignment horizontal="left" vertical="center" indent="1"/>
    </xf>
    <xf numFmtId="49" fontId="129" fillId="3" borderId="0" xfId="1192" applyNumberFormat="1" applyFont="1" applyFill="1" applyAlignment="1">
      <alignment horizontal="center" vertical="center"/>
    </xf>
    <xf numFmtId="0" fontId="92" fillId="0" borderId="11" xfId="4496" applyFont="1" applyBorder="1" applyAlignment="1">
      <alignment horizontal="left" indent="1"/>
    </xf>
    <xf numFmtId="0" fontId="92" fillId="0" borderId="11" xfId="4496" applyFont="1" applyBorder="1" applyAlignment="1">
      <alignment horizontal="left" indent="2"/>
    </xf>
    <xf numFmtId="0" fontId="130" fillId="45" borderId="3" xfId="4496" applyFont="1" applyFill="1" applyBorder="1" applyAlignment="1">
      <alignment horizontal="center" vertical="center"/>
    </xf>
    <xf numFmtId="0" fontId="130" fillId="45" borderId="4" xfId="4496" applyFont="1" applyFill="1" applyBorder="1" applyAlignment="1">
      <alignment horizontal="center" vertical="center"/>
    </xf>
    <xf numFmtId="0" fontId="130" fillId="45" borderId="5" xfId="4496" applyFont="1" applyFill="1" applyBorder="1" applyAlignment="1">
      <alignment horizontal="center" vertical="center"/>
    </xf>
    <xf numFmtId="168" fontId="92" fillId="0" borderId="13" xfId="4499" applyNumberFormat="1" applyFont="1" applyFill="1" applyBorder="1" applyAlignment="1" applyProtection="1">
      <alignment horizontal="left" vertical="center" indent="1"/>
    </xf>
    <xf numFmtId="0" fontId="92" fillId="0" borderId="3" xfId="4496" applyFont="1" applyBorder="1" applyAlignment="1">
      <alignment horizontal="left" indent="1"/>
    </xf>
    <xf numFmtId="0" fontId="92" fillId="0" borderId="4" xfId="4496" applyFont="1" applyBorder="1" applyAlignment="1">
      <alignment horizontal="left" indent="1"/>
    </xf>
    <xf numFmtId="0" fontId="92" fillId="0" borderId="5" xfId="4496" applyFont="1" applyBorder="1" applyAlignment="1">
      <alignment horizontal="left" indent="1"/>
    </xf>
    <xf numFmtId="0" fontId="92" fillId="0" borderId="3" xfId="4496" applyFont="1" applyBorder="1"/>
    <xf numFmtId="0" fontId="92" fillId="0" borderId="81" xfId="4496" applyFont="1" applyBorder="1"/>
    <xf numFmtId="0" fontId="92" fillId="0" borderId="94" xfId="4496" applyFont="1" applyBorder="1"/>
    <xf numFmtId="0" fontId="92" fillId="0" borderId="85" xfId="4496" applyFont="1" applyBorder="1"/>
    <xf numFmtId="0" fontId="92" fillId="0" borderId="93" xfId="4496" applyFont="1" applyBorder="1" applyAlignment="1">
      <alignment horizontal="right"/>
    </xf>
    <xf numFmtId="0" fontId="92" fillId="0" borderId="74" xfId="4496" applyFont="1" applyBorder="1" applyAlignment="1">
      <alignment horizontal="right"/>
    </xf>
    <xf numFmtId="0" fontId="92" fillId="0" borderId="75" xfId="4496" applyFont="1" applyBorder="1"/>
    <xf numFmtId="0" fontId="92" fillId="0" borderId="91" xfId="4496" applyFont="1" applyBorder="1"/>
    <xf numFmtId="0" fontId="92" fillId="0" borderId="90" xfId="4496" applyFont="1" applyBorder="1" applyAlignment="1">
      <alignment horizontal="right"/>
    </xf>
    <xf numFmtId="0" fontId="92" fillId="0" borderId="5" xfId="4496" applyFont="1" applyBorder="1" applyAlignment="1">
      <alignment horizontal="right"/>
    </xf>
    <xf numFmtId="0" fontId="92" fillId="0" borderId="69" xfId="4496" applyFont="1" applyBorder="1" applyAlignment="1">
      <alignment horizontal="right"/>
    </xf>
    <xf numFmtId="0" fontId="92" fillId="0" borderId="70" xfId="4496" applyFont="1" applyBorder="1" applyAlignment="1">
      <alignment horizontal="right"/>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0" fontId="21"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17B76F3C-4B94-4840-A11F-49F41E50AF56}"/>
    <cellStyle name="20% - Accent1 11" xfId="8758" xr:uid="{2F735C8D-70CB-4E84-A95A-4445894745BC}"/>
    <cellStyle name="20% - Accent1 11 2" xfId="18082" xr:uid="{A6466AD7-33F1-4D9E-8E77-B4A93FDBC86D}"/>
    <cellStyle name="20% - Accent1 12" xfId="9613" xr:uid="{455637B5-DB0A-40E8-BF13-0FBEE0920A0E}"/>
    <cellStyle name="20% - Accent1 2" xfId="2" xr:uid="{00000000-0005-0000-0000-000002000000}"/>
    <cellStyle name="20% - Accent1 2 10" xfId="8797" xr:uid="{7F4BEAE6-CC35-4B07-89BD-8FC5D6B3D35B}"/>
    <cellStyle name="20% - Accent1 2 10 2" xfId="18121" xr:uid="{C951CF6C-BEDB-454D-A24F-5B99111DBC31}"/>
    <cellStyle name="20% - Accent1 2 11" xfId="9614" xr:uid="{2FE16745-E016-4511-9343-F49ACBB5BCC9}"/>
    <cellStyle name="20% - Accent1 2 2" xfId="3" xr:uid="{00000000-0005-0000-0000-000003000000}"/>
    <cellStyle name="20% - Accent1 2 2 10" xfId="9615" xr:uid="{7F8D7B58-75F1-4F46-96DE-3ACE345E6F3D}"/>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7144E042-C2F0-4E90-99D6-1E58EA8B916E}"/>
    <cellStyle name="20% - Accent1 2 2 2 2 2 3" xfId="12175" xr:uid="{D2D8F41F-BFC9-4C3E-A9CC-583992946A39}"/>
    <cellStyle name="20% - Accent1 2 2 2 2 3" xfId="4921" xr:uid="{00000000-0005-0000-0000-000008000000}"/>
    <cellStyle name="20% - Accent1 2 2 2 2 3 2" xfId="14247" xr:uid="{DB61E01B-8F40-4C28-836B-8970FA8816EC}"/>
    <cellStyle name="20% - Accent1 2 2 2 2 4" xfId="9532" xr:uid="{D5FAB462-C5A9-4306-AA37-C118C84F9393}"/>
    <cellStyle name="20% - Accent1 2 2 2 2 4 2" xfId="18847" xr:uid="{45A70041-4DCD-451F-BFC6-4035A15502D7}"/>
    <cellStyle name="20% - Accent1 2 2 2 2 5" xfId="10030" xr:uid="{A9B0FA34-4D80-4740-8A48-96A12C139452}"/>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81A0C062-7749-4F46-98AE-410BEC22BBF2}"/>
    <cellStyle name="20% - Accent1 2 2 2 3 2 3" xfId="12588" xr:uid="{4EA18382-6D66-4733-A929-C4CB8AE5A2A3}"/>
    <cellStyle name="20% - Accent1 2 2 2 3 3" xfId="5334" xr:uid="{00000000-0005-0000-0000-00000C000000}"/>
    <cellStyle name="20% - Accent1 2 2 2 3 3 2" xfId="14660" xr:uid="{536930B5-1D95-44D3-AAE6-A7587E031C67}"/>
    <cellStyle name="20% - Accent1 2 2 2 3 4" xfId="10443" xr:uid="{9509B8BF-9B93-4BFE-9285-88CAC8A3067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4CC55282-23FE-4874-A5A7-ABBE0A82DA96}"/>
    <cellStyle name="20% - Accent1 2 2 2 4 2 3" xfId="13001" xr:uid="{407E5442-8314-483F-A3D7-D3488663C2FD}"/>
    <cellStyle name="20% - Accent1 2 2 2 4 3" xfId="5747" xr:uid="{00000000-0005-0000-0000-000010000000}"/>
    <cellStyle name="20% - Accent1 2 2 2 4 3 2" xfId="15073" xr:uid="{4F4DF5E4-17E8-4CA9-9EA8-1E885C10E70A}"/>
    <cellStyle name="20% - Accent1 2 2 2 4 4" xfId="10856" xr:uid="{BC443E47-0A36-4FEA-98CD-97153C0F20BA}"/>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D7587D42-D319-4846-900F-4E702D296720}"/>
    <cellStyle name="20% - Accent1 2 2 2 5 2 3" xfId="13414" xr:uid="{E10FE609-E2AB-4482-8A26-0F2EDB4BF93F}"/>
    <cellStyle name="20% - Accent1 2 2 2 5 3" xfId="6160" xr:uid="{00000000-0005-0000-0000-000014000000}"/>
    <cellStyle name="20% - Accent1 2 2 2 5 3 2" xfId="15486" xr:uid="{DA78B026-B37A-4C5A-B3AC-181AC90C836E}"/>
    <cellStyle name="20% - Accent1 2 2 2 5 4" xfId="11269" xr:uid="{2A9F4C59-7869-4B01-8736-726B82B2132B}"/>
    <cellStyle name="20% - Accent1 2 2 2 6" xfId="2267" xr:uid="{00000000-0005-0000-0000-000015000000}"/>
    <cellStyle name="20% - Accent1 2 2 2 6 2" xfId="6573" xr:uid="{00000000-0005-0000-0000-000016000000}"/>
    <cellStyle name="20% - Accent1 2 2 2 6 2 2" xfId="15899" xr:uid="{74DF8ACF-57B2-42AC-B414-79DDBCBADBC7}"/>
    <cellStyle name="20% - Accent1 2 2 2 6 3" xfId="11682" xr:uid="{72383C1C-53C9-4A3D-9533-FD94E354E3BC}"/>
    <cellStyle name="20% - Accent1 2 2 2 7" xfId="4507" xr:uid="{00000000-0005-0000-0000-000017000000}"/>
    <cellStyle name="20% - Accent1 2 2 2 7 2" xfId="13833" xr:uid="{22E468AD-C7C6-4653-BD58-18308207121D}"/>
    <cellStyle name="20% - Accent1 2 2 2 8" xfId="9107" xr:uid="{4168D01E-823F-4E8F-9A1D-70697AC1F241}"/>
    <cellStyle name="20% - Accent1 2 2 2 8 2" xfId="18431" xr:uid="{21F0A789-6625-4F88-BC59-8014B2DE0A25}"/>
    <cellStyle name="20% - Accent1 2 2 2 9" xfId="9616" xr:uid="{D69AAEB1-531C-425F-B50F-1011D34EA38D}"/>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3C526845-8250-464B-A77A-A14C00A9C629}"/>
    <cellStyle name="20% - Accent1 2 2 3 2 3" xfId="12174" xr:uid="{636EC63C-D9ED-45B0-92F8-E3E3AF935813}"/>
    <cellStyle name="20% - Accent1 2 2 3 3" xfId="4920" xr:uid="{00000000-0005-0000-0000-00001B000000}"/>
    <cellStyle name="20% - Accent1 2 2 3 3 2" xfId="14246" xr:uid="{60F3E6F0-9484-4716-92FF-D220A18554B0}"/>
    <cellStyle name="20% - Accent1 2 2 3 4" xfId="9325" xr:uid="{DE19910B-698B-4F31-B25F-3533B35DDA95}"/>
    <cellStyle name="20% - Accent1 2 2 3 4 2" xfId="18640" xr:uid="{AD55486B-7D01-4AC5-ACE8-AF72DF932E2B}"/>
    <cellStyle name="20% - Accent1 2 2 3 5" xfId="10029" xr:uid="{84997AD4-261D-4D98-AE43-40E89B1726AB}"/>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34D40DA1-12CA-40DB-BB51-D0443545ED06}"/>
    <cellStyle name="20% - Accent1 2 2 4 2 3" xfId="12587" xr:uid="{CBF95CC3-D4A1-4B5F-A9A7-B345CA5D768B}"/>
    <cellStyle name="20% - Accent1 2 2 4 3" xfId="5333" xr:uid="{00000000-0005-0000-0000-00001F000000}"/>
    <cellStyle name="20% - Accent1 2 2 4 3 2" xfId="14659" xr:uid="{80F32A20-3CF5-45F8-8546-7024E1F3CC2F}"/>
    <cellStyle name="20% - Accent1 2 2 4 4" xfId="10442" xr:uid="{6C3DA9D2-CD28-49A6-946A-397A9E98B5A0}"/>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A38BACBF-538C-4547-B2E6-A785DD85C62F}"/>
    <cellStyle name="20% - Accent1 2 2 5 2 3" xfId="13000" xr:uid="{7C4756AF-8C2D-4B6D-B6A0-FB2D5387EA47}"/>
    <cellStyle name="20% - Accent1 2 2 5 3" xfId="5746" xr:uid="{00000000-0005-0000-0000-000023000000}"/>
    <cellStyle name="20% - Accent1 2 2 5 3 2" xfId="15072" xr:uid="{83028BF0-EB5B-4BCF-B930-E2C83168785A}"/>
    <cellStyle name="20% - Accent1 2 2 5 4" xfId="10855" xr:uid="{A9F7C559-2D46-4D8F-871E-30423C71359C}"/>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8D2048F8-D180-48CD-950D-24FA1DEFAAFA}"/>
    <cellStyle name="20% - Accent1 2 2 6 2 3" xfId="13413" xr:uid="{BA8C47D2-A1BC-4E56-A32A-261611AC200B}"/>
    <cellStyle name="20% - Accent1 2 2 6 3" xfId="6159" xr:uid="{00000000-0005-0000-0000-000027000000}"/>
    <cellStyle name="20% - Accent1 2 2 6 3 2" xfId="15485" xr:uid="{9B319EEF-0E3A-4B7D-9E6F-AAB6B476C3B1}"/>
    <cellStyle name="20% - Accent1 2 2 6 4" xfId="11268" xr:uid="{D6798388-8123-4873-8771-B91739E68389}"/>
    <cellStyle name="20% - Accent1 2 2 7" xfId="2266" xr:uid="{00000000-0005-0000-0000-000028000000}"/>
    <cellStyle name="20% - Accent1 2 2 7 2" xfId="6572" xr:uid="{00000000-0005-0000-0000-000029000000}"/>
    <cellStyle name="20% - Accent1 2 2 7 2 2" xfId="15898" xr:uid="{0D42AEF1-C3B8-4D2A-BD39-8393E1393570}"/>
    <cellStyle name="20% - Accent1 2 2 7 3" xfId="11681" xr:uid="{3723A589-6B79-4FE3-8EF6-192B461A5908}"/>
    <cellStyle name="20% - Accent1 2 2 8" xfId="4506" xr:uid="{00000000-0005-0000-0000-00002A000000}"/>
    <cellStyle name="20% - Accent1 2 2 8 2" xfId="13832" xr:uid="{8690DB8C-7964-4912-9844-2A4FA9DC3DF8}"/>
    <cellStyle name="20% - Accent1 2 2 9" xfId="8900" xr:uid="{7D7E3EAF-DF6A-403F-8C20-66BB9757790F}"/>
    <cellStyle name="20% - Accent1 2 2 9 2" xfId="18224" xr:uid="{D6FFD8F6-172B-4AE4-BD0A-75CD71DD6602}"/>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B79D12D3-B89E-4BD2-8215-05CB0467C0D6}"/>
    <cellStyle name="20% - Accent1 2 3 2 2 3" xfId="12176" xr:uid="{6AD9DA17-AE1D-410A-A29D-D9A9EA9E443A}"/>
    <cellStyle name="20% - Accent1 2 3 2 3" xfId="4922" xr:uid="{00000000-0005-0000-0000-00002F000000}"/>
    <cellStyle name="20% - Accent1 2 3 2 3 2" xfId="14248" xr:uid="{EDDF46A2-B0E7-4DDF-8156-B43697FA3C49}"/>
    <cellStyle name="20% - Accent1 2 3 2 4" xfId="9429" xr:uid="{CCD4BD61-3143-497B-A316-8024A8762A6C}"/>
    <cellStyle name="20% - Accent1 2 3 2 4 2" xfId="18744" xr:uid="{A92472C3-EAF3-4F39-9131-2DFDC31D11B8}"/>
    <cellStyle name="20% - Accent1 2 3 2 5" xfId="10031" xr:uid="{85D40AEA-A83F-420F-B4D1-4BA60B425F2B}"/>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1CA6F49E-CC1A-4AC2-8031-B6D935F15D44}"/>
    <cellStyle name="20% - Accent1 2 3 3 2 3" xfId="12589" xr:uid="{9D4869A1-8B8F-4765-BEB2-D7E4006DD1E1}"/>
    <cellStyle name="20% - Accent1 2 3 3 3" xfId="5335" xr:uid="{00000000-0005-0000-0000-000033000000}"/>
    <cellStyle name="20% - Accent1 2 3 3 3 2" xfId="14661" xr:uid="{78675AA0-3A4D-427F-A05B-447EB2D9A98A}"/>
    <cellStyle name="20% - Accent1 2 3 3 4" xfId="10444" xr:uid="{B7118394-0978-47A8-890A-04AF7E1B0785}"/>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1204CE24-3AC4-4E05-B93A-5B92DC34138A}"/>
    <cellStyle name="20% - Accent1 2 3 4 2 3" xfId="13002" xr:uid="{28CE3D8C-76D5-4D3A-9D5E-856562D2E21B}"/>
    <cellStyle name="20% - Accent1 2 3 4 3" xfId="5748" xr:uid="{00000000-0005-0000-0000-000037000000}"/>
    <cellStyle name="20% - Accent1 2 3 4 3 2" xfId="15074" xr:uid="{A5E8558E-32B0-4606-A07C-82276B28E499}"/>
    <cellStyle name="20% - Accent1 2 3 4 4" xfId="10857" xr:uid="{21534C1B-CB99-47D7-9485-76DCEF1A4ED4}"/>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F7FD94EA-62AC-41FA-9A29-E3650B7DE655}"/>
    <cellStyle name="20% - Accent1 2 3 5 2 3" xfId="13415" xr:uid="{4756E15F-4586-4C80-95C4-7D316AA915D2}"/>
    <cellStyle name="20% - Accent1 2 3 5 3" xfId="6161" xr:uid="{00000000-0005-0000-0000-00003B000000}"/>
    <cellStyle name="20% - Accent1 2 3 5 3 2" xfId="15487" xr:uid="{5F51CD8E-260E-49ED-9CF5-ABF56A80C167}"/>
    <cellStyle name="20% - Accent1 2 3 5 4" xfId="11270" xr:uid="{AC146B48-DDB3-4777-BDF5-2687FFA35617}"/>
    <cellStyle name="20% - Accent1 2 3 6" xfId="2268" xr:uid="{00000000-0005-0000-0000-00003C000000}"/>
    <cellStyle name="20% - Accent1 2 3 6 2" xfId="6574" xr:uid="{00000000-0005-0000-0000-00003D000000}"/>
    <cellStyle name="20% - Accent1 2 3 6 2 2" xfId="15900" xr:uid="{1E8958BE-2FC6-4CD5-B95B-327B702D6AD7}"/>
    <cellStyle name="20% - Accent1 2 3 6 3" xfId="11683" xr:uid="{42B7BC70-F0F5-472E-ADB0-DC91AFEFA865}"/>
    <cellStyle name="20% - Accent1 2 3 7" xfId="4508" xr:uid="{00000000-0005-0000-0000-00003E000000}"/>
    <cellStyle name="20% - Accent1 2 3 7 2" xfId="13834" xr:uid="{23F83498-4D0C-4F55-A94C-A6F67C340D80}"/>
    <cellStyle name="20% - Accent1 2 3 8" xfId="9004" xr:uid="{14A9C135-BB7B-44DD-97E1-B6B10773DEE2}"/>
    <cellStyle name="20% - Accent1 2 3 8 2" xfId="18328" xr:uid="{10324E31-B2D0-496B-B398-19AB6A0DE6CB}"/>
    <cellStyle name="20% - Accent1 2 3 9" xfId="9617" xr:uid="{16469AB8-75B5-4CD4-851C-1B97BC65B4A0}"/>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D8F1A77F-0C03-4CCF-8D4B-EC88EF860030}"/>
    <cellStyle name="20% - Accent1 2 4 2 3" xfId="12173" xr:uid="{E52DE962-0AA8-4F13-AF4D-511A1C257BA7}"/>
    <cellStyle name="20% - Accent1 2 4 3" xfId="4919" xr:uid="{00000000-0005-0000-0000-000042000000}"/>
    <cellStyle name="20% - Accent1 2 4 3 2" xfId="14245" xr:uid="{B45D2A51-4ABD-4A4D-AB4D-3CA098BA3E5F}"/>
    <cellStyle name="20% - Accent1 2 4 4" xfId="9221" xr:uid="{11532E3F-E59C-4FF7-9F45-291A17A69435}"/>
    <cellStyle name="20% - Accent1 2 4 4 2" xfId="18537" xr:uid="{F7F55ECE-F803-49A9-883C-8AC6F98DB41D}"/>
    <cellStyle name="20% - Accent1 2 4 5" xfId="10028" xr:uid="{278A7F66-5550-4BE5-8A8B-A467A2B35D0A}"/>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3A30D024-EAE9-46D3-B920-55FFB4252B9D}"/>
    <cellStyle name="20% - Accent1 2 5 2 3" xfId="12586" xr:uid="{71A26440-395D-4B64-8403-8850E170AF74}"/>
    <cellStyle name="20% - Accent1 2 5 3" xfId="5332" xr:uid="{00000000-0005-0000-0000-000046000000}"/>
    <cellStyle name="20% - Accent1 2 5 3 2" xfId="14658" xr:uid="{71E8FE26-CF10-4AD7-AEF6-60100EB4B562}"/>
    <cellStyle name="20% - Accent1 2 5 4" xfId="10441" xr:uid="{1AA515F9-9764-445A-A845-4D8B49EEE7D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9C89CFFC-5BF6-4C3B-BD4E-22112D39B7F6}"/>
    <cellStyle name="20% - Accent1 2 6 2 3" xfId="12999" xr:uid="{22FDDE49-D053-48A0-B323-AD7D3DEC09A2}"/>
    <cellStyle name="20% - Accent1 2 6 3" xfId="5745" xr:uid="{00000000-0005-0000-0000-00004A000000}"/>
    <cellStyle name="20% - Accent1 2 6 3 2" xfId="15071" xr:uid="{5DB6788B-B834-4EB6-8CFC-85BF828D29E7}"/>
    <cellStyle name="20% - Accent1 2 6 4" xfId="10854" xr:uid="{17AF3DF4-6F08-4423-BE00-71624B0C7AE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BD579EC8-99F3-4401-8D02-8A8209A11654}"/>
    <cellStyle name="20% - Accent1 2 7 2 3" xfId="13412" xr:uid="{52D2A019-28A6-4FBB-92D5-51DFDFD9F75E}"/>
    <cellStyle name="20% - Accent1 2 7 3" xfId="6158" xr:uid="{00000000-0005-0000-0000-00004E000000}"/>
    <cellStyle name="20% - Accent1 2 7 3 2" xfId="15484" xr:uid="{D8ACDC78-6AA4-4366-A8B5-0A1203DB9754}"/>
    <cellStyle name="20% - Accent1 2 7 4" xfId="11267" xr:uid="{DE8EDA1A-7C6E-4F12-8C21-91924751EF78}"/>
    <cellStyle name="20% - Accent1 2 8" xfId="2265" xr:uid="{00000000-0005-0000-0000-00004F000000}"/>
    <cellStyle name="20% - Accent1 2 8 2" xfId="6571" xr:uid="{00000000-0005-0000-0000-000050000000}"/>
    <cellStyle name="20% - Accent1 2 8 2 2" xfId="15897" xr:uid="{C479F0BA-89C6-48B1-8F82-A491FE2D744F}"/>
    <cellStyle name="20% - Accent1 2 8 3" xfId="11680" xr:uid="{F0D67B80-3897-4631-8AF2-91F34E30DE5D}"/>
    <cellStyle name="20% - Accent1 2 9" xfId="4505" xr:uid="{00000000-0005-0000-0000-000051000000}"/>
    <cellStyle name="20% - Accent1 2 9 2" xfId="13831" xr:uid="{715554A3-27B0-4914-A1C9-B4393509BFB8}"/>
    <cellStyle name="20% - Accent1 3" xfId="6" xr:uid="{00000000-0005-0000-0000-000052000000}"/>
    <cellStyle name="20% - Accent1 3 10" xfId="9618" xr:uid="{2C7565FC-18FF-4985-8223-8F784D33A22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BBC19061-CA1A-45A5-B0BC-E320677263C9}"/>
    <cellStyle name="20% - Accent1 3 2 2 2 3" xfId="12178" xr:uid="{4E03344D-C348-4D8E-B02C-7BCE6713BDD1}"/>
    <cellStyle name="20% - Accent1 3 2 2 3" xfId="4924" xr:uid="{00000000-0005-0000-0000-000057000000}"/>
    <cellStyle name="20% - Accent1 3 2 2 3 2" xfId="14250" xr:uid="{60C95B78-CE01-4710-815B-4FF79C4F887B}"/>
    <cellStyle name="20% - Accent1 3 2 2 4" xfId="9493" xr:uid="{FCEFE71D-2A04-4899-B62A-B225DBF7F0BF}"/>
    <cellStyle name="20% - Accent1 3 2 2 4 2" xfId="18808" xr:uid="{AA08FC34-DB4A-40BB-8E8C-F0230A27E861}"/>
    <cellStyle name="20% - Accent1 3 2 2 5" xfId="10033" xr:uid="{172BD336-42CE-4B55-82B6-E33A508D8D7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A571ABC7-AFD2-45CA-B79C-301E93BFC77E}"/>
    <cellStyle name="20% - Accent1 3 2 3 2 3" xfId="12591" xr:uid="{1C6D4AE1-45FF-4BE3-8324-53C5A553B79F}"/>
    <cellStyle name="20% - Accent1 3 2 3 3" xfId="5337" xr:uid="{00000000-0005-0000-0000-00005B000000}"/>
    <cellStyle name="20% - Accent1 3 2 3 3 2" xfId="14663" xr:uid="{98E5D89A-92B5-432C-9F0B-8D6116F833BE}"/>
    <cellStyle name="20% - Accent1 3 2 3 4" xfId="10446" xr:uid="{6450A1FD-91C4-41E0-8113-2CC2DF593B19}"/>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CCCE0781-CA82-4E61-9E0F-09B2CF16D645}"/>
    <cellStyle name="20% - Accent1 3 2 4 2 3" xfId="13004" xr:uid="{29895B18-AE6A-4A00-AE31-637DEBCEB508}"/>
    <cellStyle name="20% - Accent1 3 2 4 3" xfId="5750" xr:uid="{00000000-0005-0000-0000-00005F000000}"/>
    <cellStyle name="20% - Accent1 3 2 4 3 2" xfId="15076" xr:uid="{104E5F0D-BF20-46D0-9E88-28D7A17E465F}"/>
    <cellStyle name="20% - Accent1 3 2 4 4" xfId="10859" xr:uid="{14753FBA-E9A6-4AD5-ADFE-6A5F5F23E29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9B512ACE-6608-4EAD-8D00-501E55014FCC}"/>
    <cellStyle name="20% - Accent1 3 2 5 2 3" xfId="13417" xr:uid="{23E41C84-3FEA-4423-AF3E-CE60E5AEDC0D}"/>
    <cellStyle name="20% - Accent1 3 2 5 3" xfId="6163" xr:uid="{00000000-0005-0000-0000-000063000000}"/>
    <cellStyle name="20% - Accent1 3 2 5 3 2" xfId="15489" xr:uid="{909F9FCB-E71D-42D2-AF5E-FE49F7E49A9E}"/>
    <cellStyle name="20% - Accent1 3 2 5 4" xfId="11272" xr:uid="{A9F8B3E6-EA1E-4E18-826F-3D1E19527480}"/>
    <cellStyle name="20% - Accent1 3 2 6" xfId="2270" xr:uid="{00000000-0005-0000-0000-000064000000}"/>
    <cellStyle name="20% - Accent1 3 2 6 2" xfId="6576" xr:uid="{00000000-0005-0000-0000-000065000000}"/>
    <cellStyle name="20% - Accent1 3 2 6 2 2" xfId="15902" xr:uid="{E3D5E52B-E10E-4FC6-9876-DDD6048F52B2}"/>
    <cellStyle name="20% - Accent1 3 2 6 3" xfId="11685" xr:uid="{55592E7D-612F-46A4-BCE5-08258472AA8C}"/>
    <cellStyle name="20% - Accent1 3 2 7" xfId="4510" xr:uid="{00000000-0005-0000-0000-000066000000}"/>
    <cellStyle name="20% - Accent1 3 2 7 2" xfId="13836" xr:uid="{59BBE886-FCC8-4353-BE39-C79A7F63B9BB}"/>
    <cellStyle name="20% - Accent1 3 2 8" xfId="9068" xr:uid="{354460C9-AD38-4FCD-882B-4DFB81DE5890}"/>
    <cellStyle name="20% - Accent1 3 2 8 2" xfId="18392" xr:uid="{47861EF9-2BD8-440D-97CA-0706E5B8B877}"/>
    <cellStyle name="20% - Accent1 3 2 9" xfId="9619" xr:uid="{B09E360F-5012-4B57-869C-4ADE36E1C46A}"/>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F58F3FF1-8A17-4689-83A6-F5EDC2AE46CA}"/>
    <cellStyle name="20% - Accent1 3 3 2 3" xfId="12177" xr:uid="{06F1C002-B208-4AC5-AA3B-3D7F6998CB2C}"/>
    <cellStyle name="20% - Accent1 3 3 3" xfId="4923" xr:uid="{00000000-0005-0000-0000-00006A000000}"/>
    <cellStyle name="20% - Accent1 3 3 3 2" xfId="14249" xr:uid="{0F44456C-272D-4D96-831C-E090B7CF2A09}"/>
    <cellStyle name="20% - Accent1 3 3 4" xfId="9286" xr:uid="{B5220C4B-EBE7-4AD0-9A24-7F16FA378184}"/>
    <cellStyle name="20% - Accent1 3 3 4 2" xfId="18601" xr:uid="{AF8DFA8A-4502-44F7-BCD6-2D8089231F97}"/>
    <cellStyle name="20% - Accent1 3 3 5" xfId="10032" xr:uid="{96C830D8-D4DA-40A3-8501-914B52974405}"/>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C7540E25-4D50-4E30-8F34-C79DDF908B4E}"/>
    <cellStyle name="20% - Accent1 3 4 2 3" xfId="12590" xr:uid="{6BE91342-C82D-454D-9F64-82FCE7BB96B7}"/>
    <cellStyle name="20% - Accent1 3 4 3" xfId="5336" xr:uid="{00000000-0005-0000-0000-00006E000000}"/>
    <cellStyle name="20% - Accent1 3 4 3 2" xfId="14662" xr:uid="{B18E19F2-9BD4-43C3-BDFB-B7529B92EBC2}"/>
    <cellStyle name="20% - Accent1 3 4 4" xfId="10445" xr:uid="{46B49F3F-7110-4E66-A1C8-D162AE2FD3B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8304049C-96DA-4BCF-AD23-B7BBAA676994}"/>
    <cellStyle name="20% - Accent1 3 5 2 3" xfId="13003" xr:uid="{7CCEC2F3-3ED1-4D66-9DE2-844A63294766}"/>
    <cellStyle name="20% - Accent1 3 5 3" xfId="5749" xr:uid="{00000000-0005-0000-0000-000072000000}"/>
    <cellStyle name="20% - Accent1 3 5 3 2" xfId="15075" xr:uid="{1B482566-E1A5-41D2-BB9E-A2591E883AB4}"/>
    <cellStyle name="20% - Accent1 3 5 4" xfId="10858" xr:uid="{17952214-BC71-4FD7-96F3-ACF446343FA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90B93D98-D270-49A4-8A9D-DBADFCB9BBDB}"/>
    <cellStyle name="20% - Accent1 3 6 2 3" xfId="13416" xr:uid="{42235053-4369-4CE1-970A-F3977EE633BE}"/>
    <cellStyle name="20% - Accent1 3 6 3" xfId="6162" xr:uid="{00000000-0005-0000-0000-000076000000}"/>
    <cellStyle name="20% - Accent1 3 6 3 2" xfId="15488" xr:uid="{87D6100B-844E-42EA-85A1-C4824B1219D9}"/>
    <cellStyle name="20% - Accent1 3 6 4" xfId="11271" xr:uid="{E3E83420-9362-4E79-AA12-F14C5926ABE6}"/>
    <cellStyle name="20% - Accent1 3 7" xfId="2269" xr:uid="{00000000-0005-0000-0000-000077000000}"/>
    <cellStyle name="20% - Accent1 3 7 2" xfId="6575" xr:uid="{00000000-0005-0000-0000-000078000000}"/>
    <cellStyle name="20% - Accent1 3 7 2 2" xfId="15901" xr:uid="{9684335B-E52A-4FE9-BC79-1797AA8C2660}"/>
    <cellStyle name="20% - Accent1 3 7 3" xfId="11684" xr:uid="{27D851C8-C203-4CA3-8622-556EE8021350}"/>
    <cellStyle name="20% - Accent1 3 8" xfId="4509" xr:uid="{00000000-0005-0000-0000-000079000000}"/>
    <cellStyle name="20% - Accent1 3 8 2" xfId="13835" xr:uid="{C233BCE8-B20A-44EE-8B05-CEF4BA927AE9}"/>
    <cellStyle name="20% - Accent1 3 9" xfId="8861" xr:uid="{C1B75176-75E3-4E31-86A7-851E7FD67A9E}"/>
    <cellStyle name="20% - Accent1 3 9 2" xfId="18185" xr:uid="{85B766B0-0B84-488E-A094-D21ED7B2C6B9}"/>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AB95D82C-2CFC-4459-84F3-A6D30C793F85}"/>
    <cellStyle name="20% - Accent1 4 2 2 3" xfId="12179" xr:uid="{767B8D0A-2CC7-43E9-85D3-B4A851906230}"/>
    <cellStyle name="20% - Accent1 4 2 3" xfId="4925" xr:uid="{00000000-0005-0000-0000-00007E000000}"/>
    <cellStyle name="20% - Accent1 4 2 3 2" xfId="14251" xr:uid="{34899CC7-9CA3-405E-8D21-BDF977056F58}"/>
    <cellStyle name="20% - Accent1 4 2 4" xfId="9372" xr:uid="{E6B08341-6F7D-4580-9BCF-4BFC252FAE31}"/>
    <cellStyle name="20% - Accent1 4 2 4 2" xfId="18687" xr:uid="{4E8A47B5-29C5-4DF6-A53E-D18C0E6FC064}"/>
    <cellStyle name="20% - Accent1 4 2 5" xfId="10034" xr:uid="{AFA8AB87-2A05-4494-89E4-6ABBEA1679F0}"/>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5938B5A3-882A-431B-A476-0094B8B2A1D4}"/>
    <cellStyle name="20% - Accent1 4 3 2 3" xfId="12592" xr:uid="{C2330D91-FA0C-4578-BD73-E80B23D3B5F2}"/>
    <cellStyle name="20% - Accent1 4 3 3" xfId="5338" xr:uid="{00000000-0005-0000-0000-000082000000}"/>
    <cellStyle name="20% - Accent1 4 3 3 2" xfId="14664" xr:uid="{25590249-0452-492F-B615-5B909CA54497}"/>
    <cellStyle name="20% - Accent1 4 3 4" xfId="10447" xr:uid="{C5A80724-0BE2-439D-BE8E-34D8B93552B7}"/>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D771D06F-1B08-412E-994D-1A304211C146}"/>
    <cellStyle name="20% - Accent1 4 4 2 3" xfId="13005" xr:uid="{D5547C09-BD3A-4B79-BC17-AD5F72B93D8E}"/>
    <cellStyle name="20% - Accent1 4 4 3" xfId="5751" xr:uid="{00000000-0005-0000-0000-000086000000}"/>
    <cellStyle name="20% - Accent1 4 4 3 2" xfId="15077" xr:uid="{82B00E12-24FE-416F-842F-36A7940B1590}"/>
    <cellStyle name="20% - Accent1 4 4 4" xfId="10860" xr:uid="{3EE0482A-52CB-47F9-B65C-1F6E45C26A7A}"/>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07D8BFC8-75BD-45EB-A2B5-75FCDF5E15AF}"/>
    <cellStyle name="20% - Accent1 4 5 2 3" xfId="13418" xr:uid="{623230E1-CA78-42B8-AC8E-BBF91F97DA8A}"/>
    <cellStyle name="20% - Accent1 4 5 3" xfId="6164" xr:uid="{00000000-0005-0000-0000-00008A000000}"/>
    <cellStyle name="20% - Accent1 4 5 3 2" xfId="15490" xr:uid="{2A29508B-8A1B-46FB-88E3-A6C508030852}"/>
    <cellStyle name="20% - Accent1 4 5 4" xfId="11273" xr:uid="{70A61EA9-36B4-43A2-8E34-C49781926220}"/>
    <cellStyle name="20% - Accent1 4 6" xfId="2271" xr:uid="{00000000-0005-0000-0000-00008B000000}"/>
    <cellStyle name="20% - Accent1 4 6 2" xfId="6577" xr:uid="{00000000-0005-0000-0000-00008C000000}"/>
    <cellStyle name="20% - Accent1 4 6 2 2" xfId="15903" xr:uid="{BCFFB211-C914-4723-B93A-AB7ED6852265}"/>
    <cellStyle name="20% - Accent1 4 6 3" xfId="11686" xr:uid="{029877BC-3A25-40B3-8318-87CF73E3703F}"/>
    <cellStyle name="20% - Accent1 4 7" xfId="4511" xr:uid="{00000000-0005-0000-0000-00008D000000}"/>
    <cellStyle name="20% - Accent1 4 7 2" xfId="13837" xr:uid="{1F68F442-28B4-4FAD-9860-7CD45794ADCD}"/>
    <cellStyle name="20% - Accent1 4 8" xfId="8947" xr:uid="{1FCDBFE2-CC86-42DD-AD9B-D3EAF476002E}"/>
    <cellStyle name="20% - Accent1 4 8 2" xfId="18271" xr:uid="{20926D2F-4A1C-4A22-AA85-8A72BDE51B1A}"/>
    <cellStyle name="20% - Accent1 4 9" xfId="9620" xr:uid="{F92DD944-85EB-4E4E-B37C-B2AF9E04BEEA}"/>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C39CDC0B-A454-4F4E-9BB4-1ABB3D4A7F73}"/>
    <cellStyle name="20% - Accent1 5 2 3" xfId="12172" xr:uid="{479278BF-D685-47B1-9E9B-1EC2DC3A6B56}"/>
    <cellStyle name="20% - Accent1 5 3" xfId="4918" xr:uid="{00000000-0005-0000-0000-000091000000}"/>
    <cellStyle name="20% - Accent1 5 3 2" xfId="14244" xr:uid="{E50E5C14-1760-43CA-8622-E30CE48BB027}"/>
    <cellStyle name="20% - Accent1 5 4" xfId="9180" xr:uid="{D0AEF57E-25E3-47C5-B910-DC1A0019F498}"/>
    <cellStyle name="20% - Accent1 5 4 2" xfId="18498" xr:uid="{DDAF97DD-1666-4B25-9730-FFCD4A7FB163}"/>
    <cellStyle name="20% - Accent1 5 5" xfId="10027" xr:uid="{48B4EE32-91CD-4657-B636-44977A8CE511}"/>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3F9ACC12-F329-4B4D-9D1B-3026BDE0D45B}"/>
    <cellStyle name="20% - Accent1 6 2 3" xfId="12585" xr:uid="{DC8AF886-80D7-40AE-A5D7-0F7EEF876CE8}"/>
    <cellStyle name="20% - Accent1 6 3" xfId="5331" xr:uid="{00000000-0005-0000-0000-000095000000}"/>
    <cellStyle name="20% - Accent1 6 3 2" xfId="14657" xr:uid="{087F21A3-059F-476A-9DD8-4A4AAA50F65F}"/>
    <cellStyle name="20% - Accent1 6 4" xfId="10440" xr:uid="{E0718DEE-5590-4A0D-8818-26D443DA9DF7}"/>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EEF2E3CF-6334-439C-91AA-C25BB295A5D5}"/>
    <cellStyle name="20% - Accent1 7 2 3" xfId="12998" xr:uid="{C2F897EE-5E65-4C28-B853-F79E9C4EF81C}"/>
    <cellStyle name="20% - Accent1 7 3" xfId="5744" xr:uid="{00000000-0005-0000-0000-000099000000}"/>
    <cellStyle name="20% - Accent1 7 3 2" xfId="15070" xr:uid="{08349C27-9A71-4A8B-BA5F-E84CA94360DC}"/>
    <cellStyle name="20% - Accent1 7 4" xfId="10853" xr:uid="{094E726C-93A9-48A9-9131-295B5EBE4DF7}"/>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B82700FE-E35B-425C-933C-847F502A0FE2}"/>
    <cellStyle name="20% - Accent1 8 2 3" xfId="13411" xr:uid="{6D56A288-726B-43F7-9A39-DF7C2F3C70AA}"/>
    <cellStyle name="20% - Accent1 8 3" xfId="6157" xr:uid="{00000000-0005-0000-0000-00009D000000}"/>
    <cellStyle name="20% - Accent1 8 3 2" xfId="15483" xr:uid="{61ADA6F3-7E62-4BC7-9DAE-10152CBECF9E}"/>
    <cellStyle name="20% - Accent1 8 4" xfId="11266" xr:uid="{4286D3B2-CD53-4B61-A5E9-7D250FD4EAE8}"/>
    <cellStyle name="20% - Accent1 9" xfId="2264" xr:uid="{00000000-0005-0000-0000-00009E000000}"/>
    <cellStyle name="20% - Accent1 9 2" xfId="6570" xr:uid="{00000000-0005-0000-0000-00009F000000}"/>
    <cellStyle name="20% - Accent1 9 2 2" xfId="15896" xr:uid="{28265801-8052-44B1-A3C7-4FA92F9B8509}"/>
    <cellStyle name="20% - Accent1 9 3" xfId="11679" xr:uid="{3A7EFE4C-1BDF-4851-A8F0-F0BC2070FEFD}"/>
    <cellStyle name="20% - Accent2" xfId="9" builtinId="34" customBuiltin="1"/>
    <cellStyle name="20% - Accent2 10" xfId="4512" xr:uid="{00000000-0005-0000-0000-0000A1000000}"/>
    <cellStyle name="20% - Accent2 10 2" xfId="13838" xr:uid="{EE178D17-2297-4D95-87BC-DA5934223620}"/>
    <cellStyle name="20% - Accent2 11" xfId="8760" xr:uid="{2F9D8AF1-C115-467C-ADFB-3BF13039D076}"/>
    <cellStyle name="20% - Accent2 11 2" xfId="18084" xr:uid="{773E11E0-56CB-43DE-8C7A-BA8D097147A1}"/>
    <cellStyle name="20% - Accent2 12" xfId="9621" xr:uid="{E5B75D23-A426-4FEF-B93D-D6EC56810CCA}"/>
    <cellStyle name="20% - Accent2 2" xfId="10" xr:uid="{00000000-0005-0000-0000-0000A2000000}"/>
    <cellStyle name="20% - Accent2 2 10" xfId="8793" xr:uid="{AA7C3473-3A75-4F75-9E25-D7658C57F3A0}"/>
    <cellStyle name="20% - Accent2 2 10 2" xfId="18117" xr:uid="{423432D0-3714-4F8F-938F-D8ADB851D675}"/>
    <cellStyle name="20% - Accent2 2 11" xfId="9622" xr:uid="{DCE0D779-2088-41D6-978E-DA3FB49423A1}"/>
    <cellStyle name="20% - Accent2 2 2" xfId="11" xr:uid="{00000000-0005-0000-0000-0000A3000000}"/>
    <cellStyle name="20% - Accent2 2 2 10" xfId="9623" xr:uid="{A5AA0A56-3979-4263-BD8E-7D225CCF8FF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E9DF9F98-1720-4007-84D1-17C6CC9F20B8}"/>
    <cellStyle name="20% - Accent2 2 2 2 2 2 3" xfId="12183" xr:uid="{072DAC7B-A871-41A6-93C0-D50E70FF1937}"/>
    <cellStyle name="20% - Accent2 2 2 2 2 3" xfId="4929" xr:uid="{00000000-0005-0000-0000-0000A8000000}"/>
    <cellStyle name="20% - Accent2 2 2 2 2 3 2" xfId="14255" xr:uid="{B9E4C0CD-7B90-4A4B-B120-AD4CF5FB3DA0}"/>
    <cellStyle name="20% - Accent2 2 2 2 2 4" xfId="9528" xr:uid="{C8BEA541-FD8B-4449-95AA-43E1904F35BB}"/>
    <cellStyle name="20% - Accent2 2 2 2 2 4 2" xfId="18843" xr:uid="{75DF3290-B868-4086-AAF3-0CCFD97A8119}"/>
    <cellStyle name="20% - Accent2 2 2 2 2 5" xfId="10038" xr:uid="{6A5C470E-37E5-413F-9E3C-6F0894749086}"/>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A50F0072-11C4-49A9-B7DC-2DD5FFFBB16C}"/>
    <cellStyle name="20% - Accent2 2 2 2 3 2 3" xfId="12596" xr:uid="{32969A7E-0803-4B9B-A280-3AF9DD53BE83}"/>
    <cellStyle name="20% - Accent2 2 2 2 3 3" xfId="5342" xr:uid="{00000000-0005-0000-0000-0000AC000000}"/>
    <cellStyle name="20% - Accent2 2 2 2 3 3 2" xfId="14668" xr:uid="{0D7C7737-D7E2-4A60-8148-1774F20B37DF}"/>
    <cellStyle name="20% - Accent2 2 2 2 3 4" xfId="10451" xr:uid="{E83FDB2C-BC5C-4D6D-BCE1-BC7514D3A12E}"/>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412002FF-4D64-4070-8B16-185264E9AF89}"/>
    <cellStyle name="20% - Accent2 2 2 2 4 2 3" xfId="13009" xr:uid="{6864F550-5B60-4554-89EA-64158943E588}"/>
    <cellStyle name="20% - Accent2 2 2 2 4 3" xfId="5755" xr:uid="{00000000-0005-0000-0000-0000B0000000}"/>
    <cellStyle name="20% - Accent2 2 2 2 4 3 2" xfId="15081" xr:uid="{F62AB865-C6D6-42EA-8582-56BAEF172341}"/>
    <cellStyle name="20% - Accent2 2 2 2 4 4" xfId="10864" xr:uid="{4ABFA7A8-4025-4B30-890C-BB832BA5B7D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BAFFAF1F-84BA-49FB-9608-A6E47EF379B7}"/>
    <cellStyle name="20% - Accent2 2 2 2 5 2 3" xfId="13422" xr:uid="{E86C46A5-FF9B-4F4A-85AA-8CA813F5266E}"/>
    <cellStyle name="20% - Accent2 2 2 2 5 3" xfId="6168" xr:uid="{00000000-0005-0000-0000-0000B4000000}"/>
    <cellStyle name="20% - Accent2 2 2 2 5 3 2" xfId="15494" xr:uid="{7E6F2BE7-D965-4915-916C-9F43A474833A}"/>
    <cellStyle name="20% - Accent2 2 2 2 5 4" xfId="11277" xr:uid="{EFC9A95E-365B-4929-9D61-F20D1DC9B7C1}"/>
    <cellStyle name="20% - Accent2 2 2 2 6" xfId="2275" xr:uid="{00000000-0005-0000-0000-0000B5000000}"/>
    <cellStyle name="20% - Accent2 2 2 2 6 2" xfId="6581" xr:uid="{00000000-0005-0000-0000-0000B6000000}"/>
    <cellStyle name="20% - Accent2 2 2 2 6 2 2" xfId="15907" xr:uid="{8822BB2C-412F-47BF-ADE2-1C74CBD23085}"/>
    <cellStyle name="20% - Accent2 2 2 2 6 3" xfId="11690" xr:uid="{406C2D60-4F4E-4E88-8400-480906C2455B}"/>
    <cellStyle name="20% - Accent2 2 2 2 7" xfId="4515" xr:uid="{00000000-0005-0000-0000-0000B7000000}"/>
    <cellStyle name="20% - Accent2 2 2 2 7 2" xfId="13841" xr:uid="{3BB33399-0241-44F9-8D4F-DE7798BA544A}"/>
    <cellStyle name="20% - Accent2 2 2 2 8" xfId="9103" xr:uid="{91DB80A1-3464-4086-B948-71B6A26537C4}"/>
    <cellStyle name="20% - Accent2 2 2 2 8 2" xfId="18427" xr:uid="{7C815ED5-0F46-44CB-BA9F-BEF83587226B}"/>
    <cellStyle name="20% - Accent2 2 2 2 9" xfId="9624" xr:uid="{D588190B-32D6-4766-9B02-B36FBFBA3101}"/>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A34CCAB2-97D9-4F34-B355-18937A32F441}"/>
    <cellStyle name="20% - Accent2 2 2 3 2 3" xfId="12182" xr:uid="{A6EAA757-BDA5-49F2-8685-8ADEA8B75E4E}"/>
    <cellStyle name="20% - Accent2 2 2 3 3" xfId="4928" xr:uid="{00000000-0005-0000-0000-0000BB000000}"/>
    <cellStyle name="20% - Accent2 2 2 3 3 2" xfId="14254" xr:uid="{C9555966-9A97-4048-AB3F-A9DF1FCBD7A1}"/>
    <cellStyle name="20% - Accent2 2 2 3 4" xfId="9321" xr:uid="{32B21C3A-E360-4F19-B469-1116F045A0F3}"/>
    <cellStyle name="20% - Accent2 2 2 3 4 2" xfId="18636" xr:uid="{F9DB47DA-C225-407B-8EA1-9D6D35A78240}"/>
    <cellStyle name="20% - Accent2 2 2 3 5" xfId="10037" xr:uid="{69F1B364-0A9E-4FBC-9430-1E54A2C4AA1F}"/>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8852AF47-DC8C-453E-8C61-8222CCAC0293}"/>
    <cellStyle name="20% - Accent2 2 2 4 2 3" xfId="12595" xr:uid="{99FD919E-C461-4C55-BE37-65E2552CCD8A}"/>
    <cellStyle name="20% - Accent2 2 2 4 3" xfId="5341" xr:uid="{00000000-0005-0000-0000-0000BF000000}"/>
    <cellStyle name="20% - Accent2 2 2 4 3 2" xfId="14667" xr:uid="{B526E16F-CD29-4DBB-9371-C8A2DD0061A5}"/>
    <cellStyle name="20% - Accent2 2 2 4 4" xfId="10450" xr:uid="{E320B86A-4376-44B5-8504-EEF5D360BB7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47A09C18-4734-4D16-A62E-01BEF30DD51D}"/>
    <cellStyle name="20% - Accent2 2 2 5 2 3" xfId="13008" xr:uid="{4F9FD4FA-2B90-4612-AC5C-DF28DF8109BD}"/>
    <cellStyle name="20% - Accent2 2 2 5 3" xfId="5754" xr:uid="{00000000-0005-0000-0000-0000C3000000}"/>
    <cellStyle name="20% - Accent2 2 2 5 3 2" xfId="15080" xr:uid="{A52839D6-3C03-436C-A425-FD5D78D33527}"/>
    <cellStyle name="20% - Accent2 2 2 5 4" xfId="10863" xr:uid="{5D863144-F91C-4E24-99FC-772BA8C53CF8}"/>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D44D0F2C-F7C0-4930-B036-880BEF95F0D7}"/>
    <cellStyle name="20% - Accent2 2 2 6 2 3" xfId="13421" xr:uid="{F6B011E3-A66C-4D12-AC1E-2EA3E6260309}"/>
    <cellStyle name="20% - Accent2 2 2 6 3" xfId="6167" xr:uid="{00000000-0005-0000-0000-0000C7000000}"/>
    <cellStyle name="20% - Accent2 2 2 6 3 2" xfId="15493" xr:uid="{B03BFD26-8661-4783-971E-AAD209809E1B}"/>
    <cellStyle name="20% - Accent2 2 2 6 4" xfId="11276" xr:uid="{4E8DA457-B4E3-4582-893B-2D668D5A1C10}"/>
    <cellStyle name="20% - Accent2 2 2 7" xfId="2274" xr:uid="{00000000-0005-0000-0000-0000C8000000}"/>
    <cellStyle name="20% - Accent2 2 2 7 2" xfId="6580" xr:uid="{00000000-0005-0000-0000-0000C9000000}"/>
    <cellStyle name="20% - Accent2 2 2 7 2 2" xfId="15906" xr:uid="{3D09A4F1-B163-490A-88ED-E75179E2AE2B}"/>
    <cellStyle name="20% - Accent2 2 2 7 3" xfId="11689" xr:uid="{0F3DC1AA-30A9-4F02-AF2B-8038347B7F65}"/>
    <cellStyle name="20% - Accent2 2 2 8" xfId="4514" xr:uid="{00000000-0005-0000-0000-0000CA000000}"/>
    <cellStyle name="20% - Accent2 2 2 8 2" xfId="13840" xr:uid="{21DD81ED-C9D7-427B-AA7A-7B67E0014226}"/>
    <cellStyle name="20% - Accent2 2 2 9" xfId="8896" xr:uid="{7CDAA0F1-5BE6-4749-AD4D-5424E0EA26D8}"/>
    <cellStyle name="20% - Accent2 2 2 9 2" xfId="18220" xr:uid="{D8BEACDD-FB6E-4A68-9F74-0A0C03CC0A03}"/>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820A942D-C48A-418D-AEA4-B1189C669529}"/>
    <cellStyle name="20% - Accent2 2 3 2 2 3" xfId="12184" xr:uid="{98EB4861-F86C-4BAB-AA06-64859F155DC2}"/>
    <cellStyle name="20% - Accent2 2 3 2 3" xfId="4930" xr:uid="{00000000-0005-0000-0000-0000CF000000}"/>
    <cellStyle name="20% - Accent2 2 3 2 3 2" xfId="14256" xr:uid="{DC0D64F2-9CD7-46DC-8814-B595673441CD}"/>
    <cellStyle name="20% - Accent2 2 3 2 4" xfId="9425" xr:uid="{35BECFF4-0F5A-4F6E-AE6E-354891135B4F}"/>
    <cellStyle name="20% - Accent2 2 3 2 4 2" xfId="18740" xr:uid="{C50865B1-101C-42E5-ADCB-F84AF4CC1702}"/>
    <cellStyle name="20% - Accent2 2 3 2 5" xfId="10039" xr:uid="{E3F93F20-7969-4758-93BE-49A14F206271}"/>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2C4DB4A1-9D37-4C4B-9CCE-D9757821B1E6}"/>
    <cellStyle name="20% - Accent2 2 3 3 2 3" xfId="12597" xr:uid="{A4EA43E8-7369-46E0-96A4-4C405A8D8FC0}"/>
    <cellStyle name="20% - Accent2 2 3 3 3" xfId="5343" xr:uid="{00000000-0005-0000-0000-0000D3000000}"/>
    <cellStyle name="20% - Accent2 2 3 3 3 2" xfId="14669" xr:uid="{C655DF3F-2E7C-4FBB-ACD6-5E6EDE7042B8}"/>
    <cellStyle name="20% - Accent2 2 3 3 4" xfId="10452" xr:uid="{33D51A07-60B5-4AE5-9792-F2A314FB37B9}"/>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A7457E2F-9279-4760-B4DC-ED969D7CA8B0}"/>
    <cellStyle name="20% - Accent2 2 3 4 2 3" xfId="13010" xr:uid="{9F351484-99B7-4892-9F5F-9EFFAFFFE577}"/>
    <cellStyle name="20% - Accent2 2 3 4 3" xfId="5756" xr:uid="{00000000-0005-0000-0000-0000D7000000}"/>
    <cellStyle name="20% - Accent2 2 3 4 3 2" xfId="15082" xr:uid="{194B2655-62A4-4806-9EEA-084F23FCE5AD}"/>
    <cellStyle name="20% - Accent2 2 3 4 4" xfId="10865" xr:uid="{841489F0-30EB-47EB-9BCD-D12716992A37}"/>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128DDE96-E534-4ADD-99E3-C1016A204699}"/>
    <cellStyle name="20% - Accent2 2 3 5 2 3" xfId="13423" xr:uid="{D8FF344E-37BC-4449-A6AB-8381C9095F72}"/>
    <cellStyle name="20% - Accent2 2 3 5 3" xfId="6169" xr:uid="{00000000-0005-0000-0000-0000DB000000}"/>
    <cellStyle name="20% - Accent2 2 3 5 3 2" xfId="15495" xr:uid="{BF4B3DE5-4EF8-401A-9CE7-EB3846D53B50}"/>
    <cellStyle name="20% - Accent2 2 3 5 4" xfId="11278" xr:uid="{A9BC0857-EBB6-4EF1-AAD2-0D7C6C6C4878}"/>
    <cellStyle name="20% - Accent2 2 3 6" xfId="2276" xr:uid="{00000000-0005-0000-0000-0000DC000000}"/>
    <cellStyle name="20% - Accent2 2 3 6 2" xfId="6582" xr:uid="{00000000-0005-0000-0000-0000DD000000}"/>
    <cellStyle name="20% - Accent2 2 3 6 2 2" xfId="15908" xr:uid="{8117B447-66E7-4C3F-AD98-0D7DE78039E1}"/>
    <cellStyle name="20% - Accent2 2 3 6 3" xfId="11691" xr:uid="{4D2A7783-D38D-41CB-8EA6-CB1F904B8372}"/>
    <cellStyle name="20% - Accent2 2 3 7" xfId="4516" xr:uid="{00000000-0005-0000-0000-0000DE000000}"/>
    <cellStyle name="20% - Accent2 2 3 7 2" xfId="13842" xr:uid="{995D0FFA-2196-4E35-A8D1-31E2C44E57CB}"/>
    <cellStyle name="20% - Accent2 2 3 8" xfId="9000" xr:uid="{133DFC5C-F2FF-49E9-82EE-ABAA9C815393}"/>
    <cellStyle name="20% - Accent2 2 3 8 2" xfId="18324" xr:uid="{02374F9A-2AD4-47DC-AD63-87ABD64C0CD5}"/>
    <cellStyle name="20% - Accent2 2 3 9" xfId="9625" xr:uid="{F7AC0BBA-9DCB-4B13-A6BC-6DB065A27620}"/>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A7BA3700-9310-43E5-82D8-9D97AFE713AC}"/>
    <cellStyle name="20% - Accent2 2 4 2 3" xfId="12181" xr:uid="{98D4D8AA-EF1C-489C-BCF3-8C06FDC36E04}"/>
    <cellStyle name="20% - Accent2 2 4 3" xfId="4927" xr:uid="{00000000-0005-0000-0000-0000E2000000}"/>
    <cellStyle name="20% - Accent2 2 4 3 2" xfId="14253" xr:uid="{70798179-A7DD-4921-A08D-F57ABE159504}"/>
    <cellStyle name="20% - Accent2 2 4 4" xfId="9217" xr:uid="{28DDC3F5-BA57-40F8-8D06-6CFF141CF9A1}"/>
    <cellStyle name="20% - Accent2 2 4 4 2" xfId="18533" xr:uid="{FCD85DEC-6740-4231-8FD6-5AFFC747EA02}"/>
    <cellStyle name="20% - Accent2 2 4 5" xfId="10036" xr:uid="{CFFF36EB-D974-492A-8F92-52960AD00E9B}"/>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3D9DF120-DCA3-47B2-982A-8DDDF3698516}"/>
    <cellStyle name="20% - Accent2 2 5 2 3" xfId="12594" xr:uid="{5385AE0A-A27C-44D4-9840-6B831C91A40D}"/>
    <cellStyle name="20% - Accent2 2 5 3" xfId="5340" xr:uid="{00000000-0005-0000-0000-0000E6000000}"/>
    <cellStyle name="20% - Accent2 2 5 3 2" xfId="14666" xr:uid="{3681A828-F2F3-4080-BBEA-957CB8392CC3}"/>
    <cellStyle name="20% - Accent2 2 5 4" xfId="10449" xr:uid="{15C9A4CB-47DD-4FE8-88FB-9514FBEA5152}"/>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36AC4D4D-BABE-4C1A-A32D-CAEA03364F5B}"/>
    <cellStyle name="20% - Accent2 2 6 2 3" xfId="13007" xr:uid="{4943AC12-5635-4023-A334-0A1422A55BD4}"/>
    <cellStyle name="20% - Accent2 2 6 3" xfId="5753" xr:uid="{00000000-0005-0000-0000-0000EA000000}"/>
    <cellStyle name="20% - Accent2 2 6 3 2" xfId="15079" xr:uid="{7DE01164-E353-4787-820D-55AE094867A4}"/>
    <cellStyle name="20% - Accent2 2 6 4" xfId="10862" xr:uid="{BC505A0C-9FAA-4929-BEFA-00FA6BAC65B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901326EB-62C8-4C61-8194-7FC5E025EF50}"/>
    <cellStyle name="20% - Accent2 2 7 2 3" xfId="13420" xr:uid="{0F8A6B27-452E-418D-85CE-58836BC20AB9}"/>
    <cellStyle name="20% - Accent2 2 7 3" xfId="6166" xr:uid="{00000000-0005-0000-0000-0000EE000000}"/>
    <cellStyle name="20% - Accent2 2 7 3 2" xfId="15492" xr:uid="{3CB15A31-BBD7-4ADA-9C22-47C13E947470}"/>
    <cellStyle name="20% - Accent2 2 7 4" xfId="11275" xr:uid="{307AF6D3-1DD4-467A-8DB7-AB4B1F72EF08}"/>
    <cellStyle name="20% - Accent2 2 8" xfId="2273" xr:uid="{00000000-0005-0000-0000-0000EF000000}"/>
    <cellStyle name="20% - Accent2 2 8 2" xfId="6579" xr:uid="{00000000-0005-0000-0000-0000F0000000}"/>
    <cellStyle name="20% - Accent2 2 8 2 2" xfId="15905" xr:uid="{6C754BB2-7385-4428-873C-A39B7F733702}"/>
    <cellStyle name="20% - Accent2 2 8 3" xfId="11688" xr:uid="{15DD8FEB-A07C-48B0-8896-50D80875E8E7}"/>
    <cellStyle name="20% - Accent2 2 9" xfId="4513" xr:uid="{00000000-0005-0000-0000-0000F1000000}"/>
    <cellStyle name="20% - Accent2 2 9 2" xfId="13839" xr:uid="{3BBDDFF8-C3C5-401A-9F77-760428D74E22}"/>
    <cellStyle name="20% - Accent2 3" xfId="14" xr:uid="{00000000-0005-0000-0000-0000F2000000}"/>
    <cellStyle name="20% - Accent2 3 10" xfId="9626" xr:uid="{124BD1B5-E515-4044-91A1-0908CB7ED11D}"/>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0891CB8F-377A-445C-933E-012001B22534}"/>
    <cellStyle name="20% - Accent2 3 2 2 2 3" xfId="12186" xr:uid="{62446CC3-8178-41FE-A930-65671FF40EF9}"/>
    <cellStyle name="20% - Accent2 3 2 2 3" xfId="4932" xr:uid="{00000000-0005-0000-0000-0000F7000000}"/>
    <cellStyle name="20% - Accent2 3 2 2 3 2" xfId="14258" xr:uid="{4C2DEDB9-803B-47AA-9B4C-5FCDA7183271}"/>
    <cellStyle name="20% - Accent2 3 2 2 4" xfId="9495" xr:uid="{9F5A6FE7-BBC9-4787-8EC4-2112F4D5A0EA}"/>
    <cellStyle name="20% - Accent2 3 2 2 4 2" xfId="18810" xr:uid="{A4B916C7-ADF1-4AC7-B972-DDA9D4A4324A}"/>
    <cellStyle name="20% - Accent2 3 2 2 5" xfId="10041" xr:uid="{F5003410-547E-47A1-9B1D-71C1B01A6ED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40B32F8D-BA8B-48D8-9D46-3621507D94C2}"/>
    <cellStyle name="20% - Accent2 3 2 3 2 3" xfId="12599" xr:uid="{71968B31-9D86-4863-ADAC-1FD6FBC56861}"/>
    <cellStyle name="20% - Accent2 3 2 3 3" xfId="5345" xr:uid="{00000000-0005-0000-0000-0000FB000000}"/>
    <cellStyle name="20% - Accent2 3 2 3 3 2" xfId="14671" xr:uid="{F042F967-D3FE-45BB-870D-4B5C8C48C4E9}"/>
    <cellStyle name="20% - Accent2 3 2 3 4" xfId="10454" xr:uid="{E92B5915-BD91-4DD7-B41D-E490FE90362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258B69E6-E6CD-4E9D-A6D8-99CBF0E7D669}"/>
    <cellStyle name="20% - Accent2 3 2 4 2 3" xfId="13012" xr:uid="{2F42109C-7D42-4A4C-9A19-637CE6CDCA3B}"/>
    <cellStyle name="20% - Accent2 3 2 4 3" xfId="5758" xr:uid="{00000000-0005-0000-0000-0000FF000000}"/>
    <cellStyle name="20% - Accent2 3 2 4 3 2" xfId="15084" xr:uid="{F7B927B4-ACE9-4276-9701-F3C082EC556D}"/>
    <cellStyle name="20% - Accent2 3 2 4 4" xfId="10867" xr:uid="{6F906A04-FF70-44F6-94F1-0480965E832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A95A1A28-59AD-4BCB-921D-D84D6CC40CDC}"/>
    <cellStyle name="20% - Accent2 3 2 5 2 3" xfId="13425" xr:uid="{32D5FC3C-A0C2-455A-9942-564020B80D77}"/>
    <cellStyle name="20% - Accent2 3 2 5 3" xfId="6171" xr:uid="{00000000-0005-0000-0000-000003010000}"/>
    <cellStyle name="20% - Accent2 3 2 5 3 2" xfId="15497" xr:uid="{EB8A60A2-5280-4DD4-9D0E-228D664374DE}"/>
    <cellStyle name="20% - Accent2 3 2 5 4" xfId="11280" xr:uid="{488BADA6-BFAF-4318-ACA0-9351D33B1BCA}"/>
    <cellStyle name="20% - Accent2 3 2 6" xfId="2278" xr:uid="{00000000-0005-0000-0000-000004010000}"/>
    <cellStyle name="20% - Accent2 3 2 6 2" xfId="6584" xr:uid="{00000000-0005-0000-0000-000005010000}"/>
    <cellStyle name="20% - Accent2 3 2 6 2 2" xfId="15910" xr:uid="{52614B55-A631-43D6-865A-A29AAD3636B2}"/>
    <cellStyle name="20% - Accent2 3 2 6 3" xfId="11693" xr:uid="{82ED4A9E-E5D5-4FF2-B21F-C851CA3B751D}"/>
    <cellStyle name="20% - Accent2 3 2 7" xfId="4518" xr:uid="{00000000-0005-0000-0000-000006010000}"/>
    <cellStyle name="20% - Accent2 3 2 7 2" xfId="13844" xr:uid="{80938A2E-08F3-45B5-B06A-CAEA0BB291E6}"/>
    <cellStyle name="20% - Accent2 3 2 8" xfId="9070" xr:uid="{8A9168BA-490F-4E57-83EA-22187D24153F}"/>
    <cellStyle name="20% - Accent2 3 2 8 2" xfId="18394" xr:uid="{724ACF85-352F-4B41-8833-918D19307447}"/>
    <cellStyle name="20% - Accent2 3 2 9" xfId="9627" xr:uid="{10B9AD34-3442-4E89-B44E-680FF173D847}"/>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CF665EA2-8152-4D07-9553-FD542A708836}"/>
    <cellStyle name="20% - Accent2 3 3 2 3" xfId="12185" xr:uid="{E27DF82E-157C-4ED6-8DD7-454839DEA414}"/>
    <cellStyle name="20% - Accent2 3 3 3" xfId="4931" xr:uid="{00000000-0005-0000-0000-00000A010000}"/>
    <cellStyle name="20% - Accent2 3 3 3 2" xfId="14257" xr:uid="{91DA5DFD-8F75-4388-849A-160840461595}"/>
    <cellStyle name="20% - Accent2 3 3 4" xfId="9288" xr:uid="{FCD70616-ECAD-4A0B-889F-4698E1AD889E}"/>
    <cellStyle name="20% - Accent2 3 3 4 2" xfId="18603" xr:uid="{B7BDD616-1855-4E05-A81A-7F2B56611761}"/>
    <cellStyle name="20% - Accent2 3 3 5" xfId="10040" xr:uid="{DB1A6D6C-259B-4A45-9C5D-3831E15F285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A6A2D176-7A13-4CA9-B423-5F1EA160B518}"/>
    <cellStyle name="20% - Accent2 3 4 2 3" xfId="12598" xr:uid="{B4D42D92-8CC0-43BF-9610-CDD6A48216B5}"/>
    <cellStyle name="20% - Accent2 3 4 3" xfId="5344" xr:uid="{00000000-0005-0000-0000-00000E010000}"/>
    <cellStyle name="20% - Accent2 3 4 3 2" xfId="14670" xr:uid="{EA6649D4-2586-41F5-AA4F-51715B3D7674}"/>
    <cellStyle name="20% - Accent2 3 4 4" xfId="10453" xr:uid="{113CFCF4-8352-402A-B81F-E25085D4FB34}"/>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476F8D11-4251-4669-96AE-A37F28C275D3}"/>
    <cellStyle name="20% - Accent2 3 5 2 3" xfId="13011" xr:uid="{4003C697-2BA7-49C7-B4C9-0C68B7DEFB94}"/>
    <cellStyle name="20% - Accent2 3 5 3" xfId="5757" xr:uid="{00000000-0005-0000-0000-000012010000}"/>
    <cellStyle name="20% - Accent2 3 5 3 2" xfId="15083" xr:uid="{C6007DA0-2724-4FBD-9B9C-EE3A95BEE40E}"/>
    <cellStyle name="20% - Accent2 3 5 4" xfId="10866" xr:uid="{400A5399-63CC-47C1-96EB-15DD333FF449}"/>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E49305B3-526F-4490-9CEC-BABAB9ED7CAF}"/>
    <cellStyle name="20% - Accent2 3 6 2 3" xfId="13424" xr:uid="{77DC8386-1A4E-47BF-B007-6D6796921824}"/>
    <cellStyle name="20% - Accent2 3 6 3" xfId="6170" xr:uid="{00000000-0005-0000-0000-000016010000}"/>
    <cellStyle name="20% - Accent2 3 6 3 2" xfId="15496" xr:uid="{D9083F60-94D4-46FF-A8DC-85DE74A499DA}"/>
    <cellStyle name="20% - Accent2 3 6 4" xfId="11279" xr:uid="{9B978491-281E-4D37-8805-E3E239A85671}"/>
    <cellStyle name="20% - Accent2 3 7" xfId="2277" xr:uid="{00000000-0005-0000-0000-000017010000}"/>
    <cellStyle name="20% - Accent2 3 7 2" xfId="6583" xr:uid="{00000000-0005-0000-0000-000018010000}"/>
    <cellStyle name="20% - Accent2 3 7 2 2" xfId="15909" xr:uid="{4A5A3535-7EE3-4116-9BB9-78851502199E}"/>
    <cellStyle name="20% - Accent2 3 7 3" xfId="11692" xr:uid="{7D4C46D2-F3FE-496F-8981-AD04A63A9D25}"/>
    <cellStyle name="20% - Accent2 3 8" xfId="4517" xr:uid="{00000000-0005-0000-0000-000019010000}"/>
    <cellStyle name="20% - Accent2 3 8 2" xfId="13843" xr:uid="{1B4E4ED8-6ACA-49BE-AC57-16CC616EF2C4}"/>
    <cellStyle name="20% - Accent2 3 9" xfId="8863" xr:uid="{C6A258FB-33DC-4171-B9DD-C29513CA80FD}"/>
    <cellStyle name="20% - Accent2 3 9 2" xfId="18187" xr:uid="{1FA282D4-E862-4701-AA4F-5AD1734FDB53}"/>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11254CC3-A9D0-46FB-A11F-27614A4C9870}"/>
    <cellStyle name="20% - Accent2 4 2 2 3" xfId="12187" xr:uid="{EB4ACE7C-EFA4-4AED-95BC-674B355906D9}"/>
    <cellStyle name="20% - Accent2 4 2 3" xfId="4933" xr:uid="{00000000-0005-0000-0000-00001E010000}"/>
    <cellStyle name="20% - Accent2 4 2 3 2" xfId="14259" xr:uid="{0208C60F-64F4-410D-911F-3764B4F7E8D9}"/>
    <cellStyle name="20% - Accent2 4 2 4" xfId="9374" xr:uid="{26FD7A0E-8D04-4AF7-B092-2B22A78F0A97}"/>
    <cellStyle name="20% - Accent2 4 2 4 2" xfId="18689" xr:uid="{04489A0F-4C9C-40D1-BC20-2E562CCEF3EB}"/>
    <cellStyle name="20% - Accent2 4 2 5" xfId="10042" xr:uid="{CE80B735-A821-4051-B66D-54BE95C7E6D6}"/>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1C7DFFA0-DC43-4BCC-88FC-0AFFC210974B}"/>
    <cellStyle name="20% - Accent2 4 3 2 3" xfId="12600" xr:uid="{5D689710-B317-4703-9CBE-CB50BA586E94}"/>
    <cellStyle name="20% - Accent2 4 3 3" xfId="5346" xr:uid="{00000000-0005-0000-0000-000022010000}"/>
    <cellStyle name="20% - Accent2 4 3 3 2" xfId="14672" xr:uid="{09207E8C-2BEB-4992-8817-B594169764AF}"/>
    <cellStyle name="20% - Accent2 4 3 4" xfId="10455" xr:uid="{F4620533-5181-4565-9625-D5004B6F2F5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C50AFDBB-6247-433F-8025-03322A1992AD}"/>
    <cellStyle name="20% - Accent2 4 4 2 3" xfId="13013" xr:uid="{96AA9B08-4B5F-4B76-9FF4-37FF3C73A73E}"/>
    <cellStyle name="20% - Accent2 4 4 3" xfId="5759" xr:uid="{00000000-0005-0000-0000-000026010000}"/>
    <cellStyle name="20% - Accent2 4 4 3 2" xfId="15085" xr:uid="{5463A852-A192-45B0-B0E2-3A461190AF9D}"/>
    <cellStyle name="20% - Accent2 4 4 4" xfId="10868" xr:uid="{F6F737E2-67B1-4878-B67B-4CC6C76C1C7F}"/>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F9D1988F-4451-4E68-83E4-AA3C96E3F162}"/>
    <cellStyle name="20% - Accent2 4 5 2 3" xfId="13426" xr:uid="{78EB1BC4-D32A-49B4-84F1-49D2640736C7}"/>
    <cellStyle name="20% - Accent2 4 5 3" xfId="6172" xr:uid="{00000000-0005-0000-0000-00002A010000}"/>
    <cellStyle name="20% - Accent2 4 5 3 2" xfId="15498" xr:uid="{19598BA3-F4E7-442C-A032-7E067909CC72}"/>
    <cellStyle name="20% - Accent2 4 5 4" xfId="11281" xr:uid="{B2FD8983-C9FB-4C9B-BC5E-3BF3ACA70C89}"/>
    <cellStyle name="20% - Accent2 4 6" xfId="2279" xr:uid="{00000000-0005-0000-0000-00002B010000}"/>
    <cellStyle name="20% - Accent2 4 6 2" xfId="6585" xr:uid="{00000000-0005-0000-0000-00002C010000}"/>
    <cellStyle name="20% - Accent2 4 6 2 2" xfId="15911" xr:uid="{E4316315-6247-4FC3-B580-F28E99A6B95A}"/>
    <cellStyle name="20% - Accent2 4 6 3" xfId="11694" xr:uid="{29632543-E115-4C69-91C6-55DD17123BB8}"/>
    <cellStyle name="20% - Accent2 4 7" xfId="4519" xr:uid="{00000000-0005-0000-0000-00002D010000}"/>
    <cellStyle name="20% - Accent2 4 7 2" xfId="13845" xr:uid="{F89EF865-5ECB-4589-86A9-ED8F92B9F663}"/>
    <cellStyle name="20% - Accent2 4 8" xfId="8949" xr:uid="{084C22A9-B904-4AFE-A752-AC1DC2CA76B8}"/>
    <cellStyle name="20% - Accent2 4 8 2" xfId="18273" xr:uid="{18409CBD-FB4B-411C-9505-2AEB2FC5E77F}"/>
    <cellStyle name="20% - Accent2 4 9" xfId="9628" xr:uid="{24F0A90A-7179-4DED-8880-D7C805AAE20E}"/>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E2E5B5D9-78DC-494B-99A1-7159166DC8F2}"/>
    <cellStyle name="20% - Accent2 5 2 3" xfId="12180" xr:uid="{58ECAC7D-0843-46F6-BBE8-704FCA2F4E23}"/>
    <cellStyle name="20% - Accent2 5 3" xfId="4926" xr:uid="{00000000-0005-0000-0000-000031010000}"/>
    <cellStyle name="20% - Accent2 5 3 2" xfId="14252" xr:uid="{0CC7DEEF-7DCA-4A29-9AC6-91E5D3F8B716}"/>
    <cellStyle name="20% - Accent2 5 4" xfId="9182" xr:uid="{F822E263-B2A4-41B5-BBF9-FCE1A7A30601}"/>
    <cellStyle name="20% - Accent2 5 4 2" xfId="18500" xr:uid="{92960EB9-1FCA-4CA7-9532-5A8E6A938F00}"/>
    <cellStyle name="20% - Accent2 5 5" xfId="10035" xr:uid="{AB34735A-009B-4386-B64E-34FAEDB35DF5}"/>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D6274AC5-F310-401E-BE6A-FD656ED1E477}"/>
    <cellStyle name="20% - Accent2 6 2 3" xfId="12593" xr:uid="{62947345-EE5B-4314-A231-576485695F01}"/>
    <cellStyle name="20% - Accent2 6 3" xfId="5339" xr:uid="{00000000-0005-0000-0000-000035010000}"/>
    <cellStyle name="20% - Accent2 6 3 2" xfId="14665" xr:uid="{79CD8AE5-EB93-44E7-A54A-D73E37347B6F}"/>
    <cellStyle name="20% - Accent2 6 4" xfId="10448" xr:uid="{7481060A-4B50-4C6C-BD33-C656F797F1F3}"/>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4456D164-EFF9-47E0-A74E-17373F30253A}"/>
    <cellStyle name="20% - Accent2 7 2 3" xfId="13006" xr:uid="{064F8866-1342-4865-86AD-FEB57EAF134E}"/>
    <cellStyle name="20% - Accent2 7 3" xfId="5752" xr:uid="{00000000-0005-0000-0000-000039010000}"/>
    <cellStyle name="20% - Accent2 7 3 2" xfId="15078" xr:uid="{A95283B1-5025-4E5B-8968-22AF3BF37754}"/>
    <cellStyle name="20% - Accent2 7 4" xfId="10861" xr:uid="{55C5F149-8A23-45C3-A26F-B553020917A8}"/>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10F48B02-E71C-4605-8C14-988CA111E405}"/>
    <cellStyle name="20% - Accent2 8 2 3" xfId="13419" xr:uid="{A0A89E84-DBFE-4E0C-8379-4DAE5021D918}"/>
    <cellStyle name="20% - Accent2 8 3" xfId="6165" xr:uid="{00000000-0005-0000-0000-00003D010000}"/>
    <cellStyle name="20% - Accent2 8 3 2" xfId="15491" xr:uid="{6B260061-1B31-46CD-A6C1-3CEEEA7EB12C}"/>
    <cellStyle name="20% - Accent2 8 4" xfId="11274" xr:uid="{B3974A5B-1C02-4E0C-A7BF-BF57C2529EE4}"/>
    <cellStyle name="20% - Accent2 9" xfId="2272" xr:uid="{00000000-0005-0000-0000-00003E010000}"/>
    <cellStyle name="20% - Accent2 9 2" xfId="6578" xr:uid="{00000000-0005-0000-0000-00003F010000}"/>
    <cellStyle name="20% - Accent2 9 2 2" xfId="15904" xr:uid="{12DA11FB-6550-418D-B08D-E7E93B87D6B4}"/>
    <cellStyle name="20% - Accent2 9 3" xfId="11687" xr:uid="{57CA49C5-0E11-49D9-BDE1-90C4130E1247}"/>
    <cellStyle name="20% - Accent3" xfId="17" builtinId="38" customBuiltin="1"/>
    <cellStyle name="20% - Accent3 10" xfId="4520" xr:uid="{00000000-0005-0000-0000-000041010000}"/>
    <cellStyle name="20% - Accent3 10 2" xfId="13846" xr:uid="{574988D2-33BF-4B8A-973D-CC6155A37D65}"/>
    <cellStyle name="20% - Accent3 11" xfId="8762" xr:uid="{49ACF776-43E7-4BB5-82F5-A8A4FEBC45F8}"/>
    <cellStyle name="20% - Accent3 11 2" xfId="18086" xr:uid="{547BEB21-4B70-476C-B403-6DC1ED46B9CC}"/>
    <cellStyle name="20% - Accent3 12" xfId="9629" xr:uid="{F96A0262-90BB-4D2D-9807-531CBB44268F}"/>
    <cellStyle name="20% - Accent3 2" xfId="18" xr:uid="{00000000-0005-0000-0000-000042010000}"/>
    <cellStyle name="20% - Accent3 2 10" xfId="8792" xr:uid="{65E5762F-047C-4860-B47E-71363924E2A5}"/>
    <cellStyle name="20% - Accent3 2 10 2" xfId="18116" xr:uid="{D1A8B42E-B6B2-433C-A896-B6EB956A49FC}"/>
    <cellStyle name="20% - Accent3 2 11" xfId="9630" xr:uid="{2337D1DD-4E29-45AA-9D57-421BCA7F43C1}"/>
    <cellStyle name="20% - Accent3 2 2" xfId="19" xr:uid="{00000000-0005-0000-0000-000043010000}"/>
    <cellStyle name="20% - Accent3 2 2 10" xfId="9631" xr:uid="{7C65823A-0637-4D9E-BAD0-FE11861CA323}"/>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C40D81F4-EFCC-4A07-BD33-2BEE06ECEDD1}"/>
    <cellStyle name="20% - Accent3 2 2 2 2 2 3" xfId="12191" xr:uid="{198964B7-8C32-41B6-A0CF-4C8085C0743C}"/>
    <cellStyle name="20% - Accent3 2 2 2 2 3" xfId="4937" xr:uid="{00000000-0005-0000-0000-000048010000}"/>
    <cellStyle name="20% - Accent3 2 2 2 2 3 2" xfId="14263" xr:uid="{4759F341-37F0-4C0B-8776-52D6379DBD85}"/>
    <cellStyle name="20% - Accent3 2 2 2 2 4" xfId="9527" xr:uid="{B82F9F3C-4714-4F10-BEB2-F90FC0563F53}"/>
    <cellStyle name="20% - Accent3 2 2 2 2 4 2" xfId="18842" xr:uid="{EB299A5C-A39E-4D3C-9B60-54FE7208CEAE}"/>
    <cellStyle name="20% - Accent3 2 2 2 2 5" xfId="10046" xr:uid="{BDDD04BF-5386-4145-AED2-074501D46FF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80DA1491-5152-41DE-82A0-C764A0AB6BDD}"/>
    <cellStyle name="20% - Accent3 2 2 2 3 2 3" xfId="12604" xr:uid="{8A46328A-9DAB-4368-B9BA-F7E83053C922}"/>
    <cellStyle name="20% - Accent3 2 2 2 3 3" xfId="5350" xr:uid="{00000000-0005-0000-0000-00004C010000}"/>
    <cellStyle name="20% - Accent3 2 2 2 3 3 2" xfId="14676" xr:uid="{ADFF6C0D-C632-4E2A-99FB-25ED69443976}"/>
    <cellStyle name="20% - Accent3 2 2 2 3 4" xfId="10459" xr:uid="{141A51D8-7916-4E89-9FD1-A95D5ECDB2D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D7F7E271-88B6-4BBE-BE0C-1D86C2570726}"/>
    <cellStyle name="20% - Accent3 2 2 2 4 2 3" xfId="13017" xr:uid="{648978C5-257E-409A-B5F8-CD4A40B3FB3A}"/>
    <cellStyle name="20% - Accent3 2 2 2 4 3" xfId="5763" xr:uid="{00000000-0005-0000-0000-000050010000}"/>
    <cellStyle name="20% - Accent3 2 2 2 4 3 2" xfId="15089" xr:uid="{E7C7A9F6-B980-470A-A3D6-D6388B6DAFDF}"/>
    <cellStyle name="20% - Accent3 2 2 2 4 4" xfId="10872" xr:uid="{86839BCF-779A-4956-8407-204F66F01CD2}"/>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9436116E-D4BE-4C30-BDCE-BDB04810B2C3}"/>
    <cellStyle name="20% - Accent3 2 2 2 5 2 3" xfId="13430" xr:uid="{E74E5F71-87BB-42B7-88ED-C0C10AB00A8B}"/>
    <cellStyle name="20% - Accent3 2 2 2 5 3" xfId="6176" xr:uid="{00000000-0005-0000-0000-000054010000}"/>
    <cellStyle name="20% - Accent3 2 2 2 5 3 2" xfId="15502" xr:uid="{341CD06A-6520-4BDD-938D-0F713202DDAE}"/>
    <cellStyle name="20% - Accent3 2 2 2 5 4" xfId="11285" xr:uid="{B0B611E3-D0EA-4EBF-8160-D795E7EC2E96}"/>
    <cellStyle name="20% - Accent3 2 2 2 6" xfId="2283" xr:uid="{00000000-0005-0000-0000-000055010000}"/>
    <cellStyle name="20% - Accent3 2 2 2 6 2" xfId="6589" xr:uid="{00000000-0005-0000-0000-000056010000}"/>
    <cellStyle name="20% - Accent3 2 2 2 6 2 2" xfId="15915" xr:uid="{0AE52FC4-87AE-40C3-B9DD-88DCDB0789B9}"/>
    <cellStyle name="20% - Accent3 2 2 2 6 3" xfId="11698" xr:uid="{26C516A4-7DB1-46B9-81B1-6616A66710C1}"/>
    <cellStyle name="20% - Accent3 2 2 2 7" xfId="4523" xr:uid="{00000000-0005-0000-0000-000057010000}"/>
    <cellStyle name="20% - Accent3 2 2 2 7 2" xfId="13849" xr:uid="{9563BEA9-5FC8-4A33-8202-4BB4C18377C2}"/>
    <cellStyle name="20% - Accent3 2 2 2 8" xfId="9102" xr:uid="{77698EAD-FDE4-4105-BE80-980B5219F464}"/>
    <cellStyle name="20% - Accent3 2 2 2 8 2" xfId="18426" xr:uid="{99CF8090-7682-482D-8F44-F4C5F89A8391}"/>
    <cellStyle name="20% - Accent3 2 2 2 9" xfId="9632" xr:uid="{C15D8D01-6C3B-4308-BE43-F4F8F65179F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FCCB905C-5EA1-4372-99EB-1EDB324C1A4C}"/>
    <cellStyle name="20% - Accent3 2 2 3 2 3" xfId="12190" xr:uid="{BB809C30-3055-4B39-87C4-D27572654C4D}"/>
    <cellStyle name="20% - Accent3 2 2 3 3" xfId="4936" xr:uid="{00000000-0005-0000-0000-00005B010000}"/>
    <cellStyle name="20% - Accent3 2 2 3 3 2" xfId="14262" xr:uid="{3B2B1CA8-009C-4A09-B638-172FAD74442D}"/>
    <cellStyle name="20% - Accent3 2 2 3 4" xfId="9320" xr:uid="{BF070B19-D289-4211-B080-DBB621CAE7BA}"/>
    <cellStyle name="20% - Accent3 2 2 3 4 2" xfId="18635" xr:uid="{15C2D593-B9C9-4BB8-A7BB-D3B4CDC04482}"/>
    <cellStyle name="20% - Accent3 2 2 3 5" xfId="10045" xr:uid="{5A58BD01-5D25-4211-BA83-71857355E8BC}"/>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074E919C-2C78-4F39-AD48-286ABAED0649}"/>
    <cellStyle name="20% - Accent3 2 2 4 2 3" xfId="12603" xr:uid="{AC710FFC-C1D6-4C63-9A91-C721C477C1A7}"/>
    <cellStyle name="20% - Accent3 2 2 4 3" xfId="5349" xr:uid="{00000000-0005-0000-0000-00005F010000}"/>
    <cellStyle name="20% - Accent3 2 2 4 3 2" xfId="14675" xr:uid="{654B0005-9352-4411-91AE-9DA46E60D408}"/>
    <cellStyle name="20% - Accent3 2 2 4 4" xfId="10458" xr:uid="{55657A90-F235-4186-8F8E-A74CAF26E10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61292E01-3550-4898-89D1-688C7625F18C}"/>
    <cellStyle name="20% - Accent3 2 2 5 2 3" xfId="13016" xr:uid="{26D2C2DB-4A3F-4231-BB22-75D06E1EDC9C}"/>
    <cellStyle name="20% - Accent3 2 2 5 3" xfId="5762" xr:uid="{00000000-0005-0000-0000-000063010000}"/>
    <cellStyle name="20% - Accent3 2 2 5 3 2" xfId="15088" xr:uid="{003D98E2-D637-49F0-B2AB-8AAC858901D0}"/>
    <cellStyle name="20% - Accent3 2 2 5 4" xfId="10871" xr:uid="{86359A76-2666-4AD7-9558-BAAAAF776FC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E780F3D6-F580-450D-BADE-025661FFD33D}"/>
    <cellStyle name="20% - Accent3 2 2 6 2 3" xfId="13429" xr:uid="{FCCAE2FD-ED20-46D0-8F23-FDF8A90DA0FF}"/>
    <cellStyle name="20% - Accent3 2 2 6 3" xfId="6175" xr:uid="{00000000-0005-0000-0000-000067010000}"/>
    <cellStyle name="20% - Accent3 2 2 6 3 2" xfId="15501" xr:uid="{2324FAC9-4C0C-4266-80AC-3124534D66AD}"/>
    <cellStyle name="20% - Accent3 2 2 6 4" xfId="11284" xr:uid="{95F4FD25-05C6-40A1-9EE4-864EB29B837C}"/>
    <cellStyle name="20% - Accent3 2 2 7" xfId="2282" xr:uid="{00000000-0005-0000-0000-000068010000}"/>
    <cellStyle name="20% - Accent3 2 2 7 2" xfId="6588" xr:uid="{00000000-0005-0000-0000-000069010000}"/>
    <cellStyle name="20% - Accent3 2 2 7 2 2" xfId="15914" xr:uid="{C835AE21-163C-4E08-B78B-8A0BC254AE9E}"/>
    <cellStyle name="20% - Accent3 2 2 7 3" xfId="11697" xr:uid="{090CD53C-C2A7-4A8C-988F-3DEBFB356E5A}"/>
    <cellStyle name="20% - Accent3 2 2 8" xfId="4522" xr:uid="{00000000-0005-0000-0000-00006A010000}"/>
    <cellStyle name="20% - Accent3 2 2 8 2" xfId="13848" xr:uid="{A073F2EC-EE3B-4970-930F-D1836FD75509}"/>
    <cellStyle name="20% - Accent3 2 2 9" xfId="8895" xr:uid="{0ADDC6BA-FD9D-420D-8F5A-13E0A04BBC7C}"/>
    <cellStyle name="20% - Accent3 2 2 9 2" xfId="18219" xr:uid="{00FD5045-95D8-4DAA-985C-86CFB5C74D91}"/>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3DA7F073-2450-49C0-B33C-CB6E01EBB668}"/>
    <cellStyle name="20% - Accent3 2 3 2 2 3" xfId="12192" xr:uid="{39B994D7-A1D2-4457-B9EB-EDCCE05DE89D}"/>
    <cellStyle name="20% - Accent3 2 3 2 3" xfId="4938" xr:uid="{00000000-0005-0000-0000-00006F010000}"/>
    <cellStyle name="20% - Accent3 2 3 2 3 2" xfId="14264" xr:uid="{29591A81-F3D4-42D4-9307-204852E337FA}"/>
    <cellStyle name="20% - Accent3 2 3 2 4" xfId="9424" xr:uid="{C3588D98-6F24-4F2C-9F96-F34501405613}"/>
    <cellStyle name="20% - Accent3 2 3 2 4 2" xfId="18739" xr:uid="{9ACEA5D4-11A3-42FB-8233-1516205260B3}"/>
    <cellStyle name="20% - Accent3 2 3 2 5" xfId="10047" xr:uid="{472E5ABE-AB61-43BA-A9F8-28F7A98E7EBC}"/>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CECED706-1D34-4FBE-BFB0-01F828BA23D6}"/>
    <cellStyle name="20% - Accent3 2 3 3 2 3" xfId="12605" xr:uid="{2B73BB2A-DD06-4E24-A075-E0BF64349ABF}"/>
    <cellStyle name="20% - Accent3 2 3 3 3" xfId="5351" xr:uid="{00000000-0005-0000-0000-000073010000}"/>
    <cellStyle name="20% - Accent3 2 3 3 3 2" xfId="14677" xr:uid="{227666F5-F8ED-4A68-BF3B-2387FF4E344B}"/>
    <cellStyle name="20% - Accent3 2 3 3 4" xfId="10460" xr:uid="{DD25EF16-B1BC-4E6A-9FEE-F6BB664E5227}"/>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24639D59-A1FF-4A8B-8F9F-8B5CF5917186}"/>
    <cellStyle name="20% - Accent3 2 3 4 2 3" xfId="13018" xr:uid="{239A943B-6345-43AC-9F3B-0F634687A567}"/>
    <cellStyle name="20% - Accent3 2 3 4 3" xfId="5764" xr:uid="{00000000-0005-0000-0000-000077010000}"/>
    <cellStyle name="20% - Accent3 2 3 4 3 2" xfId="15090" xr:uid="{FADF9290-FA09-44E7-AE70-5DA6A5A080AB}"/>
    <cellStyle name="20% - Accent3 2 3 4 4" xfId="10873" xr:uid="{6A6F85AC-C2C0-49BE-88C9-A9A3CB5CC609}"/>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8DA396BE-E658-45EF-9E31-54D2283FF089}"/>
    <cellStyle name="20% - Accent3 2 3 5 2 3" xfId="13431" xr:uid="{9E22A009-B0B9-4AC5-B90C-09ABABE4DED1}"/>
    <cellStyle name="20% - Accent3 2 3 5 3" xfId="6177" xr:uid="{00000000-0005-0000-0000-00007B010000}"/>
    <cellStyle name="20% - Accent3 2 3 5 3 2" xfId="15503" xr:uid="{DA02D736-8CEF-48EE-A59B-D3496DD0383A}"/>
    <cellStyle name="20% - Accent3 2 3 5 4" xfId="11286" xr:uid="{30FEAEDC-223C-430A-A9A1-2A33B4896994}"/>
    <cellStyle name="20% - Accent3 2 3 6" xfId="2284" xr:uid="{00000000-0005-0000-0000-00007C010000}"/>
    <cellStyle name="20% - Accent3 2 3 6 2" xfId="6590" xr:uid="{00000000-0005-0000-0000-00007D010000}"/>
    <cellStyle name="20% - Accent3 2 3 6 2 2" xfId="15916" xr:uid="{C7390C76-49B0-4DB6-8EFB-7110C3349A80}"/>
    <cellStyle name="20% - Accent3 2 3 6 3" xfId="11699" xr:uid="{98A5388E-4B78-4EE6-8DAF-28860E21FD49}"/>
    <cellStyle name="20% - Accent3 2 3 7" xfId="4524" xr:uid="{00000000-0005-0000-0000-00007E010000}"/>
    <cellStyle name="20% - Accent3 2 3 7 2" xfId="13850" xr:uid="{E6EBF90F-3F12-4A37-9DBE-6D1236CB7266}"/>
    <cellStyle name="20% - Accent3 2 3 8" xfId="8999" xr:uid="{2B5D0148-B6EA-4DEA-92B1-644886C27051}"/>
    <cellStyle name="20% - Accent3 2 3 8 2" xfId="18323" xr:uid="{0966ECB2-4D8B-4DDA-969D-A256D3F392B9}"/>
    <cellStyle name="20% - Accent3 2 3 9" xfId="9633" xr:uid="{5F6CDBDD-B0F1-4453-9A38-79816F0DF595}"/>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736DA614-8516-4C62-A5E7-0B31F976D019}"/>
    <cellStyle name="20% - Accent3 2 4 2 3" xfId="12189" xr:uid="{6E79E288-5A0F-4CAA-95A1-D2305408E70E}"/>
    <cellStyle name="20% - Accent3 2 4 3" xfId="4935" xr:uid="{00000000-0005-0000-0000-000082010000}"/>
    <cellStyle name="20% - Accent3 2 4 3 2" xfId="14261" xr:uid="{CBEDF733-6551-43EF-BCEF-AE6ACF5882F7}"/>
    <cellStyle name="20% - Accent3 2 4 4" xfId="9216" xr:uid="{A12C3877-5492-4CD3-AD22-81B3F0AB1EDD}"/>
    <cellStyle name="20% - Accent3 2 4 4 2" xfId="18532" xr:uid="{6DF2F61C-A436-4CB0-B5D9-9498D9EA91C0}"/>
    <cellStyle name="20% - Accent3 2 4 5" xfId="10044" xr:uid="{4DF4A306-06E4-4534-8E60-A93C09C670CC}"/>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3046549D-1A0C-4B04-A178-C129FE602F67}"/>
    <cellStyle name="20% - Accent3 2 5 2 3" xfId="12602" xr:uid="{5B57E183-B927-449A-B7EC-52FF38A7435A}"/>
    <cellStyle name="20% - Accent3 2 5 3" xfId="5348" xr:uid="{00000000-0005-0000-0000-000086010000}"/>
    <cellStyle name="20% - Accent3 2 5 3 2" xfId="14674" xr:uid="{46C46179-86D5-4AFF-91CD-38DB267DDF5A}"/>
    <cellStyle name="20% - Accent3 2 5 4" xfId="10457" xr:uid="{5A68928F-AEE9-4F9F-BECB-0A473818B8E3}"/>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5CC156CC-0FEB-4FD3-9105-17178D09BD80}"/>
    <cellStyle name="20% - Accent3 2 6 2 3" xfId="13015" xr:uid="{E6F3963F-28FF-4182-833E-22638C8A936E}"/>
    <cellStyle name="20% - Accent3 2 6 3" xfId="5761" xr:uid="{00000000-0005-0000-0000-00008A010000}"/>
    <cellStyle name="20% - Accent3 2 6 3 2" xfId="15087" xr:uid="{ED70A799-B5A2-49FF-8D3C-52D72BC7F1E8}"/>
    <cellStyle name="20% - Accent3 2 6 4" xfId="10870" xr:uid="{A14F7C7F-40B3-4980-90FC-538A821DA20A}"/>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F7149578-8222-4B45-B97D-09BCE352E11F}"/>
    <cellStyle name="20% - Accent3 2 7 2 3" xfId="13428" xr:uid="{920C7EDA-06AD-4E9B-9B17-2FBEB3FC1465}"/>
    <cellStyle name="20% - Accent3 2 7 3" xfId="6174" xr:uid="{00000000-0005-0000-0000-00008E010000}"/>
    <cellStyle name="20% - Accent3 2 7 3 2" xfId="15500" xr:uid="{153BF3C9-60DF-4324-B7D8-4A92E80DAE72}"/>
    <cellStyle name="20% - Accent3 2 7 4" xfId="11283" xr:uid="{56590580-C1CE-45F5-8F50-C6C2ACB0BF1B}"/>
    <cellStyle name="20% - Accent3 2 8" xfId="2281" xr:uid="{00000000-0005-0000-0000-00008F010000}"/>
    <cellStyle name="20% - Accent3 2 8 2" xfId="6587" xr:uid="{00000000-0005-0000-0000-000090010000}"/>
    <cellStyle name="20% - Accent3 2 8 2 2" xfId="15913" xr:uid="{0BD2453C-72A0-48E0-A602-9523C2805385}"/>
    <cellStyle name="20% - Accent3 2 8 3" xfId="11696" xr:uid="{C70F5BA0-5C59-47A1-B74E-380C455D59AF}"/>
    <cellStyle name="20% - Accent3 2 9" xfId="4521" xr:uid="{00000000-0005-0000-0000-000091010000}"/>
    <cellStyle name="20% - Accent3 2 9 2" xfId="13847" xr:uid="{EB9ECDA5-9B72-4434-B1C6-E872FB867F64}"/>
    <cellStyle name="20% - Accent3 3" xfId="22" xr:uid="{00000000-0005-0000-0000-000092010000}"/>
    <cellStyle name="20% - Accent3 3 10" xfId="9634" xr:uid="{A902AE75-CBF8-41DB-9FD8-95D6B2CD5C53}"/>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566BC52A-F264-46C0-8A94-E7AFD1335BEA}"/>
    <cellStyle name="20% - Accent3 3 2 2 2 3" xfId="12194" xr:uid="{886AD746-DA14-42CB-9BAF-5599205A7AA9}"/>
    <cellStyle name="20% - Accent3 3 2 2 3" xfId="4940" xr:uid="{00000000-0005-0000-0000-000097010000}"/>
    <cellStyle name="20% - Accent3 3 2 2 3 2" xfId="14266" xr:uid="{EB6142A3-A2CD-46F9-9999-6C311450AC06}"/>
    <cellStyle name="20% - Accent3 3 2 2 4" xfId="9497" xr:uid="{43A0E151-F418-49A1-AF18-121DEB02B6D4}"/>
    <cellStyle name="20% - Accent3 3 2 2 4 2" xfId="18812" xr:uid="{566E8024-0F8A-435D-A583-BE86A9B7EAAE}"/>
    <cellStyle name="20% - Accent3 3 2 2 5" xfId="10049" xr:uid="{19F22AF0-4A89-4E33-B415-DB30D92B857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9662668F-6A4E-425D-B857-9A7803095A51}"/>
    <cellStyle name="20% - Accent3 3 2 3 2 3" xfId="12607" xr:uid="{4651D84D-2F8E-4BAE-B046-8EF46D48B9B9}"/>
    <cellStyle name="20% - Accent3 3 2 3 3" xfId="5353" xr:uid="{00000000-0005-0000-0000-00009B010000}"/>
    <cellStyle name="20% - Accent3 3 2 3 3 2" xfId="14679" xr:uid="{FB207BE3-87D7-48EA-8747-CCBA4B54FF53}"/>
    <cellStyle name="20% - Accent3 3 2 3 4" xfId="10462" xr:uid="{45CA0181-2C5A-4912-9B54-08999763E74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DDC9636E-6D1E-49D5-89D8-1BA1827AFC33}"/>
    <cellStyle name="20% - Accent3 3 2 4 2 3" xfId="13020" xr:uid="{D25F4B2E-DC82-4FFE-B38A-191E8A9C7280}"/>
    <cellStyle name="20% - Accent3 3 2 4 3" xfId="5766" xr:uid="{00000000-0005-0000-0000-00009F010000}"/>
    <cellStyle name="20% - Accent3 3 2 4 3 2" xfId="15092" xr:uid="{40A9822C-9B8B-440C-9A6F-33F479A7E66B}"/>
    <cellStyle name="20% - Accent3 3 2 4 4" xfId="10875" xr:uid="{A74D1609-4070-4695-88B6-FFB2C92896D7}"/>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C4F6F822-DE02-42EE-B377-0F530C625A8F}"/>
    <cellStyle name="20% - Accent3 3 2 5 2 3" xfId="13433" xr:uid="{BECAE307-5C2A-4C37-ACF1-7DA343D100DB}"/>
    <cellStyle name="20% - Accent3 3 2 5 3" xfId="6179" xr:uid="{00000000-0005-0000-0000-0000A3010000}"/>
    <cellStyle name="20% - Accent3 3 2 5 3 2" xfId="15505" xr:uid="{1C3BF894-179E-42A4-93B4-C8C86A432EA0}"/>
    <cellStyle name="20% - Accent3 3 2 5 4" xfId="11288" xr:uid="{A6B95A63-D095-4A26-819A-395B5A1580A4}"/>
    <cellStyle name="20% - Accent3 3 2 6" xfId="2286" xr:uid="{00000000-0005-0000-0000-0000A4010000}"/>
    <cellStyle name="20% - Accent3 3 2 6 2" xfId="6592" xr:uid="{00000000-0005-0000-0000-0000A5010000}"/>
    <cellStyle name="20% - Accent3 3 2 6 2 2" xfId="15918" xr:uid="{9149123E-CE53-4721-BA29-1BB4B38D7425}"/>
    <cellStyle name="20% - Accent3 3 2 6 3" xfId="11701" xr:uid="{F9B8DA25-BA92-40FF-803E-D4E7776839EB}"/>
    <cellStyle name="20% - Accent3 3 2 7" xfId="4526" xr:uid="{00000000-0005-0000-0000-0000A6010000}"/>
    <cellStyle name="20% - Accent3 3 2 7 2" xfId="13852" xr:uid="{566FA534-0569-4D0B-A2AF-1AB3D0278C9D}"/>
    <cellStyle name="20% - Accent3 3 2 8" xfId="9072" xr:uid="{422EC144-F6F8-460E-8B93-316BBF9707FB}"/>
    <cellStyle name="20% - Accent3 3 2 8 2" xfId="18396" xr:uid="{67865414-8774-45F5-8D2A-533AF19FA100}"/>
    <cellStyle name="20% - Accent3 3 2 9" xfId="9635" xr:uid="{7E61D5DE-10BD-4452-969A-EF50C0E1DF32}"/>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100EAC02-F4F9-4A2E-A13E-A1506D170DB1}"/>
    <cellStyle name="20% - Accent3 3 3 2 3" xfId="12193" xr:uid="{2994B847-CACA-42F4-8F41-811FD2BC0025}"/>
    <cellStyle name="20% - Accent3 3 3 3" xfId="4939" xr:uid="{00000000-0005-0000-0000-0000AA010000}"/>
    <cellStyle name="20% - Accent3 3 3 3 2" xfId="14265" xr:uid="{8990C932-6A95-4677-93A6-4CE3E3A832B7}"/>
    <cellStyle name="20% - Accent3 3 3 4" xfId="9290" xr:uid="{8511D0A3-BAF4-4D49-BFEA-2ED828678819}"/>
    <cellStyle name="20% - Accent3 3 3 4 2" xfId="18605" xr:uid="{192F8826-E048-4390-BDE9-1CDAD1611B99}"/>
    <cellStyle name="20% - Accent3 3 3 5" xfId="10048" xr:uid="{1F71FEA5-3983-4715-B497-D27A557715A1}"/>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D4392EBD-C609-41A9-BD24-9E6D8D924C42}"/>
    <cellStyle name="20% - Accent3 3 4 2 3" xfId="12606" xr:uid="{D96384D3-BC99-444D-8B05-946AD8974D31}"/>
    <cellStyle name="20% - Accent3 3 4 3" xfId="5352" xr:uid="{00000000-0005-0000-0000-0000AE010000}"/>
    <cellStyle name="20% - Accent3 3 4 3 2" xfId="14678" xr:uid="{31AE091E-B636-4D53-93DA-0D02014FE4D3}"/>
    <cellStyle name="20% - Accent3 3 4 4" xfId="10461" xr:uid="{D86E833A-D0CA-4A42-AD02-8DF58A8742C2}"/>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A987DBC0-B69F-462D-BE22-AACC7DC3A95A}"/>
    <cellStyle name="20% - Accent3 3 5 2 3" xfId="13019" xr:uid="{A03D9C2D-6424-4AC5-BE9F-759AF91903C2}"/>
    <cellStyle name="20% - Accent3 3 5 3" xfId="5765" xr:uid="{00000000-0005-0000-0000-0000B2010000}"/>
    <cellStyle name="20% - Accent3 3 5 3 2" xfId="15091" xr:uid="{362C83C3-737A-4A7F-ABF2-BF14C071D013}"/>
    <cellStyle name="20% - Accent3 3 5 4" xfId="10874" xr:uid="{2EA70EBB-780A-444C-B07F-87B8B08156A3}"/>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CF8280EE-9D5D-4B4D-BFDA-C17AA245B428}"/>
    <cellStyle name="20% - Accent3 3 6 2 3" xfId="13432" xr:uid="{85AE15A1-02A0-4C70-931F-CD23ED07829E}"/>
    <cellStyle name="20% - Accent3 3 6 3" xfId="6178" xr:uid="{00000000-0005-0000-0000-0000B6010000}"/>
    <cellStyle name="20% - Accent3 3 6 3 2" xfId="15504" xr:uid="{FDCE66DF-7723-4C35-B0E8-94D5EDCA71BD}"/>
    <cellStyle name="20% - Accent3 3 6 4" xfId="11287" xr:uid="{A5672EAB-0435-4225-8737-883A9D4F6911}"/>
    <cellStyle name="20% - Accent3 3 7" xfId="2285" xr:uid="{00000000-0005-0000-0000-0000B7010000}"/>
    <cellStyle name="20% - Accent3 3 7 2" xfId="6591" xr:uid="{00000000-0005-0000-0000-0000B8010000}"/>
    <cellStyle name="20% - Accent3 3 7 2 2" xfId="15917" xr:uid="{381D8E08-D6B1-463A-83D2-9DCD51EE5E32}"/>
    <cellStyle name="20% - Accent3 3 7 3" xfId="11700" xr:uid="{C4711A0B-8D53-4FB8-80E1-BAC601DF0277}"/>
    <cellStyle name="20% - Accent3 3 8" xfId="4525" xr:uid="{00000000-0005-0000-0000-0000B9010000}"/>
    <cellStyle name="20% - Accent3 3 8 2" xfId="13851" xr:uid="{A558B71B-6AA2-4707-930F-652E3C539B88}"/>
    <cellStyle name="20% - Accent3 3 9" xfId="8865" xr:uid="{FFA3EBA3-F40D-47A2-8AA1-A3A9E7BB9A8E}"/>
    <cellStyle name="20% - Accent3 3 9 2" xfId="18189" xr:uid="{1A6C8F49-C1FE-4805-9643-54B3D9D6365D}"/>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0B877A38-2709-491F-B2B3-10325EA7B82D}"/>
    <cellStyle name="20% - Accent3 4 2 2 3" xfId="12195" xr:uid="{843C2AF5-32B6-427B-8E5F-88BBFB177D05}"/>
    <cellStyle name="20% - Accent3 4 2 3" xfId="4941" xr:uid="{00000000-0005-0000-0000-0000BE010000}"/>
    <cellStyle name="20% - Accent3 4 2 3 2" xfId="14267" xr:uid="{E014E67F-E54F-4167-ADA8-7529491E9489}"/>
    <cellStyle name="20% - Accent3 4 2 4" xfId="9376" xr:uid="{92AC27CA-0B0B-4AFE-8457-D3F19BE2837F}"/>
    <cellStyle name="20% - Accent3 4 2 4 2" xfId="18691" xr:uid="{B154A4CC-9FD2-43FA-A4AD-C5D823EEFA29}"/>
    <cellStyle name="20% - Accent3 4 2 5" xfId="10050" xr:uid="{F89BA349-520A-4824-86B6-72FC0385C23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1BD3D6D8-15E0-4CDC-8890-01A73F0786C5}"/>
    <cellStyle name="20% - Accent3 4 3 2 3" xfId="12608" xr:uid="{1716A620-2ABD-4D64-A8D4-2338383563E7}"/>
    <cellStyle name="20% - Accent3 4 3 3" xfId="5354" xr:uid="{00000000-0005-0000-0000-0000C2010000}"/>
    <cellStyle name="20% - Accent3 4 3 3 2" xfId="14680" xr:uid="{F7BA6D35-CBE6-46C6-9182-9093B1EF03BD}"/>
    <cellStyle name="20% - Accent3 4 3 4" xfId="10463" xr:uid="{795BC10B-33F5-48DB-9C55-D5DB29CECE1F}"/>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3CA0C82E-8029-4281-ABD8-1A1473E662C1}"/>
    <cellStyle name="20% - Accent3 4 4 2 3" xfId="13021" xr:uid="{80A27167-EB8B-47BA-850E-2A75EB69DEC6}"/>
    <cellStyle name="20% - Accent3 4 4 3" xfId="5767" xr:uid="{00000000-0005-0000-0000-0000C6010000}"/>
    <cellStyle name="20% - Accent3 4 4 3 2" xfId="15093" xr:uid="{9F9B9949-E306-44B7-96AE-D97510A999CA}"/>
    <cellStyle name="20% - Accent3 4 4 4" xfId="10876" xr:uid="{35D81CCF-C33F-4609-84C9-EDD2B1DA92A8}"/>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CA205CCF-D074-4DEC-AA16-4B398F472B0D}"/>
    <cellStyle name="20% - Accent3 4 5 2 3" xfId="13434" xr:uid="{C6F63887-773F-44D8-A7F4-46AF33B43D10}"/>
    <cellStyle name="20% - Accent3 4 5 3" xfId="6180" xr:uid="{00000000-0005-0000-0000-0000CA010000}"/>
    <cellStyle name="20% - Accent3 4 5 3 2" xfId="15506" xr:uid="{591CEE5C-6054-4AA1-8E43-3351FED54DD1}"/>
    <cellStyle name="20% - Accent3 4 5 4" xfId="11289" xr:uid="{CF51E9F3-80A6-45FB-A56F-94CB900111C3}"/>
    <cellStyle name="20% - Accent3 4 6" xfId="2287" xr:uid="{00000000-0005-0000-0000-0000CB010000}"/>
    <cellStyle name="20% - Accent3 4 6 2" xfId="6593" xr:uid="{00000000-0005-0000-0000-0000CC010000}"/>
    <cellStyle name="20% - Accent3 4 6 2 2" xfId="15919" xr:uid="{58A24321-69E0-4D1B-A462-38F8944A2A57}"/>
    <cellStyle name="20% - Accent3 4 6 3" xfId="11702" xr:uid="{4867FF52-2684-4841-AA06-E872E95F1B24}"/>
    <cellStyle name="20% - Accent3 4 7" xfId="4527" xr:uid="{00000000-0005-0000-0000-0000CD010000}"/>
    <cellStyle name="20% - Accent3 4 7 2" xfId="13853" xr:uid="{12B16E71-232F-4072-9069-6E5840D83760}"/>
    <cellStyle name="20% - Accent3 4 8" xfId="8951" xr:uid="{3CB7770B-4F12-4C44-B65D-06C641FEE851}"/>
    <cellStyle name="20% - Accent3 4 8 2" xfId="18275" xr:uid="{4531E9A4-BD5A-416D-B782-71750E619A38}"/>
    <cellStyle name="20% - Accent3 4 9" xfId="9636" xr:uid="{425AA987-4EA5-4E7D-801B-E9D6D0B0D0E0}"/>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46B199CD-321B-4A4A-A0D1-E67146C7BB8D}"/>
    <cellStyle name="20% - Accent3 5 2 3" xfId="12188" xr:uid="{7046DBE7-81D0-4017-8672-6ABA29D5B03C}"/>
    <cellStyle name="20% - Accent3 5 3" xfId="4934" xr:uid="{00000000-0005-0000-0000-0000D1010000}"/>
    <cellStyle name="20% - Accent3 5 3 2" xfId="14260" xr:uid="{9FFED8C9-1733-46A3-94E8-E348E5230F17}"/>
    <cellStyle name="20% - Accent3 5 4" xfId="9184" xr:uid="{F51B2D95-9593-4370-A6D2-AFEF087D7920}"/>
    <cellStyle name="20% - Accent3 5 4 2" xfId="18502" xr:uid="{DF9DE6CF-A57A-489E-B901-151EC1EBCF6B}"/>
    <cellStyle name="20% - Accent3 5 5" xfId="10043" xr:uid="{C7CC435B-AD0F-4E13-9E4A-D47EB1FF5347}"/>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5B6B8DD9-1319-4D30-92AA-FFA8EEE259BA}"/>
    <cellStyle name="20% - Accent3 6 2 3" xfId="12601" xr:uid="{8CC571C4-2E55-4E45-8FE3-998258E9B4F1}"/>
    <cellStyle name="20% - Accent3 6 3" xfId="5347" xr:uid="{00000000-0005-0000-0000-0000D5010000}"/>
    <cellStyle name="20% - Accent3 6 3 2" xfId="14673" xr:uid="{3FBEC455-61E9-49B6-8F69-B748FD305A51}"/>
    <cellStyle name="20% - Accent3 6 4" xfId="10456" xr:uid="{E779674D-B088-4521-BACF-A14B86902AA7}"/>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D9626A6A-3E91-463F-ACCF-C6ADEE43DB7A}"/>
    <cellStyle name="20% - Accent3 7 2 3" xfId="13014" xr:uid="{CC860E69-9495-4363-BF68-533AB4C7146E}"/>
    <cellStyle name="20% - Accent3 7 3" xfId="5760" xr:uid="{00000000-0005-0000-0000-0000D9010000}"/>
    <cellStyle name="20% - Accent3 7 3 2" xfId="15086" xr:uid="{261D5736-D820-4B0D-8E4C-C9001CBBFA0A}"/>
    <cellStyle name="20% - Accent3 7 4" xfId="10869" xr:uid="{CBEDEE03-8C96-4A78-8DEA-0389AF38FB91}"/>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62E6FB50-13A4-4C71-8CA0-77ED070B76A7}"/>
    <cellStyle name="20% - Accent3 8 2 3" xfId="13427" xr:uid="{5274E1F4-7E15-4EB2-9A2D-64498A368D1D}"/>
    <cellStyle name="20% - Accent3 8 3" xfId="6173" xr:uid="{00000000-0005-0000-0000-0000DD010000}"/>
    <cellStyle name="20% - Accent3 8 3 2" xfId="15499" xr:uid="{64C0AD93-6155-482F-A236-0560CD9C6EB0}"/>
    <cellStyle name="20% - Accent3 8 4" xfId="11282" xr:uid="{3D85FB32-D379-4FDF-B1CD-F73539207E85}"/>
    <cellStyle name="20% - Accent3 9" xfId="2280" xr:uid="{00000000-0005-0000-0000-0000DE010000}"/>
    <cellStyle name="20% - Accent3 9 2" xfId="6586" xr:uid="{00000000-0005-0000-0000-0000DF010000}"/>
    <cellStyle name="20% - Accent3 9 2 2" xfId="15912" xr:uid="{62296CE6-2772-4FEB-86C6-4142BE50CFD1}"/>
    <cellStyle name="20% - Accent3 9 3" xfId="11695" xr:uid="{46A4788E-CC46-4CD1-A326-A903C02DFD0D}"/>
    <cellStyle name="20% - Accent4" xfId="25" builtinId="42" customBuiltin="1"/>
    <cellStyle name="20% - Accent4 10" xfId="4528" xr:uid="{00000000-0005-0000-0000-0000E1010000}"/>
    <cellStyle name="20% - Accent4 10 2" xfId="13854" xr:uid="{80BFFC74-6126-4A78-8C63-B58EDEEC7D61}"/>
    <cellStyle name="20% - Accent4 11" xfId="8764" xr:uid="{4A9BF508-806C-496D-AEC5-5842E4A62892}"/>
    <cellStyle name="20% - Accent4 11 2" xfId="18088" xr:uid="{3B01F8E0-E6B8-4BAB-80E1-74F1F1F536AD}"/>
    <cellStyle name="20% - Accent4 12" xfId="9637" xr:uid="{CE17272D-8315-47B2-9CEC-8E4C4002982A}"/>
    <cellStyle name="20% - Accent4 2" xfId="26" xr:uid="{00000000-0005-0000-0000-0000E2010000}"/>
    <cellStyle name="20% - Accent4 2 10" xfId="8794" xr:uid="{31A2F477-5237-45C2-B43F-25AC049A95FF}"/>
    <cellStyle name="20% - Accent4 2 10 2" xfId="18118" xr:uid="{52B02CA7-7196-431E-87F3-F5A10BC6A251}"/>
    <cellStyle name="20% - Accent4 2 11" xfId="9638" xr:uid="{06866283-83B9-4601-91CE-5832C99CCF0E}"/>
    <cellStyle name="20% - Accent4 2 2" xfId="27" xr:uid="{00000000-0005-0000-0000-0000E3010000}"/>
    <cellStyle name="20% - Accent4 2 2 10" xfId="9639" xr:uid="{0A665BEC-464B-4320-AB07-CCB67F20A15B}"/>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062AC921-7514-42B7-8FB8-7655B3246798}"/>
    <cellStyle name="20% - Accent4 2 2 2 2 2 3" xfId="12199" xr:uid="{145E5475-EA45-4609-8080-F547FD56F89A}"/>
    <cellStyle name="20% - Accent4 2 2 2 2 3" xfId="4945" xr:uid="{00000000-0005-0000-0000-0000E8010000}"/>
    <cellStyle name="20% - Accent4 2 2 2 2 3 2" xfId="14271" xr:uid="{69EFCB44-2EF0-44D7-824F-EB924350E852}"/>
    <cellStyle name="20% - Accent4 2 2 2 2 4" xfId="9529" xr:uid="{0C40CE19-1873-4316-818D-CC943AAFBB7B}"/>
    <cellStyle name="20% - Accent4 2 2 2 2 4 2" xfId="18844" xr:uid="{0CD37592-ADED-4D80-9849-0A0DC54A6D75}"/>
    <cellStyle name="20% - Accent4 2 2 2 2 5" xfId="10054" xr:uid="{8664D25E-2813-4C81-8469-3044F8C93B13}"/>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D23ED634-14BF-4788-B0EC-EDF851632D22}"/>
    <cellStyle name="20% - Accent4 2 2 2 3 2 3" xfId="12612" xr:uid="{419B0962-8130-4982-AF3D-12C952484578}"/>
    <cellStyle name="20% - Accent4 2 2 2 3 3" xfId="5358" xr:uid="{00000000-0005-0000-0000-0000EC010000}"/>
    <cellStyle name="20% - Accent4 2 2 2 3 3 2" xfId="14684" xr:uid="{E9388E53-B5E8-46B2-8033-7251D19E8F38}"/>
    <cellStyle name="20% - Accent4 2 2 2 3 4" xfId="10467" xr:uid="{125D63B1-06A5-481C-A4F5-404C1FA5326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302E4FCF-9856-411D-B7F9-6DCB20C2FF31}"/>
    <cellStyle name="20% - Accent4 2 2 2 4 2 3" xfId="13025" xr:uid="{75CF8F25-2DEA-4EDA-A2F4-DDE8943031B2}"/>
    <cellStyle name="20% - Accent4 2 2 2 4 3" xfId="5771" xr:uid="{00000000-0005-0000-0000-0000F0010000}"/>
    <cellStyle name="20% - Accent4 2 2 2 4 3 2" xfId="15097" xr:uid="{480A6D8B-B2F4-454E-B329-9B657E509116}"/>
    <cellStyle name="20% - Accent4 2 2 2 4 4" xfId="10880" xr:uid="{8D40FC35-AA9B-45E9-861A-9E81CC7DFEBF}"/>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5BCD3A89-0472-431B-993F-2E04F05CB4AB}"/>
    <cellStyle name="20% - Accent4 2 2 2 5 2 3" xfId="13438" xr:uid="{9879AEF6-6ED2-4791-B2D5-C2C7D7EAA3D8}"/>
    <cellStyle name="20% - Accent4 2 2 2 5 3" xfId="6184" xr:uid="{00000000-0005-0000-0000-0000F4010000}"/>
    <cellStyle name="20% - Accent4 2 2 2 5 3 2" xfId="15510" xr:uid="{6B72A1E5-0C71-4B8E-B155-560EC652A1EB}"/>
    <cellStyle name="20% - Accent4 2 2 2 5 4" xfId="11293" xr:uid="{4AAC67C3-CC6C-463C-82ED-F0B6FFE24B63}"/>
    <cellStyle name="20% - Accent4 2 2 2 6" xfId="2291" xr:uid="{00000000-0005-0000-0000-0000F5010000}"/>
    <cellStyle name="20% - Accent4 2 2 2 6 2" xfId="6597" xr:uid="{00000000-0005-0000-0000-0000F6010000}"/>
    <cellStyle name="20% - Accent4 2 2 2 6 2 2" xfId="15923" xr:uid="{B8617B33-9A92-4731-9005-1E7E3A5B1694}"/>
    <cellStyle name="20% - Accent4 2 2 2 6 3" xfId="11706" xr:uid="{4D0BE3C0-13BC-444B-B703-534540DB709B}"/>
    <cellStyle name="20% - Accent4 2 2 2 7" xfId="4531" xr:uid="{00000000-0005-0000-0000-0000F7010000}"/>
    <cellStyle name="20% - Accent4 2 2 2 7 2" xfId="13857" xr:uid="{A36313C4-9740-4A55-99A0-3C7A0299ACDD}"/>
    <cellStyle name="20% - Accent4 2 2 2 8" xfId="9104" xr:uid="{526BE306-22BA-4A85-81B2-34AEB56F0D90}"/>
    <cellStyle name="20% - Accent4 2 2 2 8 2" xfId="18428" xr:uid="{E6B2AD48-BCB4-419F-9178-8BAA94AD9773}"/>
    <cellStyle name="20% - Accent4 2 2 2 9" xfId="9640" xr:uid="{4431D8DC-79D2-40F6-9FDE-E3371E9AE002}"/>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0777CD5D-6654-40CE-8958-A67193A2F72A}"/>
    <cellStyle name="20% - Accent4 2 2 3 2 3" xfId="12198" xr:uid="{409396E9-6C61-459A-B389-701806B08E90}"/>
    <cellStyle name="20% - Accent4 2 2 3 3" xfId="4944" xr:uid="{00000000-0005-0000-0000-0000FB010000}"/>
    <cellStyle name="20% - Accent4 2 2 3 3 2" xfId="14270" xr:uid="{553BAB31-C5AE-409E-8216-843BFB1D2F12}"/>
    <cellStyle name="20% - Accent4 2 2 3 4" xfId="9322" xr:uid="{003BBE99-27AA-4036-A373-4475953A88F4}"/>
    <cellStyle name="20% - Accent4 2 2 3 4 2" xfId="18637" xr:uid="{BFA39C0A-B6B8-4197-AE7D-F60AD7D9D1C9}"/>
    <cellStyle name="20% - Accent4 2 2 3 5" xfId="10053" xr:uid="{7A8754C5-401C-4C58-87A1-3AB274A3FD45}"/>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D18B6619-9DEA-461B-8D9D-28E9D3AA1B9A}"/>
    <cellStyle name="20% - Accent4 2 2 4 2 3" xfId="12611" xr:uid="{2C401CF5-DFA3-4124-B767-E015F92FE92C}"/>
    <cellStyle name="20% - Accent4 2 2 4 3" xfId="5357" xr:uid="{00000000-0005-0000-0000-0000FF010000}"/>
    <cellStyle name="20% - Accent4 2 2 4 3 2" xfId="14683" xr:uid="{B0A8E20E-FCA7-4B2B-ABC1-EE6705085B21}"/>
    <cellStyle name="20% - Accent4 2 2 4 4" xfId="10466" xr:uid="{4F81B1D5-2E8E-4B4D-88F2-621BDFC34A2C}"/>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AC2F7B48-18E0-4AA4-880D-EBEBE6590A3A}"/>
    <cellStyle name="20% - Accent4 2 2 5 2 3" xfId="13024" xr:uid="{5199C351-8150-46C0-8F87-B0DEBCE0FF97}"/>
    <cellStyle name="20% - Accent4 2 2 5 3" xfId="5770" xr:uid="{00000000-0005-0000-0000-000003020000}"/>
    <cellStyle name="20% - Accent4 2 2 5 3 2" xfId="15096" xr:uid="{DD03E2C1-E1D0-4F46-A080-8BC14D1C7537}"/>
    <cellStyle name="20% - Accent4 2 2 5 4" xfId="10879" xr:uid="{1349C448-9F16-4FBA-9819-002C0E40B4BD}"/>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E2D94003-0415-413F-90BF-13BD2D6C8D9A}"/>
    <cellStyle name="20% - Accent4 2 2 6 2 3" xfId="13437" xr:uid="{6093F4E3-D96C-4E52-807D-058211F16210}"/>
    <cellStyle name="20% - Accent4 2 2 6 3" xfId="6183" xr:uid="{00000000-0005-0000-0000-000007020000}"/>
    <cellStyle name="20% - Accent4 2 2 6 3 2" xfId="15509" xr:uid="{3536A806-FAC7-440F-8251-7020620EA828}"/>
    <cellStyle name="20% - Accent4 2 2 6 4" xfId="11292" xr:uid="{DB2E7FAE-0650-4717-8F6C-D7E08CDCD9AF}"/>
    <cellStyle name="20% - Accent4 2 2 7" xfId="2290" xr:uid="{00000000-0005-0000-0000-000008020000}"/>
    <cellStyle name="20% - Accent4 2 2 7 2" xfId="6596" xr:uid="{00000000-0005-0000-0000-000009020000}"/>
    <cellStyle name="20% - Accent4 2 2 7 2 2" xfId="15922" xr:uid="{B5DFD1DA-2128-46ED-86BB-1FA5F848425C}"/>
    <cellStyle name="20% - Accent4 2 2 7 3" xfId="11705" xr:uid="{588B4945-CDB5-49EA-91B5-548CF82AB240}"/>
    <cellStyle name="20% - Accent4 2 2 8" xfId="4530" xr:uid="{00000000-0005-0000-0000-00000A020000}"/>
    <cellStyle name="20% - Accent4 2 2 8 2" xfId="13856" xr:uid="{CD4DBB5F-AE18-4B43-BA4B-911788D822B9}"/>
    <cellStyle name="20% - Accent4 2 2 9" xfId="8897" xr:uid="{3A58A73C-0193-4EAC-8E12-5BF8743CE9BA}"/>
    <cellStyle name="20% - Accent4 2 2 9 2" xfId="18221" xr:uid="{F041A586-FA56-4770-A0BC-B7C856AC379B}"/>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217891C8-466D-4B55-B724-59001D06368C}"/>
    <cellStyle name="20% - Accent4 2 3 2 2 3" xfId="12200" xr:uid="{F4DF120F-5956-41EB-A5CD-7D7F037532F6}"/>
    <cellStyle name="20% - Accent4 2 3 2 3" xfId="4946" xr:uid="{00000000-0005-0000-0000-00000F020000}"/>
    <cellStyle name="20% - Accent4 2 3 2 3 2" xfId="14272" xr:uid="{1CC05633-6CCC-497C-908D-D746DF0AE843}"/>
    <cellStyle name="20% - Accent4 2 3 2 4" xfId="9426" xr:uid="{5B247D51-FBFD-4799-8395-E3F1C04297B8}"/>
    <cellStyle name="20% - Accent4 2 3 2 4 2" xfId="18741" xr:uid="{3BF2A9DB-4B45-40A2-AB2C-A2F404411F3B}"/>
    <cellStyle name="20% - Accent4 2 3 2 5" xfId="10055" xr:uid="{766FD733-BCE6-4200-A176-9C214864FF6C}"/>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A397C1E8-3CFA-4A11-9042-9EE16CCC4F1B}"/>
    <cellStyle name="20% - Accent4 2 3 3 2 3" xfId="12613" xr:uid="{BC55FC80-2FA2-4B06-9FAC-37E1B5022F71}"/>
    <cellStyle name="20% - Accent4 2 3 3 3" xfId="5359" xr:uid="{00000000-0005-0000-0000-000013020000}"/>
    <cellStyle name="20% - Accent4 2 3 3 3 2" xfId="14685" xr:uid="{7633E8E1-C789-493A-BFF5-0FBFA9C6E8B7}"/>
    <cellStyle name="20% - Accent4 2 3 3 4" xfId="10468" xr:uid="{77F04678-79A6-402E-90C4-5BE1A6BB2427}"/>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EC096FAE-A1DF-481E-BF33-CD032C62BC09}"/>
    <cellStyle name="20% - Accent4 2 3 4 2 3" xfId="13026" xr:uid="{4BCF316B-1BCE-4E1C-B158-4AC06BFD0343}"/>
    <cellStyle name="20% - Accent4 2 3 4 3" xfId="5772" xr:uid="{00000000-0005-0000-0000-000017020000}"/>
    <cellStyle name="20% - Accent4 2 3 4 3 2" xfId="15098" xr:uid="{80D8B1C4-BC90-49F7-8993-6B6B7F768A55}"/>
    <cellStyle name="20% - Accent4 2 3 4 4" xfId="10881" xr:uid="{A584AFE2-DD5C-4330-8B2E-721B60DB1EEF}"/>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B12DB536-864A-4E06-8CB6-BD55D18FC369}"/>
    <cellStyle name="20% - Accent4 2 3 5 2 3" xfId="13439" xr:uid="{89D26F32-0DDA-4A79-95B9-815E0703E2F1}"/>
    <cellStyle name="20% - Accent4 2 3 5 3" xfId="6185" xr:uid="{00000000-0005-0000-0000-00001B020000}"/>
    <cellStyle name="20% - Accent4 2 3 5 3 2" xfId="15511" xr:uid="{CC9855E4-CBBF-41C1-AF9B-98252BD2607D}"/>
    <cellStyle name="20% - Accent4 2 3 5 4" xfId="11294" xr:uid="{B5F612F2-E767-4C8E-B113-90D63670243B}"/>
    <cellStyle name="20% - Accent4 2 3 6" xfId="2292" xr:uid="{00000000-0005-0000-0000-00001C020000}"/>
    <cellStyle name="20% - Accent4 2 3 6 2" xfId="6598" xr:uid="{00000000-0005-0000-0000-00001D020000}"/>
    <cellStyle name="20% - Accent4 2 3 6 2 2" xfId="15924" xr:uid="{55B75D97-B6AC-47A3-88A6-2E69FB8EAC66}"/>
    <cellStyle name="20% - Accent4 2 3 6 3" xfId="11707" xr:uid="{8619CA4C-BC62-40EC-86E7-7D8AF928AAC6}"/>
    <cellStyle name="20% - Accent4 2 3 7" xfId="4532" xr:uid="{00000000-0005-0000-0000-00001E020000}"/>
    <cellStyle name="20% - Accent4 2 3 7 2" xfId="13858" xr:uid="{2B1A6B2A-1786-4910-8143-32122060BBC0}"/>
    <cellStyle name="20% - Accent4 2 3 8" xfId="9001" xr:uid="{B9DE6BBA-06E2-4FC8-B645-F20E60244072}"/>
    <cellStyle name="20% - Accent4 2 3 8 2" xfId="18325" xr:uid="{FB531E07-2A13-43D6-BCC1-57060A1CFAD3}"/>
    <cellStyle name="20% - Accent4 2 3 9" xfId="9641" xr:uid="{0C468898-5907-4788-87D4-0D56691C36E9}"/>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5EF55366-CB39-4455-BE73-BA4FE3A5BE4D}"/>
    <cellStyle name="20% - Accent4 2 4 2 3" xfId="12197" xr:uid="{8981D6EC-DBF8-4225-9BEE-E0E417B3E913}"/>
    <cellStyle name="20% - Accent4 2 4 3" xfId="4943" xr:uid="{00000000-0005-0000-0000-000022020000}"/>
    <cellStyle name="20% - Accent4 2 4 3 2" xfId="14269" xr:uid="{3639B49A-3063-416A-941E-297EA254E4A6}"/>
    <cellStyle name="20% - Accent4 2 4 4" xfId="9218" xr:uid="{EEA9CEE5-7B27-41EB-B571-13D0ADC44445}"/>
    <cellStyle name="20% - Accent4 2 4 4 2" xfId="18534" xr:uid="{FB605650-E19F-46B4-A0CD-92528F362B5F}"/>
    <cellStyle name="20% - Accent4 2 4 5" xfId="10052" xr:uid="{629B55D7-BC75-43AA-BA08-0DF24952744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3FD4CC1D-76F6-4785-B1F0-E97B86954797}"/>
    <cellStyle name="20% - Accent4 2 5 2 3" xfId="12610" xr:uid="{841B3790-EA4E-4453-8A1B-A1101BFF0761}"/>
    <cellStyle name="20% - Accent4 2 5 3" xfId="5356" xr:uid="{00000000-0005-0000-0000-000026020000}"/>
    <cellStyle name="20% - Accent4 2 5 3 2" xfId="14682" xr:uid="{597EEB68-B621-4684-A55B-65199AB7457F}"/>
    <cellStyle name="20% - Accent4 2 5 4" xfId="10465" xr:uid="{08AE64A9-5DD0-4A76-917B-D34C6A482028}"/>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7A5816B3-AF4B-4977-A406-6238EF61B91A}"/>
    <cellStyle name="20% - Accent4 2 6 2 3" xfId="13023" xr:uid="{A3BE3A1E-A2F5-4EBC-9DE8-8BC6765A2447}"/>
    <cellStyle name="20% - Accent4 2 6 3" xfId="5769" xr:uid="{00000000-0005-0000-0000-00002A020000}"/>
    <cellStyle name="20% - Accent4 2 6 3 2" xfId="15095" xr:uid="{E9D85FC2-F600-4B99-A59B-605E32FEA23F}"/>
    <cellStyle name="20% - Accent4 2 6 4" xfId="10878" xr:uid="{22B91DA4-7DD3-4CE7-9FF9-37156BA9DAC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F0A40F8C-7FC7-405A-B3C0-38DF9D24A517}"/>
    <cellStyle name="20% - Accent4 2 7 2 3" xfId="13436" xr:uid="{3DCCCE94-96CC-454C-B93B-897BD91C2B61}"/>
    <cellStyle name="20% - Accent4 2 7 3" xfId="6182" xr:uid="{00000000-0005-0000-0000-00002E020000}"/>
    <cellStyle name="20% - Accent4 2 7 3 2" xfId="15508" xr:uid="{D4C3B9CD-E28A-4DF4-A9FD-609008282822}"/>
    <cellStyle name="20% - Accent4 2 7 4" xfId="11291" xr:uid="{10E1DDEF-0282-4947-A7C3-65F747082135}"/>
    <cellStyle name="20% - Accent4 2 8" xfId="2289" xr:uid="{00000000-0005-0000-0000-00002F020000}"/>
    <cellStyle name="20% - Accent4 2 8 2" xfId="6595" xr:uid="{00000000-0005-0000-0000-000030020000}"/>
    <cellStyle name="20% - Accent4 2 8 2 2" xfId="15921" xr:uid="{99ABE150-AF1D-439F-BC07-6FC566D8EB8F}"/>
    <cellStyle name="20% - Accent4 2 8 3" xfId="11704" xr:uid="{3ADAAC17-C53C-4CC3-A456-D5AF4FCAAE83}"/>
    <cellStyle name="20% - Accent4 2 9" xfId="4529" xr:uid="{00000000-0005-0000-0000-000031020000}"/>
    <cellStyle name="20% - Accent4 2 9 2" xfId="13855" xr:uid="{8D5AA68A-17C3-4962-BBA6-AB2B1A2D4E60}"/>
    <cellStyle name="20% - Accent4 3" xfId="30" xr:uid="{00000000-0005-0000-0000-000032020000}"/>
    <cellStyle name="20% - Accent4 3 10" xfId="9642" xr:uid="{D75DAFF9-4178-443B-9104-6325C014DB8D}"/>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79731C14-3B17-49C4-AFD8-5D7CE4033F52}"/>
    <cellStyle name="20% - Accent4 3 2 2 2 3" xfId="12202" xr:uid="{F0C03321-FB0F-47BF-99F3-7F3DBA5681DD}"/>
    <cellStyle name="20% - Accent4 3 2 2 3" xfId="4948" xr:uid="{00000000-0005-0000-0000-000037020000}"/>
    <cellStyle name="20% - Accent4 3 2 2 3 2" xfId="14274" xr:uid="{438CBD45-7DCE-496B-BF07-75D6270BFAB1}"/>
    <cellStyle name="20% - Accent4 3 2 2 4" xfId="9499" xr:uid="{019308F4-938B-408B-A627-483AF94276A0}"/>
    <cellStyle name="20% - Accent4 3 2 2 4 2" xfId="18814" xr:uid="{68180C0E-995C-467B-AC92-650D36F608B0}"/>
    <cellStyle name="20% - Accent4 3 2 2 5" xfId="10057" xr:uid="{4344CD41-BA85-4EB2-81EF-D03B7619CF35}"/>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97BF0143-FD34-4A7A-AFD4-471E83796291}"/>
    <cellStyle name="20% - Accent4 3 2 3 2 3" xfId="12615" xr:uid="{91D1AB30-4D89-4E38-B70C-BA1CB81964F7}"/>
    <cellStyle name="20% - Accent4 3 2 3 3" xfId="5361" xr:uid="{00000000-0005-0000-0000-00003B020000}"/>
    <cellStyle name="20% - Accent4 3 2 3 3 2" xfId="14687" xr:uid="{318AA910-B4F9-4984-B232-5ECB082DE4B3}"/>
    <cellStyle name="20% - Accent4 3 2 3 4" xfId="10470" xr:uid="{2966BB53-7576-4BFF-BABC-29806770DF1C}"/>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522CDBE5-B0D6-4FF9-AEC4-1D5C447A9D67}"/>
    <cellStyle name="20% - Accent4 3 2 4 2 3" xfId="13028" xr:uid="{7F2DD7DC-475B-49EE-8447-0A68345D87ED}"/>
    <cellStyle name="20% - Accent4 3 2 4 3" xfId="5774" xr:uid="{00000000-0005-0000-0000-00003F020000}"/>
    <cellStyle name="20% - Accent4 3 2 4 3 2" xfId="15100" xr:uid="{76BEF8AE-3132-4EF7-8B0D-BD45EC90CD52}"/>
    <cellStyle name="20% - Accent4 3 2 4 4" xfId="10883" xr:uid="{3BC53E07-F56F-4E3E-A101-863D53F3323E}"/>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36950766-1AC6-447A-8C35-50FE62149368}"/>
    <cellStyle name="20% - Accent4 3 2 5 2 3" xfId="13441" xr:uid="{832CC01B-A5FF-4E9D-8DAF-BA9F4FC3DE6C}"/>
    <cellStyle name="20% - Accent4 3 2 5 3" xfId="6187" xr:uid="{00000000-0005-0000-0000-000043020000}"/>
    <cellStyle name="20% - Accent4 3 2 5 3 2" xfId="15513" xr:uid="{A2072632-4CD2-485B-8956-EB1877C94819}"/>
    <cellStyle name="20% - Accent4 3 2 5 4" xfId="11296" xr:uid="{EEA95B85-F97D-46B1-AECE-40D0167F84D3}"/>
    <cellStyle name="20% - Accent4 3 2 6" xfId="2294" xr:uid="{00000000-0005-0000-0000-000044020000}"/>
    <cellStyle name="20% - Accent4 3 2 6 2" xfId="6600" xr:uid="{00000000-0005-0000-0000-000045020000}"/>
    <cellStyle name="20% - Accent4 3 2 6 2 2" xfId="15926" xr:uid="{B12DD01D-76AB-4FF1-9C4C-6EDAD4028058}"/>
    <cellStyle name="20% - Accent4 3 2 6 3" xfId="11709" xr:uid="{0F6B6B45-FEA6-432F-B21C-097A8102FDA0}"/>
    <cellStyle name="20% - Accent4 3 2 7" xfId="4534" xr:uid="{00000000-0005-0000-0000-000046020000}"/>
    <cellStyle name="20% - Accent4 3 2 7 2" xfId="13860" xr:uid="{17176028-FE20-4980-8B3C-C39A2434A625}"/>
    <cellStyle name="20% - Accent4 3 2 8" xfId="9074" xr:uid="{BA25EAA8-2B5F-4309-91A3-FC61FCEF209C}"/>
    <cellStyle name="20% - Accent4 3 2 8 2" xfId="18398" xr:uid="{DBCBC384-C1FB-43EB-B407-69E69355D11F}"/>
    <cellStyle name="20% - Accent4 3 2 9" xfId="9643" xr:uid="{864D116B-38F7-4429-B672-C75603245263}"/>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BD551BC7-6171-414E-8DDD-0BAB27C6DDE0}"/>
    <cellStyle name="20% - Accent4 3 3 2 3" xfId="12201" xr:uid="{4D9B27C6-0542-4F3A-AD99-5D3A8FF6FBE2}"/>
    <cellStyle name="20% - Accent4 3 3 3" xfId="4947" xr:uid="{00000000-0005-0000-0000-00004A020000}"/>
    <cellStyle name="20% - Accent4 3 3 3 2" xfId="14273" xr:uid="{624A2075-A0D9-40D5-B133-8F604D5F2A25}"/>
    <cellStyle name="20% - Accent4 3 3 4" xfId="9292" xr:uid="{E33AB5E9-A8F9-45CB-AD95-0E461E901C30}"/>
    <cellStyle name="20% - Accent4 3 3 4 2" xfId="18607" xr:uid="{DA674C0D-F31D-4047-8CC5-9C156A115498}"/>
    <cellStyle name="20% - Accent4 3 3 5" xfId="10056" xr:uid="{27757808-EEB6-4D82-9608-2BA413DD1A6E}"/>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F4C090EA-CE9D-4465-88DF-388E4ED0A4D4}"/>
    <cellStyle name="20% - Accent4 3 4 2 3" xfId="12614" xr:uid="{0257E305-CDC1-44E0-AE27-7C7CDAD5150E}"/>
    <cellStyle name="20% - Accent4 3 4 3" xfId="5360" xr:uid="{00000000-0005-0000-0000-00004E020000}"/>
    <cellStyle name="20% - Accent4 3 4 3 2" xfId="14686" xr:uid="{BF73B9CB-089D-4713-A3A5-50AC5AB2C7FA}"/>
    <cellStyle name="20% - Accent4 3 4 4" xfId="10469" xr:uid="{892F29ED-1495-45E5-BAB0-AA6DC73C848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53AF84D2-F124-4AAA-BDAA-959145B79F6D}"/>
    <cellStyle name="20% - Accent4 3 5 2 3" xfId="13027" xr:uid="{01E430F9-7CB4-49E9-BB4E-33A6342CC49C}"/>
    <cellStyle name="20% - Accent4 3 5 3" xfId="5773" xr:uid="{00000000-0005-0000-0000-000052020000}"/>
    <cellStyle name="20% - Accent4 3 5 3 2" xfId="15099" xr:uid="{64A3B79B-3364-430F-BFC7-0323E5D8F28E}"/>
    <cellStyle name="20% - Accent4 3 5 4" xfId="10882" xr:uid="{64FB426F-F057-48E5-B9FF-F7F7B239F88C}"/>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04F44AEB-3917-4DB9-A369-3EB63852C43C}"/>
    <cellStyle name="20% - Accent4 3 6 2 3" xfId="13440" xr:uid="{D99AC199-5706-4B70-956E-271DD4A7AB3F}"/>
    <cellStyle name="20% - Accent4 3 6 3" xfId="6186" xr:uid="{00000000-0005-0000-0000-000056020000}"/>
    <cellStyle name="20% - Accent4 3 6 3 2" xfId="15512" xr:uid="{21000ED1-ABC9-4119-ADD1-A2F43447945F}"/>
    <cellStyle name="20% - Accent4 3 6 4" xfId="11295" xr:uid="{81B93EDB-DE67-434B-B7BA-0E701FB7F035}"/>
    <cellStyle name="20% - Accent4 3 7" xfId="2293" xr:uid="{00000000-0005-0000-0000-000057020000}"/>
    <cellStyle name="20% - Accent4 3 7 2" xfId="6599" xr:uid="{00000000-0005-0000-0000-000058020000}"/>
    <cellStyle name="20% - Accent4 3 7 2 2" xfId="15925" xr:uid="{257FF71F-CA20-4CD0-B339-2DF824B6C06D}"/>
    <cellStyle name="20% - Accent4 3 7 3" xfId="11708" xr:uid="{AA99A578-0215-4353-B92E-A5195B1E3164}"/>
    <cellStyle name="20% - Accent4 3 8" xfId="4533" xr:uid="{00000000-0005-0000-0000-000059020000}"/>
    <cellStyle name="20% - Accent4 3 8 2" xfId="13859" xr:uid="{3DFC4600-06CA-4026-88D2-25C51543AC5B}"/>
    <cellStyle name="20% - Accent4 3 9" xfId="8867" xr:uid="{27FB4CEF-7F56-4AEC-B5AC-6B6A1477FBD8}"/>
    <cellStyle name="20% - Accent4 3 9 2" xfId="18191" xr:uid="{6EFED7A1-80D7-4B91-9D55-7C54F1DD980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46D12364-3FAA-4A22-B721-7A2EE2EC20EC}"/>
    <cellStyle name="20% - Accent4 4 2 2 3" xfId="12203" xr:uid="{5CB0ED9B-C887-462F-B029-5617CF7831C2}"/>
    <cellStyle name="20% - Accent4 4 2 3" xfId="4949" xr:uid="{00000000-0005-0000-0000-00005E020000}"/>
    <cellStyle name="20% - Accent4 4 2 3 2" xfId="14275" xr:uid="{8D48335B-34A7-4765-9A47-F4BAA3A5AFC8}"/>
    <cellStyle name="20% - Accent4 4 2 4" xfId="9378" xr:uid="{761B3D4A-2751-4646-8A50-05A0DD408525}"/>
    <cellStyle name="20% - Accent4 4 2 4 2" xfId="18693" xr:uid="{49177AEB-F180-402D-AD57-AFDE5E8E0D2D}"/>
    <cellStyle name="20% - Accent4 4 2 5" xfId="10058" xr:uid="{70F74977-A6C9-4A13-87A6-DCDFC387445A}"/>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EEFAE903-9903-4332-8CF8-AF4ECFC52F86}"/>
    <cellStyle name="20% - Accent4 4 3 2 3" xfId="12616" xr:uid="{9DD63134-487E-46FF-AA50-4273DF73713D}"/>
    <cellStyle name="20% - Accent4 4 3 3" xfId="5362" xr:uid="{00000000-0005-0000-0000-000062020000}"/>
    <cellStyle name="20% - Accent4 4 3 3 2" xfId="14688" xr:uid="{5BA3DBEC-88DC-4B85-8202-F337EAE17B64}"/>
    <cellStyle name="20% - Accent4 4 3 4" xfId="10471" xr:uid="{4D0EB6B0-2DA7-4C39-B040-90F9A68017D3}"/>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3E449380-E0A2-472A-9532-765F33A74A20}"/>
    <cellStyle name="20% - Accent4 4 4 2 3" xfId="13029" xr:uid="{E7896389-96FD-4CF2-BFED-ED6E92012F56}"/>
    <cellStyle name="20% - Accent4 4 4 3" xfId="5775" xr:uid="{00000000-0005-0000-0000-000066020000}"/>
    <cellStyle name="20% - Accent4 4 4 3 2" xfId="15101" xr:uid="{AAA5E105-3AA3-412E-8E00-D79DEACAD375}"/>
    <cellStyle name="20% - Accent4 4 4 4" xfId="10884" xr:uid="{C3208514-D821-4E8D-99E7-E68BF37C67B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AEA7AAED-27EE-45B0-8747-69BDF9360E5C}"/>
    <cellStyle name="20% - Accent4 4 5 2 3" xfId="13442" xr:uid="{E5ABB78C-1E80-4CE0-AFDD-F4EC45425265}"/>
    <cellStyle name="20% - Accent4 4 5 3" xfId="6188" xr:uid="{00000000-0005-0000-0000-00006A020000}"/>
    <cellStyle name="20% - Accent4 4 5 3 2" xfId="15514" xr:uid="{E71AE4FD-30BF-4E8E-9ED1-F36670309969}"/>
    <cellStyle name="20% - Accent4 4 5 4" xfId="11297" xr:uid="{C063CF96-2DCC-4F12-A2E8-33954B1BDB4F}"/>
    <cellStyle name="20% - Accent4 4 6" xfId="2295" xr:uid="{00000000-0005-0000-0000-00006B020000}"/>
    <cellStyle name="20% - Accent4 4 6 2" xfId="6601" xr:uid="{00000000-0005-0000-0000-00006C020000}"/>
    <cellStyle name="20% - Accent4 4 6 2 2" xfId="15927" xr:uid="{A12E2DBA-9303-4310-B854-183D90E01DD0}"/>
    <cellStyle name="20% - Accent4 4 6 3" xfId="11710" xr:uid="{DFFCDFA1-BA42-4A24-867A-A32C111E3D9F}"/>
    <cellStyle name="20% - Accent4 4 7" xfId="4535" xr:uid="{00000000-0005-0000-0000-00006D020000}"/>
    <cellStyle name="20% - Accent4 4 7 2" xfId="13861" xr:uid="{649F947C-3BD3-424E-ACC7-908E06D61A57}"/>
    <cellStyle name="20% - Accent4 4 8" xfId="8953" xr:uid="{66D1590A-BB3A-4B79-BA94-169F97E79370}"/>
    <cellStyle name="20% - Accent4 4 8 2" xfId="18277" xr:uid="{32859D5B-EC56-49CA-9472-6ED079383470}"/>
    <cellStyle name="20% - Accent4 4 9" xfId="9644" xr:uid="{B84C5F0E-D0ED-4F24-9875-8A56B26354B0}"/>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46A3B274-9198-4311-ADED-E7B1E0E17B37}"/>
    <cellStyle name="20% - Accent4 5 2 3" xfId="12196" xr:uid="{7AA22FFB-CF90-453B-85E1-393AB0515240}"/>
    <cellStyle name="20% - Accent4 5 3" xfId="4942" xr:uid="{00000000-0005-0000-0000-000071020000}"/>
    <cellStyle name="20% - Accent4 5 3 2" xfId="14268" xr:uid="{AC44457B-6C4A-4869-879D-CA09503DFCED}"/>
    <cellStyle name="20% - Accent4 5 4" xfId="9186" xr:uid="{E62ED282-F767-404B-ADA1-4F8E5B4D01EB}"/>
    <cellStyle name="20% - Accent4 5 4 2" xfId="18504" xr:uid="{0F67C0B7-B8D1-47EA-990B-AEA0B465E384}"/>
    <cellStyle name="20% - Accent4 5 5" xfId="10051" xr:uid="{290D01BB-FA1C-454A-A7C8-0D4CB91241C6}"/>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47DDDAB1-560C-4A33-9143-FFEBCD6564CF}"/>
    <cellStyle name="20% - Accent4 6 2 3" xfId="12609" xr:uid="{6AD7F85A-43A1-45BA-B084-8FC7142D2E52}"/>
    <cellStyle name="20% - Accent4 6 3" xfId="5355" xr:uid="{00000000-0005-0000-0000-000075020000}"/>
    <cellStyle name="20% - Accent4 6 3 2" xfId="14681" xr:uid="{BB42CE43-99DE-4E5E-9274-F44BC59527B8}"/>
    <cellStyle name="20% - Accent4 6 4" xfId="10464" xr:uid="{4C48BDF1-B38D-4A23-9864-8D2E24D3A882}"/>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C16F99D1-9BB7-4A7A-994A-4FBF8E805907}"/>
    <cellStyle name="20% - Accent4 7 2 3" xfId="13022" xr:uid="{0F7956DD-2ED9-4C95-B46F-7C1B0C1B5A0F}"/>
    <cellStyle name="20% - Accent4 7 3" xfId="5768" xr:uid="{00000000-0005-0000-0000-000079020000}"/>
    <cellStyle name="20% - Accent4 7 3 2" xfId="15094" xr:uid="{9AB016A4-1C83-4830-9DE3-45F89374D79A}"/>
    <cellStyle name="20% - Accent4 7 4" xfId="10877" xr:uid="{DF31769C-E620-4C88-8A90-5E70417E1EEF}"/>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7E4FE135-36F6-4D9A-81D1-0C1536105C1B}"/>
    <cellStyle name="20% - Accent4 8 2 3" xfId="13435" xr:uid="{9CC9787D-97F7-4D5E-88DE-A940F07B3FC4}"/>
    <cellStyle name="20% - Accent4 8 3" xfId="6181" xr:uid="{00000000-0005-0000-0000-00007D020000}"/>
    <cellStyle name="20% - Accent4 8 3 2" xfId="15507" xr:uid="{A60B1A6E-157A-42CB-A195-D37B40157E26}"/>
    <cellStyle name="20% - Accent4 8 4" xfId="11290" xr:uid="{FCC893E1-4913-453B-953D-96B4CC8C5D77}"/>
    <cellStyle name="20% - Accent4 9" xfId="2288" xr:uid="{00000000-0005-0000-0000-00007E020000}"/>
    <cellStyle name="20% - Accent4 9 2" xfId="6594" xr:uid="{00000000-0005-0000-0000-00007F020000}"/>
    <cellStyle name="20% - Accent4 9 2 2" xfId="15920" xr:uid="{CD24FCCD-8B5E-401D-B695-D0F454926A6A}"/>
    <cellStyle name="20% - Accent4 9 3" xfId="11703" xr:uid="{1463F059-4B22-4319-A5A2-EB6550ACCF83}"/>
    <cellStyle name="20% - Accent5" xfId="33" builtinId="46" customBuiltin="1"/>
    <cellStyle name="20% - Accent5 10" xfId="4536" xr:uid="{00000000-0005-0000-0000-000081020000}"/>
    <cellStyle name="20% - Accent5 10 2" xfId="13862" xr:uid="{78B95EDD-310B-4981-9840-0DCF78E5E273}"/>
    <cellStyle name="20% - Accent5 11" xfId="8766" xr:uid="{A87C980D-48BC-4AA3-98F7-53B2F02F228C}"/>
    <cellStyle name="20% - Accent5 11 2" xfId="18090" xr:uid="{2FF3445F-F239-4562-BDA8-7F2D04C26D6C}"/>
    <cellStyle name="20% - Accent5 12" xfId="9645" xr:uid="{F2F9D471-6091-4F96-8F65-159165A2A6C2}"/>
    <cellStyle name="20% - Accent5 2" xfId="34" xr:uid="{00000000-0005-0000-0000-000082020000}"/>
    <cellStyle name="20% - Accent5 2 10" xfId="8796" xr:uid="{5BBF4372-A7B1-47A0-AC3D-4A60EDC1A5F8}"/>
    <cellStyle name="20% - Accent5 2 10 2" xfId="18120" xr:uid="{CC5B4CAC-57FB-4E96-9221-C5D0CAE12A18}"/>
    <cellStyle name="20% - Accent5 2 11" xfId="9646" xr:uid="{570E6F34-61BE-43FD-95CB-A28FD8150B40}"/>
    <cellStyle name="20% - Accent5 2 2" xfId="35" xr:uid="{00000000-0005-0000-0000-000083020000}"/>
    <cellStyle name="20% - Accent5 2 2 10" xfId="9647" xr:uid="{47655EB1-0E22-4028-89A6-1238D416BF52}"/>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FD040AF4-048F-4228-9A6C-874799F6892C}"/>
    <cellStyle name="20% - Accent5 2 2 2 2 2 3" xfId="12207" xr:uid="{E3E80D3A-D0B7-430E-83F9-5B17D590CAFE}"/>
    <cellStyle name="20% - Accent5 2 2 2 2 3" xfId="4953" xr:uid="{00000000-0005-0000-0000-000088020000}"/>
    <cellStyle name="20% - Accent5 2 2 2 2 3 2" xfId="14279" xr:uid="{180C11DD-F5FC-4DE6-8B6F-20C72FBB5722}"/>
    <cellStyle name="20% - Accent5 2 2 2 2 4" xfId="9531" xr:uid="{5DC5F027-F767-49FB-B9DE-2ACABCF8AC5A}"/>
    <cellStyle name="20% - Accent5 2 2 2 2 4 2" xfId="18846" xr:uid="{63AFCEDF-B1B4-4653-A53C-198D7FF4D934}"/>
    <cellStyle name="20% - Accent5 2 2 2 2 5" xfId="10062" xr:uid="{1D594DC5-FB37-4B62-906D-02B729ABE08C}"/>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FF3031ED-06CC-41ED-A8CA-8C372773D611}"/>
    <cellStyle name="20% - Accent5 2 2 2 3 2 3" xfId="12620" xr:uid="{449CDEEA-8165-4FB5-8E26-1E6892848707}"/>
    <cellStyle name="20% - Accent5 2 2 2 3 3" xfId="5366" xr:uid="{00000000-0005-0000-0000-00008C020000}"/>
    <cellStyle name="20% - Accent5 2 2 2 3 3 2" xfId="14692" xr:uid="{3ED7A40B-861F-4312-A190-464A594106EF}"/>
    <cellStyle name="20% - Accent5 2 2 2 3 4" xfId="10475" xr:uid="{B0CB9F1D-F173-4789-8544-EFBDF04B08D9}"/>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4042E440-AA47-4B61-A7C1-B5AE6AFC59AC}"/>
    <cellStyle name="20% - Accent5 2 2 2 4 2 3" xfId="13033" xr:uid="{FD448CE4-AA3C-47AB-A99C-910A72E484E1}"/>
    <cellStyle name="20% - Accent5 2 2 2 4 3" xfId="5779" xr:uid="{00000000-0005-0000-0000-000090020000}"/>
    <cellStyle name="20% - Accent5 2 2 2 4 3 2" xfId="15105" xr:uid="{8CDBB46C-5F69-477D-A80C-185D5BB91E8C}"/>
    <cellStyle name="20% - Accent5 2 2 2 4 4" xfId="10888" xr:uid="{CC2610A4-F497-4842-AEE3-A34CB01D2B98}"/>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6DC93BB7-FC5D-4B6D-8F55-EB4E11E50796}"/>
    <cellStyle name="20% - Accent5 2 2 2 5 2 3" xfId="13446" xr:uid="{4EBE3391-97B7-4E02-BC06-391312C0AB04}"/>
    <cellStyle name="20% - Accent5 2 2 2 5 3" xfId="6192" xr:uid="{00000000-0005-0000-0000-000094020000}"/>
    <cellStyle name="20% - Accent5 2 2 2 5 3 2" xfId="15518" xr:uid="{E8796B43-D7BB-4738-AB49-F19A6D25C79C}"/>
    <cellStyle name="20% - Accent5 2 2 2 5 4" xfId="11301" xr:uid="{48D148D7-9D90-44DE-B085-B0BFEE76860A}"/>
    <cellStyle name="20% - Accent5 2 2 2 6" xfId="2299" xr:uid="{00000000-0005-0000-0000-000095020000}"/>
    <cellStyle name="20% - Accent5 2 2 2 6 2" xfId="6605" xr:uid="{00000000-0005-0000-0000-000096020000}"/>
    <cellStyle name="20% - Accent5 2 2 2 6 2 2" xfId="15931" xr:uid="{9CCCF206-8CA8-42CF-9271-0143ECE0414B}"/>
    <cellStyle name="20% - Accent5 2 2 2 6 3" xfId="11714" xr:uid="{9C9D06BD-AC1F-444E-A626-795B61FBB2C8}"/>
    <cellStyle name="20% - Accent5 2 2 2 7" xfId="4539" xr:uid="{00000000-0005-0000-0000-000097020000}"/>
    <cellStyle name="20% - Accent5 2 2 2 7 2" xfId="13865" xr:uid="{4F833D7C-F2F8-49C1-AA14-DFC632DEDE16}"/>
    <cellStyle name="20% - Accent5 2 2 2 8" xfId="9106" xr:uid="{E7B219CB-83A9-494A-83ED-783719A0F1D9}"/>
    <cellStyle name="20% - Accent5 2 2 2 8 2" xfId="18430" xr:uid="{42680B68-D239-4A52-9FE4-FCDC93DCE665}"/>
    <cellStyle name="20% - Accent5 2 2 2 9" xfId="9648" xr:uid="{15192098-34FF-4908-A32C-76C40D987041}"/>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C6E00470-A25C-4A14-8F2D-1AE7BCC5510F}"/>
    <cellStyle name="20% - Accent5 2 2 3 2 3" xfId="12206" xr:uid="{64EDA792-AC37-4DC9-88E7-CA9C4308AFE8}"/>
    <cellStyle name="20% - Accent5 2 2 3 3" xfId="4952" xr:uid="{00000000-0005-0000-0000-00009B020000}"/>
    <cellStyle name="20% - Accent5 2 2 3 3 2" xfId="14278" xr:uid="{7BCA2911-0B8A-466B-9D3B-1C8AD702DC94}"/>
    <cellStyle name="20% - Accent5 2 2 3 4" xfId="9324" xr:uid="{6094FEE1-8E2A-466F-9CDF-43EB9EE581FF}"/>
    <cellStyle name="20% - Accent5 2 2 3 4 2" xfId="18639" xr:uid="{6B8D276B-58AA-40D2-8C16-B364CE0E0551}"/>
    <cellStyle name="20% - Accent5 2 2 3 5" xfId="10061" xr:uid="{B4FEBA86-7048-4164-9A7F-7D83946A4DA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DECD4C59-2290-4779-AF9E-1C4DE718D9FA}"/>
    <cellStyle name="20% - Accent5 2 2 4 2 3" xfId="12619" xr:uid="{43F37001-FDE0-481F-A50F-6C6BD8857770}"/>
    <cellStyle name="20% - Accent5 2 2 4 3" xfId="5365" xr:uid="{00000000-0005-0000-0000-00009F020000}"/>
    <cellStyle name="20% - Accent5 2 2 4 3 2" xfId="14691" xr:uid="{64017F61-04AB-472B-AADB-70240B2D0AC0}"/>
    <cellStyle name="20% - Accent5 2 2 4 4" xfId="10474" xr:uid="{7E633FB1-AEEB-4A2D-9A18-D891CBA518CA}"/>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71ACFD45-6A1C-471C-A4E5-DA74831FE495}"/>
    <cellStyle name="20% - Accent5 2 2 5 2 3" xfId="13032" xr:uid="{46ED36D4-8659-43BB-84B7-AB9BF0C1DC4C}"/>
    <cellStyle name="20% - Accent5 2 2 5 3" xfId="5778" xr:uid="{00000000-0005-0000-0000-0000A3020000}"/>
    <cellStyle name="20% - Accent5 2 2 5 3 2" xfId="15104" xr:uid="{E5E035EE-4873-461B-9F0F-7CAA6B1ED201}"/>
    <cellStyle name="20% - Accent5 2 2 5 4" xfId="10887" xr:uid="{210D69E4-FF13-434C-B9CC-D423B3A60983}"/>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689C7411-CED9-4CBD-8837-83678DAB1DC1}"/>
    <cellStyle name="20% - Accent5 2 2 6 2 3" xfId="13445" xr:uid="{CB67117A-778F-40BF-9E47-DC7CB8100EE2}"/>
    <cellStyle name="20% - Accent5 2 2 6 3" xfId="6191" xr:uid="{00000000-0005-0000-0000-0000A7020000}"/>
    <cellStyle name="20% - Accent5 2 2 6 3 2" xfId="15517" xr:uid="{798145C7-8723-4D06-B629-0B0CC95BD111}"/>
    <cellStyle name="20% - Accent5 2 2 6 4" xfId="11300" xr:uid="{B880EA25-3125-430A-A1F1-72F26364A344}"/>
    <cellStyle name="20% - Accent5 2 2 7" xfId="2298" xr:uid="{00000000-0005-0000-0000-0000A8020000}"/>
    <cellStyle name="20% - Accent5 2 2 7 2" xfId="6604" xr:uid="{00000000-0005-0000-0000-0000A9020000}"/>
    <cellStyle name="20% - Accent5 2 2 7 2 2" xfId="15930" xr:uid="{8F455D82-1AC6-4FBD-A580-0576768C367A}"/>
    <cellStyle name="20% - Accent5 2 2 7 3" xfId="11713" xr:uid="{15CCE402-3163-4F15-97C0-0471B9F067F9}"/>
    <cellStyle name="20% - Accent5 2 2 8" xfId="4538" xr:uid="{00000000-0005-0000-0000-0000AA020000}"/>
    <cellStyle name="20% - Accent5 2 2 8 2" xfId="13864" xr:uid="{783E56D0-65FD-4113-B813-BBD3330AC5F7}"/>
    <cellStyle name="20% - Accent5 2 2 9" xfId="8899" xr:uid="{0E8F9EC8-D565-41C9-B716-FF597FFF35B9}"/>
    <cellStyle name="20% - Accent5 2 2 9 2" xfId="18223" xr:uid="{15BBF19A-F56A-4290-A28D-D4DA6F6AAA65}"/>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30B9E7BD-C5BC-4B9A-A4B1-F3671E45AE93}"/>
    <cellStyle name="20% - Accent5 2 3 2 2 3" xfId="12208" xr:uid="{188E418B-CEA9-44F9-8262-140E39CEE8A7}"/>
    <cellStyle name="20% - Accent5 2 3 2 3" xfId="4954" xr:uid="{00000000-0005-0000-0000-0000AF020000}"/>
    <cellStyle name="20% - Accent5 2 3 2 3 2" xfId="14280" xr:uid="{5D9BCE54-16AA-4822-9111-5659C8988362}"/>
    <cellStyle name="20% - Accent5 2 3 2 4" xfId="9428" xr:uid="{B7820ACF-E1F3-4653-B5DD-FD829B169E84}"/>
    <cellStyle name="20% - Accent5 2 3 2 4 2" xfId="18743" xr:uid="{2DA30330-7D58-4E0F-B640-A33F6886950F}"/>
    <cellStyle name="20% - Accent5 2 3 2 5" xfId="10063" xr:uid="{45F54351-FE32-4C7A-B1B8-1181F8C12B4F}"/>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C75D9C62-3689-4D91-BAA5-FF8FBF55F691}"/>
    <cellStyle name="20% - Accent5 2 3 3 2 3" xfId="12621" xr:uid="{0CD8BB83-D570-430F-8F8E-8E286FAD3910}"/>
    <cellStyle name="20% - Accent5 2 3 3 3" xfId="5367" xr:uid="{00000000-0005-0000-0000-0000B3020000}"/>
    <cellStyle name="20% - Accent5 2 3 3 3 2" xfId="14693" xr:uid="{3FCB2105-DA5A-4A32-B26B-79418BAE94F0}"/>
    <cellStyle name="20% - Accent5 2 3 3 4" xfId="10476" xr:uid="{12F11E54-A8E6-4F98-B3C1-85C7127B46F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1FF8E463-CC2F-4E7C-9798-923CA0824AC4}"/>
    <cellStyle name="20% - Accent5 2 3 4 2 3" xfId="13034" xr:uid="{0DA5A8DD-C920-4E65-9809-35EC64BB8F40}"/>
    <cellStyle name="20% - Accent5 2 3 4 3" xfId="5780" xr:uid="{00000000-0005-0000-0000-0000B7020000}"/>
    <cellStyle name="20% - Accent5 2 3 4 3 2" xfId="15106" xr:uid="{2270E5DD-1F94-441C-AF0F-0B57DBBBC1E8}"/>
    <cellStyle name="20% - Accent5 2 3 4 4" xfId="10889" xr:uid="{74F0FDE2-5AF4-4671-B0BE-955DCFE09C3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D562DA35-D786-4538-8342-8BC02E27AB11}"/>
    <cellStyle name="20% - Accent5 2 3 5 2 3" xfId="13447" xr:uid="{07080524-B108-41AD-8908-DEAFD3DD2E58}"/>
    <cellStyle name="20% - Accent5 2 3 5 3" xfId="6193" xr:uid="{00000000-0005-0000-0000-0000BB020000}"/>
    <cellStyle name="20% - Accent5 2 3 5 3 2" xfId="15519" xr:uid="{336982AA-E969-4EAF-8A58-DE61A42EE410}"/>
    <cellStyle name="20% - Accent5 2 3 5 4" xfId="11302" xr:uid="{B7E4087E-7747-4E1F-BD9C-4A5CCF2A5FF9}"/>
    <cellStyle name="20% - Accent5 2 3 6" xfId="2300" xr:uid="{00000000-0005-0000-0000-0000BC020000}"/>
    <cellStyle name="20% - Accent5 2 3 6 2" xfId="6606" xr:uid="{00000000-0005-0000-0000-0000BD020000}"/>
    <cellStyle name="20% - Accent5 2 3 6 2 2" xfId="15932" xr:uid="{E2FD6FD9-C35E-4B0E-8EA8-C974636E54D0}"/>
    <cellStyle name="20% - Accent5 2 3 6 3" xfId="11715" xr:uid="{17DEA3F2-ED04-4E54-BD4C-AF1EAFCAA692}"/>
    <cellStyle name="20% - Accent5 2 3 7" xfId="4540" xr:uid="{00000000-0005-0000-0000-0000BE020000}"/>
    <cellStyle name="20% - Accent5 2 3 7 2" xfId="13866" xr:uid="{E9FFAAFC-0431-4246-ADA0-749F8E6CCF84}"/>
    <cellStyle name="20% - Accent5 2 3 8" xfId="9003" xr:uid="{9830E7D1-E361-4BA3-A986-3DCE647EEF8E}"/>
    <cellStyle name="20% - Accent5 2 3 8 2" xfId="18327" xr:uid="{EE34D6C0-8133-43E8-B5E3-35F7CDA1F66C}"/>
    <cellStyle name="20% - Accent5 2 3 9" xfId="9649" xr:uid="{D4FD10F9-9D1D-4E12-BBEA-130AB05ADF42}"/>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9D3E8185-4D99-427A-BC0E-49B6FD030F56}"/>
    <cellStyle name="20% - Accent5 2 4 2 3" xfId="12205" xr:uid="{ABEDEB4C-2882-404E-9F04-982FC18F21ED}"/>
    <cellStyle name="20% - Accent5 2 4 3" xfId="4951" xr:uid="{00000000-0005-0000-0000-0000C2020000}"/>
    <cellStyle name="20% - Accent5 2 4 3 2" xfId="14277" xr:uid="{8FD37AB9-85E0-4E56-AB02-7C2B4D0FC292}"/>
    <cellStyle name="20% - Accent5 2 4 4" xfId="9220" xr:uid="{A7B88928-FE72-4C1B-B74E-3CA76DBA84CC}"/>
    <cellStyle name="20% - Accent5 2 4 4 2" xfId="18536" xr:uid="{84A97557-157C-48C8-A5BE-BB08B5B7E0E3}"/>
    <cellStyle name="20% - Accent5 2 4 5" xfId="10060" xr:uid="{E4A194B9-9A54-4B1C-924D-441B33097B4D}"/>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2BDB3D99-0937-4951-B7D6-C4EE1C136F3A}"/>
    <cellStyle name="20% - Accent5 2 5 2 3" xfId="12618" xr:uid="{E817D433-6BD5-4EA3-8BFB-5E6874350BEA}"/>
    <cellStyle name="20% - Accent5 2 5 3" xfId="5364" xr:uid="{00000000-0005-0000-0000-0000C6020000}"/>
    <cellStyle name="20% - Accent5 2 5 3 2" xfId="14690" xr:uid="{E81DC72C-2DAB-450A-AEC9-FCB8AEE95D70}"/>
    <cellStyle name="20% - Accent5 2 5 4" xfId="10473" xr:uid="{D67CBAF5-A570-43DF-B9A9-52CB8A1250D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F19E8F6A-91CC-41AC-9066-1C7AE2780CB0}"/>
    <cellStyle name="20% - Accent5 2 6 2 3" xfId="13031" xr:uid="{19A7DA6C-B84A-4795-A0E7-7D7467894096}"/>
    <cellStyle name="20% - Accent5 2 6 3" xfId="5777" xr:uid="{00000000-0005-0000-0000-0000CA020000}"/>
    <cellStyle name="20% - Accent5 2 6 3 2" xfId="15103" xr:uid="{994E235A-6333-4D9E-80D9-9D11457CF8C0}"/>
    <cellStyle name="20% - Accent5 2 6 4" xfId="10886" xr:uid="{F597A592-A93B-41FA-AB5F-33BDC7F717CB}"/>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A549A6EB-F0B4-4320-8BE7-24EAAD317375}"/>
    <cellStyle name="20% - Accent5 2 7 2 3" xfId="13444" xr:uid="{FB5654A3-F4B1-4225-A4DF-5B94E645BA72}"/>
    <cellStyle name="20% - Accent5 2 7 3" xfId="6190" xr:uid="{00000000-0005-0000-0000-0000CE020000}"/>
    <cellStyle name="20% - Accent5 2 7 3 2" xfId="15516" xr:uid="{F1A7592A-C137-4D8E-8124-5B116E097F5D}"/>
    <cellStyle name="20% - Accent5 2 7 4" xfId="11299" xr:uid="{6797FDB5-9895-4D45-A235-51A1A04CD74A}"/>
    <cellStyle name="20% - Accent5 2 8" xfId="2297" xr:uid="{00000000-0005-0000-0000-0000CF020000}"/>
    <cellStyle name="20% - Accent5 2 8 2" xfId="6603" xr:uid="{00000000-0005-0000-0000-0000D0020000}"/>
    <cellStyle name="20% - Accent5 2 8 2 2" xfId="15929" xr:uid="{49233D0A-6F62-490C-90E2-A41D27D0A9F4}"/>
    <cellStyle name="20% - Accent5 2 8 3" xfId="11712" xr:uid="{FA985B55-6CDB-463F-BC66-1A5D577F7732}"/>
    <cellStyle name="20% - Accent5 2 9" xfId="4537" xr:uid="{00000000-0005-0000-0000-0000D1020000}"/>
    <cellStyle name="20% - Accent5 2 9 2" xfId="13863" xr:uid="{FBC529B3-36B0-4AAD-B135-3F4E913CE56E}"/>
    <cellStyle name="20% - Accent5 3" xfId="38" xr:uid="{00000000-0005-0000-0000-0000D2020000}"/>
    <cellStyle name="20% - Accent5 3 10" xfId="9650" xr:uid="{6B6EFD91-9E76-4170-B143-75DC5C369381}"/>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10622ECE-82A9-4387-A156-0903218B1872}"/>
    <cellStyle name="20% - Accent5 3 2 2 2 3" xfId="12210" xr:uid="{5C312DE1-7258-45D7-B709-A34A98FECFEF}"/>
    <cellStyle name="20% - Accent5 3 2 2 3" xfId="4956" xr:uid="{00000000-0005-0000-0000-0000D7020000}"/>
    <cellStyle name="20% - Accent5 3 2 2 3 2" xfId="14282" xr:uid="{ACD8D459-9DEE-4F3C-BD4D-C140CBC71D67}"/>
    <cellStyle name="20% - Accent5 3 2 2 4" xfId="9501" xr:uid="{82A590A5-96D4-476E-8E6F-D81EEE08C409}"/>
    <cellStyle name="20% - Accent5 3 2 2 4 2" xfId="18816" xr:uid="{386657C4-B54A-40AF-B631-758C35CFD9E6}"/>
    <cellStyle name="20% - Accent5 3 2 2 5" xfId="10065" xr:uid="{FBB6E109-976B-47A5-9087-EB7AA61E636B}"/>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B568EC59-7007-413F-87E4-3A7AF7ED8905}"/>
    <cellStyle name="20% - Accent5 3 2 3 2 3" xfId="12623" xr:uid="{633B8D5C-2212-4606-9222-CF3E3F9A04DB}"/>
    <cellStyle name="20% - Accent5 3 2 3 3" xfId="5369" xr:uid="{00000000-0005-0000-0000-0000DB020000}"/>
    <cellStyle name="20% - Accent5 3 2 3 3 2" xfId="14695" xr:uid="{C3E4B9B7-DD67-48E9-B776-4D442C3F51DD}"/>
    <cellStyle name="20% - Accent5 3 2 3 4" xfId="10478" xr:uid="{42E58C32-A0BF-4E11-B8C2-0BBA249BC38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05C3D09B-566F-444B-AAE3-E66788849593}"/>
    <cellStyle name="20% - Accent5 3 2 4 2 3" xfId="13036" xr:uid="{5A41BAA9-A18D-470F-AD8B-8B5D79C54316}"/>
    <cellStyle name="20% - Accent5 3 2 4 3" xfId="5782" xr:uid="{00000000-0005-0000-0000-0000DF020000}"/>
    <cellStyle name="20% - Accent5 3 2 4 3 2" xfId="15108" xr:uid="{438924C3-6FE5-4FD6-8356-3BBC797DE285}"/>
    <cellStyle name="20% - Accent5 3 2 4 4" xfId="10891" xr:uid="{559EF282-4012-4BCF-8BE1-AAF6B4B34486}"/>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0C8E869E-0AC2-4685-9396-96F354453EA8}"/>
    <cellStyle name="20% - Accent5 3 2 5 2 3" xfId="13449" xr:uid="{15799E99-5582-4EA9-B3D9-0F21EAF990F9}"/>
    <cellStyle name="20% - Accent5 3 2 5 3" xfId="6195" xr:uid="{00000000-0005-0000-0000-0000E3020000}"/>
    <cellStyle name="20% - Accent5 3 2 5 3 2" xfId="15521" xr:uid="{4362DF99-89C6-4AFD-8932-06B0ED641DBB}"/>
    <cellStyle name="20% - Accent5 3 2 5 4" xfId="11304" xr:uid="{BAD176D7-E105-4918-A07F-C34F2462D5D3}"/>
    <cellStyle name="20% - Accent5 3 2 6" xfId="2302" xr:uid="{00000000-0005-0000-0000-0000E4020000}"/>
    <cellStyle name="20% - Accent5 3 2 6 2" xfId="6608" xr:uid="{00000000-0005-0000-0000-0000E5020000}"/>
    <cellStyle name="20% - Accent5 3 2 6 2 2" xfId="15934" xr:uid="{BD6F84FA-FDE7-4BBA-B29A-EB8B4B5CA8A5}"/>
    <cellStyle name="20% - Accent5 3 2 6 3" xfId="11717" xr:uid="{2CB50314-7635-4CC1-816A-83D38B05F46A}"/>
    <cellStyle name="20% - Accent5 3 2 7" xfId="4542" xr:uid="{00000000-0005-0000-0000-0000E6020000}"/>
    <cellStyle name="20% - Accent5 3 2 7 2" xfId="13868" xr:uid="{EB5BB49A-0AE4-4C57-AFF4-C1056ECC5311}"/>
    <cellStyle name="20% - Accent5 3 2 8" xfId="9076" xr:uid="{BEDF1D01-35A3-4513-9363-9C1AFC748168}"/>
    <cellStyle name="20% - Accent5 3 2 8 2" xfId="18400" xr:uid="{B6E23F93-0F35-484D-9B95-4B796B4FEB35}"/>
    <cellStyle name="20% - Accent5 3 2 9" xfId="9651" xr:uid="{60645D90-7DDC-4349-A980-8F87071A0470}"/>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A27681D9-EB9B-4A1B-A597-6C4CDF4A9B9C}"/>
    <cellStyle name="20% - Accent5 3 3 2 3" xfId="12209" xr:uid="{78A073DC-61B7-4DDB-9324-807C8EBC0694}"/>
    <cellStyle name="20% - Accent5 3 3 3" xfId="4955" xr:uid="{00000000-0005-0000-0000-0000EA020000}"/>
    <cellStyle name="20% - Accent5 3 3 3 2" xfId="14281" xr:uid="{E45B2D3D-8FEC-47F5-A081-832912A5AD3E}"/>
    <cellStyle name="20% - Accent5 3 3 4" xfId="9294" xr:uid="{124960EA-C7A4-4686-BF67-47D6C57F7EEB}"/>
    <cellStyle name="20% - Accent5 3 3 4 2" xfId="18609" xr:uid="{FBD80E71-5252-4B91-8012-F5749D7F209C}"/>
    <cellStyle name="20% - Accent5 3 3 5" xfId="10064" xr:uid="{6E6CC9D2-3FE1-4414-ABB3-B938169FD90C}"/>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7EF17DEA-D246-480A-9944-9AB80C3651CC}"/>
    <cellStyle name="20% - Accent5 3 4 2 3" xfId="12622" xr:uid="{9C5474E4-5E00-451E-B0ED-91F14707FFF7}"/>
    <cellStyle name="20% - Accent5 3 4 3" xfId="5368" xr:uid="{00000000-0005-0000-0000-0000EE020000}"/>
    <cellStyle name="20% - Accent5 3 4 3 2" xfId="14694" xr:uid="{3CC326F5-9F2B-46D8-BB7A-9E27D30EA184}"/>
    <cellStyle name="20% - Accent5 3 4 4" xfId="10477" xr:uid="{96FE85B5-685C-48B5-82D5-F036E472AFB7}"/>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3B4117A2-CF3B-4591-AE36-9E399BD0D195}"/>
    <cellStyle name="20% - Accent5 3 5 2 3" xfId="13035" xr:uid="{347635CD-2FC4-427E-AA62-3CAF120F2B97}"/>
    <cellStyle name="20% - Accent5 3 5 3" xfId="5781" xr:uid="{00000000-0005-0000-0000-0000F2020000}"/>
    <cellStyle name="20% - Accent5 3 5 3 2" xfId="15107" xr:uid="{EABB404F-1865-4B34-B9A4-EC32CA7D4361}"/>
    <cellStyle name="20% - Accent5 3 5 4" xfId="10890" xr:uid="{2296C11F-D325-4F78-8E68-A51CA780559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6667DD46-C13B-4BDC-9464-FC1E49279251}"/>
    <cellStyle name="20% - Accent5 3 6 2 3" xfId="13448" xr:uid="{C6B16E3E-55C6-4FF3-BE00-42ED513F8D97}"/>
    <cellStyle name="20% - Accent5 3 6 3" xfId="6194" xr:uid="{00000000-0005-0000-0000-0000F6020000}"/>
    <cellStyle name="20% - Accent5 3 6 3 2" xfId="15520" xr:uid="{50AA2E61-516E-4581-96E3-D83C2555EA2D}"/>
    <cellStyle name="20% - Accent5 3 6 4" xfId="11303" xr:uid="{D495595F-68F7-45A5-A65A-0259CA170763}"/>
    <cellStyle name="20% - Accent5 3 7" xfId="2301" xr:uid="{00000000-0005-0000-0000-0000F7020000}"/>
    <cellStyle name="20% - Accent5 3 7 2" xfId="6607" xr:uid="{00000000-0005-0000-0000-0000F8020000}"/>
    <cellStyle name="20% - Accent5 3 7 2 2" xfId="15933" xr:uid="{7BC1CC2A-9C35-4B34-AD8F-65D9ADF84509}"/>
    <cellStyle name="20% - Accent5 3 7 3" xfId="11716" xr:uid="{8F232E4E-48E0-413F-946A-1949A813F662}"/>
    <cellStyle name="20% - Accent5 3 8" xfId="4541" xr:uid="{00000000-0005-0000-0000-0000F9020000}"/>
    <cellStyle name="20% - Accent5 3 8 2" xfId="13867" xr:uid="{9BF90920-7D56-45C9-BA40-558A09CDEF38}"/>
    <cellStyle name="20% - Accent5 3 9" xfId="8869" xr:uid="{43CC8A87-AEEB-4E51-98E7-F8AE8D86AD2B}"/>
    <cellStyle name="20% - Accent5 3 9 2" xfId="18193" xr:uid="{6636AD0B-A383-4096-BA7F-9034D1E3D278}"/>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5A2ED471-E0A9-47FB-AC82-3A7EF90FBFA1}"/>
    <cellStyle name="20% - Accent5 4 2 2 3" xfId="12211" xr:uid="{B483D0B5-A11A-4DE2-B410-ED8FECBD21AE}"/>
    <cellStyle name="20% - Accent5 4 2 3" xfId="4957" xr:uid="{00000000-0005-0000-0000-0000FE020000}"/>
    <cellStyle name="20% - Accent5 4 2 3 2" xfId="14283" xr:uid="{DEB68BE6-99B1-49DA-B3EB-DC439511CF25}"/>
    <cellStyle name="20% - Accent5 4 2 4" xfId="9380" xr:uid="{1C764D65-D71C-4646-AD86-15F83BDBF498}"/>
    <cellStyle name="20% - Accent5 4 2 4 2" xfId="18695" xr:uid="{B3DEC254-50EA-4A3B-AE7E-3D044FF407C7}"/>
    <cellStyle name="20% - Accent5 4 2 5" xfId="10066" xr:uid="{85B5DFC6-E9D9-4CFD-AF25-457200797807}"/>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B4D5161E-1745-4272-B1E4-1B75DF21006F}"/>
    <cellStyle name="20% - Accent5 4 3 2 3" xfId="12624" xr:uid="{111B227D-5CC2-42A3-B28D-EF3B5E962113}"/>
    <cellStyle name="20% - Accent5 4 3 3" xfId="5370" xr:uid="{00000000-0005-0000-0000-000002030000}"/>
    <cellStyle name="20% - Accent5 4 3 3 2" xfId="14696" xr:uid="{584B8392-CBC3-418D-BE86-D00173243D65}"/>
    <cellStyle name="20% - Accent5 4 3 4" xfId="10479" xr:uid="{45945DA4-F1B5-4830-B314-5D292B16710B}"/>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F8C745F-1BDF-4224-AE12-6B7328D7F95C}"/>
    <cellStyle name="20% - Accent5 4 4 2 3" xfId="13037" xr:uid="{FDA6EAFD-8DB7-4A76-9890-151A884D3906}"/>
    <cellStyle name="20% - Accent5 4 4 3" xfId="5783" xr:uid="{00000000-0005-0000-0000-000006030000}"/>
    <cellStyle name="20% - Accent5 4 4 3 2" xfId="15109" xr:uid="{12E3BED9-BA23-4AF8-B6FB-39C08BF084DB}"/>
    <cellStyle name="20% - Accent5 4 4 4" xfId="10892" xr:uid="{C8158D0D-7A43-4055-9D9D-37247CCC41A7}"/>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B1F0E4F3-433A-4433-ABD4-4A05509B1A56}"/>
    <cellStyle name="20% - Accent5 4 5 2 3" xfId="13450" xr:uid="{9D9AAB4C-6923-429C-BAD1-A64240675785}"/>
    <cellStyle name="20% - Accent5 4 5 3" xfId="6196" xr:uid="{00000000-0005-0000-0000-00000A030000}"/>
    <cellStyle name="20% - Accent5 4 5 3 2" xfId="15522" xr:uid="{105EACDA-5D0A-4D27-9768-1DF5E95F9E41}"/>
    <cellStyle name="20% - Accent5 4 5 4" xfId="11305" xr:uid="{2689C6F8-BFDD-4DE9-B0A2-2F9FA65439B9}"/>
    <cellStyle name="20% - Accent5 4 6" xfId="2303" xr:uid="{00000000-0005-0000-0000-00000B030000}"/>
    <cellStyle name="20% - Accent5 4 6 2" xfId="6609" xr:uid="{00000000-0005-0000-0000-00000C030000}"/>
    <cellStyle name="20% - Accent5 4 6 2 2" xfId="15935" xr:uid="{834374AF-BCDB-43F2-AD85-D4125CD7BFC5}"/>
    <cellStyle name="20% - Accent5 4 6 3" xfId="11718" xr:uid="{E0DD6905-8B69-4302-A406-1BDB39C4DB00}"/>
    <cellStyle name="20% - Accent5 4 7" xfId="4543" xr:uid="{00000000-0005-0000-0000-00000D030000}"/>
    <cellStyle name="20% - Accent5 4 7 2" xfId="13869" xr:uid="{26D8E08B-F70A-4A37-A536-AABC8CE8F8C5}"/>
    <cellStyle name="20% - Accent5 4 8" xfId="8955" xr:uid="{8AD43D76-8747-44EC-8D3B-2720ADF9D1B1}"/>
    <cellStyle name="20% - Accent5 4 8 2" xfId="18279" xr:uid="{78045505-2F63-4BE4-8D96-2F753B296B10}"/>
    <cellStyle name="20% - Accent5 4 9" xfId="9652" xr:uid="{0CEABA54-D7CB-438A-90CC-2160FFCCBD40}"/>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A969015B-6E62-487D-B800-1B26CB6BCF89}"/>
    <cellStyle name="20% - Accent5 5 2 3" xfId="12204" xr:uid="{33749456-6378-4245-95A7-4B2F1A0EB016}"/>
    <cellStyle name="20% - Accent5 5 3" xfId="4950" xr:uid="{00000000-0005-0000-0000-000011030000}"/>
    <cellStyle name="20% - Accent5 5 3 2" xfId="14276" xr:uid="{D9C23590-19C3-4944-8518-B087C752EEFC}"/>
    <cellStyle name="20% - Accent5 5 4" xfId="9188" xr:uid="{164CF7CE-7706-426C-90AA-4867A06E28BD}"/>
    <cellStyle name="20% - Accent5 5 4 2" xfId="18506" xr:uid="{32A6D29C-6700-4BFD-B808-B7AFCA116ABD}"/>
    <cellStyle name="20% - Accent5 5 5" xfId="10059" xr:uid="{480791A5-B9F6-4B02-B9A7-C928CC73BB7E}"/>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68D10065-75B8-4DC1-BC9F-2C9A7B421662}"/>
    <cellStyle name="20% - Accent5 6 2 3" xfId="12617" xr:uid="{EF725167-FAD2-4878-8FE9-4F58D8E9330E}"/>
    <cellStyle name="20% - Accent5 6 3" xfId="5363" xr:uid="{00000000-0005-0000-0000-000015030000}"/>
    <cellStyle name="20% - Accent5 6 3 2" xfId="14689" xr:uid="{BFFD1F79-95AB-4D9D-932F-6A020904EF87}"/>
    <cellStyle name="20% - Accent5 6 4" xfId="10472" xr:uid="{9594A5E5-47EF-4867-9FC0-CA2DAC643858}"/>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8D4AFEE7-7A6D-4D2F-8CA6-5297B618527E}"/>
    <cellStyle name="20% - Accent5 7 2 3" xfId="13030" xr:uid="{AADC802B-EB79-42C9-948C-C5A4EFE4BB98}"/>
    <cellStyle name="20% - Accent5 7 3" xfId="5776" xr:uid="{00000000-0005-0000-0000-000019030000}"/>
    <cellStyle name="20% - Accent5 7 3 2" xfId="15102" xr:uid="{A37AE0AA-2B17-406B-94AF-E66B02E21E8F}"/>
    <cellStyle name="20% - Accent5 7 4" xfId="10885" xr:uid="{1EC55086-3D6C-4520-86E1-08BB75DCCC0F}"/>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BA3CF551-52DE-43E1-ABDC-88BA29E0445B}"/>
    <cellStyle name="20% - Accent5 8 2 3" xfId="13443" xr:uid="{517394DC-A27D-48C3-BD01-9596CAFE3AF9}"/>
    <cellStyle name="20% - Accent5 8 3" xfId="6189" xr:uid="{00000000-0005-0000-0000-00001D030000}"/>
    <cellStyle name="20% - Accent5 8 3 2" xfId="15515" xr:uid="{4B8A2555-8D61-4255-8BAD-4AE08220E448}"/>
    <cellStyle name="20% - Accent5 8 4" xfId="11298" xr:uid="{1F7886E1-9635-49CE-93A5-539F6EDD2D1D}"/>
    <cellStyle name="20% - Accent5 9" xfId="2296" xr:uid="{00000000-0005-0000-0000-00001E030000}"/>
    <cellStyle name="20% - Accent5 9 2" xfId="6602" xr:uid="{00000000-0005-0000-0000-00001F030000}"/>
    <cellStyle name="20% - Accent5 9 2 2" xfId="15928" xr:uid="{8F887786-C68A-451A-9FCF-EC474D953260}"/>
    <cellStyle name="20% - Accent5 9 3" xfId="11711" xr:uid="{841AA2FF-BD31-4601-A524-6029BE220695}"/>
    <cellStyle name="20% - Accent6" xfId="41" builtinId="50" customBuiltin="1"/>
    <cellStyle name="20% - Accent6 10" xfId="4544" xr:uid="{00000000-0005-0000-0000-000021030000}"/>
    <cellStyle name="20% - Accent6 10 2" xfId="13870" xr:uid="{BF98BA03-F52B-47D3-B1EF-8B091F7930CD}"/>
    <cellStyle name="20% - Accent6 11" xfId="8768" xr:uid="{5A1F1293-A19F-445F-908A-D9DBB6265CA0}"/>
    <cellStyle name="20% - Accent6 11 2" xfId="18092" xr:uid="{BB7C9781-6F8F-4103-996B-CAA1D3E6AB2D}"/>
    <cellStyle name="20% - Accent6 12" xfId="9653" xr:uid="{46CEC463-85D9-43A0-A88E-84A97C2573C0}"/>
    <cellStyle name="20% - Accent6 2" xfId="42" xr:uid="{00000000-0005-0000-0000-000022030000}"/>
    <cellStyle name="20% - Accent6 2 10" xfId="8795" xr:uid="{9A35B19E-8802-437A-ABDC-7B06A4E07F58}"/>
    <cellStyle name="20% - Accent6 2 10 2" xfId="18119" xr:uid="{25958265-E885-4BE5-BFB0-DA6D2A9D9DAD}"/>
    <cellStyle name="20% - Accent6 2 11" xfId="9654" xr:uid="{111A7B68-6A50-49C3-8D64-7C65D638D076}"/>
    <cellStyle name="20% - Accent6 2 2" xfId="43" xr:uid="{00000000-0005-0000-0000-000023030000}"/>
    <cellStyle name="20% - Accent6 2 2 10" xfId="9655" xr:uid="{99F45F61-4FE3-4987-A122-8A0184D3D798}"/>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ECD80576-24DB-4078-9A8B-68174C2B3C07}"/>
    <cellStyle name="20% - Accent6 2 2 2 2 2 3" xfId="12215" xr:uid="{719056B0-A64A-44FD-B1F1-31A1E34A5C2E}"/>
    <cellStyle name="20% - Accent6 2 2 2 2 3" xfId="4961" xr:uid="{00000000-0005-0000-0000-000028030000}"/>
    <cellStyle name="20% - Accent6 2 2 2 2 3 2" xfId="14287" xr:uid="{91FD8B5D-A32C-4315-906E-20539CE6CE23}"/>
    <cellStyle name="20% - Accent6 2 2 2 2 4" xfId="9530" xr:uid="{AFD3EE0E-70EF-4C1B-B994-7B8E7E8187BC}"/>
    <cellStyle name="20% - Accent6 2 2 2 2 4 2" xfId="18845" xr:uid="{F890FFDC-6C19-470D-AE80-3C8D77B6576B}"/>
    <cellStyle name="20% - Accent6 2 2 2 2 5" xfId="10070" xr:uid="{3D75697B-5AEA-4500-824E-B6611E8125F7}"/>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3D43E1CE-83DA-45AD-8843-6E6157E2EEF8}"/>
    <cellStyle name="20% - Accent6 2 2 2 3 2 3" xfId="12628" xr:uid="{8E8B49A1-A61E-438F-A8C8-EC53262B6617}"/>
    <cellStyle name="20% - Accent6 2 2 2 3 3" xfId="5374" xr:uid="{00000000-0005-0000-0000-00002C030000}"/>
    <cellStyle name="20% - Accent6 2 2 2 3 3 2" xfId="14700" xr:uid="{04CFD82B-EE54-4688-A865-B222F6CBC811}"/>
    <cellStyle name="20% - Accent6 2 2 2 3 4" xfId="10483" xr:uid="{B9DB3FC9-0F36-4566-BF83-8C403FCC4223}"/>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F3CBADDC-1F58-4201-B27D-4749AEAECA59}"/>
    <cellStyle name="20% - Accent6 2 2 2 4 2 3" xfId="13041" xr:uid="{714B1DF7-6EA7-4216-830B-4B8EBA8089B0}"/>
    <cellStyle name="20% - Accent6 2 2 2 4 3" xfId="5787" xr:uid="{00000000-0005-0000-0000-000030030000}"/>
    <cellStyle name="20% - Accent6 2 2 2 4 3 2" xfId="15113" xr:uid="{8C787E32-CD2E-4DE5-A780-0492A1A9681B}"/>
    <cellStyle name="20% - Accent6 2 2 2 4 4" xfId="10896" xr:uid="{13ABC4E1-6409-4E39-A47D-B67CA4969808}"/>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175D3B68-A065-45B5-AC7E-0A90BD616EFB}"/>
    <cellStyle name="20% - Accent6 2 2 2 5 2 3" xfId="13454" xr:uid="{CFDF5250-4C2F-4D7E-B257-83681764C778}"/>
    <cellStyle name="20% - Accent6 2 2 2 5 3" xfId="6200" xr:uid="{00000000-0005-0000-0000-000034030000}"/>
    <cellStyle name="20% - Accent6 2 2 2 5 3 2" xfId="15526" xr:uid="{2B7E2687-C577-46E3-BCB1-744DDB501196}"/>
    <cellStyle name="20% - Accent6 2 2 2 5 4" xfId="11309" xr:uid="{EF302A53-8BCE-46DE-9F03-5D32D556B096}"/>
    <cellStyle name="20% - Accent6 2 2 2 6" xfId="2307" xr:uid="{00000000-0005-0000-0000-000035030000}"/>
    <cellStyle name="20% - Accent6 2 2 2 6 2" xfId="6613" xr:uid="{00000000-0005-0000-0000-000036030000}"/>
    <cellStyle name="20% - Accent6 2 2 2 6 2 2" xfId="15939" xr:uid="{5DFC308B-7F87-4BA5-A2FC-D43742BDE2A4}"/>
    <cellStyle name="20% - Accent6 2 2 2 6 3" xfId="11722" xr:uid="{1243B343-498C-4956-B9DA-8F1E39D93BC1}"/>
    <cellStyle name="20% - Accent6 2 2 2 7" xfId="4547" xr:uid="{00000000-0005-0000-0000-000037030000}"/>
    <cellStyle name="20% - Accent6 2 2 2 7 2" xfId="13873" xr:uid="{664FAB1B-8DCD-4FB9-9AA5-7EBF36B76558}"/>
    <cellStyle name="20% - Accent6 2 2 2 8" xfId="9105" xr:uid="{2D3B6B01-F2FB-4D08-A7F9-9902961EFB46}"/>
    <cellStyle name="20% - Accent6 2 2 2 8 2" xfId="18429" xr:uid="{EA4978E4-31D3-44C8-867A-77B07F6AC628}"/>
    <cellStyle name="20% - Accent6 2 2 2 9" xfId="9656" xr:uid="{22D92A16-16AC-4C2D-AC9B-B5B3AD5589C5}"/>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DD742A9D-AD61-466A-88E6-4B508BD4CF7E}"/>
    <cellStyle name="20% - Accent6 2 2 3 2 3" xfId="12214" xr:uid="{3029B062-D656-41C0-86C8-6C35EF27DFD4}"/>
    <cellStyle name="20% - Accent6 2 2 3 3" xfId="4960" xr:uid="{00000000-0005-0000-0000-00003B030000}"/>
    <cellStyle name="20% - Accent6 2 2 3 3 2" xfId="14286" xr:uid="{B3D3FDDE-8321-4CA8-A64C-B45D2CE1AE7D}"/>
    <cellStyle name="20% - Accent6 2 2 3 4" xfId="9323" xr:uid="{93CC3C58-EC1C-4AC6-8D02-E00EFD80A494}"/>
    <cellStyle name="20% - Accent6 2 2 3 4 2" xfId="18638" xr:uid="{07829658-C449-42A0-824D-A07F61FD6D13}"/>
    <cellStyle name="20% - Accent6 2 2 3 5" xfId="10069" xr:uid="{5B4D2405-B41D-47B0-9305-E820264D20D5}"/>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28AA125C-215A-4FCF-90DC-86FA2EB64447}"/>
    <cellStyle name="20% - Accent6 2 2 4 2 3" xfId="12627" xr:uid="{FF6DE850-0361-4F19-9B98-EB2BCA424DD5}"/>
    <cellStyle name="20% - Accent6 2 2 4 3" xfId="5373" xr:uid="{00000000-0005-0000-0000-00003F030000}"/>
    <cellStyle name="20% - Accent6 2 2 4 3 2" xfId="14699" xr:uid="{84A53C60-E8E6-48AE-BF62-FA9ACD2D298A}"/>
    <cellStyle name="20% - Accent6 2 2 4 4" xfId="10482" xr:uid="{82602CD6-E51E-43EA-8CD9-036469377AD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283FA700-C2F9-4F7D-8EFB-50A2ECC66784}"/>
    <cellStyle name="20% - Accent6 2 2 5 2 3" xfId="13040" xr:uid="{2E593B14-2AEC-4EA4-9A32-97C81E4C9553}"/>
    <cellStyle name="20% - Accent6 2 2 5 3" xfId="5786" xr:uid="{00000000-0005-0000-0000-000043030000}"/>
    <cellStyle name="20% - Accent6 2 2 5 3 2" xfId="15112" xr:uid="{BA0876A5-22AD-49EA-B787-D7DDAFE1C512}"/>
    <cellStyle name="20% - Accent6 2 2 5 4" xfId="10895" xr:uid="{53738CBE-D50A-4ECF-800A-9101F22A59AD}"/>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07571C9A-683C-4DA5-AC55-2106B680CC36}"/>
    <cellStyle name="20% - Accent6 2 2 6 2 3" xfId="13453" xr:uid="{9476871A-5A84-4012-9BB7-0E94E621C880}"/>
    <cellStyle name="20% - Accent6 2 2 6 3" xfId="6199" xr:uid="{00000000-0005-0000-0000-000047030000}"/>
    <cellStyle name="20% - Accent6 2 2 6 3 2" xfId="15525" xr:uid="{421262D7-F2DB-4CEC-8178-4AB8C7625D65}"/>
    <cellStyle name="20% - Accent6 2 2 6 4" xfId="11308" xr:uid="{AB1EC018-9FF1-495B-8F34-753C7E576571}"/>
    <cellStyle name="20% - Accent6 2 2 7" xfId="2306" xr:uid="{00000000-0005-0000-0000-000048030000}"/>
    <cellStyle name="20% - Accent6 2 2 7 2" xfId="6612" xr:uid="{00000000-0005-0000-0000-000049030000}"/>
    <cellStyle name="20% - Accent6 2 2 7 2 2" xfId="15938" xr:uid="{9B2E9E19-CF7D-4805-8130-B00AA4F6A79A}"/>
    <cellStyle name="20% - Accent6 2 2 7 3" xfId="11721" xr:uid="{09FF3A64-7A07-45AC-961A-FD5CCB5B23B8}"/>
    <cellStyle name="20% - Accent6 2 2 8" xfId="4546" xr:uid="{00000000-0005-0000-0000-00004A030000}"/>
    <cellStyle name="20% - Accent6 2 2 8 2" xfId="13872" xr:uid="{D06755BC-13F9-4E58-A33B-B954BF184063}"/>
    <cellStyle name="20% - Accent6 2 2 9" xfId="8898" xr:uid="{88686F75-037F-4072-9BDC-942546C51E8F}"/>
    <cellStyle name="20% - Accent6 2 2 9 2" xfId="18222" xr:uid="{B3DE3B06-926A-4ABC-AFD2-F0D9424606D6}"/>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27C3F46E-BD2C-4CAB-9CEA-07064EDE665E}"/>
    <cellStyle name="20% - Accent6 2 3 2 2 3" xfId="12216" xr:uid="{E6EB9982-769B-4F93-AEBB-AC58CAA043F7}"/>
    <cellStyle name="20% - Accent6 2 3 2 3" xfId="4962" xr:uid="{00000000-0005-0000-0000-00004F030000}"/>
    <cellStyle name="20% - Accent6 2 3 2 3 2" xfId="14288" xr:uid="{3EB1B2A2-9955-48F6-82EF-CE209AE09ED5}"/>
    <cellStyle name="20% - Accent6 2 3 2 4" xfId="9427" xr:uid="{009378B6-C0A8-4C7C-A9A2-F91104842D93}"/>
    <cellStyle name="20% - Accent6 2 3 2 4 2" xfId="18742" xr:uid="{0E583A6A-4284-4800-BD59-86D79ABBAF97}"/>
    <cellStyle name="20% - Accent6 2 3 2 5" xfId="10071" xr:uid="{2363FC38-1476-4E05-9A14-E2FBE960FFA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A9DD60EA-7E5F-4991-B056-36560B7FE585}"/>
    <cellStyle name="20% - Accent6 2 3 3 2 3" xfId="12629" xr:uid="{657419CC-9E4C-4E89-AD40-109ABFC174B8}"/>
    <cellStyle name="20% - Accent6 2 3 3 3" xfId="5375" xr:uid="{00000000-0005-0000-0000-000053030000}"/>
    <cellStyle name="20% - Accent6 2 3 3 3 2" xfId="14701" xr:uid="{12A51271-B323-4917-A159-93E5E790D3F2}"/>
    <cellStyle name="20% - Accent6 2 3 3 4" xfId="10484" xr:uid="{C6D91969-5B29-4480-8036-9460122B0D56}"/>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63E9FC7D-5EC9-403F-808C-68ECFB70BA08}"/>
    <cellStyle name="20% - Accent6 2 3 4 2 3" xfId="13042" xr:uid="{BB38FAD9-0B9A-43DF-921F-5726A1A29001}"/>
    <cellStyle name="20% - Accent6 2 3 4 3" xfId="5788" xr:uid="{00000000-0005-0000-0000-000057030000}"/>
    <cellStyle name="20% - Accent6 2 3 4 3 2" xfId="15114" xr:uid="{7EA23DB3-502A-45E3-9C11-DA44E5542F97}"/>
    <cellStyle name="20% - Accent6 2 3 4 4" xfId="10897" xr:uid="{442F07AC-1CC2-4492-A3C5-43C2BA0A5112}"/>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6505681C-84EC-4DB9-A4A6-E298D4CA2C63}"/>
    <cellStyle name="20% - Accent6 2 3 5 2 3" xfId="13455" xr:uid="{A21F89DF-6450-42B1-AF0D-C16A190CE066}"/>
    <cellStyle name="20% - Accent6 2 3 5 3" xfId="6201" xr:uid="{00000000-0005-0000-0000-00005B030000}"/>
    <cellStyle name="20% - Accent6 2 3 5 3 2" xfId="15527" xr:uid="{DD884314-4538-4770-A6BE-9FCA3103B395}"/>
    <cellStyle name="20% - Accent6 2 3 5 4" xfId="11310" xr:uid="{86C00D5E-1071-4B38-99F6-50237D807037}"/>
    <cellStyle name="20% - Accent6 2 3 6" xfId="2308" xr:uid="{00000000-0005-0000-0000-00005C030000}"/>
    <cellStyle name="20% - Accent6 2 3 6 2" xfId="6614" xr:uid="{00000000-0005-0000-0000-00005D030000}"/>
    <cellStyle name="20% - Accent6 2 3 6 2 2" xfId="15940" xr:uid="{C08DECD8-1485-442D-A090-549E90603853}"/>
    <cellStyle name="20% - Accent6 2 3 6 3" xfId="11723" xr:uid="{5CCCA91C-A279-4722-BF30-08C33EBD5421}"/>
    <cellStyle name="20% - Accent6 2 3 7" xfId="4548" xr:uid="{00000000-0005-0000-0000-00005E030000}"/>
    <cellStyle name="20% - Accent6 2 3 7 2" xfId="13874" xr:uid="{96B14063-9F6F-4C19-90ED-65E089775206}"/>
    <cellStyle name="20% - Accent6 2 3 8" xfId="9002" xr:uid="{F69877AB-868C-474F-8F88-C5F2F1F2C041}"/>
    <cellStyle name="20% - Accent6 2 3 8 2" xfId="18326" xr:uid="{8006B339-72A7-4BD2-AF3B-F233EAAD2C27}"/>
    <cellStyle name="20% - Accent6 2 3 9" xfId="9657" xr:uid="{2C0901FE-D2FF-4B5C-AC7D-80D4F0DAFB84}"/>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EC689123-8EEC-415C-813D-222708D2BF27}"/>
    <cellStyle name="20% - Accent6 2 4 2 3" xfId="12213" xr:uid="{2C0CB824-9268-410F-ADA0-C2C3EA1568BC}"/>
    <cellStyle name="20% - Accent6 2 4 3" xfId="4959" xr:uid="{00000000-0005-0000-0000-000062030000}"/>
    <cellStyle name="20% - Accent6 2 4 3 2" xfId="14285" xr:uid="{39723985-D7A5-40C0-A2B3-9AC5844CA6EF}"/>
    <cellStyle name="20% - Accent6 2 4 4" xfId="9219" xr:uid="{C8AD75F8-261B-45C4-93F0-0E0A49EEEF79}"/>
    <cellStyle name="20% - Accent6 2 4 4 2" xfId="18535" xr:uid="{F161DEF2-F9C3-4EC5-A58E-6EF8424719B0}"/>
    <cellStyle name="20% - Accent6 2 4 5" xfId="10068" xr:uid="{33CC4802-9937-479D-ABA4-037AB28C33D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6C99C2D8-2BE2-4096-869E-969B9A3114B2}"/>
    <cellStyle name="20% - Accent6 2 5 2 3" xfId="12626" xr:uid="{7FB3BF52-4315-4485-9CE6-DAB5BBBC4143}"/>
    <cellStyle name="20% - Accent6 2 5 3" xfId="5372" xr:uid="{00000000-0005-0000-0000-000066030000}"/>
    <cellStyle name="20% - Accent6 2 5 3 2" xfId="14698" xr:uid="{45259CEA-EE26-40B8-B8D6-1258367EC800}"/>
    <cellStyle name="20% - Accent6 2 5 4" xfId="10481" xr:uid="{BCC50C12-9713-4C93-967F-88D39F6CCC79}"/>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46496962-F489-423B-A61F-64F9ECBC7A94}"/>
    <cellStyle name="20% - Accent6 2 6 2 3" xfId="13039" xr:uid="{0C699BE3-5214-4E11-871A-599E4A7DD27C}"/>
    <cellStyle name="20% - Accent6 2 6 3" xfId="5785" xr:uid="{00000000-0005-0000-0000-00006A030000}"/>
    <cellStyle name="20% - Accent6 2 6 3 2" xfId="15111" xr:uid="{537D2279-91F8-4F8F-9105-77532CA10C35}"/>
    <cellStyle name="20% - Accent6 2 6 4" xfId="10894" xr:uid="{B6DF7FE8-D8EB-459E-B2D6-C21E3387DD51}"/>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BB29A598-3AC9-431D-8E7B-A99001989830}"/>
    <cellStyle name="20% - Accent6 2 7 2 3" xfId="13452" xr:uid="{AA54146E-3795-4BBE-B61D-B02BE8F0AEFD}"/>
    <cellStyle name="20% - Accent6 2 7 3" xfId="6198" xr:uid="{00000000-0005-0000-0000-00006E030000}"/>
    <cellStyle name="20% - Accent6 2 7 3 2" xfId="15524" xr:uid="{26BB5ACE-6E85-4A90-9DE5-889A2F8CC04A}"/>
    <cellStyle name="20% - Accent6 2 7 4" xfId="11307" xr:uid="{D73BE1B2-372E-4364-AF65-E6C84ACB4BEE}"/>
    <cellStyle name="20% - Accent6 2 8" xfId="2305" xr:uid="{00000000-0005-0000-0000-00006F030000}"/>
    <cellStyle name="20% - Accent6 2 8 2" xfId="6611" xr:uid="{00000000-0005-0000-0000-000070030000}"/>
    <cellStyle name="20% - Accent6 2 8 2 2" xfId="15937" xr:uid="{2A338DE4-7862-4BBA-99A7-939EACA4CF79}"/>
    <cellStyle name="20% - Accent6 2 8 3" xfId="11720" xr:uid="{7833EACD-DEC2-4768-82AA-4EE81D6130AB}"/>
    <cellStyle name="20% - Accent6 2 9" xfId="4545" xr:uid="{00000000-0005-0000-0000-000071030000}"/>
    <cellStyle name="20% - Accent6 2 9 2" xfId="13871" xr:uid="{F468CA66-5112-4E30-9723-6766F701AD45}"/>
    <cellStyle name="20% - Accent6 3" xfId="46" xr:uid="{00000000-0005-0000-0000-000072030000}"/>
    <cellStyle name="20% - Accent6 3 10" xfId="9658" xr:uid="{AFC3C2C3-D26C-4703-93CD-046C4DBB91C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3A84AD0B-7348-41D6-AF49-8B378F2352A9}"/>
    <cellStyle name="20% - Accent6 3 2 2 2 3" xfId="12218" xr:uid="{048E9F45-75A5-4802-8CC5-AAEC6863D6EF}"/>
    <cellStyle name="20% - Accent6 3 2 2 3" xfId="4964" xr:uid="{00000000-0005-0000-0000-000077030000}"/>
    <cellStyle name="20% - Accent6 3 2 2 3 2" xfId="14290" xr:uid="{5A56C3D9-F4BA-4AB0-89A9-C2494B908A21}"/>
    <cellStyle name="20% - Accent6 3 2 2 4" xfId="9503" xr:uid="{A5A3EDF8-16EA-4A86-8795-C3BA46FE244A}"/>
    <cellStyle name="20% - Accent6 3 2 2 4 2" xfId="18818" xr:uid="{78AD51C5-25D9-4AB2-9356-C64BC25ABDBA}"/>
    <cellStyle name="20% - Accent6 3 2 2 5" xfId="10073" xr:uid="{3972983A-6CAB-4B60-BC99-5A87DF9222DE}"/>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DCA4D23A-3618-47B3-8C9F-14669A9CB033}"/>
    <cellStyle name="20% - Accent6 3 2 3 2 3" xfId="12631" xr:uid="{DB3846F1-1C83-4AA3-8604-BC584AEBAB94}"/>
    <cellStyle name="20% - Accent6 3 2 3 3" xfId="5377" xr:uid="{00000000-0005-0000-0000-00007B030000}"/>
    <cellStyle name="20% - Accent6 3 2 3 3 2" xfId="14703" xr:uid="{33CEEEFB-B315-430A-B7EC-CDF4CC8B53FA}"/>
    <cellStyle name="20% - Accent6 3 2 3 4" xfId="10486" xr:uid="{6FC0C641-B50D-4765-817C-BD91A11D370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E86F3E75-F4BE-4CAA-B7FF-C5AB78A1654A}"/>
    <cellStyle name="20% - Accent6 3 2 4 2 3" xfId="13044" xr:uid="{A9E02B19-D3A8-4811-BADD-FA9884EF8225}"/>
    <cellStyle name="20% - Accent6 3 2 4 3" xfId="5790" xr:uid="{00000000-0005-0000-0000-00007F030000}"/>
    <cellStyle name="20% - Accent6 3 2 4 3 2" xfId="15116" xr:uid="{FDC129CC-EC49-4BA8-8A5D-BB3922CFEF43}"/>
    <cellStyle name="20% - Accent6 3 2 4 4" xfId="10899" xr:uid="{CFA2DA0C-4F3E-4708-A059-E7112FABD9F5}"/>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17729403-4D7B-490F-A1CC-BB4DF02FF85F}"/>
    <cellStyle name="20% - Accent6 3 2 5 2 3" xfId="13457" xr:uid="{D8920FAA-FD77-4A92-B6D5-AE83C86ECD8F}"/>
    <cellStyle name="20% - Accent6 3 2 5 3" xfId="6203" xr:uid="{00000000-0005-0000-0000-000083030000}"/>
    <cellStyle name="20% - Accent6 3 2 5 3 2" xfId="15529" xr:uid="{CC0C76D7-49F6-40CB-970A-7A396873B11C}"/>
    <cellStyle name="20% - Accent6 3 2 5 4" xfId="11312" xr:uid="{1B6C688E-947A-42C5-BDC8-33A1BF96336D}"/>
    <cellStyle name="20% - Accent6 3 2 6" xfId="2310" xr:uid="{00000000-0005-0000-0000-000084030000}"/>
    <cellStyle name="20% - Accent6 3 2 6 2" xfId="6616" xr:uid="{00000000-0005-0000-0000-000085030000}"/>
    <cellStyle name="20% - Accent6 3 2 6 2 2" xfId="15942" xr:uid="{4A0549A6-7C66-4641-A0D4-8828BE150438}"/>
    <cellStyle name="20% - Accent6 3 2 6 3" xfId="11725" xr:uid="{F1DA8B7C-5F88-48E3-808E-A93E04ADEE1C}"/>
    <cellStyle name="20% - Accent6 3 2 7" xfId="4550" xr:uid="{00000000-0005-0000-0000-000086030000}"/>
    <cellStyle name="20% - Accent6 3 2 7 2" xfId="13876" xr:uid="{9E779C0E-261D-4EED-A547-876F0027DA6B}"/>
    <cellStyle name="20% - Accent6 3 2 8" xfId="9078" xr:uid="{55C63253-C10A-44F0-A9A1-D3E9AD1B1E77}"/>
    <cellStyle name="20% - Accent6 3 2 8 2" xfId="18402" xr:uid="{E1292D65-F4E3-41C2-ADAF-87F839B6A71E}"/>
    <cellStyle name="20% - Accent6 3 2 9" xfId="9659" xr:uid="{793CF3F4-B58D-4379-B2F6-C25C736DFF6E}"/>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B6250FCD-098C-491C-8172-E05C33174E57}"/>
    <cellStyle name="20% - Accent6 3 3 2 3" xfId="12217" xr:uid="{951BA80B-7FBA-46BA-AC39-15E55152D6A5}"/>
    <cellStyle name="20% - Accent6 3 3 3" xfId="4963" xr:uid="{00000000-0005-0000-0000-00008A030000}"/>
    <cellStyle name="20% - Accent6 3 3 3 2" xfId="14289" xr:uid="{76A08E75-2DC5-41C9-8356-884950A93D6D}"/>
    <cellStyle name="20% - Accent6 3 3 4" xfId="9296" xr:uid="{68DBDAD1-945F-459A-93CE-56D312D1EDE4}"/>
    <cellStyle name="20% - Accent6 3 3 4 2" xfId="18611" xr:uid="{935A5D2E-FB52-4289-AD6B-7D9686E658FD}"/>
    <cellStyle name="20% - Accent6 3 3 5" xfId="10072" xr:uid="{87846EEC-CAF8-48B6-95E8-A0F92E89191A}"/>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F5822730-CCB3-4075-BFD8-EC5A8D6A1883}"/>
    <cellStyle name="20% - Accent6 3 4 2 3" xfId="12630" xr:uid="{BB87E926-25F2-4DC3-A0EA-830A812262E6}"/>
    <cellStyle name="20% - Accent6 3 4 3" xfId="5376" xr:uid="{00000000-0005-0000-0000-00008E030000}"/>
    <cellStyle name="20% - Accent6 3 4 3 2" xfId="14702" xr:uid="{275671BA-2E3D-4E3C-9B8A-DFE10A674BE2}"/>
    <cellStyle name="20% - Accent6 3 4 4" xfId="10485" xr:uid="{7E048F3B-F837-454C-84DB-44D81EECB0F9}"/>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374CC62C-CFA0-4537-9871-62268E9FE371}"/>
    <cellStyle name="20% - Accent6 3 5 2 3" xfId="13043" xr:uid="{394EFB20-8B6A-4491-B5CC-44907461E0E0}"/>
    <cellStyle name="20% - Accent6 3 5 3" xfId="5789" xr:uid="{00000000-0005-0000-0000-000092030000}"/>
    <cellStyle name="20% - Accent6 3 5 3 2" xfId="15115" xr:uid="{15B26BE4-5502-4277-AFE6-7A82A620B429}"/>
    <cellStyle name="20% - Accent6 3 5 4" xfId="10898" xr:uid="{F6BBAB8D-DB0D-4F35-8B7E-17A349FAB653}"/>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40413971-121A-4C28-B76E-5378DAE2E842}"/>
    <cellStyle name="20% - Accent6 3 6 2 3" xfId="13456" xr:uid="{F1E7D7C5-11DB-4CA8-B33F-9DA0569CC0C4}"/>
    <cellStyle name="20% - Accent6 3 6 3" xfId="6202" xr:uid="{00000000-0005-0000-0000-000096030000}"/>
    <cellStyle name="20% - Accent6 3 6 3 2" xfId="15528" xr:uid="{F1A547D8-7781-414D-A00C-B3A0007A929D}"/>
    <cellStyle name="20% - Accent6 3 6 4" xfId="11311" xr:uid="{2D64148E-43E4-47CF-95FF-E4A5CFE9FF68}"/>
    <cellStyle name="20% - Accent6 3 7" xfId="2309" xr:uid="{00000000-0005-0000-0000-000097030000}"/>
    <cellStyle name="20% - Accent6 3 7 2" xfId="6615" xr:uid="{00000000-0005-0000-0000-000098030000}"/>
    <cellStyle name="20% - Accent6 3 7 2 2" xfId="15941" xr:uid="{5F2E8DCF-1B2E-4377-B0BB-AE74C6E1D283}"/>
    <cellStyle name="20% - Accent6 3 7 3" xfId="11724" xr:uid="{C4740434-9DEB-4132-8702-8B5822381767}"/>
    <cellStyle name="20% - Accent6 3 8" xfId="4549" xr:uid="{00000000-0005-0000-0000-000099030000}"/>
    <cellStyle name="20% - Accent6 3 8 2" xfId="13875" xr:uid="{F07F54D7-EA0E-4007-8D05-F7856F5EC622}"/>
    <cellStyle name="20% - Accent6 3 9" xfId="8871" xr:uid="{6A653046-C3D6-46DC-9DAA-DA1241CBE9F0}"/>
    <cellStyle name="20% - Accent6 3 9 2" xfId="18195" xr:uid="{10767904-BF47-4CA9-919C-CC35D1E54C0A}"/>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522D2B56-BA2A-4F8D-8B00-26A227E366CA}"/>
    <cellStyle name="20% - Accent6 4 2 2 3" xfId="12219" xr:uid="{DC96338B-8A28-44C7-AA5E-BC124F2829F0}"/>
    <cellStyle name="20% - Accent6 4 2 3" xfId="4965" xr:uid="{00000000-0005-0000-0000-00009E030000}"/>
    <cellStyle name="20% - Accent6 4 2 3 2" xfId="14291" xr:uid="{4FA97793-2E8B-46BA-9282-488FF08F5885}"/>
    <cellStyle name="20% - Accent6 4 2 4" xfId="9382" xr:uid="{704ED43C-A59A-4E80-A03F-B933767E3A55}"/>
    <cellStyle name="20% - Accent6 4 2 4 2" xfId="18697" xr:uid="{51939A32-BF2B-4558-9ED0-0F4FB1BD5AE3}"/>
    <cellStyle name="20% - Accent6 4 2 5" xfId="10074" xr:uid="{9813D574-248B-48FD-9079-7083C9CBFE43}"/>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16145398-6F12-4BB3-BABB-1A567031AB70}"/>
    <cellStyle name="20% - Accent6 4 3 2 3" xfId="12632" xr:uid="{7FBE0733-4AC1-463E-AB86-F69E393B9E25}"/>
    <cellStyle name="20% - Accent6 4 3 3" xfId="5378" xr:uid="{00000000-0005-0000-0000-0000A2030000}"/>
    <cellStyle name="20% - Accent6 4 3 3 2" xfId="14704" xr:uid="{2B152160-7F17-4596-B506-FB3A6E796830}"/>
    <cellStyle name="20% - Accent6 4 3 4" xfId="10487" xr:uid="{FFEC5AD8-4FE7-4A2D-8070-F7AC82290E20}"/>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2095118A-7D8A-4FD0-9630-D70A0642B600}"/>
    <cellStyle name="20% - Accent6 4 4 2 3" xfId="13045" xr:uid="{750CDB53-C405-4DC6-BDD6-026C019B592E}"/>
    <cellStyle name="20% - Accent6 4 4 3" xfId="5791" xr:uid="{00000000-0005-0000-0000-0000A6030000}"/>
    <cellStyle name="20% - Accent6 4 4 3 2" xfId="15117" xr:uid="{378055FA-98A0-4FE6-B7FC-F8995CFE7924}"/>
    <cellStyle name="20% - Accent6 4 4 4" xfId="10900" xr:uid="{6F84FB1D-5F5A-4B63-A90F-E49D1978F47A}"/>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09E71AAB-228A-4457-BB40-ACD1D0B48113}"/>
    <cellStyle name="20% - Accent6 4 5 2 3" xfId="13458" xr:uid="{52702644-D0AA-449B-AB86-B17DDDFB8F3E}"/>
    <cellStyle name="20% - Accent6 4 5 3" xfId="6204" xr:uid="{00000000-0005-0000-0000-0000AA030000}"/>
    <cellStyle name="20% - Accent6 4 5 3 2" xfId="15530" xr:uid="{F84D6C3F-B513-44B8-9415-CCC00AA12B30}"/>
    <cellStyle name="20% - Accent6 4 5 4" xfId="11313" xr:uid="{42A0B8FB-95C2-4E62-A2E3-FD4E1706226A}"/>
    <cellStyle name="20% - Accent6 4 6" xfId="2311" xr:uid="{00000000-0005-0000-0000-0000AB030000}"/>
    <cellStyle name="20% - Accent6 4 6 2" xfId="6617" xr:uid="{00000000-0005-0000-0000-0000AC030000}"/>
    <cellStyle name="20% - Accent6 4 6 2 2" xfId="15943" xr:uid="{9329A046-2959-43DB-BA7B-30125863F14F}"/>
    <cellStyle name="20% - Accent6 4 6 3" xfId="11726" xr:uid="{D8C72D34-660E-48DC-91B8-493BEAD21C6D}"/>
    <cellStyle name="20% - Accent6 4 7" xfId="4551" xr:uid="{00000000-0005-0000-0000-0000AD030000}"/>
    <cellStyle name="20% - Accent6 4 7 2" xfId="13877" xr:uid="{50F34866-11F2-4212-8155-FDE1C54CEA8F}"/>
    <cellStyle name="20% - Accent6 4 8" xfId="8957" xr:uid="{03E1DA3A-6A3F-4C0D-9844-2D38E7BA13BC}"/>
    <cellStyle name="20% - Accent6 4 8 2" xfId="18281" xr:uid="{D9F16792-53E4-40EB-B57F-A3B02C0C2A9E}"/>
    <cellStyle name="20% - Accent6 4 9" xfId="9660" xr:uid="{C22EB777-C90F-4062-9286-3B4915C9E1CC}"/>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9CF9A2AC-AC16-4974-8977-851691C15C36}"/>
    <cellStyle name="20% - Accent6 5 2 3" xfId="12212" xr:uid="{2E041341-0786-47A0-AFBD-3A502D06ADAA}"/>
    <cellStyle name="20% - Accent6 5 3" xfId="4958" xr:uid="{00000000-0005-0000-0000-0000B1030000}"/>
    <cellStyle name="20% - Accent6 5 3 2" xfId="14284" xr:uid="{C5BAD88B-41EB-4D6C-A9D1-933321EBA846}"/>
    <cellStyle name="20% - Accent6 5 4" xfId="9191" xr:uid="{C812E2E5-5572-4E86-9CB6-C7C53792C044}"/>
    <cellStyle name="20% - Accent6 5 4 2" xfId="18508" xr:uid="{EC4AAF5B-D757-4D97-AA63-F36C95CABEE3}"/>
    <cellStyle name="20% - Accent6 5 5" xfId="10067" xr:uid="{2B83B743-D9C3-4BEE-8827-4D38705577C0}"/>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4E5D1480-F6FA-4AA6-A52A-6973A73A5B38}"/>
    <cellStyle name="20% - Accent6 6 2 3" xfId="12625" xr:uid="{BD7212C6-C0F4-4361-AFC3-2B5AB657476E}"/>
    <cellStyle name="20% - Accent6 6 3" xfId="5371" xr:uid="{00000000-0005-0000-0000-0000B5030000}"/>
    <cellStyle name="20% - Accent6 6 3 2" xfId="14697" xr:uid="{3FEC4490-78CC-4EFA-8CEC-23040F76E5AA}"/>
    <cellStyle name="20% - Accent6 6 4" xfId="10480" xr:uid="{1FA65082-0E55-48C9-9FEE-EE792FF38DCE}"/>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F64E6665-9652-4CFE-969B-2B72E180764E}"/>
    <cellStyle name="20% - Accent6 7 2 3" xfId="13038" xr:uid="{B1D55134-00D1-4F91-8142-54AC135546D2}"/>
    <cellStyle name="20% - Accent6 7 3" xfId="5784" xr:uid="{00000000-0005-0000-0000-0000B9030000}"/>
    <cellStyle name="20% - Accent6 7 3 2" xfId="15110" xr:uid="{6B614CCA-3E19-4FAE-A595-DD0E2EB9B664}"/>
    <cellStyle name="20% - Accent6 7 4" xfId="10893" xr:uid="{11487776-7226-4670-905C-65CF5A4D7F97}"/>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FE989436-0401-471B-9AB6-8EC5AA5C8156}"/>
    <cellStyle name="20% - Accent6 8 2 3" xfId="13451" xr:uid="{687AF70C-5CE4-491E-BE64-A8D029ADD8B1}"/>
    <cellStyle name="20% - Accent6 8 3" xfId="6197" xr:uid="{00000000-0005-0000-0000-0000BD030000}"/>
    <cellStyle name="20% - Accent6 8 3 2" xfId="15523" xr:uid="{99D1E493-8219-44CF-A125-34E2CE30C075}"/>
    <cellStyle name="20% - Accent6 8 4" xfId="11306" xr:uid="{8B020C0A-F231-42A6-8EC4-A2072C61F2F5}"/>
    <cellStyle name="20% - Accent6 9" xfId="2304" xr:uid="{00000000-0005-0000-0000-0000BE030000}"/>
    <cellStyle name="20% - Accent6 9 2" xfId="6610" xr:uid="{00000000-0005-0000-0000-0000BF030000}"/>
    <cellStyle name="20% - Accent6 9 2 2" xfId="15936" xr:uid="{5ECCD4BF-BF32-4AC2-AE20-FFB86123D0AD}"/>
    <cellStyle name="20% - Accent6 9 3" xfId="11719" xr:uid="{C578E0DC-646B-460A-B1D8-8C2E5EADFBAE}"/>
    <cellStyle name="40% - Accent1" xfId="49" builtinId="31" customBuiltin="1"/>
    <cellStyle name="40% - Accent1 10" xfId="4552" xr:uid="{00000000-0005-0000-0000-0000C1030000}"/>
    <cellStyle name="40% - Accent1 10 2" xfId="13878" xr:uid="{4B33B6C1-4B66-45D9-9679-1B74E1D5F47D}"/>
    <cellStyle name="40% - Accent1 11" xfId="8759" xr:uid="{E0AA4078-00FF-4C00-81ED-1F048AC6C533}"/>
    <cellStyle name="40% - Accent1 11 2" xfId="18083" xr:uid="{DCE75C83-CD84-486A-B41A-2026A76DD9BE}"/>
    <cellStyle name="40% - Accent1 12" xfId="9661" xr:uid="{BCCB4A68-7D49-45AE-8B0C-D0A3A2AAE3E4}"/>
    <cellStyle name="40% - Accent1 2" xfId="50" xr:uid="{00000000-0005-0000-0000-0000C2030000}"/>
    <cellStyle name="40% - Accent1 2 10" xfId="8798" xr:uid="{82026451-631C-40CA-BC49-BE5DA2EA921A}"/>
    <cellStyle name="40% - Accent1 2 10 2" xfId="18122" xr:uid="{13C44DE2-139C-42F6-B234-7F1F3CB7E654}"/>
    <cellStyle name="40% - Accent1 2 11" xfId="9662" xr:uid="{646836B3-F14E-4D9C-B9A8-2947D7F8187A}"/>
    <cellStyle name="40% - Accent1 2 2" xfId="51" xr:uid="{00000000-0005-0000-0000-0000C3030000}"/>
    <cellStyle name="40% - Accent1 2 2 10" xfId="9663" xr:uid="{A0197250-4A73-43DE-A563-8E74CC5A07A4}"/>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76C40D2D-6018-477E-BF7D-7E41316948CF}"/>
    <cellStyle name="40% - Accent1 2 2 2 2 2 3" xfId="12223" xr:uid="{3848F4B4-2D80-4DE8-A15C-D23F11B6599B}"/>
    <cellStyle name="40% - Accent1 2 2 2 2 3" xfId="4969" xr:uid="{00000000-0005-0000-0000-0000C8030000}"/>
    <cellStyle name="40% - Accent1 2 2 2 2 3 2" xfId="14295" xr:uid="{956EB333-629D-441A-9A17-1E27B9701F8E}"/>
    <cellStyle name="40% - Accent1 2 2 2 2 4" xfId="9533" xr:uid="{757B5AC4-115E-4B90-B4EA-505C31F9B178}"/>
    <cellStyle name="40% - Accent1 2 2 2 2 4 2" xfId="18848" xr:uid="{57F7A5F4-EE09-4922-8FB1-C07F3942F4CC}"/>
    <cellStyle name="40% - Accent1 2 2 2 2 5" xfId="10078" xr:uid="{E1A8AF0E-A92A-4BE2-8934-BDA60EDF4C6F}"/>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10727C20-DBBF-4708-AC83-C2BB1E1DE6FC}"/>
    <cellStyle name="40% - Accent1 2 2 2 3 2 3" xfId="12636" xr:uid="{77F84A6F-17DB-4BBA-92C1-AF0A063C6ED3}"/>
    <cellStyle name="40% - Accent1 2 2 2 3 3" xfId="5382" xr:uid="{00000000-0005-0000-0000-0000CC030000}"/>
    <cellStyle name="40% - Accent1 2 2 2 3 3 2" xfId="14708" xr:uid="{BB285B98-0B4C-4D9C-A989-E31180332BA7}"/>
    <cellStyle name="40% - Accent1 2 2 2 3 4" xfId="10491" xr:uid="{ADCA25D8-855E-4AF7-B8CC-CCF04F7041D7}"/>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2965566D-AC11-4977-B4DA-CF8743A88D1D}"/>
    <cellStyle name="40% - Accent1 2 2 2 4 2 3" xfId="13049" xr:uid="{539FC844-F2FB-484C-92C0-661B4708456D}"/>
    <cellStyle name="40% - Accent1 2 2 2 4 3" xfId="5795" xr:uid="{00000000-0005-0000-0000-0000D0030000}"/>
    <cellStyle name="40% - Accent1 2 2 2 4 3 2" xfId="15121" xr:uid="{80255BCB-A5D0-4436-922D-8E1D09110396}"/>
    <cellStyle name="40% - Accent1 2 2 2 4 4" xfId="10904" xr:uid="{1924B671-8635-4C5B-B6E9-300D737E91B9}"/>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DAF8C740-2EB0-4DE7-8AFC-48F3241F6AF3}"/>
    <cellStyle name="40% - Accent1 2 2 2 5 2 3" xfId="13462" xr:uid="{50FD85A5-C2E4-4FF2-BF74-F3A45DA4B3CA}"/>
    <cellStyle name="40% - Accent1 2 2 2 5 3" xfId="6208" xr:uid="{00000000-0005-0000-0000-0000D4030000}"/>
    <cellStyle name="40% - Accent1 2 2 2 5 3 2" xfId="15534" xr:uid="{1BCE9287-9078-4539-AB0A-FBD78847D489}"/>
    <cellStyle name="40% - Accent1 2 2 2 5 4" xfId="11317" xr:uid="{D5B6B2B1-FCB3-435E-91E5-E1A2E6700E6B}"/>
    <cellStyle name="40% - Accent1 2 2 2 6" xfId="2315" xr:uid="{00000000-0005-0000-0000-0000D5030000}"/>
    <cellStyle name="40% - Accent1 2 2 2 6 2" xfId="6621" xr:uid="{00000000-0005-0000-0000-0000D6030000}"/>
    <cellStyle name="40% - Accent1 2 2 2 6 2 2" xfId="15947" xr:uid="{AB28713B-7CA8-4D7D-959E-7831B3697C87}"/>
    <cellStyle name="40% - Accent1 2 2 2 6 3" xfId="11730" xr:uid="{21A06AB4-45AA-4A6E-BC1C-A360548142EE}"/>
    <cellStyle name="40% - Accent1 2 2 2 7" xfId="4555" xr:uid="{00000000-0005-0000-0000-0000D7030000}"/>
    <cellStyle name="40% - Accent1 2 2 2 7 2" xfId="13881" xr:uid="{DC9E14A0-03A4-4224-81DE-57DD67027214}"/>
    <cellStyle name="40% - Accent1 2 2 2 8" xfId="9108" xr:uid="{1189B5E8-DD3C-4F9A-ACD3-DB853C0AC60B}"/>
    <cellStyle name="40% - Accent1 2 2 2 8 2" xfId="18432" xr:uid="{CAA22BAE-077A-4A83-B41E-AB26F43756F7}"/>
    <cellStyle name="40% - Accent1 2 2 2 9" xfId="9664" xr:uid="{53287892-C94D-4FAF-87B2-1B8531B41C7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B19E5691-79C6-466D-BC0B-179D12A5EE4B}"/>
    <cellStyle name="40% - Accent1 2 2 3 2 3" xfId="12222" xr:uid="{8D53D94B-92BC-41D3-8AB3-DC541F0FB0A4}"/>
    <cellStyle name="40% - Accent1 2 2 3 3" xfId="4968" xr:uid="{00000000-0005-0000-0000-0000DB030000}"/>
    <cellStyle name="40% - Accent1 2 2 3 3 2" xfId="14294" xr:uid="{D0B7DB97-4F9D-48AE-AE39-DF99272A5348}"/>
    <cellStyle name="40% - Accent1 2 2 3 4" xfId="9326" xr:uid="{6D693950-F4D3-4A82-8C01-49E2379281D4}"/>
    <cellStyle name="40% - Accent1 2 2 3 4 2" xfId="18641" xr:uid="{B66874CB-12C7-4FBA-B156-A6607D73E182}"/>
    <cellStyle name="40% - Accent1 2 2 3 5" xfId="10077" xr:uid="{44739D5C-5833-4712-80F2-34B35425F5F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D676E592-9AE7-49E6-8583-044D3C89A9EB}"/>
    <cellStyle name="40% - Accent1 2 2 4 2 3" xfId="12635" xr:uid="{FD3711BD-39CF-475D-B5B4-B28C917A7819}"/>
    <cellStyle name="40% - Accent1 2 2 4 3" xfId="5381" xr:uid="{00000000-0005-0000-0000-0000DF030000}"/>
    <cellStyle name="40% - Accent1 2 2 4 3 2" xfId="14707" xr:uid="{C0B9B8E0-C8ED-41E5-BCB6-C95CEFB6BB7C}"/>
    <cellStyle name="40% - Accent1 2 2 4 4" xfId="10490" xr:uid="{A1DFA0D8-49C5-4659-9B4C-B63C265D586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6141BFC9-F514-4580-8258-94DC85F65E5C}"/>
    <cellStyle name="40% - Accent1 2 2 5 2 3" xfId="13048" xr:uid="{4D1758A9-58C7-48CE-B700-1FF9E7E55A7E}"/>
    <cellStyle name="40% - Accent1 2 2 5 3" xfId="5794" xr:uid="{00000000-0005-0000-0000-0000E3030000}"/>
    <cellStyle name="40% - Accent1 2 2 5 3 2" xfId="15120" xr:uid="{94C85A57-4A87-4D0A-94B1-C3BD87E16BD5}"/>
    <cellStyle name="40% - Accent1 2 2 5 4" xfId="10903" xr:uid="{2B7D012D-15DB-48C5-A71A-EE2A64E6D610}"/>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9B6A94B1-39AC-4A46-98A2-916C24E494CE}"/>
    <cellStyle name="40% - Accent1 2 2 6 2 3" xfId="13461" xr:uid="{33FB7F36-BC2E-49C5-AEB4-F2914F8061C4}"/>
    <cellStyle name="40% - Accent1 2 2 6 3" xfId="6207" xr:uid="{00000000-0005-0000-0000-0000E7030000}"/>
    <cellStyle name="40% - Accent1 2 2 6 3 2" xfId="15533" xr:uid="{4BAE257E-4F73-4DA7-AE81-2D76802DAE47}"/>
    <cellStyle name="40% - Accent1 2 2 6 4" xfId="11316" xr:uid="{7C861134-E3CF-43FF-9CAA-FF3D054EF715}"/>
    <cellStyle name="40% - Accent1 2 2 7" xfId="2314" xr:uid="{00000000-0005-0000-0000-0000E8030000}"/>
    <cellStyle name="40% - Accent1 2 2 7 2" xfId="6620" xr:uid="{00000000-0005-0000-0000-0000E9030000}"/>
    <cellStyle name="40% - Accent1 2 2 7 2 2" xfId="15946" xr:uid="{36BB1AFB-07CF-4D5E-91DF-5CB38B685231}"/>
    <cellStyle name="40% - Accent1 2 2 7 3" xfId="11729" xr:uid="{A44EBB91-8714-49E1-ACA3-7C9F9AD222B0}"/>
    <cellStyle name="40% - Accent1 2 2 8" xfId="4554" xr:uid="{00000000-0005-0000-0000-0000EA030000}"/>
    <cellStyle name="40% - Accent1 2 2 8 2" xfId="13880" xr:uid="{8768C5B1-C943-47A0-8860-A155825B8F44}"/>
    <cellStyle name="40% - Accent1 2 2 9" xfId="8901" xr:uid="{10130317-AF31-4351-8201-FD8BD447EA3C}"/>
    <cellStyle name="40% - Accent1 2 2 9 2" xfId="18225" xr:uid="{49F28D98-43C1-4019-8372-FC9E689C0FF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5B75FC27-9364-47D5-B6F7-D20559BEFF63}"/>
    <cellStyle name="40% - Accent1 2 3 2 2 3" xfId="12224" xr:uid="{17C872CE-3259-4F2B-98E9-32EC6FF03CA3}"/>
    <cellStyle name="40% - Accent1 2 3 2 3" xfId="4970" xr:uid="{00000000-0005-0000-0000-0000EF030000}"/>
    <cellStyle name="40% - Accent1 2 3 2 3 2" xfId="14296" xr:uid="{99C9A950-5038-438F-B947-B229EE138FD4}"/>
    <cellStyle name="40% - Accent1 2 3 2 4" xfId="9430" xr:uid="{C79D1FB2-141C-4301-8F37-B3B9643C0550}"/>
    <cellStyle name="40% - Accent1 2 3 2 4 2" xfId="18745" xr:uid="{8C43EB70-7CC8-4317-B645-AA35CD4A0167}"/>
    <cellStyle name="40% - Accent1 2 3 2 5" xfId="10079" xr:uid="{4E1145F6-E78A-44B5-881B-6B0B7B4A822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8FB56F21-B0C3-43BE-8752-39CCF18B8656}"/>
    <cellStyle name="40% - Accent1 2 3 3 2 3" xfId="12637" xr:uid="{F49DF549-40D2-4FFD-8964-34F103C4EE8F}"/>
    <cellStyle name="40% - Accent1 2 3 3 3" xfId="5383" xr:uid="{00000000-0005-0000-0000-0000F3030000}"/>
    <cellStyle name="40% - Accent1 2 3 3 3 2" xfId="14709" xr:uid="{B88E1112-4E4D-4704-8588-1AFC0613457F}"/>
    <cellStyle name="40% - Accent1 2 3 3 4" xfId="10492" xr:uid="{03E13E89-22A5-4B0E-9DAF-F1DEB55576AB}"/>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29B59A09-3050-49F2-9579-3ED8D3EEC14A}"/>
    <cellStyle name="40% - Accent1 2 3 4 2 3" xfId="13050" xr:uid="{295FB741-87B4-41C7-B7DB-CD24AEF9D57C}"/>
    <cellStyle name="40% - Accent1 2 3 4 3" xfId="5796" xr:uid="{00000000-0005-0000-0000-0000F7030000}"/>
    <cellStyle name="40% - Accent1 2 3 4 3 2" xfId="15122" xr:uid="{25AB4CB3-3411-4149-98AC-619A8E7BC782}"/>
    <cellStyle name="40% - Accent1 2 3 4 4" xfId="10905" xr:uid="{5B5B71E1-1E9C-4356-8D56-3485E36BABB2}"/>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EE959BD1-6DB4-4FB7-A3DE-23703E72BFC0}"/>
    <cellStyle name="40% - Accent1 2 3 5 2 3" xfId="13463" xr:uid="{9735FB42-0D62-47FF-AE93-B193E92EE300}"/>
    <cellStyle name="40% - Accent1 2 3 5 3" xfId="6209" xr:uid="{00000000-0005-0000-0000-0000FB030000}"/>
    <cellStyle name="40% - Accent1 2 3 5 3 2" xfId="15535" xr:uid="{F8F91818-24B3-4857-9496-3ED9F3CCA5E5}"/>
    <cellStyle name="40% - Accent1 2 3 5 4" xfId="11318" xr:uid="{27DD76AE-9BD6-4DF1-9B3E-6AD2B49AE23F}"/>
    <cellStyle name="40% - Accent1 2 3 6" xfId="2316" xr:uid="{00000000-0005-0000-0000-0000FC030000}"/>
    <cellStyle name="40% - Accent1 2 3 6 2" xfId="6622" xr:uid="{00000000-0005-0000-0000-0000FD030000}"/>
    <cellStyle name="40% - Accent1 2 3 6 2 2" xfId="15948" xr:uid="{A19E4D84-3170-4687-A8AA-CF193B5E4B5A}"/>
    <cellStyle name="40% - Accent1 2 3 6 3" xfId="11731" xr:uid="{0D53F024-4210-49F2-8A22-7BAF83900043}"/>
    <cellStyle name="40% - Accent1 2 3 7" xfId="4556" xr:uid="{00000000-0005-0000-0000-0000FE030000}"/>
    <cellStyle name="40% - Accent1 2 3 7 2" xfId="13882" xr:uid="{4FD6870E-BCB0-41F5-8C94-6B4DA09C2018}"/>
    <cellStyle name="40% - Accent1 2 3 8" xfId="9005" xr:uid="{83AF69B9-664F-4E19-B721-7989C2FEBC0C}"/>
    <cellStyle name="40% - Accent1 2 3 8 2" xfId="18329" xr:uid="{9DB3A35A-81AF-4702-94F8-12B5FE8641AA}"/>
    <cellStyle name="40% - Accent1 2 3 9" xfId="9665" xr:uid="{A8922EFE-52A3-472D-BAC8-DCBC5102F85D}"/>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2CF28E8D-0118-441C-8F35-D6BA06DDD8B4}"/>
    <cellStyle name="40% - Accent1 2 4 2 3" xfId="12221" xr:uid="{E7843C52-B1D9-4EAB-8C50-2235A759FC13}"/>
    <cellStyle name="40% - Accent1 2 4 3" xfId="4967" xr:uid="{00000000-0005-0000-0000-000002040000}"/>
    <cellStyle name="40% - Accent1 2 4 3 2" xfId="14293" xr:uid="{C8203926-518E-4C20-9F23-D4A458171DBD}"/>
    <cellStyle name="40% - Accent1 2 4 4" xfId="9222" xr:uid="{A6B83122-AC98-4E58-AA4D-EC5ECC38FC6B}"/>
    <cellStyle name="40% - Accent1 2 4 4 2" xfId="18538" xr:uid="{CABB8C6B-DDAE-43AD-A152-DC52742595A8}"/>
    <cellStyle name="40% - Accent1 2 4 5" xfId="10076" xr:uid="{EAB505C0-45A6-4558-AE66-74F197344EB8}"/>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ED4C6C97-E630-4E8C-90C4-1E35D550771C}"/>
    <cellStyle name="40% - Accent1 2 5 2 3" xfId="12634" xr:uid="{AF6E7C03-179F-4AA2-B693-5BCD1DB10F15}"/>
    <cellStyle name="40% - Accent1 2 5 3" xfId="5380" xr:uid="{00000000-0005-0000-0000-000006040000}"/>
    <cellStyle name="40% - Accent1 2 5 3 2" xfId="14706" xr:uid="{4CF5CBF0-70EA-48D6-9454-CD4CEE1B1592}"/>
    <cellStyle name="40% - Accent1 2 5 4" xfId="10489" xr:uid="{445BD7A7-6EFB-45C7-977C-ABAE71CB6B9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BEC377D1-FDD9-4B38-A1C4-12E567DD1226}"/>
    <cellStyle name="40% - Accent1 2 6 2 3" xfId="13047" xr:uid="{7D57BB67-5E30-4F40-B05B-77A9248D0EC0}"/>
    <cellStyle name="40% - Accent1 2 6 3" xfId="5793" xr:uid="{00000000-0005-0000-0000-00000A040000}"/>
    <cellStyle name="40% - Accent1 2 6 3 2" xfId="15119" xr:uid="{33444929-964C-466C-A072-740A19CC598A}"/>
    <cellStyle name="40% - Accent1 2 6 4" xfId="10902" xr:uid="{7DF1D016-67E7-4223-9C75-6623FDBF0B52}"/>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55FA6BAE-6285-4588-BC2D-720A205B4198}"/>
    <cellStyle name="40% - Accent1 2 7 2 3" xfId="13460" xr:uid="{89321AD8-1DDF-4C99-99B2-E62607C48D90}"/>
    <cellStyle name="40% - Accent1 2 7 3" xfId="6206" xr:uid="{00000000-0005-0000-0000-00000E040000}"/>
    <cellStyle name="40% - Accent1 2 7 3 2" xfId="15532" xr:uid="{57539D3B-256D-4D67-9986-4F1A6389DDCE}"/>
    <cellStyle name="40% - Accent1 2 7 4" xfId="11315" xr:uid="{7B6C3051-2E06-494E-8DC4-43E4AFD8107A}"/>
    <cellStyle name="40% - Accent1 2 8" xfId="2313" xr:uid="{00000000-0005-0000-0000-00000F040000}"/>
    <cellStyle name="40% - Accent1 2 8 2" xfId="6619" xr:uid="{00000000-0005-0000-0000-000010040000}"/>
    <cellStyle name="40% - Accent1 2 8 2 2" xfId="15945" xr:uid="{DFEF8111-9780-4AF8-9419-B91F5AE96491}"/>
    <cellStyle name="40% - Accent1 2 8 3" xfId="11728" xr:uid="{5C292287-18B5-4F36-9644-A40672537D31}"/>
    <cellStyle name="40% - Accent1 2 9" xfId="4553" xr:uid="{00000000-0005-0000-0000-000011040000}"/>
    <cellStyle name="40% - Accent1 2 9 2" xfId="13879" xr:uid="{0728F959-AF17-4DA7-8FC8-79C5A3F9A457}"/>
    <cellStyle name="40% - Accent1 3" xfId="54" xr:uid="{00000000-0005-0000-0000-000012040000}"/>
    <cellStyle name="40% - Accent1 3 10" xfId="9666" xr:uid="{BF79215E-F683-49DC-8A53-BCF26DD20DEF}"/>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67CCCD90-6EAA-4220-A1C4-C4039007A52F}"/>
    <cellStyle name="40% - Accent1 3 2 2 2 3" xfId="12226" xr:uid="{1A3ACE07-7EF7-4BC5-A08F-ECEEE9CCFC86}"/>
    <cellStyle name="40% - Accent1 3 2 2 3" xfId="4972" xr:uid="{00000000-0005-0000-0000-000017040000}"/>
    <cellStyle name="40% - Accent1 3 2 2 3 2" xfId="14298" xr:uid="{42BD6561-37CD-493E-B019-CC66F65184FB}"/>
    <cellStyle name="40% - Accent1 3 2 2 4" xfId="9494" xr:uid="{49092FA9-F337-44E8-98C8-15711B1C1558}"/>
    <cellStyle name="40% - Accent1 3 2 2 4 2" xfId="18809" xr:uid="{D451F8F1-FFED-4FA4-90AB-230A0882E2CB}"/>
    <cellStyle name="40% - Accent1 3 2 2 5" xfId="10081" xr:uid="{EE88A2DA-8ED4-48E5-ACFD-C053CC0F93D3}"/>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7AA2824C-78C2-4545-BB63-044B2CDE8572}"/>
    <cellStyle name="40% - Accent1 3 2 3 2 3" xfId="12639" xr:uid="{943C9946-B4F1-4D10-ABD7-B0D16CAC683C}"/>
    <cellStyle name="40% - Accent1 3 2 3 3" xfId="5385" xr:uid="{00000000-0005-0000-0000-00001B040000}"/>
    <cellStyle name="40% - Accent1 3 2 3 3 2" xfId="14711" xr:uid="{E8E7C570-6B35-468D-81FB-8B1307BA1504}"/>
    <cellStyle name="40% - Accent1 3 2 3 4" xfId="10494" xr:uid="{B53188DE-CBDB-4C74-B7CD-7C824AF783D0}"/>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C94F289D-33B5-4CA9-918B-F9F972F6CED1}"/>
    <cellStyle name="40% - Accent1 3 2 4 2 3" xfId="13052" xr:uid="{764F4EDB-2D7F-4BA3-AC51-4FD1DA3B8FCF}"/>
    <cellStyle name="40% - Accent1 3 2 4 3" xfId="5798" xr:uid="{00000000-0005-0000-0000-00001F040000}"/>
    <cellStyle name="40% - Accent1 3 2 4 3 2" xfId="15124" xr:uid="{45DC0F44-E9E7-4B80-90A1-C81CA18F3A74}"/>
    <cellStyle name="40% - Accent1 3 2 4 4" xfId="10907" xr:uid="{CAAC0336-FF8E-4A64-B503-B6B522BE915E}"/>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68037231-2DB4-4948-A771-50512FC50F46}"/>
    <cellStyle name="40% - Accent1 3 2 5 2 3" xfId="13465" xr:uid="{3C1D2E87-96C0-42CA-A34D-235BB2E0F4A5}"/>
    <cellStyle name="40% - Accent1 3 2 5 3" xfId="6211" xr:uid="{00000000-0005-0000-0000-000023040000}"/>
    <cellStyle name="40% - Accent1 3 2 5 3 2" xfId="15537" xr:uid="{B1D8D68E-96D2-468C-95CD-65832756B0EE}"/>
    <cellStyle name="40% - Accent1 3 2 5 4" xfId="11320" xr:uid="{22508840-7C53-498E-93C0-E22B10504B04}"/>
    <cellStyle name="40% - Accent1 3 2 6" xfId="2318" xr:uid="{00000000-0005-0000-0000-000024040000}"/>
    <cellStyle name="40% - Accent1 3 2 6 2" xfId="6624" xr:uid="{00000000-0005-0000-0000-000025040000}"/>
    <cellStyle name="40% - Accent1 3 2 6 2 2" xfId="15950" xr:uid="{634C9893-70CF-4BBB-9171-99000F0E724B}"/>
    <cellStyle name="40% - Accent1 3 2 6 3" xfId="11733" xr:uid="{CBC7BAB0-9A58-48B3-BA63-99B1A7982958}"/>
    <cellStyle name="40% - Accent1 3 2 7" xfId="4558" xr:uid="{00000000-0005-0000-0000-000026040000}"/>
    <cellStyle name="40% - Accent1 3 2 7 2" xfId="13884" xr:uid="{1B7AA537-064B-4B0F-AA4D-B805E515185B}"/>
    <cellStyle name="40% - Accent1 3 2 8" xfId="9069" xr:uid="{F3D9FD63-8946-4492-B81A-42936E8B246D}"/>
    <cellStyle name="40% - Accent1 3 2 8 2" xfId="18393" xr:uid="{5E290347-A929-4A1C-BBF1-3397BCADB10D}"/>
    <cellStyle name="40% - Accent1 3 2 9" xfId="9667" xr:uid="{3D2B56AA-28A2-4514-8317-FE5EC99F931C}"/>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467B5885-2D61-42E2-8121-90A6E17B7B9B}"/>
    <cellStyle name="40% - Accent1 3 3 2 3" xfId="12225" xr:uid="{E6D980A3-0AD3-43F3-9969-0564821BDD48}"/>
    <cellStyle name="40% - Accent1 3 3 3" xfId="4971" xr:uid="{00000000-0005-0000-0000-00002A040000}"/>
    <cellStyle name="40% - Accent1 3 3 3 2" xfId="14297" xr:uid="{B1C5C15E-BB1E-43E6-9268-0FC44CEEAC3F}"/>
    <cellStyle name="40% - Accent1 3 3 4" xfId="9287" xr:uid="{8C21B573-3D31-49DA-ACD8-D3EC7CC3A858}"/>
    <cellStyle name="40% - Accent1 3 3 4 2" xfId="18602" xr:uid="{B8A16ED8-4142-4A09-90A2-7CCC84C95DD1}"/>
    <cellStyle name="40% - Accent1 3 3 5" xfId="10080" xr:uid="{50F14A2E-DDB5-47E9-A789-5D186426B19C}"/>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C315C8BF-05A5-4B37-BB31-6D82D65B8064}"/>
    <cellStyle name="40% - Accent1 3 4 2 3" xfId="12638" xr:uid="{3732F681-537C-4D4A-A668-89EFE85A15D8}"/>
    <cellStyle name="40% - Accent1 3 4 3" xfId="5384" xr:uid="{00000000-0005-0000-0000-00002E040000}"/>
    <cellStyle name="40% - Accent1 3 4 3 2" xfId="14710" xr:uid="{6A5530A9-F36F-4D17-AD0D-8255F572DF11}"/>
    <cellStyle name="40% - Accent1 3 4 4" xfId="10493" xr:uid="{B59001EF-B2DB-4BB4-AD5F-CD97E481D40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98DDFECE-6737-4E0C-9F9D-9E86F34D6EB6}"/>
    <cellStyle name="40% - Accent1 3 5 2 3" xfId="13051" xr:uid="{30114FA7-209C-4F7D-A8EE-68E440361992}"/>
    <cellStyle name="40% - Accent1 3 5 3" xfId="5797" xr:uid="{00000000-0005-0000-0000-000032040000}"/>
    <cellStyle name="40% - Accent1 3 5 3 2" xfId="15123" xr:uid="{1D0ADBAA-EC91-49B8-AD98-05C2BF4DA44E}"/>
    <cellStyle name="40% - Accent1 3 5 4" xfId="10906" xr:uid="{49F66210-15DD-491C-B8AF-1854448EF98B}"/>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CEFBEE75-859C-4052-B3F5-3698B5CCA3CF}"/>
    <cellStyle name="40% - Accent1 3 6 2 3" xfId="13464" xr:uid="{07DDEEC9-A412-4FBF-A12A-04D88E6ED31C}"/>
    <cellStyle name="40% - Accent1 3 6 3" xfId="6210" xr:uid="{00000000-0005-0000-0000-000036040000}"/>
    <cellStyle name="40% - Accent1 3 6 3 2" xfId="15536" xr:uid="{A436ECEF-D501-4F0F-9E58-48F5A10628C0}"/>
    <cellStyle name="40% - Accent1 3 6 4" xfId="11319" xr:uid="{D52A4DEF-E518-4892-8205-49E1B30B7451}"/>
    <cellStyle name="40% - Accent1 3 7" xfId="2317" xr:uid="{00000000-0005-0000-0000-000037040000}"/>
    <cellStyle name="40% - Accent1 3 7 2" xfId="6623" xr:uid="{00000000-0005-0000-0000-000038040000}"/>
    <cellStyle name="40% - Accent1 3 7 2 2" xfId="15949" xr:uid="{73EBDAAF-8823-4FA6-A554-5F901848EB7E}"/>
    <cellStyle name="40% - Accent1 3 7 3" xfId="11732" xr:uid="{B902A87A-C1D6-4F31-A016-0F898AEB00F1}"/>
    <cellStyle name="40% - Accent1 3 8" xfId="4557" xr:uid="{00000000-0005-0000-0000-000039040000}"/>
    <cellStyle name="40% - Accent1 3 8 2" xfId="13883" xr:uid="{459F9DC7-0D2C-4AA5-92C3-E241B3410EAE}"/>
    <cellStyle name="40% - Accent1 3 9" xfId="8862" xr:uid="{2CC30516-31CA-485E-88BE-FCC7F9756A95}"/>
    <cellStyle name="40% - Accent1 3 9 2" xfId="18186" xr:uid="{9C39F14E-7153-4EE2-8581-4D0A4F60E4AA}"/>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05773632-697E-4240-9534-50CA5528DE2A}"/>
    <cellStyle name="40% - Accent1 4 2 2 3" xfId="12227" xr:uid="{BEEE95CF-02A6-4957-B531-907D594D55E1}"/>
    <cellStyle name="40% - Accent1 4 2 3" xfId="4973" xr:uid="{00000000-0005-0000-0000-00003E040000}"/>
    <cellStyle name="40% - Accent1 4 2 3 2" xfId="14299" xr:uid="{4FBED84A-FAFB-46FA-AFE9-B2C9C73D8137}"/>
    <cellStyle name="40% - Accent1 4 2 4" xfId="9373" xr:uid="{3BC949C7-8F86-44EA-9F10-CF277586B131}"/>
    <cellStyle name="40% - Accent1 4 2 4 2" xfId="18688" xr:uid="{7FBEAB55-E5A1-44E8-833C-DDE399114D64}"/>
    <cellStyle name="40% - Accent1 4 2 5" xfId="10082" xr:uid="{7511EFD9-6DE7-4D43-9EC4-658DEE3A6A8F}"/>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83AF892F-4F1B-40E8-8461-3B453092061B}"/>
    <cellStyle name="40% - Accent1 4 3 2 3" xfId="12640" xr:uid="{4172F87A-4A67-4039-97B4-141A720FE93B}"/>
    <cellStyle name="40% - Accent1 4 3 3" xfId="5386" xr:uid="{00000000-0005-0000-0000-000042040000}"/>
    <cellStyle name="40% - Accent1 4 3 3 2" xfId="14712" xr:uid="{60F2AADC-5624-4A8F-B6CA-E22A855158C7}"/>
    <cellStyle name="40% - Accent1 4 3 4" xfId="10495" xr:uid="{FA279AA7-85E5-4E6F-9A39-48A7F77927A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17CA8FE8-3179-4A14-9A3B-A716718F6C77}"/>
    <cellStyle name="40% - Accent1 4 4 2 3" xfId="13053" xr:uid="{ED4BDBE5-6610-4171-BA4B-F042A56955F3}"/>
    <cellStyle name="40% - Accent1 4 4 3" xfId="5799" xr:uid="{00000000-0005-0000-0000-000046040000}"/>
    <cellStyle name="40% - Accent1 4 4 3 2" xfId="15125" xr:uid="{2EDB1FC4-8121-41EA-8906-B23D4BD59A00}"/>
    <cellStyle name="40% - Accent1 4 4 4" xfId="10908" xr:uid="{2503AAA5-B70B-42ED-A644-A5DBCA95261B}"/>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B38F65FD-20AA-4691-B8C0-DC5D63979BFB}"/>
    <cellStyle name="40% - Accent1 4 5 2 3" xfId="13466" xr:uid="{D9F95B1B-A060-4ED1-909E-C9E57F9B3BBE}"/>
    <cellStyle name="40% - Accent1 4 5 3" xfId="6212" xr:uid="{00000000-0005-0000-0000-00004A040000}"/>
    <cellStyle name="40% - Accent1 4 5 3 2" xfId="15538" xr:uid="{2B60A358-9CD8-4CB0-8DDD-E32A4643B0C4}"/>
    <cellStyle name="40% - Accent1 4 5 4" xfId="11321" xr:uid="{859B06D2-4ABB-474B-98AE-DDD350763617}"/>
    <cellStyle name="40% - Accent1 4 6" xfId="2319" xr:uid="{00000000-0005-0000-0000-00004B040000}"/>
    <cellStyle name="40% - Accent1 4 6 2" xfId="6625" xr:uid="{00000000-0005-0000-0000-00004C040000}"/>
    <cellStyle name="40% - Accent1 4 6 2 2" xfId="15951" xr:uid="{EA4EE494-ABFF-4D7A-9D7A-85859D7BF566}"/>
    <cellStyle name="40% - Accent1 4 6 3" xfId="11734" xr:uid="{E19E6B60-4EDF-437D-9A35-B2E2A81B0F28}"/>
    <cellStyle name="40% - Accent1 4 7" xfId="4559" xr:uid="{00000000-0005-0000-0000-00004D040000}"/>
    <cellStyle name="40% - Accent1 4 7 2" xfId="13885" xr:uid="{17B46410-FC98-4575-9A9F-3B9126ADD1E7}"/>
    <cellStyle name="40% - Accent1 4 8" xfId="8948" xr:uid="{7BCBB449-71B8-4468-A700-0125C7659C3D}"/>
    <cellStyle name="40% - Accent1 4 8 2" xfId="18272" xr:uid="{F162AFAB-D098-409E-BB73-DF60B57763E3}"/>
    <cellStyle name="40% - Accent1 4 9" xfId="9668" xr:uid="{415BC0D3-90F5-423A-8506-25C08F56DE08}"/>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CC6AFBC3-77DD-4B0B-83B8-D2D60B85C209}"/>
    <cellStyle name="40% - Accent1 5 2 3" xfId="12220" xr:uid="{4AEC09FA-49F3-4320-AD2C-31178F396127}"/>
    <cellStyle name="40% - Accent1 5 3" xfId="4966" xr:uid="{00000000-0005-0000-0000-000051040000}"/>
    <cellStyle name="40% - Accent1 5 3 2" xfId="14292" xr:uid="{8CBF6783-1742-4574-8ECC-D3B6F4876F92}"/>
    <cellStyle name="40% - Accent1 5 4" xfId="9181" xr:uid="{332DA761-F1AA-4FF3-9BBB-9ECEE19D2DFF}"/>
    <cellStyle name="40% - Accent1 5 4 2" xfId="18499" xr:uid="{F963E02E-57E2-49E1-AA8A-F0A16A5012CA}"/>
    <cellStyle name="40% - Accent1 5 5" xfId="10075" xr:uid="{1F7062AB-6F1A-44BB-84FB-2DB0432152C4}"/>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DA0FA655-7EA4-4A57-812F-366744EEA2F7}"/>
    <cellStyle name="40% - Accent1 6 2 3" xfId="12633" xr:uid="{D8420E54-1FD4-40AE-B65E-54C07E2B31B4}"/>
    <cellStyle name="40% - Accent1 6 3" xfId="5379" xr:uid="{00000000-0005-0000-0000-000055040000}"/>
    <cellStyle name="40% - Accent1 6 3 2" xfId="14705" xr:uid="{4823DE6A-03EE-47C7-AC93-FE01749A5332}"/>
    <cellStyle name="40% - Accent1 6 4" xfId="10488" xr:uid="{0D02073B-7AB4-4539-BE8C-296119947173}"/>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404377A6-DA4B-4117-A871-FB7E42AE7C5D}"/>
    <cellStyle name="40% - Accent1 7 2 3" xfId="13046" xr:uid="{4C5D5ADC-7357-438F-88BD-31606421C11F}"/>
    <cellStyle name="40% - Accent1 7 3" xfId="5792" xr:uid="{00000000-0005-0000-0000-000059040000}"/>
    <cellStyle name="40% - Accent1 7 3 2" xfId="15118" xr:uid="{1D3F99BC-486B-4FB1-8379-1CD8A5B4FE70}"/>
    <cellStyle name="40% - Accent1 7 4" xfId="10901" xr:uid="{DA7D5D9B-8A29-464B-8860-42CE2C924BA7}"/>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E566AB4E-5905-4F52-88A6-4EA31C2BBA7C}"/>
    <cellStyle name="40% - Accent1 8 2 3" xfId="13459" xr:uid="{4EA0354D-6C6D-481D-B917-97D713B18E70}"/>
    <cellStyle name="40% - Accent1 8 3" xfId="6205" xr:uid="{00000000-0005-0000-0000-00005D040000}"/>
    <cellStyle name="40% - Accent1 8 3 2" xfId="15531" xr:uid="{C54D92D9-8638-4F6A-92FA-BFB4F937FCB0}"/>
    <cellStyle name="40% - Accent1 8 4" xfId="11314" xr:uid="{0D8BC15D-4E93-48C3-85DB-2A5F3FC831F3}"/>
    <cellStyle name="40% - Accent1 9" xfId="2312" xr:uid="{00000000-0005-0000-0000-00005E040000}"/>
    <cellStyle name="40% - Accent1 9 2" xfId="6618" xr:uid="{00000000-0005-0000-0000-00005F040000}"/>
    <cellStyle name="40% - Accent1 9 2 2" xfId="15944" xr:uid="{0A5BC306-ADB3-4866-8685-2748936C2527}"/>
    <cellStyle name="40% - Accent1 9 3" xfId="11727" xr:uid="{6BEF9AD0-4BC5-4683-8F51-7FC6672353AC}"/>
    <cellStyle name="40% - Accent2" xfId="57" builtinId="35" customBuiltin="1"/>
    <cellStyle name="40% - Accent2 10" xfId="4560" xr:uid="{00000000-0005-0000-0000-000061040000}"/>
    <cellStyle name="40% - Accent2 10 2" xfId="13886" xr:uid="{2A787BCD-B845-4645-B34D-E4ADA96A6CEF}"/>
    <cellStyle name="40% - Accent2 11" xfId="8761" xr:uid="{8631D9D1-53DA-4958-8F7C-AD68B7B91D61}"/>
    <cellStyle name="40% - Accent2 11 2" xfId="18085" xr:uid="{E059407E-F7B9-4E32-A736-AEA9C942A5E5}"/>
    <cellStyle name="40% - Accent2 12" xfId="9669" xr:uid="{31B28056-6CD1-41AE-8D81-A105562D9588}"/>
    <cellStyle name="40% - Accent2 2" xfId="58" xr:uid="{00000000-0005-0000-0000-000062040000}"/>
    <cellStyle name="40% - Accent2 2 10" xfId="8799" xr:uid="{E3EEC046-6E76-44A5-8D1B-64621A8F0AC5}"/>
    <cellStyle name="40% - Accent2 2 10 2" xfId="18123" xr:uid="{39C3D1E8-8943-4943-94B9-D70930A73B95}"/>
    <cellStyle name="40% - Accent2 2 11" xfId="9670" xr:uid="{D57947A8-97C4-4C93-B6C3-F483E55F940E}"/>
    <cellStyle name="40% - Accent2 2 2" xfId="59" xr:uid="{00000000-0005-0000-0000-000063040000}"/>
    <cellStyle name="40% - Accent2 2 2 10" xfId="9671" xr:uid="{907798EB-40CC-42B1-A332-82C2659CF0BD}"/>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587CC746-1129-4343-8732-332C9546F1AF}"/>
    <cellStyle name="40% - Accent2 2 2 2 2 2 3" xfId="12231" xr:uid="{6F3C6AF4-F756-4FF5-94BE-9B62FF37658C}"/>
    <cellStyle name="40% - Accent2 2 2 2 2 3" xfId="4977" xr:uid="{00000000-0005-0000-0000-000068040000}"/>
    <cellStyle name="40% - Accent2 2 2 2 2 3 2" xfId="14303" xr:uid="{DEDC4616-A60C-4A24-A0A1-FB7BBB487F48}"/>
    <cellStyle name="40% - Accent2 2 2 2 2 4" xfId="9534" xr:uid="{9F53A086-33FC-422E-9DFF-72D04AC43949}"/>
    <cellStyle name="40% - Accent2 2 2 2 2 4 2" xfId="18849" xr:uid="{9FE638E7-3A49-4F05-88CF-252F0D7D8A20}"/>
    <cellStyle name="40% - Accent2 2 2 2 2 5" xfId="10086" xr:uid="{91008D69-0B7A-45AC-8D5D-20FFB7D9515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01D9536B-237B-4813-B8B4-45D62B3C6DBD}"/>
    <cellStyle name="40% - Accent2 2 2 2 3 2 3" xfId="12644" xr:uid="{6BF07074-FDB7-4D43-9980-7D8BBDF121D6}"/>
    <cellStyle name="40% - Accent2 2 2 2 3 3" xfId="5390" xr:uid="{00000000-0005-0000-0000-00006C040000}"/>
    <cellStyle name="40% - Accent2 2 2 2 3 3 2" xfId="14716" xr:uid="{BCF32B3D-E33E-481D-A319-7E2940F3EA09}"/>
    <cellStyle name="40% - Accent2 2 2 2 3 4" xfId="10499" xr:uid="{CF6F44E3-385C-4E38-8BB7-392E78716D4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E2952A1E-D18D-4550-AADE-FD7F6E44B5D3}"/>
    <cellStyle name="40% - Accent2 2 2 2 4 2 3" xfId="13057" xr:uid="{C2D42AAE-C806-46A8-A217-62E72711C37E}"/>
    <cellStyle name="40% - Accent2 2 2 2 4 3" xfId="5803" xr:uid="{00000000-0005-0000-0000-000070040000}"/>
    <cellStyle name="40% - Accent2 2 2 2 4 3 2" xfId="15129" xr:uid="{5F8EEDE3-D9EF-4B35-ACDC-AF7B4D25DFFC}"/>
    <cellStyle name="40% - Accent2 2 2 2 4 4" xfId="10912" xr:uid="{D8D063C9-BAF3-402D-AD4F-F762DE0061C9}"/>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ACE6F773-48AE-4988-B931-25AE46816428}"/>
    <cellStyle name="40% - Accent2 2 2 2 5 2 3" xfId="13470" xr:uid="{023046CD-DF7C-4DDD-82F3-073DA68F529B}"/>
    <cellStyle name="40% - Accent2 2 2 2 5 3" xfId="6216" xr:uid="{00000000-0005-0000-0000-000074040000}"/>
    <cellStyle name="40% - Accent2 2 2 2 5 3 2" xfId="15542" xr:uid="{8B55E0F2-6E2A-4B93-B7B7-1E2307805FC1}"/>
    <cellStyle name="40% - Accent2 2 2 2 5 4" xfId="11325" xr:uid="{2D36999B-2039-4EA8-BA20-F5515B929181}"/>
    <cellStyle name="40% - Accent2 2 2 2 6" xfId="2323" xr:uid="{00000000-0005-0000-0000-000075040000}"/>
    <cellStyle name="40% - Accent2 2 2 2 6 2" xfId="6629" xr:uid="{00000000-0005-0000-0000-000076040000}"/>
    <cellStyle name="40% - Accent2 2 2 2 6 2 2" xfId="15955" xr:uid="{DF7C97F6-F5C5-40B9-B003-ED3451E5E49C}"/>
    <cellStyle name="40% - Accent2 2 2 2 6 3" xfId="11738" xr:uid="{C9832972-1506-4AB7-906E-19FCC79289CB}"/>
    <cellStyle name="40% - Accent2 2 2 2 7" xfId="4563" xr:uid="{00000000-0005-0000-0000-000077040000}"/>
    <cellStyle name="40% - Accent2 2 2 2 7 2" xfId="13889" xr:uid="{9FAB1E2C-5DC4-484A-AF54-8FC60F22BBD5}"/>
    <cellStyle name="40% - Accent2 2 2 2 8" xfId="9109" xr:uid="{73F0012D-4386-4224-BFB0-7DB1C0E98822}"/>
    <cellStyle name="40% - Accent2 2 2 2 8 2" xfId="18433" xr:uid="{FFFF0A7A-5458-4D2C-97EB-FB149812CCB5}"/>
    <cellStyle name="40% - Accent2 2 2 2 9" xfId="9672" xr:uid="{CE391C2A-4B4C-46ED-99BA-D24CA4CEE4A0}"/>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EB8CA898-4312-4AC9-9DD7-FBAF3D6F5784}"/>
    <cellStyle name="40% - Accent2 2 2 3 2 3" xfId="12230" xr:uid="{21F8025F-DEF7-4DD3-ACDE-EA0F37E456ED}"/>
    <cellStyle name="40% - Accent2 2 2 3 3" xfId="4976" xr:uid="{00000000-0005-0000-0000-00007B040000}"/>
    <cellStyle name="40% - Accent2 2 2 3 3 2" xfId="14302" xr:uid="{65686D8F-7386-458A-8CE9-96C6F54E5C71}"/>
    <cellStyle name="40% - Accent2 2 2 3 4" xfId="9327" xr:uid="{F2BC9A12-B689-4B73-B71E-77A9F0BC7FE4}"/>
    <cellStyle name="40% - Accent2 2 2 3 4 2" xfId="18642" xr:uid="{8D3D2CC7-B0A2-47B0-9447-73B01C8130B2}"/>
    <cellStyle name="40% - Accent2 2 2 3 5" xfId="10085" xr:uid="{067721C4-508C-4DB2-8DD6-F6476F5602BD}"/>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4BCC896E-75C6-4EF5-BC94-0C9E1EDF5976}"/>
    <cellStyle name="40% - Accent2 2 2 4 2 3" xfId="12643" xr:uid="{C8EC7601-D19C-42A8-8352-99447F12C246}"/>
    <cellStyle name="40% - Accent2 2 2 4 3" xfId="5389" xr:uid="{00000000-0005-0000-0000-00007F040000}"/>
    <cellStyle name="40% - Accent2 2 2 4 3 2" xfId="14715" xr:uid="{0C4C6632-1EC9-4596-AE9C-55D6AD291E49}"/>
    <cellStyle name="40% - Accent2 2 2 4 4" xfId="10498" xr:uid="{A79EDEC5-6DA3-4FA7-A952-0CA15FA7CA7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406DC0F0-0AC1-4E4B-AB49-A6FE3B41E6B5}"/>
    <cellStyle name="40% - Accent2 2 2 5 2 3" xfId="13056" xr:uid="{F49A9B78-763B-4B83-8081-0B5AEFF91DD6}"/>
    <cellStyle name="40% - Accent2 2 2 5 3" xfId="5802" xr:uid="{00000000-0005-0000-0000-000083040000}"/>
    <cellStyle name="40% - Accent2 2 2 5 3 2" xfId="15128" xr:uid="{6749C8A0-0C7C-4FDC-8917-4E59C592C946}"/>
    <cellStyle name="40% - Accent2 2 2 5 4" xfId="10911" xr:uid="{999E3D3C-9230-43BA-84E0-68F2E37A14A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33D17A1E-1DD2-4D8F-AD54-1130F9CE6B57}"/>
    <cellStyle name="40% - Accent2 2 2 6 2 3" xfId="13469" xr:uid="{797187B2-031A-4B4F-ACB9-AAD9C38E66A5}"/>
    <cellStyle name="40% - Accent2 2 2 6 3" xfId="6215" xr:uid="{00000000-0005-0000-0000-000087040000}"/>
    <cellStyle name="40% - Accent2 2 2 6 3 2" xfId="15541" xr:uid="{2ADEF134-1C48-4DFF-8474-F1942E9F99D1}"/>
    <cellStyle name="40% - Accent2 2 2 6 4" xfId="11324" xr:uid="{FFACE6D1-7A6C-421A-83D9-F87F46A25E9D}"/>
    <cellStyle name="40% - Accent2 2 2 7" xfId="2322" xr:uid="{00000000-0005-0000-0000-000088040000}"/>
    <cellStyle name="40% - Accent2 2 2 7 2" xfId="6628" xr:uid="{00000000-0005-0000-0000-000089040000}"/>
    <cellStyle name="40% - Accent2 2 2 7 2 2" xfId="15954" xr:uid="{679DD44E-8BB7-40EC-9375-4FE0EC0DCC7F}"/>
    <cellStyle name="40% - Accent2 2 2 7 3" xfId="11737" xr:uid="{03D5DECB-31F2-4FFF-BCCB-0F5FB7A97B93}"/>
    <cellStyle name="40% - Accent2 2 2 8" xfId="4562" xr:uid="{00000000-0005-0000-0000-00008A040000}"/>
    <cellStyle name="40% - Accent2 2 2 8 2" xfId="13888" xr:uid="{967B3656-7D7B-4D92-91E1-66B39FAAC319}"/>
    <cellStyle name="40% - Accent2 2 2 9" xfId="8902" xr:uid="{5D0C2022-B7A4-4DE2-895F-9E4BE510A7B9}"/>
    <cellStyle name="40% - Accent2 2 2 9 2" xfId="18226" xr:uid="{762B0578-DA66-416A-AE19-62A25A78919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B44F2AF9-7686-4B7C-B85C-7F962EA0BE5E}"/>
    <cellStyle name="40% - Accent2 2 3 2 2 3" xfId="12232" xr:uid="{474310DE-8C77-431A-92FB-AA1E0FBC3CCD}"/>
    <cellStyle name="40% - Accent2 2 3 2 3" xfId="4978" xr:uid="{00000000-0005-0000-0000-00008F040000}"/>
    <cellStyle name="40% - Accent2 2 3 2 3 2" xfId="14304" xr:uid="{86E7A13C-2C8B-40CF-9DFB-0657C41853D3}"/>
    <cellStyle name="40% - Accent2 2 3 2 4" xfId="9431" xr:uid="{BD4E3561-302E-4359-AAF3-4F2E007BC697}"/>
    <cellStyle name="40% - Accent2 2 3 2 4 2" xfId="18746" xr:uid="{A844BD20-193E-4C94-9026-E97EE09D16C9}"/>
    <cellStyle name="40% - Accent2 2 3 2 5" xfId="10087" xr:uid="{5A6CBC83-881B-4901-9BD4-9EABFA35C145}"/>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5480D740-6B30-453B-B6F6-54598693C21D}"/>
    <cellStyle name="40% - Accent2 2 3 3 2 3" xfId="12645" xr:uid="{2D47716F-0060-451A-81F8-BCB8F7D9B49F}"/>
    <cellStyle name="40% - Accent2 2 3 3 3" xfId="5391" xr:uid="{00000000-0005-0000-0000-000093040000}"/>
    <cellStyle name="40% - Accent2 2 3 3 3 2" xfId="14717" xr:uid="{217FB9AE-FE2D-49C8-82B7-E752577F489D}"/>
    <cellStyle name="40% - Accent2 2 3 3 4" xfId="10500" xr:uid="{BC860C43-D3A8-42EF-A81F-E80B27D0E9BE}"/>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0A83F8D2-857B-4AA5-8B43-4D14B0202265}"/>
    <cellStyle name="40% - Accent2 2 3 4 2 3" xfId="13058" xr:uid="{FFC8979F-5F71-4BB3-B84A-183532058196}"/>
    <cellStyle name="40% - Accent2 2 3 4 3" xfId="5804" xr:uid="{00000000-0005-0000-0000-000097040000}"/>
    <cellStyle name="40% - Accent2 2 3 4 3 2" xfId="15130" xr:uid="{9A755F0B-624A-4E3B-A774-02C981C9C5D5}"/>
    <cellStyle name="40% - Accent2 2 3 4 4" xfId="10913" xr:uid="{F04C3032-4368-49DB-B4C7-61DD72EBE61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0CD286E2-F30F-4033-898A-007E41E3076A}"/>
    <cellStyle name="40% - Accent2 2 3 5 2 3" xfId="13471" xr:uid="{96B113A9-0F5C-4CC3-B24B-75C1AAEFAA35}"/>
    <cellStyle name="40% - Accent2 2 3 5 3" xfId="6217" xr:uid="{00000000-0005-0000-0000-00009B040000}"/>
    <cellStyle name="40% - Accent2 2 3 5 3 2" xfId="15543" xr:uid="{2A251394-8609-46BB-BAB3-CEF8E26F39B3}"/>
    <cellStyle name="40% - Accent2 2 3 5 4" xfId="11326" xr:uid="{51FB059B-A029-4A2C-9698-6F760289C342}"/>
    <cellStyle name="40% - Accent2 2 3 6" xfId="2324" xr:uid="{00000000-0005-0000-0000-00009C040000}"/>
    <cellStyle name="40% - Accent2 2 3 6 2" xfId="6630" xr:uid="{00000000-0005-0000-0000-00009D040000}"/>
    <cellStyle name="40% - Accent2 2 3 6 2 2" xfId="15956" xr:uid="{AD403968-CBD5-47FC-BA97-68528D6C38A5}"/>
    <cellStyle name="40% - Accent2 2 3 6 3" xfId="11739" xr:uid="{DD220629-C111-42B0-BDA4-01CF02500F80}"/>
    <cellStyle name="40% - Accent2 2 3 7" xfId="4564" xr:uid="{00000000-0005-0000-0000-00009E040000}"/>
    <cellStyle name="40% - Accent2 2 3 7 2" xfId="13890" xr:uid="{94F14A98-FF97-478E-B656-83416F8EF1D5}"/>
    <cellStyle name="40% - Accent2 2 3 8" xfId="9006" xr:uid="{E6E89EA5-B76F-4FCC-89B9-DD4135B6364B}"/>
    <cellStyle name="40% - Accent2 2 3 8 2" xfId="18330" xr:uid="{4B5AF625-D508-4350-BCAF-9CB1547046AF}"/>
    <cellStyle name="40% - Accent2 2 3 9" xfId="9673" xr:uid="{E5E02BC2-F31F-4190-901C-11ED69BE558A}"/>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6B2CF354-2B22-4C64-99C7-EA4BD07CD6ED}"/>
    <cellStyle name="40% - Accent2 2 4 2 3" xfId="12229" xr:uid="{58ED1A61-75BE-401E-849B-5A17F4750A2B}"/>
    <cellStyle name="40% - Accent2 2 4 3" xfId="4975" xr:uid="{00000000-0005-0000-0000-0000A2040000}"/>
    <cellStyle name="40% - Accent2 2 4 3 2" xfId="14301" xr:uid="{3D48CD53-72AD-4597-B6C6-4ABF4FB855FA}"/>
    <cellStyle name="40% - Accent2 2 4 4" xfId="9223" xr:uid="{FA9890B4-781A-4E4C-81EE-BC7448559828}"/>
    <cellStyle name="40% - Accent2 2 4 4 2" xfId="18539" xr:uid="{70D2A694-2747-4DD6-A77A-5041865D9E92}"/>
    <cellStyle name="40% - Accent2 2 4 5" xfId="10084" xr:uid="{0692E29F-EC46-4579-91F3-79C9B82C3EE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2BD855BE-4B8E-4612-B891-569D869CB94F}"/>
    <cellStyle name="40% - Accent2 2 5 2 3" xfId="12642" xr:uid="{82D476A3-7376-4081-9E2A-5D8F4F72A864}"/>
    <cellStyle name="40% - Accent2 2 5 3" xfId="5388" xr:uid="{00000000-0005-0000-0000-0000A6040000}"/>
    <cellStyle name="40% - Accent2 2 5 3 2" xfId="14714" xr:uid="{32B7C890-672E-40B2-8137-E51CCDD22E45}"/>
    <cellStyle name="40% - Accent2 2 5 4" xfId="10497" xr:uid="{3A032349-033E-4242-9078-801A70DABAEF}"/>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E8655FD3-48C9-4527-875E-603159F4B7B5}"/>
    <cellStyle name="40% - Accent2 2 6 2 3" xfId="13055" xr:uid="{B05CD5F9-C4A6-4F3B-8951-F4B45E3762E8}"/>
    <cellStyle name="40% - Accent2 2 6 3" xfId="5801" xr:uid="{00000000-0005-0000-0000-0000AA040000}"/>
    <cellStyle name="40% - Accent2 2 6 3 2" xfId="15127" xr:uid="{DB4B7D2A-0293-450C-B884-9F1B6109B656}"/>
    <cellStyle name="40% - Accent2 2 6 4" xfId="10910" xr:uid="{CE58A950-ECB7-4690-933F-BD04AB7F045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D1DC7AB6-9BB5-4FD1-85D9-48719BA85501}"/>
    <cellStyle name="40% - Accent2 2 7 2 3" xfId="13468" xr:uid="{ACA4913F-85DE-46E2-A9B8-A215A0DB796D}"/>
    <cellStyle name="40% - Accent2 2 7 3" xfId="6214" xr:uid="{00000000-0005-0000-0000-0000AE040000}"/>
    <cellStyle name="40% - Accent2 2 7 3 2" xfId="15540" xr:uid="{5CBCD204-5792-49B1-B1C5-6FA358E6883E}"/>
    <cellStyle name="40% - Accent2 2 7 4" xfId="11323" xr:uid="{511C2D69-D05F-4500-96F1-4062C84E9E85}"/>
    <cellStyle name="40% - Accent2 2 8" xfId="2321" xr:uid="{00000000-0005-0000-0000-0000AF040000}"/>
    <cellStyle name="40% - Accent2 2 8 2" xfId="6627" xr:uid="{00000000-0005-0000-0000-0000B0040000}"/>
    <cellStyle name="40% - Accent2 2 8 2 2" xfId="15953" xr:uid="{59323053-CBEF-4CE0-87AD-4001D3DB3F08}"/>
    <cellStyle name="40% - Accent2 2 8 3" xfId="11736" xr:uid="{BE80354F-7AEC-45AA-ADBA-BD9788B730AC}"/>
    <cellStyle name="40% - Accent2 2 9" xfId="4561" xr:uid="{00000000-0005-0000-0000-0000B1040000}"/>
    <cellStyle name="40% - Accent2 2 9 2" xfId="13887" xr:uid="{7E49BAA8-31BC-49B9-91C7-0D43900F0D31}"/>
    <cellStyle name="40% - Accent2 3" xfId="62" xr:uid="{00000000-0005-0000-0000-0000B2040000}"/>
    <cellStyle name="40% - Accent2 3 10" xfId="9674" xr:uid="{51A08438-552B-48DF-8A03-56D2AF953528}"/>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C86C9828-39BE-44EA-B8E9-C30101F15CB4}"/>
    <cellStyle name="40% - Accent2 3 2 2 2 3" xfId="12234" xr:uid="{33A56728-9653-4548-830F-CF4535A1DCF8}"/>
    <cellStyle name="40% - Accent2 3 2 2 3" xfId="4980" xr:uid="{00000000-0005-0000-0000-0000B7040000}"/>
    <cellStyle name="40% - Accent2 3 2 2 3 2" xfId="14306" xr:uid="{BB1EE25C-62AC-45CF-9707-E792DA74B61B}"/>
    <cellStyle name="40% - Accent2 3 2 2 4" xfId="9496" xr:uid="{700FA1AF-D943-4FDB-BFB1-F903AD1F731A}"/>
    <cellStyle name="40% - Accent2 3 2 2 4 2" xfId="18811" xr:uid="{45F69E5D-E404-4733-B6D5-F31F3D316D3D}"/>
    <cellStyle name="40% - Accent2 3 2 2 5" xfId="10089" xr:uid="{E7F6D0C6-C152-4FFD-A3CF-B71234B7E53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00EF1B66-5C22-4B80-8BC3-4094626DAE0D}"/>
    <cellStyle name="40% - Accent2 3 2 3 2 3" xfId="12647" xr:uid="{D2F89436-6CDC-489F-8678-F849DAA5B333}"/>
    <cellStyle name="40% - Accent2 3 2 3 3" xfId="5393" xr:uid="{00000000-0005-0000-0000-0000BB040000}"/>
    <cellStyle name="40% - Accent2 3 2 3 3 2" xfId="14719" xr:uid="{9137B9B1-0D76-418F-A11F-BB830D3E30F4}"/>
    <cellStyle name="40% - Accent2 3 2 3 4" xfId="10502" xr:uid="{F6C8C074-5B81-4C33-BAAA-F271B9790E9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67013506-8077-4442-8BAE-D4BE1615D1BA}"/>
    <cellStyle name="40% - Accent2 3 2 4 2 3" xfId="13060" xr:uid="{C2D06EA7-D5F1-42FF-8A2A-E630BD2F03ED}"/>
    <cellStyle name="40% - Accent2 3 2 4 3" xfId="5806" xr:uid="{00000000-0005-0000-0000-0000BF040000}"/>
    <cellStyle name="40% - Accent2 3 2 4 3 2" xfId="15132" xr:uid="{C2B97A83-4754-4569-A451-58191018A303}"/>
    <cellStyle name="40% - Accent2 3 2 4 4" xfId="10915" xr:uid="{EFA5A219-12B0-498B-8783-142FD1C11FF3}"/>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7BD6C470-5C95-4069-84F5-D077CEC64807}"/>
    <cellStyle name="40% - Accent2 3 2 5 2 3" xfId="13473" xr:uid="{D69497F1-F85E-4187-B380-38E820DDC96C}"/>
    <cellStyle name="40% - Accent2 3 2 5 3" xfId="6219" xr:uid="{00000000-0005-0000-0000-0000C3040000}"/>
    <cellStyle name="40% - Accent2 3 2 5 3 2" xfId="15545" xr:uid="{B1817B2E-8F73-4B4C-8A6C-CB75CD9C6A10}"/>
    <cellStyle name="40% - Accent2 3 2 5 4" xfId="11328" xr:uid="{852C9C11-22B3-438E-9148-C27E38F42094}"/>
    <cellStyle name="40% - Accent2 3 2 6" xfId="2326" xr:uid="{00000000-0005-0000-0000-0000C4040000}"/>
    <cellStyle name="40% - Accent2 3 2 6 2" xfId="6632" xr:uid="{00000000-0005-0000-0000-0000C5040000}"/>
    <cellStyle name="40% - Accent2 3 2 6 2 2" xfId="15958" xr:uid="{B0955909-194D-4F25-B4D5-5E900A4058A4}"/>
    <cellStyle name="40% - Accent2 3 2 6 3" xfId="11741" xr:uid="{C2C9C07D-AC05-4FB3-AE79-40A0CA741B0A}"/>
    <cellStyle name="40% - Accent2 3 2 7" xfId="4566" xr:uid="{00000000-0005-0000-0000-0000C6040000}"/>
    <cellStyle name="40% - Accent2 3 2 7 2" xfId="13892" xr:uid="{E4DD3E80-3000-43B1-91E7-786339E88014}"/>
    <cellStyle name="40% - Accent2 3 2 8" xfId="9071" xr:uid="{B5463F05-11FC-4377-B380-DDB549C63AA9}"/>
    <cellStyle name="40% - Accent2 3 2 8 2" xfId="18395" xr:uid="{09D9A51A-205F-45E4-894B-FC212F95D9A4}"/>
    <cellStyle name="40% - Accent2 3 2 9" xfId="9675" xr:uid="{ACB2B758-87F7-4B77-9C27-C069CFB0DD86}"/>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FFF5BA55-FDFF-4684-8F01-1A9EE070C84D}"/>
    <cellStyle name="40% - Accent2 3 3 2 3" xfId="12233" xr:uid="{5ED72040-F7ED-4A9A-802C-ED4C76AD6171}"/>
    <cellStyle name="40% - Accent2 3 3 3" xfId="4979" xr:uid="{00000000-0005-0000-0000-0000CA040000}"/>
    <cellStyle name="40% - Accent2 3 3 3 2" xfId="14305" xr:uid="{3CD2D963-D6C1-4088-BA2E-02DC1E2BD434}"/>
    <cellStyle name="40% - Accent2 3 3 4" xfId="9289" xr:uid="{B234EB9F-4AFE-41A2-A17D-ABC1D0F80875}"/>
    <cellStyle name="40% - Accent2 3 3 4 2" xfId="18604" xr:uid="{75D62A5D-2080-464B-8348-DEB1B9464108}"/>
    <cellStyle name="40% - Accent2 3 3 5" xfId="10088" xr:uid="{A918384C-D7E7-4BD6-A9E3-5A08CA08E68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9C599857-6BC7-4812-80BF-1709E666A92C}"/>
    <cellStyle name="40% - Accent2 3 4 2 3" xfId="12646" xr:uid="{20133B98-EE0C-44E1-96CE-81C721500218}"/>
    <cellStyle name="40% - Accent2 3 4 3" xfId="5392" xr:uid="{00000000-0005-0000-0000-0000CE040000}"/>
    <cellStyle name="40% - Accent2 3 4 3 2" xfId="14718" xr:uid="{E4579133-CC2C-4556-AC11-6159B5049AAA}"/>
    <cellStyle name="40% - Accent2 3 4 4" xfId="10501" xr:uid="{B00F369F-68BD-45A8-902A-BA7234861FC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82F6A48C-2E93-4EE4-81A3-CEFE4B2A7D1B}"/>
    <cellStyle name="40% - Accent2 3 5 2 3" xfId="13059" xr:uid="{C23B36BA-294A-4D2D-9C37-2B53E005CCAB}"/>
    <cellStyle name="40% - Accent2 3 5 3" xfId="5805" xr:uid="{00000000-0005-0000-0000-0000D2040000}"/>
    <cellStyle name="40% - Accent2 3 5 3 2" xfId="15131" xr:uid="{F574775F-D2C4-4D49-810A-D0DBE261000E}"/>
    <cellStyle name="40% - Accent2 3 5 4" xfId="10914" xr:uid="{F85020EE-6706-41C8-9E5D-3C3EE250C7BE}"/>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A62AB873-8248-4923-9205-DA3A4CCF7E50}"/>
    <cellStyle name="40% - Accent2 3 6 2 3" xfId="13472" xr:uid="{AF3962F8-72B6-47C7-A49B-E7149895E52D}"/>
    <cellStyle name="40% - Accent2 3 6 3" xfId="6218" xr:uid="{00000000-0005-0000-0000-0000D6040000}"/>
    <cellStyle name="40% - Accent2 3 6 3 2" xfId="15544" xr:uid="{D56C8C83-7668-4A29-9157-8EFFC4772340}"/>
    <cellStyle name="40% - Accent2 3 6 4" xfId="11327" xr:uid="{A7A52E96-96DF-4EBA-A252-1785BBC24FAB}"/>
    <cellStyle name="40% - Accent2 3 7" xfId="2325" xr:uid="{00000000-0005-0000-0000-0000D7040000}"/>
    <cellStyle name="40% - Accent2 3 7 2" xfId="6631" xr:uid="{00000000-0005-0000-0000-0000D8040000}"/>
    <cellStyle name="40% - Accent2 3 7 2 2" xfId="15957" xr:uid="{7367D441-C5B8-40C5-B25F-AC64C6AC75EC}"/>
    <cellStyle name="40% - Accent2 3 7 3" xfId="11740" xr:uid="{37212624-4D66-4714-8C27-EC53BC44C6D9}"/>
    <cellStyle name="40% - Accent2 3 8" xfId="4565" xr:uid="{00000000-0005-0000-0000-0000D9040000}"/>
    <cellStyle name="40% - Accent2 3 8 2" xfId="13891" xr:uid="{C71A60DC-6FCC-433F-A230-383DCB901D19}"/>
    <cellStyle name="40% - Accent2 3 9" xfId="8864" xr:uid="{311EF031-8CA9-4ACC-8705-6D408E1B50DB}"/>
    <cellStyle name="40% - Accent2 3 9 2" xfId="18188" xr:uid="{2058D30F-5137-4275-9173-1FD33256D967}"/>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CB5CA8EA-A1EF-4226-AD78-1B5D924F54CC}"/>
    <cellStyle name="40% - Accent2 4 2 2 3" xfId="12235" xr:uid="{098A6A57-9061-40F9-B3BC-C0F1ADB314D5}"/>
    <cellStyle name="40% - Accent2 4 2 3" xfId="4981" xr:uid="{00000000-0005-0000-0000-0000DE040000}"/>
    <cellStyle name="40% - Accent2 4 2 3 2" xfId="14307" xr:uid="{F9806465-8ACC-4739-877B-066F5B78D378}"/>
    <cellStyle name="40% - Accent2 4 2 4" xfId="9375" xr:uid="{E0F8B4F7-419E-40A5-89E1-F3F0DF6ADFF8}"/>
    <cellStyle name="40% - Accent2 4 2 4 2" xfId="18690" xr:uid="{A336B45E-A078-496B-9E84-DAB261106143}"/>
    <cellStyle name="40% - Accent2 4 2 5" xfId="10090" xr:uid="{B69E5A99-2F87-4E69-93BB-B5496A037177}"/>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A8D6EEF3-4CC5-4B58-8F55-687101D2D836}"/>
    <cellStyle name="40% - Accent2 4 3 2 3" xfId="12648" xr:uid="{B2BC9D7F-5D1F-4D5E-AF81-5C2CDAA3FA53}"/>
    <cellStyle name="40% - Accent2 4 3 3" xfId="5394" xr:uid="{00000000-0005-0000-0000-0000E2040000}"/>
    <cellStyle name="40% - Accent2 4 3 3 2" xfId="14720" xr:uid="{5D099566-1936-4DCF-8692-CC9FEA4CA7B3}"/>
    <cellStyle name="40% - Accent2 4 3 4" xfId="10503" xr:uid="{43AEFDAF-2030-4950-8492-BC908094E2B7}"/>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F90714E3-39CC-4476-9FAB-1B8002229456}"/>
    <cellStyle name="40% - Accent2 4 4 2 3" xfId="13061" xr:uid="{81241BF8-EE5F-497E-B022-816EC329891F}"/>
    <cellStyle name="40% - Accent2 4 4 3" xfId="5807" xr:uid="{00000000-0005-0000-0000-0000E6040000}"/>
    <cellStyle name="40% - Accent2 4 4 3 2" xfId="15133" xr:uid="{8F85E723-080C-4B91-BA51-FB3839C5C49A}"/>
    <cellStyle name="40% - Accent2 4 4 4" xfId="10916" xr:uid="{7F2F7C5D-FE53-43A6-B9CF-EBEF67267FD8}"/>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D904DEB0-B383-4FFE-8AF1-FDE8AFA4AE18}"/>
    <cellStyle name="40% - Accent2 4 5 2 3" xfId="13474" xr:uid="{54CC1A9E-F8D5-428B-B776-F62F0ABCCD0A}"/>
    <cellStyle name="40% - Accent2 4 5 3" xfId="6220" xr:uid="{00000000-0005-0000-0000-0000EA040000}"/>
    <cellStyle name="40% - Accent2 4 5 3 2" xfId="15546" xr:uid="{6289A757-BE63-42B4-98A5-66C5D7DB67C9}"/>
    <cellStyle name="40% - Accent2 4 5 4" xfId="11329" xr:uid="{0DEE6ECB-89D2-4ED8-AA61-3A351909C062}"/>
    <cellStyle name="40% - Accent2 4 6" xfId="2327" xr:uid="{00000000-0005-0000-0000-0000EB040000}"/>
    <cellStyle name="40% - Accent2 4 6 2" xfId="6633" xr:uid="{00000000-0005-0000-0000-0000EC040000}"/>
    <cellStyle name="40% - Accent2 4 6 2 2" xfId="15959" xr:uid="{20ABD12B-8396-4BE2-9FB2-0FAD203988D3}"/>
    <cellStyle name="40% - Accent2 4 6 3" xfId="11742" xr:uid="{E7E9B8A6-4808-4900-88C1-124784ACD307}"/>
    <cellStyle name="40% - Accent2 4 7" xfId="4567" xr:uid="{00000000-0005-0000-0000-0000ED040000}"/>
    <cellStyle name="40% - Accent2 4 7 2" xfId="13893" xr:uid="{0643F4B6-06B6-45F2-9261-FCBA741B26EB}"/>
    <cellStyle name="40% - Accent2 4 8" xfId="8950" xr:uid="{02FCA414-0598-4779-8636-7B176A3552C0}"/>
    <cellStyle name="40% - Accent2 4 8 2" xfId="18274" xr:uid="{1A580E5E-F06C-4986-8BF2-C1C5C2607618}"/>
    <cellStyle name="40% - Accent2 4 9" xfId="9676" xr:uid="{AC9081E6-3FAF-49BE-8BC3-F77B5A7BD2AB}"/>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F5F878DB-0ADA-4160-943E-36F571BDE484}"/>
    <cellStyle name="40% - Accent2 5 2 3" xfId="12228" xr:uid="{4F2161D8-4861-4ABB-A4D5-18246A89A56F}"/>
    <cellStyle name="40% - Accent2 5 3" xfId="4974" xr:uid="{00000000-0005-0000-0000-0000F1040000}"/>
    <cellStyle name="40% - Accent2 5 3 2" xfId="14300" xr:uid="{C0C64349-FABB-45EB-9168-49B62A077D5F}"/>
    <cellStyle name="40% - Accent2 5 4" xfId="9183" xr:uid="{071EDB8E-9FD1-4063-BCEF-70B734E5ECF1}"/>
    <cellStyle name="40% - Accent2 5 4 2" xfId="18501" xr:uid="{7F8AEA67-071F-4DC0-9866-0378B3DC13A4}"/>
    <cellStyle name="40% - Accent2 5 5" xfId="10083" xr:uid="{B3D3FCA1-DF0E-4848-9609-31CDC5C04D96}"/>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E3E301D9-FEF7-4EB8-B838-DFBB18D400EF}"/>
    <cellStyle name="40% - Accent2 6 2 3" xfId="12641" xr:uid="{062CDDF4-0427-4A14-9316-8A324A68C150}"/>
    <cellStyle name="40% - Accent2 6 3" xfId="5387" xr:uid="{00000000-0005-0000-0000-0000F5040000}"/>
    <cellStyle name="40% - Accent2 6 3 2" xfId="14713" xr:uid="{F6AAF5BA-BF7A-4A05-9A26-041FD9912A98}"/>
    <cellStyle name="40% - Accent2 6 4" xfId="10496" xr:uid="{EEF361F6-8503-4933-B7D0-F78E7D192900}"/>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ECAC8FE6-F91D-49C9-82F6-21DB5C23332A}"/>
    <cellStyle name="40% - Accent2 7 2 3" xfId="13054" xr:uid="{FF9C116E-67C1-44CE-B9EF-E9519A33DD29}"/>
    <cellStyle name="40% - Accent2 7 3" xfId="5800" xr:uid="{00000000-0005-0000-0000-0000F9040000}"/>
    <cellStyle name="40% - Accent2 7 3 2" xfId="15126" xr:uid="{D87BBAF5-CBA2-4B2E-8C29-A937E874DA68}"/>
    <cellStyle name="40% - Accent2 7 4" xfId="10909" xr:uid="{154F54CB-7F4D-44CB-A7A6-C60F328C0A14}"/>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C431C5A3-AEBB-4491-AFD2-7EC1600069DA}"/>
    <cellStyle name="40% - Accent2 8 2 3" xfId="13467" xr:uid="{9F5A6C5D-D69D-43F0-B338-00A58AAFC78B}"/>
    <cellStyle name="40% - Accent2 8 3" xfId="6213" xr:uid="{00000000-0005-0000-0000-0000FD040000}"/>
    <cellStyle name="40% - Accent2 8 3 2" xfId="15539" xr:uid="{B5B3F677-FF17-4057-BBB4-CA15FB48F40E}"/>
    <cellStyle name="40% - Accent2 8 4" xfId="11322" xr:uid="{6ACC4657-9BB6-45AF-B30D-3145C368F2E0}"/>
    <cellStyle name="40% - Accent2 9" xfId="2320" xr:uid="{00000000-0005-0000-0000-0000FE040000}"/>
    <cellStyle name="40% - Accent2 9 2" xfId="6626" xr:uid="{00000000-0005-0000-0000-0000FF040000}"/>
    <cellStyle name="40% - Accent2 9 2 2" xfId="15952" xr:uid="{7925BECC-3097-4CB7-895E-DE31FBE11811}"/>
    <cellStyle name="40% - Accent2 9 3" xfId="11735" xr:uid="{B8A2F9FF-FBE3-4AD1-8201-FDAC0B555805}"/>
    <cellStyle name="40% - Accent3" xfId="65" builtinId="39" customBuiltin="1"/>
    <cellStyle name="40% - Accent3 10" xfId="4568" xr:uid="{00000000-0005-0000-0000-000001050000}"/>
    <cellStyle name="40% - Accent3 10 2" xfId="13894" xr:uid="{6AF188A9-C09E-47BD-ACED-8B8832CD14CC}"/>
    <cellStyle name="40% - Accent3 11" xfId="8763" xr:uid="{CEFBFA85-5B68-4AEB-BF0D-8E604938B05F}"/>
    <cellStyle name="40% - Accent3 11 2" xfId="18087" xr:uid="{A277A116-9F09-40BD-BEF1-DE4451E06459}"/>
    <cellStyle name="40% - Accent3 12" xfId="9677" xr:uid="{F84B1D94-DD66-4DC0-BDDE-0996340BA75E}"/>
    <cellStyle name="40% - Accent3 2" xfId="66" xr:uid="{00000000-0005-0000-0000-000002050000}"/>
    <cellStyle name="40% - Accent3 2 10" xfId="8800" xr:uid="{00FF2AAD-7D96-45B5-8981-0BB923A3505B}"/>
    <cellStyle name="40% - Accent3 2 10 2" xfId="18124" xr:uid="{2BC531A8-D744-48EE-80F6-40F638FCF94C}"/>
    <cellStyle name="40% - Accent3 2 11" xfId="9678" xr:uid="{417FA1D4-41CE-4F1D-9212-B25B0441171A}"/>
    <cellStyle name="40% - Accent3 2 2" xfId="67" xr:uid="{00000000-0005-0000-0000-000003050000}"/>
    <cellStyle name="40% - Accent3 2 2 10" xfId="9679" xr:uid="{4BB89EC0-0317-459E-A460-A58E8E3FEB02}"/>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B15FEB15-DC6E-4646-B1BB-680F10039AE5}"/>
    <cellStyle name="40% - Accent3 2 2 2 2 2 3" xfId="12239" xr:uid="{D82BAB7F-93C9-4AF7-A389-6C9FE107F5A6}"/>
    <cellStyle name="40% - Accent3 2 2 2 2 3" xfId="4985" xr:uid="{00000000-0005-0000-0000-000008050000}"/>
    <cellStyle name="40% - Accent3 2 2 2 2 3 2" xfId="14311" xr:uid="{7C901D7D-6334-4172-804A-C10DDCB35EB0}"/>
    <cellStyle name="40% - Accent3 2 2 2 2 4" xfId="9535" xr:uid="{3AC66435-D4C7-42EF-A799-3DC81A57BDF4}"/>
    <cellStyle name="40% - Accent3 2 2 2 2 4 2" xfId="18850" xr:uid="{AEFFDD74-3114-4E40-84EB-0FDB3D9D0BDF}"/>
    <cellStyle name="40% - Accent3 2 2 2 2 5" xfId="10094" xr:uid="{554A0750-23A3-4320-B6A4-DCB97B32D181}"/>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463976D0-E4B3-42E6-95E3-5981CB9A825F}"/>
    <cellStyle name="40% - Accent3 2 2 2 3 2 3" xfId="12652" xr:uid="{4A35E2C5-1BDB-457E-A52D-02352E530C59}"/>
    <cellStyle name="40% - Accent3 2 2 2 3 3" xfId="5398" xr:uid="{00000000-0005-0000-0000-00000C050000}"/>
    <cellStyle name="40% - Accent3 2 2 2 3 3 2" xfId="14724" xr:uid="{FA46F600-D06D-470C-A4C6-479FFB638951}"/>
    <cellStyle name="40% - Accent3 2 2 2 3 4" xfId="10507" xr:uid="{FDF5A1A3-AB7C-472F-9BBC-23D490F8457C}"/>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A9F9B268-F1E8-4E33-9273-2EC7E7624191}"/>
    <cellStyle name="40% - Accent3 2 2 2 4 2 3" xfId="13065" xr:uid="{7D801517-15D7-4DFA-878A-E578C51C3E6A}"/>
    <cellStyle name="40% - Accent3 2 2 2 4 3" xfId="5811" xr:uid="{00000000-0005-0000-0000-000010050000}"/>
    <cellStyle name="40% - Accent3 2 2 2 4 3 2" xfId="15137" xr:uid="{419F7BF7-28FA-48D3-BBE7-3782FA0A4987}"/>
    <cellStyle name="40% - Accent3 2 2 2 4 4" xfId="10920" xr:uid="{E18A8E9F-FB06-481B-9B13-024EBA32C06D}"/>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673B6C25-FBE9-4F48-A74B-1C91BEE75D86}"/>
    <cellStyle name="40% - Accent3 2 2 2 5 2 3" xfId="13478" xr:uid="{5CEFEC9D-B55C-4D31-BF22-31CFFA0C92A6}"/>
    <cellStyle name="40% - Accent3 2 2 2 5 3" xfId="6224" xr:uid="{00000000-0005-0000-0000-000014050000}"/>
    <cellStyle name="40% - Accent3 2 2 2 5 3 2" xfId="15550" xr:uid="{43D247F9-A814-4234-AB5C-03D5E8D95724}"/>
    <cellStyle name="40% - Accent3 2 2 2 5 4" xfId="11333" xr:uid="{786EE666-1BC4-47D3-9BE3-D8DD3F814EB6}"/>
    <cellStyle name="40% - Accent3 2 2 2 6" xfId="2331" xr:uid="{00000000-0005-0000-0000-000015050000}"/>
    <cellStyle name="40% - Accent3 2 2 2 6 2" xfId="6637" xr:uid="{00000000-0005-0000-0000-000016050000}"/>
    <cellStyle name="40% - Accent3 2 2 2 6 2 2" xfId="15963" xr:uid="{BC8EEFEF-C158-4C24-B1E8-11528518263E}"/>
    <cellStyle name="40% - Accent3 2 2 2 6 3" xfId="11746" xr:uid="{CF82F7BD-6A88-4E71-B7DB-7622D8628EB3}"/>
    <cellStyle name="40% - Accent3 2 2 2 7" xfId="4571" xr:uid="{00000000-0005-0000-0000-000017050000}"/>
    <cellStyle name="40% - Accent3 2 2 2 7 2" xfId="13897" xr:uid="{AC5D1115-5B4D-4A65-90B9-C21EA66FEDCF}"/>
    <cellStyle name="40% - Accent3 2 2 2 8" xfId="9110" xr:uid="{E41CBEF9-86F8-44B9-895F-532A7BDC9A2A}"/>
    <cellStyle name="40% - Accent3 2 2 2 8 2" xfId="18434" xr:uid="{57F8E2CC-C151-490E-BD1D-FAA913C7444B}"/>
    <cellStyle name="40% - Accent3 2 2 2 9" xfId="9680" xr:uid="{D6349640-C4FC-4AF3-9CCE-503120F677FD}"/>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E44DFECA-C822-4021-A45B-7DEEFA4DD421}"/>
    <cellStyle name="40% - Accent3 2 2 3 2 3" xfId="12238" xr:uid="{B8E69A0E-7C9B-4572-8077-538154371A74}"/>
    <cellStyle name="40% - Accent3 2 2 3 3" xfId="4984" xr:uid="{00000000-0005-0000-0000-00001B050000}"/>
    <cellStyle name="40% - Accent3 2 2 3 3 2" xfId="14310" xr:uid="{4044B8D0-55DD-4CC7-A3F7-5D0C54D93CB4}"/>
    <cellStyle name="40% - Accent3 2 2 3 4" xfId="9328" xr:uid="{1DAEB9B9-01CE-426D-A8F1-CE08999D7264}"/>
    <cellStyle name="40% - Accent3 2 2 3 4 2" xfId="18643" xr:uid="{271F0E10-3017-4B4D-8EA3-C019C81CE594}"/>
    <cellStyle name="40% - Accent3 2 2 3 5" xfId="10093" xr:uid="{6EB2F87C-72E7-45AA-B803-F144287627EC}"/>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AF4A7421-A537-41ED-BFB5-BD32AD0F31EB}"/>
    <cellStyle name="40% - Accent3 2 2 4 2 3" xfId="12651" xr:uid="{8CBBF8EA-DC77-4227-A580-31955D6587AC}"/>
    <cellStyle name="40% - Accent3 2 2 4 3" xfId="5397" xr:uid="{00000000-0005-0000-0000-00001F050000}"/>
    <cellStyle name="40% - Accent3 2 2 4 3 2" xfId="14723" xr:uid="{3907473D-DDD8-4AF5-8363-0D4992327287}"/>
    <cellStyle name="40% - Accent3 2 2 4 4" xfId="10506" xr:uid="{10C6306B-293E-48D5-A152-4B442BFD34F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46815A60-644C-4F48-995B-76CC8D5B10C2}"/>
    <cellStyle name="40% - Accent3 2 2 5 2 3" xfId="13064" xr:uid="{B9E954D3-7C46-4F71-86E1-5589ECF59247}"/>
    <cellStyle name="40% - Accent3 2 2 5 3" xfId="5810" xr:uid="{00000000-0005-0000-0000-000023050000}"/>
    <cellStyle name="40% - Accent3 2 2 5 3 2" xfId="15136" xr:uid="{0D43B255-CE4F-4303-9CB8-EF5962CEEA5B}"/>
    <cellStyle name="40% - Accent3 2 2 5 4" xfId="10919" xr:uid="{1D8ED5C5-D0CA-4B02-B944-0963B81A39C3}"/>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435E9AEE-4D3C-4E67-AC34-DBAC23E95CAA}"/>
    <cellStyle name="40% - Accent3 2 2 6 2 3" xfId="13477" xr:uid="{4BC61BC3-F27F-4398-86DC-CDAA272ED514}"/>
    <cellStyle name="40% - Accent3 2 2 6 3" xfId="6223" xr:uid="{00000000-0005-0000-0000-000027050000}"/>
    <cellStyle name="40% - Accent3 2 2 6 3 2" xfId="15549" xr:uid="{0E8E0DEE-D150-4530-97E0-866A3B19C73C}"/>
    <cellStyle name="40% - Accent3 2 2 6 4" xfId="11332" xr:uid="{F7EC27A4-569E-4549-8354-8C0A4ABE9AD2}"/>
    <cellStyle name="40% - Accent3 2 2 7" xfId="2330" xr:uid="{00000000-0005-0000-0000-000028050000}"/>
    <cellStyle name="40% - Accent3 2 2 7 2" xfId="6636" xr:uid="{00000000-0005-0000-0000-000029050000}"/>
    <cellStyle name="40% - Accent3 2 2 7 2 2" xfId="15962" xr:uid="{4A6B1FF7-FB3D-4943-BD1E-223E2F4C4376}"/>
    <cellStyle name="40% - Accent3 2 2 7 3" xfId="11745" xr:uid="{5DEB713C-6DC8-4640-BEDB-E893B61AABFB}"/>
    <cellStyle name="40% - Accent3 2 2 8" xfId="4570" xr:uid="{00000000-0005-0000-0000-00002A050000}"/>
    <cellStyle name="40% - Accent3 2 2 8 2" xfId="13896" xr:uid="{F53C20B7-FB1D-482E-BE5C-E0DC8ADDEE0D}"/>
    <cellStyle name="40% - Accent3 2 2 9" xfId="8903" xr:uid="{D9C85917-26AE-466C-8B98-905BCDA9E329}"/>
    <cellStyle name="40% - Accent3 2 2 9 2" xfId="18227" xr:uid="{7BF96597-7EEE-4534-B9E6-9F2E0B2113EB}"/>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9FA084A2-0EC5-432E-BB09-ABE4D4071884}"/>
    <cellStyle name="40% - Accent3 2 3 2 2 3" xfId="12240" xr:uid="{7517C5B9-30FD-4A1E-89F4-D5E9524E9454}"/>
    <cellStyle name="40% - Accent3 2 3 2 3" xfId="4986" xr:uid="{00000000-0005-0000-0000-00002F050000}"/>
    <cellStyle name="40% - Accent3 2 3 2 3 2" xfId="14312" xr:uid="{638A84B0-4156-4CBD-B571-9CB61EAFD914}"/>
    <cellStyle name="40% - Accent3 2 3 2 4" xfId="9432" xr:uid="{54D6848B-0200-4F42-820D-262A8F9A2C0F}"/>
    <cellStyle name="40% - Accent3 2 3 2 4 2" xfId="18747" xr:uid="{3D74D9C2-A70D-4C88-B782-47F8EE344BC5}"/>
    <cellStyle name="40% - Accent3 2 3 2 5" xfId="10095" xr:uid="{9B73BA59-4472-4758-BD84-79D014F9002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F7F65892-C29A-457B-A21C-F2D3ACA8CCDF}"/>
    <cellStyle name="40% - Accent3 2 3 3 2 3" xfId="12653" xr:uid="{BFB7E8CD-A844-4AD0-B767-52B741F8184B}"/>
    <cellStyle name="40% - Accent3 2 3 3 3" xfId="5399" xr:uid="{00000000-0005-0000-0000-000033050000}"/>
    <cellStyle name="40% - Accent3 2 3 3 3 2" xfId="14725" xr:uid="{F9E47C4D-C90C-4669-9EAF-56C84E765E6A}"/>
    <cellStyle name="40% - Accent3 2 3 3 4" xfId="10508" xr:uid="{46DABE66-0C98-4F33-8E13-764073CB9BD6}"/>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08B47315-5DE8-4867-A1E5-38C2B0DD01FC}"/>
    <cellStyle name="40% - Accent3 2 3 4 2 3" xfId="13066" xr:uid="{F0203D78-08A8-485E-9929-BFFCCE71A14D}"/>
    <cellStyle name="40% - Accent3 2 3 4 3" xfId="5812" xr:uid="{00000000-0005-0000-0000-000037050000}"/>
    <cellStyle name="40% - Accent3 2 3 4 3 2" xfId="15138" xr:uid="{AE2D7938-657E-46A0-AFA0-E62F24606EB4}"/>
    <cellStyle name="40% - Accent3 2 3 4 4" xfId="10921" xr:uid="{96FC4D3E-3EFA-4B0B-BD31-BB44EC230394}"/>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704A862C-6590-4E70-B16B-1FCF1AACE411}"/>
    <cellStyle name="40% - Accent3 2 3 5 2 3" xfId="13479" xr:uid="{09A7FB82-A784-438B-A445-73E1AB21FC93}"/>
    <cellStyle name="40% - Accent3 2 3 5 3" xfId="6225" xr:uid="{00000000-0005-0000-0000-00003B050000}"/>
    <cellStyle name="40% - Accent3 2 3 5 3 2" xfId="15551" xr:uid="{6F8E817A-D871-4A3F-89D2-101321BF0349}"/>
    <cellStyle name="40% - Accent3 2 3 5 4" xfId="11334" xr:uid="{7B3F57EE-502E-441F-BC98-7859CE0766AD}"/>
    <cellStyle name="40% - Accent3 2 3 6" xfId="2332" xr:uid="{00000000-0005-0000-0000-00003C050000}"/>
    <cellStyle name="40% - Accent3 2 3 6 2" xfId="6638" xr:uid="{00000000-0005-0000-0000-00003D050000}"/>
    <cellStyle name="40% - Accent3 2 3 6 2 2" xfId="15964" xr:uid="{137DA904-D4B8-4600-A9A2-93A87F0355E1}"/>
    <cellStyle name="40% - Accent3 2 3 6 3" xfId="11747" xr:uid="{28BA2192-7528-4344-8896-F0A17C9AAF19}"/>
    <cellStyle name="40% - Accent3 2 3 7" xfId="4572" xr:uid="{00000000-0005-0000-0000-00003E050000}"/>
    <cellStyle name="40% - Accent3 2 3 7 2" xfId="13898" xr:uid="{1F921F17-F93F-4B8A-AFDD-5D67EC91CB87}"/>
    <cellStyle name="40% - Accent3 2 3 8" xfId="9007" xr:uid="{2DEFD82C-2A62-4C1E-AA8D-7F2606BD9091}"/>
    <cellStyle name="40% - Accent3 2 3 8 2" xfId="18331" xr:uid="{AC230DCE-8A53-41E5-973D-04B38B7EA7D7}"/>
    <cellStyle name="40% - Accent3 2 3 9" xfId="9681" xr:uid="{9C425CDC-583D-4D40-AAFB-03E3A9535C3D}"/>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E6B1FD70-B52F-4A14-A449-262CF069FA04}"/>
    <cellStyle name="40% - Accent3 2 4 2 3" xfId="12237" xr:uid="{1B1697D8-A34F-4754-9A7D-83DA7119116D}"/>
    <cellStyle name="40% - Accent3 2 4 3" xfId="4983" xr:uid="{00000000-0005-0000-0000-000042050000}"/>
    <cellStyle name="40% - Accent3 2 4 3 2" xfId="14309" xr:uid="{F9D1D6EA-7BEB-42B5-BEDC-8AEBAD7C48BC}"/>
    <cellStyle name="40% - Accent3 2 4 4" xfId="9224" xr:uid="{6B91012A-BFF2-4F1F-901C-A91F06F80031}"/>
    <cellStyle name="40% - Accent3 2 4 4 2" xfId="18540" xr:uid="{ECBF1E72-1E7C-41BC-9CE9-6C6A230931ED}"/>
    <cellStyle name="40% - Accent3 2 4 5" xfId="10092" xr:uid="{B8834F5B-6FCF-45AE-B7EF-CD6748D4A06B}"/>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DD11E5FD-0C00-4CBD-A8B9-52A032C2A2DB}"/>
    <cellStyle name="40% - Accent3 2 5 2 3" xfId="12650" xr:uid="{967C6C88-8923-4560-A6E5-96B3D01151EB}"/>
    <cellStyle name="40% - Accent3 2 5 3" xfId="5396" xr:uid="{00000000-0005-0000-0000-000046050000}"/>
    <cellStyle name="40% - Accent3 2 5 3 2" xfId="14722" xr:uid="{434AD13A-D9E1-4662-9BFB-FA672DA209A9}"/>
    <cellStyle name="40% - Accent3 2 5 4" xfId="10505" xr:uid="{2F226E19-7357-4788-98C5-B2F8815F3834}"/>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6AF46CB5-476A-4EDB-A388-FA1361C5BA23}"/>
    <cellStyle name="40% - Accent3 2 6 2 3" xfId="13063" xr:uid="{0307330B-EDB2-4B99-85D5-284D4E4739EA}"/>
    <cellStyle name="40% - Accent3 2 6 3" xfId="5809" xr:uid="{00000000-0005-0000-0000-00004A050000}"/>
    <cellStyle name="40% - Accent3 2 6 3 2" xfId="15135" xr:uid="{6ACBCBB4-0181-4A6E-AEB9-5249B3B770AB}"/>
    <cellStyle name="40% - Accent3 2 6 4" xfId="10918" xr:uid="{2A855F1E-C073-4D28-B306-C47EECFE488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D278BC5C-8581-41CC-BD90-EE01206611A2}"/>
    <cellStyle name="40% - Accent3 2 7 2 3" xfId="13476" xr:uid="{5CBB7EE6-623D-4EB5-AB59-00C2E1CCC989}"/>
    <cellStyle name="40% - Accent3 2 7 3" xfId="6222" xr:uid="{00000000-0005-0000-0000-00004E050000}"/>
    <cellStyle name="40% - Accent3 2 7 3 2" xfId="15548" xr:uid="{E8E05E50-B8FA-41EE-A881-6C6CB1527677}"/>
    <cellStyle name="40% - Accent3 2 7 4" xfId="11331" xr:uid="{A69B700F-39F4-4B97-B0BB-EF6AE5DD3C73}"/>
    <cellStyle name="40% - Accent3 2 8" xfId="2329" xr:uid="{00000000-0005-0000-0000-00004F050000}"/>
    <cellStyle name="40% - Accent3 2 8 2" xfId="6635" xr:uid="{00000000-0005-0000-0000-000050050000}"/>
    <cellStyle name="40% - Accent3 2 8 2 2" xfId="15961" xr:uid="{18CC9EF4-B497-4A17-B936-7F90ADFC807B}"/>
    <cellStyle name="40% - Accent3 2 8 3" xfId="11744" xr:uid="{27360DBF-690F-4BA4-A3D2-F0D2F189D270}"/>
    <cellStyle name="40% - Accent3 2 9" xfId="4569" xr:uid="{00000000-0005-0000-0000-000051050000}"/>
    <cellStyle name="40% - Accent3 2 9 2" xfId="13895" xr:uid="{99C90312-CFCA-490E-95A2-613826B7DA22}"/>
    <cellStyle name="40% - Accent3 3" xfId="70" xr:uid="{00000000-0005-0000-0000-000052050000}"/>
    <cellStyle name="40% - Accent3 3 10" xfId="9682" xr:uid="{415D5E6E-0FC9-4832-8AA7-179B91391C99}"/>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95A8F514-BB8E-4083-AD82-BDBCF5804C64}"/>
    <cellStyle name="40% - Accent3 3 2 2 2 3" xfId="12242" xr:uid="{898DB1E3-2ED5-4189-AEE6-ADFDB534E7AD}"/>
    <cellStyle name="40% - Accent3 3 2 2 3" xfId="4988" xr:uid="{00000000-0005-0000-0000-000057050000}"/>
    <cellStyle name="40% - Accent3 3 2 2 3 2" xfId="14314" xr:uid="{811878E9-186B-48C8-9020-C0A7134B9A62}"/>
    <cellStyle name="40% - Accent3 3 2 2 4" xfId="9498" xr:uid="{7C43CF58-5AE0-4BAA-9D2B-CAB92F3612F1}"/>
    <cellStyle name="40% - Accent3 3 2 2 4 2" xfId="18813" xr:uid="{60DF3CE2-F03C-466D-8256-177CB721A15C}"/>
    <cellStyle name="40% - Accent3 3 2 2 5" xfId="10097" xr:uid="{B854AA93-3113-4258-807F-CAC5C697F762}"/>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E30CF302-97D9-47FB-88D8-2425348087DD}"/>
    <cellStyle name="40% - Accent3 3 2 3 2 3" xfId="12655" xr:uid="{A05496B2-1309-4CFF-B100-8AE570199BAA}"/>
    <cellStyle name="40% - Accent3 3 2 3 3" xfId="5401" xr:uid="{00000000-0005-0000-0000-00005B050000}"/>
    <cellStyle name="40% - Accent3 3 2 3 3 2" xfId="14727" xr:uid="{61DF4B6E-9F72-457D-BE74-310BB7DD87FB}"/>
    <cellStyle name="40% - Accent3 3 2 3 4" xfId="10510" xr:uid="{E3A4F1EB-A7E6-41BF-8BE4-D3E281C2885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14431956-E549-49CA-83BF-15FAE72DECF1}"/>
    <cellStyle name="40% - Accent3 3 2 4 2 3" xfId="13068" xr:uid="{C26FD44B-149F-4A03-9309-15863595740C}"/>
    <cellStyle name="40% - Accent3 3 2 4 3" xfId="5814" xr:uid="{00000000-0005-0000-0000-00005F050000}"/>
    <cellStyle name="40% - Accent3 3 2 4 3 2" xfId="15140" xr:uid="{6DDA1047-639C-43FA-AA89-4319498EBA0E}"/>
    <cellStyle name="40% - Accent3 3 2 4 4" xfId="10923" xr:uid="{D5410DD9-5F5E-4C1B-89B1-F4AFB61A0D23}"/>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0F3050A3-0B5F-4BC9-A9B2-81406CA9EA0C}"/>
    <cellStyle name="40% - Accent3 3 2 5 2 3" xfId="13481" xr:uid="{4987220D-3034-4588-9333-BD8181180138}"/>
    <cellStyle name="40% - Accent3 3 2 5 3" xfId="6227" xr:uid="{00000000-0005-0000-0000-000063050000}"/>
    <cellStyle name="40% - Accent3 3 2 5 3 2" xfId="15553" xr:uid="{B04730B6-5DD6-4764-B997-E1F91FFEE39D}"/>
    <cellStyle name="40% - Accent3 3 2 5 4" xfId="11336" xr:uid="{C0E5425C-7375-4A29-986F-BBCD97B68485}"/>
    <cellStyle name="40% - Accent3 3 2 6" xfId="2334" xr:uid="{00000000-0005-0000-0000-000064050000}"/>
    <cellStyle name="40% - Accent3 3 2 6 2" xfId="6640" xr:uid="{00000000-0005-0000-0000-000065050000}"/>
    <cellStyle name="40% - Accent3 3 2 6 2 2" xfId="15966" xr:uid="{D6ECD6DA-456A-409B-9FC1-6E8038D8DDB2}"/>
    <cellStyle name="40% - Accent3 3 2 6 3" xfId="11749" xr:uid="{21E116DA-E205-43CA-BCB5-1086741309BC}"/>
    <cellStyle name="40% - Accent3 3 2 7" xfId="4574" xr:uid="{00000000-0005-0000-0000-000066050000}"/>
    <cellStyle name="40% - Accent3 3 2 7 2" xfId="13900" xr:uid="{DB500C3B-9D08-4966-B330-29713B45F862}"/>
    <cellStyle name="40% - Accent3 3 2 8" xfId="9073" xr:uid="{0E71C752-2CF0-411D-A05E-4DA4A73CFC34}"/>
    <cellStyle name="40% - Accent3 3 2 8 2" xfId="18397" xr:uid="{80918112-6315-4D48-A562-EDAEC8624B96}"/>
    <cellStyle name="40% - Accent3 3 2 9" xfId="9683" xr:uid="{D8D34A36-8E82-44AB-8535-BD30BC3BADDE}"/>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E96C3CE2-76BA-41C7-BD02-50C109C586A9}"/>
    <cellStyle name="40% - Accent3 3 3 2 3" xfId="12241" xr:uid="{FCC7162C-C16C-4EB1-8B78-55F7886AB4B1}"/>
    <cellStyle name="40% - Accent3 3 3 3" xfId="4987" xr:uid="{00000000-0005-0000-0000-00006A050000}"/>
    <cellStyle name="40% - Accent3 3 3 3 2" xfId="14313" xr:uid="{78A68590-F6A2-432B-8C02-3339B9CC248B}"/>
    <cellStyle name="40% - Accent3 3 3 4" xfId="9291" xr:uid="{59AB3F6D-A8C6-4A37-A8E3-967850079A77}"/>
    <cellStyle name="40% - Accent3 3 3 4 2" xfId="18606" xr:uid="{D6FB7931-C5BB-4FB2-A5E0-695AF51823C4}"/>
    <cellStyle name="40% - Accent3 3 3 5" xfId="10096" xr:uid="{9B695EE6-F0CA-4D5A-91C7-74246CA822D1}"/>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A8B7B0D1-BA8C-48A3-B434-C491531B3ACC}"/>
    <cellStyle name="40% - Accent3 3 4 2 3" xfId="12654" xr:uid="{5109BFCA-9242-462B-8127-A82F9346D168}"/>
    <cellStyle name="40% - Accent3 3 4 3" xfId="5400" xr:uid="{00000000-0005-0000-0000-00006E050000}"/>
    <cellStyle name="40% - Accent3 3 4 3 2" xfId="14726" xr:uid="{0846DE31-A6EF-483B-BC1A-8CFE089352F6}"/>
    <cellStyle name="40% - Accent3 3 4 4" xfId="10509" xr:uid="{1F0F7F89-5731-4593-868F-673AF23913C8}"/>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833EEF48-4FA1-42B4-BBDB-3A6D873EFBFA}"/>
    <cellStyle name="40% - Accent3 3 5 2 3" xfId="13067" xr:uid="{6227811B-8FCA-4F99-808A-4481B24A6300}"/>
    <cellStyle name="40% - Accent3 3 5 3" xfId="5813" xr:uid="{00000000-0005-0000-0000-000072050000}"/>
    <cellStyle name="40% - Accent3 3 5 3 2" xfId="15139" xr:uid="{44C2FA56-CC66-4748-A63D-5F2724D2928F}"/>
    <cellStyle name="40% - Accent3 3 5 4" xfId="10922" xr:uid="{3E31BBE3-FB60-4347-901F-07EF831E8744}"/>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798F862C-342C-403D-8258-5E03F8B9DA1C}"/>
    <cellStyle name="40% - Accent3 3 6 2 3" xfId="13480" xr:uid="{E262F7DB-26D3-4EAB-AB16-0C1013B85575}"/>
    <cellStyle name="40% - Accent3 3 6 3" xfId="6226" xr:uid="{00000000-0005-0000-0000-000076050000}"/>
    <cellStyle name="40% - Accent3 3 6 3 2" xfId="15552" xr:uid="{8120BB83-EFF2-4F6B-AE6E-30A77F7B7D17}"/>
    <cellStyle name="40% - Accent3 3 6 4" xfId="11335" xr:uid="{FC11F1CD-FB15-4F39-8115-5CB7B2B92F3E}"/>
    <cellStyle name="40% - Accent3 3 7" xfId="2333" xr:uid="{00000000-0005-0000-0000-000077050000}"/>
    <cellStyle name="40% - Accent3 3 7 2" xfId="6639" xr:uid="{00000000-0005-0000-0000-000078050000}"/>
    <cellStyle name="40% - Accent3 3 7 2 2" xfId="15965" xr:uid="{E5B22C56-0BBD-4922-818D-EA0F4F9EE561}"/>
    <cellStyle name="40% - Accent3 3 7 3" xfId="11748" xr:uid="{DA489DF1-D949-4D91-9EE6-BF6972AA6790}"/>
    <cellStyle name="40% - Accent3 3 8" xfId="4573" xr:uid="{00000000-0005-0000-0000-000079050000}"/>
    <cellStyle name="40% - Accent3 3 8 2" xfId="13899" xr:uid="{FA1527E4-D974-4361-A282-A4369E87E752}"/>
    <cellStyle name="40% - Accent3 3 9" xfId="8866" xr:uid="{1A1EF43E-4A2B-42A8-98A3-CEC34DD3B00D}"/>
    <cellStyle name="40% - Accent3 3 9 2" xfId="18190" xr:uid="{E7B9400E-1505-49AE-BDF0-7DEED960CAD5}"/>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037057BA-D975-42A5-BD14-5FA0B58403EA}"/>
    <cellStyle name="40% - Accent3 4 2 2 3" xfId="12243" xr:uid="{458F9707-F5B8-48E3-A6AD-4ABA97FC156E}"/>
    <cellStyle name="40% - Accent3 4 2 3" xfId="4989" xr:uid="{00000000-0005-0000-0000-00007E050000}"/>
    <cellStyle name="40% - Accent3 4 2 3 2" xfId="14315" xr:uid="{B99B0A16-0E63-421F-BF48-238D563B041B}"/>
    <cellStyle name="40% - Accent3 4 2 4" xfId="9377" xr:uid="{F4393833-4E73-4685-9332-CF918D5239A9}"/>
    <cellStyle name="40% - Accent3 4 2 4 2" xfId="18692" xr:uid="{F25A3717-2E88-400F-BA73-E56674391C8D}"/>
    <cellStyle name="40% - Accent3 4 2 5" xfId="10098" xr:uid="{F2F837CA-D522-42F6-9900-FC8300434E7E}"/>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8DD77F9B-6E4B-409B-BE2B-1DFC23CE7449}"/>
    <cellStyle name="40% - Accent3 4 3 2 3" xfId="12656" xr:uid="{5BE1023A-4902-46BA-ACE7-18702DFCCF7D}"/>
    <cellStyle name="40% - Accent3 4 3 3" xfId="5402" xr:uid="{00000000-0005-0000-0000-000082050000}"/>
    <cellStyle name="40% - Accent3 4 3 3 2" xfId="14728" xr:uid="{3679020C-CE5B-4516-9DB7-F42D8E4CEF9C}"/>
    <cellStyle name="40% - Accent3 4 3 4" xfId="10511" xr:uid="{AC8BC639-0782-46D2-AA02-E709FCFE59FE}"/>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DC18348C-AFA9-4943-9FE9-A01E95B4238E}"/>
    <cellStyle name="40% - Accent3 4 4 2 3" xfId="13069" xr:uid="{BEAAF7D2-1DA2-4129-AC8A-2187FE02E36D}"/>
    <cellStyle name="40% - Accent3 4 4 3" xfId="5815" xr:uid="{00000000-0005-0000-0000-000086050000}"/>
    <cellStyle name="40% - Accent3 4 4 3 2" xfId="15141" xr:uid="{354C9136-BC6B-497E-80AD-AC4E3B772445}"/>
    <cellStyle name="40% - Accent3 4 4 4" xfId="10924" xr:uid="{D80C8C4A-10FE-459F-962F-619D5B6899FD}"/>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A428A92F-0116-49E2-A6AC-648EBFF5BBE4}"/>
    <cellStyle name="40% - Accent3 4 5 2 3" xfId="13482" xr:uid="{175DDF28-D1EC-4553-80B0-915BE16F18B0}"/>
    <cellStyle name="40% - Accent3 4 5 3" xfId="6228" xr:uid="{00000000-0005-0000-0000-00008A050000}"/>
    <cellStyle name="40% - Accent3 4 5 3 2" xfId="15554" xr:uid="{7C374360-558F-4783-9A34-9A45D52470E9}"/>
    <cellStyle name="40% - Accent3 4 5 4" xfId="11337" xr:uid="{FA763BEC-01D1-44B0-AEFE-574CB46B6CF5}"/>
    <cellStyle name="40% - Accent3 4 6" xfId="2335" xr:uid="{00000000-0005-0000-0000-00008B050000}"/>
    <cellStyle name="40% - Accent3 4 6 2" xfId="6641" xr:uid="{00000000-0005-0000-0000-00008C050000}"/>
    <cellStyle name="40% - Accent3 4 6 2 2" xfId="15967" xr:uid="{4CD2C537-1A2D-4AA7-A360-9BDE90E12D45}"/>
    <cellStyle name="40% - Accent3 4 6 3" xfId="11750" xr:uid="{F8CE002B-3E9A-4D87-90A6-163B99A6F5F5}"/>
    <cellStyle name="40% - Accent3 4 7" xfId="4575" xr:uid="{00000000-0005-0000-0000-00008D050000}"/>
    <cellStyle name="40% - Accent3 4 7 2" xfId="13901" xr:uid="{EF5E7BF9-B9C2-4F6E-A41B-6706D836EA0A}"/>
    <cellStyle name="40% - Accent3 4 8" xfId="8952" xr:uid="{74BF8F1E-4A34-4787-9BA1-0B97E446635F}"/>
    <cellStyle name="40% - Accent3 4 8 2" xfId="18276" xr:uid="{1C2E3A00-764C-4B4F-99AA-EE0D5E3DF5F7}"/>
    <cellStyle name="40% - Accent3 4 9" xfId="9684" xr:uid="{A1A04903-6F43-43EA-AAC1-EBF1E4B18095}"/>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A826F83D-F51C-4872-A9A7-104804F8F80D}"/>
    <cellStyle name="40% - Accent3 5 2 3" xfId="12236" xr:uid="{C6016A0C-9734-4D21-AF2B-25F7F897456E}"/>
    <cellStyle name="40% - Accent3 5 3" xfId="4982" xr:uid="{00000000-0005-0000-0000-000091050000}"/>
    <cellStyle name="40% - Accent3 5 3 2" xfId="14308" xr:uid="{81DCF51B-B4D5-4BA1-913F-948F15F78F42}"/>
    <cellStyle name="40% - Accent3 5 4" xfId="9185" xr:uid="{526F025D-EBF7-4976-9E38-4C0631A2843B}"/>
    <cellStyle name="40% - Accent3 5 4 2" xfId="18503" xr:uid="{CCD42F8C-61E7-492C-8650-C9FE7823BE3C}"/>
    <cellStyle name="40% - Accent3 5 5" xfId="10091" xr:uid="{AF1C6A6F-C9FB-4EE5-960B-89E826D8F6E3}"/>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B1BC7932-D5BC-4E43-93C6-F1AC18E19D6A}"/>
    <cellStyle name="40% - Accent3 6 2 3" xfId="12649" xr:uid="{672C7C98-6EA2-4089-8C28-10EB37F20C3C}"/>
    <cellStyle name="40% - Accent3 6 3" xfId="5395" xr:uid="{00000000-0005-0000-0000-000095050000}"/>
    <cellStyle name="40% - Accent3 6 3 2" xfId="14721" xr:uid="{C02808DE-1701-4870-9BF9-903CC7DBE878}"/>
    <cellStyle name="40% - Accent3 6 4" xfId="10504" xr:uid="{36557333-5B7D-4D34-BB1C-5C8B3005C8B6}"/>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53F22BB4-DEF7-4C0C-988C-6628CA6002B8}"/>
    <cellStyle name="40% - Accent3 7 2 3" xfId="13062" xr:uid="{A7FA6850-0F45-4AAF-9FDC-FDF89E0D8D14}"/>
    <cellStyle name="40% - Accent3 7 3" xfId="5808" xr:uid="{00000000-0005-0000-0000-000099050000}"/>
    <cellStyle name="40% - Accent3 7 3 2" xfId="15134" xr:uid="{81F1DD9E-D942-46EB-9ECC-68F5310FE543}"/>
    <cellStyle name="40% - Accent3 7 4" xfId="10917" xr:uid="{CD13ED7F-7C08-42C0-9F51-A75F3864ABE9}"/>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40D399DF-DE62-4E29-BBFD-B02C17FC70F2}"/>
    <cellStyle name="40% - Accent3 8 2 3" xfId="13475" xr:uid="{45BA0CF2-4987-45C7-833F-19EB21FC39E4}"/>
    <cellStyle name="40% - Accent3 8 3" xfId="6221" xr:uid="{00000000-0005-0000-0000-00009D050000}"/>
    <cellStyle name="40% - Accent3 8 3 2" xfId="15547" xr:uid="{0832156E-E959-4B53-8885-C29D42AD4465}"/>
    <cellStyle name="40% - Accent3 8 4" xfId="11330" xr:uid="{E67931A7-2898-45F7-830F-408A3F7285EB}"/>
    <cellStyle name="40% - Accent3 9" xfId="2328" xr:uid="{00000000-0005-0000-0000-00009E050000}"/>
    <cellStyle name="40% - Accent3 9 2" xfId="6634" xr:uid="{00000000-0005-0000-0000-00009F050000}"/>
    <cellStyle name="40% - Accent3 9 2 2" xfId="15960" xr:uid="{FF24F88B-9A84-4C04-95D5-49CA894F170B}"/>
    <cellStyle name="40% - Accent3 9 3" xfId="11743" xr:uid="{3362267D-BFBC-4A52-8701-4CAA22D673EA}"/>
    <cellStyle name="40% - Accent4" xfId="73" builtinId="43" customBuiltin="1"/>
    <cellStyle name="40% - Accent4 10" xfId="4576" xr:uid="{00000000-0005-0000-0000-0000A1050000}"/>
    <cellStyle name="40% - Accent4 10 2" xfId="13902" xr:uid="{8662DDD7-DDED-4346-B9BA-A7D0CAF2CC10}"/>
    <cellStyle name="40% - Accent4 11" xfId="8765" xr:uid="{18B6B6D6-5043-43D1-BB02-3855BF7027C3}"/>
    <cellStyle name="40% - Accent4 11 2" xfId="18089" xr:uid="{36EF241E-28DF-4931-BCBD-BDE80467C7EB}"/>
    <cellStyle name="40% - Accent4 12" xfId="9685" xr:uid="{FE016586-0F6F-4DB3-AD7E-090C672DE4A6}"/>
    <cellStyle name="40% - Accent4 2" xfId="74" xr:uid="{00000000-0005-0000-0000-0000A2050000}"/>
    <cellStyle name="40% - Accent4 2 10" xfId="8801" xr:uid="{223FCC58-A05E-4022-8080-E75A80678FA6}"/>
    <cellStyle name="40% - Accent4 2 10 2" xfId="18125" xr:uid="{806FD726-75F3-448E-A34B-B4A14506EE49}"/>
    <cellStyle name="40% - Accent4 2 11" xfId="9686" xr:uid="{B1C44023-5348-4238-BA16-7F40BF70DD3A}"/>
    <cellStyle name="40% - Accent4 2 2" xfId="75" xr:uid="{00000000-0005-0000-0000-0000A3050000}"/>
    <cellStyle name="40% - Accent4 2 2 10" xfId="9687" xr:uid="{E4A332A2-B2B5-4504-BE43-83C09C7299E3}"/>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800BDA57-063F-4A33-BA38-606A68FD8ACC}"/>
    <cellStyle name="40% - Accent4 2 2 2 2 2 3" xfId="12247" xr:uid="{A2D71FDC-4F83-40FF-8288-69989AF48132}"/>
    <cellStyle name="40% - Accent4 2 2 2 2 3" xfId="4993" xr:uid="{00000000-0005-0000-0000-0000A8050000}"/>
    <cellStyle name="40% - Accent4 2 2 2 2 3 2" xfId="14319" xr:uid="{33C53E37-C7AA-4760-86C3-2A774E137942}"/>
    <cellStyle name="40% - Accent4 2 2 2 2 4" xfId="9536" xr:uid="{4351D24F-CE30-4CFD-968F-4B882F0FC9B5}"/>
    <cellStyle name="40% - Accent4 2 2 2 2 4 2" xfId="18851" xr:uid="{FD073769-2338-4DC0-9632-C3D11E4D85D9}"/>
    <cellStyle name="40% - Accent4 2 2 2 2 5" xfId="10102" xr:uid="{FDCB8965-7008-4601-AF50-C1ACBF9B8287}"/>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2041FAD9-E664-43F1-AC8B-031714807C33}"/>
    <cellStyle name="40% - Accent4 2 2 2 3 2 3" xfId="12660" xr:uid="{9677B99D-7DAB-49C3-8940-63B8BDFE66ED}"/>
    <cellStyle name="40% - Accent4 2 2 2 3 3" xfId="5406" xr:uid="{00000000-0005-0000-0000-0000AC050000}"/>
    <cellStyle name="40% - Accent4 2 2 2 3 3 2" xfId="14732" xr:uid="{C7593E73-3912-4BE1-B91B-7DF436FC8DC1}"/>
    <cellStyle name="40% - Accent4 2 2 2 3 4" xfId="10515" xr:uid="{5470DD43-7EA4-401C-B5E1-609691334CDD}"/>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BCC64BAA-F7B1-42E0-8004-46ED1D58DCF5}"/>
    <cellStyle name="40% - Accent4 2 2 2 4 2 3" xfId="13073" xr:uid="{2F6C4E91-087F-44C1-9FB9-B1FDBF0F5E27}"/>
    <cellStyle name="40% - Accent4 2 2 2 4 3" xfId="5819" xr:uid="{00000000-0005-0000-0000-0000B0050000}"/>
    <cellStyle name="40% - Accent4 2 2 2 4 3 2" xfId="15145" xr:uid="{895058A7-2DF2-453A-BB89-3CB5FD2B0E22}"/>
    <cellStyle name="40% - Accent4 2 2 2 4 4" xfId="10928" xr:uid="{F015F6F0-79E9-457A-90A0-DA82DB0FC11C}"/>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EABF4EA8-8190-4FF7-82EF-11073F3353C6}"/>
    <cellStyle name="40% - Accent4 2 2 2 5 2 3" xfId="13486" xr:uid="{AB0BB24F-43BD-421D-8D9F-1284B5C7C04D}"/>
    <cellStyle name="40% - Accent4 2 2 2 5 3" xfId="6232" xr:uid="{00000000-0005-0000-0000-0000B4050000}"/>
    <cellStyle name="40% - Accent4 2 2 2 5 3 2" xfId="15558" xr:uid="{BD2F2302-037C-4E0F-8249-81525C82E0AB}"/>
    <cellStyle name="40% - Accent4 2 2 2 5 4" xfId="11341" xr:uid="{D5464231-E778-445A-814B-8AB0E97FF82E}"/>
    <cellStyle name="40% - Accent4 2 2 2 6" xfId="2339" xr:uid="{00000000-0005-0000-0000-0000B5050000}"/>
    <cellStyle name="40% - Accent4 2 2 2 6 2" xfId="6645" xr:uid="{00000000-0005-0000-0000-0000B6050000}"/>
    <cellStyle name="40% - Accent4 2 2 2 6 2 2" xfId="15971" xr:uid="{C0324D9A-DA9B-472A-AA17-8ECBAC9008F9}"/>
    <cellStyle name="40% - Accent4 2 2 2 6 3" xfId="11754" xr:uid="{5CEFB9E3-19D3-4993-B33E-1E5004C02CE3}"/>
    <cellStyle name="40% - Accent4 2 2 2 7" xfId="4579" xr:uid="{00000000-0005-0000-0000-0000B7050000}"/>
    <cellStyle name="40% - Accent4 2 2 2 7 2" xfId="13905" xr:uid="{763A9D99-D7BF-4882-8FBC-C250467D2869}"/>
    <cellStyle name="40% - Accent4 2 2 2 8" xfId="9111" xr:uid="{1DD86F12-0D11-497C-88D9-78D90E1EF65F}"/>
    <cellStyle name="40% - Accent4 2 2 2 8 2" xfId="18435" xr:uid="{09B13657-1DF2-468F-B903-C6C01B3B8F5F}"/>
    <cellStyle name="40% - Accent4 2 2 2 9" xfId="9688" xr:uid="{A099994A-E6F4-4966-A58D-A1DEA70E04D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519B26E7-5DD9-4E53-9B9B-F0913A7DC026}"/>
    <cellStyle name="40% - Accent4 2 2 3 2 3" xfId="12246" xr:uid="{4C5970D4-E0BC-405F-949E-4A1C1072BCD9}"/>
    <cellStyle name="40% - Accent4 2 2 3 3" xfId="4992" xr:uid="{00000000-0005-0000-0000-0000BB050000}"/>
    <cellStyle name="40% - Accent4 2 2 3 3 2" xfId="14318" xr:uid="{358DD7C0-E6D8-4378-900F-3F2F78F2D718}"/>
    <cellStyle name="40% - Accent4 2 2 3 4" xfId="9329" xr:uid="{62CB3536-9FC4-4DBF-9121-AD0025D891C9}"/>
    <cellStyle name="40% - Accent4 2 2 3 4 2" xfId="18644" xr:uid="{9AD402A8-69E7-4DAF-85BF-AC2BBF8AF266}"/>
    <cellStyle name="40% - Accent4 2 2 3 5" xfId="10101" xr:uid="{C18EB000-E83C-4129-BC30-CD0A2D46EB04}"/>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A6CFB30B-1190-40B7-9D7D-F3F2203D57B4}"/>
    <cellStyle name="40% - Accent4 2 2 4 2 3" xfId="12659" xr:uid="{E1CCCE62-D910-4EB2-8028-D30C9FCD488B}"/>
    <cellStyle name="40% - Accent4 2 2 4 3" xfId="5405" xr:uid="{00000000-0005-0000-0000-0000BF050000}"/>
    <cellStyle name="40% - Accent4 2 2 4 3 2" xfId="14731" xr:uid="{724C4BBD-94EA-4596-8BF2-AD1545166294}"/>
    <cellStyle name="40% - Accent4 2 2 4 4" xfId="10514" xr:uid="{4BD5E9FB-0C05-46E0-B218-D8C52CFC8047}"/>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32319DB2-23F3-45DE-8D60-310D289F7D22}"/>
    <cellStyle name="40% - Accent4 2 2 5 2 3" xfId="13072" xr:uid="{77D6FB24-CD58-44D7-ABF7-FE86BC334647}"/>
    <cellStyle name="40% - Accent4 2 2 5 3" xfId="5818" xr:uid="{00000000-0005-0000-0000-0000C3050000}"/>
    <cellStyle name="40% - Accent4 2 2 5 3 2" xfId="15144" xr:uid="{43A5B030-36CB-4FA1-A450-7CC964DB0476}"/>
    <cellStyle name="40% - Accent4 2 2 5 4" xfId="10927" xr:uid="{6DD3C731-41AD-4140-802C-D192BDC8F94A}"/>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9A0201DB-9237-4F8C-B453-907A0408871F}"/>
    <cellStyle name="40% - Accent4 2 2 6 2 3" xfId="13485" xr:uid="{942F9F70-6F46-4AE1-9E5D-EEB8F8C8F029}"/>
    <cellStyle name="40% - Accent4 2 2 6 3" xfId="6231" xr:uid="{00000000-0005-0000-0000-0000C7050000}"/>
    <cellStyle name="40% - Accent4 2 2 6 3 2" xfId="15557" xr:uid="{43D9DC27-087F-4423-B9EA-A4BF0424153F}"/>
    <cellStyle name="40% - Accent4 2 2 6 4" xfId="11340" xr:uid="{8C062DD1-9E40-47E5-9843-B857A279B8D8}"/>
    <cellStyle name="40% - Accent4 2 2 7" xfId="2338" xr:uid="{00000000-0005-0000-0000-0000C8050000}"/>
    <cellStyle name="40% - Accent4 2 2 7 2" xfId="6644" xr:uid="{00000000-0005-0000-0000-0000C9050000}"/>
    <cellStyle name="40% - Accent4 2 2 7 2 2" xfId="15970" xr:uid="{67BEBB88-CB7B-4B7C-8D69-4DC806E49BCE}"/>
    <cellStyle name="40% - Accent4 2 2 7 3" xfId="11753" xr:uid="{04C107DE-5830-4E2B-9C0B-79792C9D8E13}"/>
    <cellStyle name="40% - Accent4 2 2 8" xfId="4578" xr:uid="{00000000-0005-0000-0000-0000CA050000}"/>
    <cellStyle name="40% - Accent4 2 2 8 2" xfId="13904" xr:uid="{475F547A-6320-41DF-874F-5077EF986631}"/>
    <cellStyle name="40% - Accent4 2 2 9" xfId="8904" xr:uid="{64C959C5-2FAF-462D-88B6-14B59CDC763B}"/>
    <cellStyle name="40% - Accent4 2 2 9 2" xfId="18228" xr:uid="{BF5730F1-0248-4FBD-8F06-79671B5D9248}"/>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EE9D31C4-1ED4-4E95-A00A-CFEF0A7A4D91}"/>
    <cellStyle name="40% - Accent4 2 3 2 2 3" xfId="12248" xr:uid="{274FCFAC-C21F-4C60-9649-5E81C11C420E}"/>
    <cellStyle name="40% - Accent4 2 3 2 3" xfId="4994" xr:uid="{00000000-0005-0000-0000-0000CF050000}"/>
    <cellStyle name="40% - Accent4 2 3 2 3 2" xfId="14320" xr:uid="{CBACA7E3-013B-48AC-B925-1722A31D51B7}"/>
    <cellStyle name="40% - Accent4 2 3 2 4" xfId="9433" xr:uid="{058786D1-7E7D-40D9-9218-B4C7219F4E53}"/>
    <cellStyle name="40% - Accent4 2 3 2 4 2" xfId="18748" xr:uid="{DD730440-2CE8-49AE-B135-24AA7C1F6631}"/>
    <cellStyle name="40% - Accent4 2 3 2 5" xfId="10103" xr:uid="{3BAC0596-1448-420D-96F5-F86912F9A40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B2006653-C85A-42F7-9A39-26BFD4AEE57D}"/>
    <cellStyle name="40% - Accent4 2 3 3 2 3" xfId="12661" xr:uid="{ECD8D66F-D3F7-4C29-9351-4EF741A3BBFB}"/>
    <cellStyle name="40% - Accent4 2 3 3 3" xfId="5407" xr:uid="{00000000-0005-0000-0000-0000D3050000}"/>
    <cellStyle name="40% - Accent4 2 3 3 3 2" xfId="14733" xr:uid="{82EE70FD-90CF-458E-9B58-8EC5431B909B}"/>
    <cellStyle name="40% - Accent4 2 3 3 4" xfId="10516" xr:uid="{D8316B5E-232E-44D2-8B0F-C4B89AE80BF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60A9E64F-2B5D-45E8-BB3B-CA66A7FEAF61}"/>
    <cellStyle name="40% - Accent4 2 3 4 2 3" xfId="13074" xr:uid="{04A9781B-DD17-4992-A6BB-36076FF50CCD}"/>
    <cellStyle name="40% - Accent4 2 3 4 3" xfId="5820" xr:uid="{00000000-0005-0000-0000-0000D7050000}"/>
    <cellStyle name="40% - Accent4 2 3 4 3 2" xfId="15146" xr:uid="{C846A207-19AA-43CC-B2F6-C94E2EBB42C3}"/>
    <cellStyle name="40% - Accent4 2 3 4 4" xfId="10929" xr:uid="{8DE28218-ADE4-4056-BACE-2D09ADFE9590}"/>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2215ECBA-A52F-45E7-A94F-0D89005F8FCB}"/>
    <cellStyle name="40% - Accent4 2 3 5 2 3" xfId="13487" xr:uid="{2B814E54-2A16-46F9-9712-A2BC3ACA0FB1}"/>
    <cellStyle name="40% - Accent4 2 3 5 3" xfId="6233" xr:uid="{00000000-0005-0000-0000-0000DB050000}"/>
    <cellStyle name="40% - Accent4 2 3 5 3 2" xfId="15559" xr:uid="{3315494D-A9B3-44B9-A518-2C78FDBF00EE}"/>
    <cellStyle name="40% - Accent4 2 3 5 4" xfId="11342" xr:uid="{12CDC127-99A5-46FA-A87B-34F18AF52245}"/>
    <cellStyle name="40% - Accent4 2 3 6" xfId="2340" xr:uid="{00000000-0005-0000-0000-0000DC050000}"/>
    <cellStyle name="40% - Accent4 2 3 6 2" xfId="6646" xr:uid="{00000000-0005-0000-0000-0000DD050000}"/>
    <cellStyle name="40% - Accent4 2 3 6 2 2" xfId="15972" xr:uid="{AD57EF79-9319-4C00-B22B-A760A4AEA734}"/>
    <cellStyle name="40% - Accent4 2 3 6 3" xfId="11755" xr:uid="{B9A9A29C-00FD-4987-A585-2D7970703C71}"/>
    <cellStyle name="40% - Accent4 2 3 7" xfId="4580" xr:uid="{00000000-0005-0000-0000-0000DE050000}"/>
    <cellStyle name="40% - Accent4 2 3 7 2" xfId="13906" xr:uid="{39C31ABF-3E4D-4CF3-868C-69281AC7FBBA}"/>
    <cellStyle name="40% - Accent4 2 3 8" xfId="9008" xr:uid="{270F4CAB-C86F-4D9D-804F-69497913908B}"/>
    <cellStyle name="40% - Accent4 2 3 8 2" xfId="18332" xr:uid="{BAA9D988-5081-4490-8733-9EEDE232D048}"/>
    <cellStyle name="40% - Accent4 2 3 9" xfId="9689" xr:uid="{1903CA43-64ED-4CFF-AE5A-636F270CCCFE}"/>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0ACA9F5F-AA6A-45CC-AAC4-9BCC759C85AF}"/>
    <cellStyle name="40% - Accent4 2 4 2 3" xfId="12245" xr:uid="{10663725-EE64-4553-8A19-C23AE301DA03}"/>
    <cellStyle name="40% - Accent4 2 4 3" xfId="4991" xr:uid="{00000000-0005-0000-0000-0000E2050000}"/>
    <cellStyle name="40% - Accent4 2 4 3 2" xfId="14317" xr:uid="{903D2183-0B79-423D-BD18-D58FFCBD52DA}"/>
    <cellStyle name="40% - Accent4 2 4 4" xfId="9225" xr:uid="{40EEB981-54C4-40E4-A2F9-BCD479248D23}"/>
    <cellStyle name="40% - Accent4 2 4 4 2" xfId="18541" xr:uid="{100009E6-2C51-408F-9A1B-68FF358578B8}"/>
    <cellStyle name="40% - Accent4 2 4 5" xfId="10100" xr:uid="{8DDF6EFD-BC49-4591-999A-71215D7A058D}"/>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6B2ADB35-C54E-4E75-8D92-4AB017CB1423}"/>
    <cellStyle name="40% - Accent4 2 5 2 3" xfId="12658" xr:uid="{8E84630F-D208-40C2-BDC2-CA77316B2B6A}"/>
    <cellStyle name="40% - Accent4 2 5 3" xfId="5404" xr:uid="{00000000-0005-0000-0000-0000E6050000}"/>
    <cellStyle name="40% - Accent4 2 5 3 2" xfId="14730" xr:uid="{20C24A79-3EA6-4F80-96CE-03989C6D5985}"/>
    <cellStyle name="40% - Accent4 2 5 4" xfId="10513" xr:uid="{FB0581D8-BAE3-4D5A-97E7-013DF23B99C7}"/>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4C190E7A-BC3C-4134-AB6A-962379D35509}"/>
    <cellStyle name="40% - Accent4 2 6 2 3" xfId="13071" xr:uid="{95417F4F-934C-4214-9624-AA05A0B1908D}"/>
    <cellStyle name="40% - Accent4 2 6 3" xfId="5817" xr:uid="{00000000-0005-0000-0000-0000EA050000}"/>
    <cellStyle name="40% - Accent4 2 6 3 2" xfId="15143" xr:uid="{26DBE65C-4557-41A6-A44F-D69EF4782E18}"/>
    <cellStyle name="40% - Accent4 2 6 4" xfId="10926" xr:uid="{31902FC3-15D7-44D8-83EF-442CEC2A213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9243C77D-BFCB-4230-8FA4-5E8933C32999}"/>
    <cellStyle name="40% - Accent4 2 7 2 3" xfId="13484" xr:uid="{717D9ACC-373E-44F6-98A6-0BB595D79448}"/>
    <cellStyle name="40% - Accent4 2 7 3" xfId="6230" xr:uid="{00000000-0005-0000-0000-0000EE050000}"/>
    <cellStyle name="40% - Accent4 2 7 3 2" xfId="15556" xr:uid="{2F1EDDBA-5783-4EBF-B824-40B6E9E2BEA7}"/>
    <cellStyle name="40% - Accent4 2 7 4" xfId="11339" xr:uid="{AB329170-56BF-4C49-9ADA-896A5A0C3172}"/>
    <cellStyle name="40% - Accent4 2 8" xfId="2337" xr:uid="{00000000-0005-0000-0000-0000EF050000}"/>
    <cellStyle name="40% - Accent4 2 8 2" xfId="6643" xr:uid="{00000000-0005-0000-0000-0000F0050000}"/>
    <cellStyle name="40% - Accent4 2 8 2 2" xfId="15969" xr:uid="{EEBBD3CC-B39D-46C4-91A7-3C662C5339B0}"/>
    <cellStyle name="40% - Accent4 2 8 3" xfId="11752" xr:uid="{0ED2DE0F-6F97-4F3F-96C8-856B5014C3C3}"/>
    <cellStyle name="40% - Accent4 2 9" xfId="4577" xr:uid="{00000000-0005-0000-0000-0000F1050000}"/>
    <cellStyle name="40% - Accent4 2 9 2" xfId="13903" xr:uid="{E4C38730-F690-4633-95A0-6ACB7FC9B492}"/>
    <cellStyle name="40% - Accent4 3" xfId="78" xr:uid="{00000000-0005-0000-0000-0000F2050000}"/>
    <cellStyle name="40% - Accent4 3 10" xfId="9690" xr:uid="{78DDABFC-88DA-4FAA-93C3-70C8BA4C3C75}"/>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C5DDBF7E-0CCC-4169-B93A-F70AE0FFAFA4}"/>
    <cellStyle name="40% - Accent4 3 2 2 2 3" xfId="12250" xr:uid="{60ACAAB3-AE5C-48EF-A108-FE7CFA58873F}"/>
    <cellStyle name="40% - Accent4 3 2 2 3" xfId="4996" xr:uid="{00000000-0005-0000-0000-0000F7050000}"/>
    <cellStyle name="40% - Accent4 3 2 2 3 2" xfId="14322" xr:uid="{111633F6-194E-4EB1-85B1-9353FAD79168}"/>
    <cellStyle name="40% - Accent4 3 2 2 4" xfId="9500" xr:uid="{EAAAC99F-A3A1-40FB-B78D-6862EF121B7A}"/>
    <cellStyle name="40% - Accent4 3 2 2 4 2" xfId="18815" xr:uid="{567C293D-D9E1-47B6-8170-5A4C904289F3}"/>
    <cellStyle name="40% - Accent4 3 2 2 5" xfId="10105" xr:uid="{B2E6D70B-7773-482F-AD72-E5DE84E7A5E6}"/>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EB42371C-3691-4BE3-9CFF-D4DD37A80201}"/>
    <cellStyle name="40% - Accent4 3 2 3 2 3" xfId="12663" xr:uid="{3429D504-738C-4DD5-90D8-FA1C7732EAB4}"/>
    <cellStyle name="40% - Accent4 3 2 3 3" xfId="5409" xr:uid="{00000000-0005-0000-0000-0000FB050000}"/>
    <cellStyle name="40% - Accent4 3 2 3 3 2" xfId="14735" xr:uid="{D631FA04-F61E-4271-BAE5-ABF7F8AB2155}"/>
    <cellStyle name="40% - Accent4 3 2 3 4" xfId="10518" xr:uid="{BAA97F02-8F34-45AB-B963-4F997F7AF18E}"/>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52AAAFA3-1E9F-451B-AD2A-9C5E3FA2684D}"/>
    <cellStyle name="40% - Accent4 3 2 4 2 3" xfId="13076" xr:uid="{4B86EF5D-63CD-4A38-963C-DED1CB2B7F1F}"/>
    <cellStyle name="40% - Accent4 3 2 4 3" xfId="5822" xr:uid="{00000000-0005-0000-0000-0000FF050000}"/>
    <cellStyle name="40% - Accent4 3 2 4 3 2" xfId="15148" xr:uid="{A718F279-94C5-47A7-B1E8-CA83AFABDCA7}"/>
    <cellStyle name="40% - Accent4 3 2 4 4" xfId="10931" xr:uid="{DD433523-4B0C-4C18-A7E4-2E32987B85D5}"/>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09F6761D-A3D5-4DCE-8671-7C61DE3FD59D}"/>
    <cellStyle name="40% - Accent4 3 2 5 2 3" xfId="13489" xr:uid="{4F3DBF31-0194-4ECD-A17B-DEB86C98428F}"/>
    <cellStyle name="40% - Accent4 3 2 5 3" xfId="6235" xr:uid="{00000000-0005-0000-0000-000003060000}"/>
    <cellStyle name="40% - Accent4 3 2 5 3 2" xfId="15561" xr:uid="{B7B81EAA-F675-49A2-9EAA-E1FC424A2576}"/>
    <cellStyle name="40% - Accent4 3 2 5 4" xfId="11344" xr:uid="{C3F0A529-33D7-4020-803C-5D6C4AF09283}"/>
    <cellStyle name="40% - Accent4 3 2 6" xfId="2342" xr:uid="{00000000-0005-0000-0000-000004060000}"/>
    <cellStyle name="40% - Accent4 3 2 6 2" xfId="6648" xr:uid="{00000000-0005-0000-0000-000005060000}"/>
    <cellStyle name="40% - Accent4 3 2 6 2 2" xfId="15974" xr:uid="{20AAAB9A-3888-47E2-9105-F8CC641B7105}"/>
    <cellStyle name="40% - Accent4 3 2 6 3" xfId="11757" xr:uid="{8FB8F068-3EC4-4B09-ACB8-E91D0C53C419}"/>
    <cellStyle name="40% - Accent4 3 2 7" xfId="4582" xr:uid="{00000000-0005-0000-0000-000006060000}"/>
    <cellStyle name="40% - Accent4 3 2 7 2" xfId="13908" xr:uid="{1E86A7B2-89DC-4AAF-8F43-B79EAA5D0276}"/>
    <cellStyle name="40% - Accent4 3 2 8" xfId="9075" xr:uid="{6C51FF47-5618-4E1E-BC97-01FFF287A6C3}"/>
    <cellStyle name="40% - Accent4 3 2 8 2" xfId="18399" xr:uid="{DBE2B059-F603-4D96-8459-89D8DD9607A2}"/>
    <cellStyle name="40% - Accent4 3 2 9" xfId="9691" xr:uid="{3768CE1A-731E-4517-81F4-4A9E0CF389E2}"/>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CA1B6446-5002-41AA-8BB6-F150921176E5}"/>
    <cellStyle name="40% - Accent4 3 3 2 3" xfId="12249" xr:uid="{F123C53F-EF35-4A36-A220-7A4492171C84}"/>
    <cellStyle name="40% - Accent4 3 3 3" xfId="4995" xr:uid="{00000000-0005-0000-0000-00000A060000}"/>
    <cellStyle name="40% - Accent4 3 3 3 2" xfId="14321" xr:uid="{CE4A986F-1A44-4694-81BC-54D5691DBF76}"/>
    <cellStyle name="40% - Accent4 3 3 4" xfId="9293" xr:uid="{4A28D7F5-3617-45DC-A350-6C6596CDA765}"/>
    <cellStyle name="40% - Accent4 3 3 4 2" xfId="18608" xr:uid="{FB7AE623-7EF7-48D5-A54A-7697A8791241}"/>
    <cellStyle name="40% - Accent4 3 3 5" xfId="10104" xr:uid="{32F0B312-CDB8-4B6E-A8FE-4A7A72D43ED8}"/>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55578D6E-21CA-4764-8722-AF833CAF53B4}"/>
    <cellStyle name="40% - Accent4 3 4 2 3" xfId="12662" xr:uid="{11A67C96-6702-4657-8CD3-FD4D84D2572D}"/>
    <cellStyle name="40% - Accent4 3 4 3" xfId="5408" xr:uid="{00000000-0005-0000-0000-00000E060000}"/>
    <cellStyle name="40% - Accent4 3 4 3 2" xfId="14734" xr:uid="{12D054B9-3848-4F52-B134-F92A4E28DA5C}"/>
    <cellStyle name="40% - Accent4 3 4 4" xfId="10517" xr:uid="{7432CE0A-D415-4D4C-ADF4-635BAB25D9AD}"/>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9F5F53F2-BF4E-4309-A923-026626E32A2C}"/>
    <cellStyle name="40% - Accent4 3 5 2 3" xfId="13075" xr:uid="{208D6203-3BA6-4862-8F20-20C6F62CD291}"/>
    <cellStyle name="40% - Accent4 3 5 3" xfId="5821" xr:uid="{00000000-0005-0000-0000-000012060000}"/>
    <cellStyle name="40% - Accent4 3 5 3 2" xfId="15147" xr:uid="{E35C8111-DA50-457D-AEF8-916221B4FB8E}"/>
    <cellStyle name="40% - Accent4 3 5 4" xfId="10930" xr:uid="{2AA0B429-08B7-4963-B0A3-29D5E067D54E}"/>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85795429-9C6C-431D-B9D8-3C85683D83D4}"/>
    <cellStyle name="40% - Accent4 3 6 2 3" xfId="13488" xr:uid="{0923451C-BAD8-48C3-943F-2875C459082A}"/>
    <cellStyle name="40% - Accent4 3 6 3" xfId="6234" xr:uid="{00000000-0005-0000-0000-000016060000}"/>
    <cellStyle name="40% - Accent4 3 6 3 2" xfId="15560" xr:uid="{9B3068EB-71CB-4518-B721-ECB29DC287C4}"/>
    <cellStyle name="40% - Accent4 3 6 4" xfId="11343" xr:uid="{CE1D016B-FA4B-436F-90F2-2A5261E35DE4}"/>
    <cellStyle name="40% - Accent4 3 7" xfId="2341" xr:uid="{00000000-0005-0000-0000-000017060000}"/>
    <cellStyle name="40% - Accent4 3 7 2" xfId="6647" xr:uid="{00000000-0005-0000-0000-000018060000}"/>
    <cellStyle name="40% - Accent4 3 7 2 2" xfId="15973" xr:uid="{22BC02B0-E181-4041-AC3C-5A81B65BF4E1}"/>
    <cellStyle name="40% - Accent4 3 7 3" xfId="11756" xr:uid="{C3DD2EDF-615F-44F2-ACC5-ED7F994A84CC}"/>
    <cellStyle name="40% - Accent4 3 8" xfId="4581" xr:uid="{00000000-0005-0000-0000-000019060000}"/>
    <cellStyle name="40% - Accent4 3 8 2" xfId="13907" xr:uid="{EC328A40-A000-4D06-9471-5B46F37CACF0}"/>
    <cellStyle name="40% - Accent4 3 9" xfId="8868" xr:uid="{538D9F50-ACCA-4DB0-A3F1-A129ACFFA0BF}"/>
    <cellStyle name="40% - Accent4 3 9 2" xfId="18192" xr:uid="{48625ABD-3685-4DA0-9CFE-2C12804952A4}"/>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64FAC88B-72E5-44B7-8F54-4F85A687E3BD}"/>
    <cellStyle name="40% - Accent4 4 2 2 3" xfId="12251" xr:uid="{BD1E93C9-F527-4B32-8683-BC5667CDE509}"/>
    <cellStyle name="40% - Accent4 4 2 3" xfId="4997" xr:uid="{00000000-0005-0000-0000-00001E060000}"/>
    <cellStyle name="40% - Accent4 4 2 3 2" xfId="14323" xr:uid="{55EECCED-AEA1-4994-B096-BEBF2C78583B}"/>
    <cellStyle name="40% - Accent4 4 2 4" xfId="9379" xr:uid="{EE31EAE0-1741-4D6E-B7B4-C5DB59044F55}"/>
    <cellStyle name="40% - Accent4 4 2 4 2" xfId="18694" xr:uid="{350D3910-56C0-4402-BF00-BAFEF67C92AF}"/>
    <cellStyle name="40% - Accent4 4 2 5" xfId="10106" xr:uid="{E09A88DF-8AB5-4970-BFB0-82944ED0C394}"/>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74F4C695-3148-43C2-85E1-2552013AF700}"/>
    <cellStyle name="40% - Accent4 4 3 2 3" xfId="12664" xr:uid="{84521025-7EAD-4DF7-95DE-E89EB032ACC2}"/>
    <cellStyle name="40% - Accent4 4 3 3" xfId="5410" xr:uid="{00000000-0005-0000-0000-000022060000}"/>
    <cellStyle name="40% - Accent4 4 3 3 2" xfId="14736" xr:uid="{0C45BF03-C567-41DF-A0C0-E0CB93CB9D99}"/>
    <cellStyle name="40% - Accent4 4 3 4" xfId="10519" xr:uid="{11597EBD-0A34-42E7-B239-45249AB7D654}"/>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46F0E95B-1F7B-4C32-8E21-137FD2D80C1E}"/>
    <cellStyle name="40% - Accent4 4 4 2 3" xfId="13077" xr:uid="{58DB2E1D-E1E5-449D-A040-4866EAE42576}"/>
    <cellStyle name="40% - Accent4 4 4 3" xfId="5823" xr:uid="{00000000-0005-0000-0000-000026060000}"/>
    <cellStyle name="40% - Accent4 4 4 3 2" xfId="15149" xr:uid="{D6BA0A5A-6884-4B7B-A695-2B8ED5F20901}"/>
    <cellStyle name="40% - Accent4 4 4 4" xfId="10932" xr:uid="{B8F51821-221E-43CC-B7A2-3EDA1130218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A5563DE4-A209-423C-9B57-2F0D5121AAC2}"/>
    <cellStyle name="40% - Accent4 4 5 2 3" xfId="13490" xr:uid="{91510C65-E00D-4FC9-BE27-72812E7AD132}"/>
    <cellStyle name="40% - Accent4 4 5 3" xfId="6236" xr:uid="{00000000-0005-0000-0000-00002A060000}"/>
    <cellStyle name="40% - Accent4 4 5 3 2" xfId="15562" xr:uid="{7A0E5B0F-7480-4F00-BCBB-488A8899567F}"/>
    <cellStyle name="40% - Accent4 4 5 4" xfId="11345" xr:uid="{75690D50-7CC1-451B-BD85-D86254853DE1}"/>
    <cellStyle name="40% - Accent4 4 6" xfId="2343" xr:uid="{00000000-0005-0000-0000-00002B060000}"/>
    <cellStyle name="40% - Accent4 4 6 2" xfId="6649" xr:uid="{00000000-0005-0000-0000-00002C060000}"/>
    <cellStyle name="40% - Accent4 4 6 2 2" xfId="15975" xr:uid="{563BFCBF-E8EA-487D-8595-49E1A3AA8E70}"/>
    <cellStyle name="40% - Accent4 4 6 3" xfId="11758" xr:uid="{8C497BA2-557C-44CE-B326-0A0B89A3EF57}"/>
    <cellStyle name="40% - Accent4 4 7" xfId="4583" xr:uid="{00000000-0005-0000-0000-00002D060000}"/>
    <cellStyle name="40% - Accent4 4 7 2" xfId="13909" xr:uid="{8F5ED031-2968-4C61-B571-B76E8FC9C58A}"/>
    <cellStyle name="40% - Accent4 4 8" xfId="8954" xr:uid="{2C178683-58B3-4513-85E7-15FAC3AC035D}"/>
    <cellStyle name="40% - Accent4 4 8 2" xfId="18278" xr:uid="{47152824-E731-48C1-93DF-C5EF746F0844}"/>
    <cellStyle name="40% - Accent4 4 9" xfId="9692" xr:uid="{E164F82F-7228-4E34-8D39-7BF77A9394B0}"/>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39FFAA41-3149-4B5D-9024-168FA2FE1A8D}"/>
    <cellStyle name="40% - Accent4 5 2 3" xfId="12244" xr:uid="{D904D669-B7BF-40B1-A421-810545434BE5}"/>
    <cellStyle name="40% - Accent4 5 3" xfId="4990" xr:uid="{00000000-0005-0000-0000-000031060000}"/>
    <cellStyle name="40% - Accent4 5 3 2" xfId="14316" xr:uid="{C4340211-AFAF-4F95-82E6-E5B106F429A8}"/>
    <cellStyle name="40% - Accent4 5 4" xfId="9187" xr:uid="{33022C89-0CDD-4091-8005-358F63FF8F46}"/>
    <cellStyle name="40% - Accent4 5 4 2" xfId="18505" xr:uid="{05E12D79-1BB8-4B4B-B9FB-D84A39F9261D}"/>
    <cellStyle name="40% - Accent4 5 5" xfId="10099" xr:uid="{1ECAFE3E-217F-4CFC-879E-669FD16C55BE}"/>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1C0A15D3-AF53-4726-B463-EB6C2E416079}"/>
    <cellStyle name="40% - Accent4 6 2 3" xfId="12657" xr:uid="{1EC950FC-4A50-4F39-8E74-7F644A50E730}"/>
    <cellStyle name="40% - Accent4 6 3" xfId="5403" xr:uid="{00000000-0005-0000-0000-000035060000}"/>
    <cellStyle name="40% - Accent4 6 3 2" xfId="14729" xr:uid="{A9CA7A21-B320-4416-B6FA-991AD966DD73}"/>
    <cellStyle name="40% - Accent4 6 4" xfId="10512" xr:uid="{B25BFF4C-1DC5-4968-B527-175964ECF383}"/>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1CC05D10-ABA4-4F7B-ADCC-F15218FF9E70}"/>
    <cellStyle name="40% - Accent4 7 2 3" xfId="13070" xr:uid="{86DA015D-4B9B-47D4-9779-37EC1C3EF477}"/>
    <cellStyle name="40% - Accent4 7 3" xfId="5816" xr:uid="{00000000-0005-0000-0000-000039060000}"/>
    <cellStyle name="40% - Accent4 7 3 2" xfId="15142" xr:uid="{63D167DC-38BC-4F4A-B0E8-20FA3E2F6074}"/>
    <cellStyle name="40% - Accent4 7 4" xfId="10925" xr:uid="{249594B7-3AA9-4F62-8720-97109664417B}"/>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153C5DE0-0786-4726-81CF-A9DF8E92CE2F}"/>
    <cellStyle name="40% - Accent4 8 2 3" xfId="13483" xr:uid="{06642496-8094-4F92-A1E7-5A4EE1660A86}"/>
    <cellStyle name="40% - Accent4 8 3" xfId="6229" xr:uid="{00000000-0005-0000-0000-00003D060000}"/>
    <cellStyle name="40% - Accent4 8 3 2" xfId="15555" xr:uid="{979C4483-27C7-4539-ACB0-2E3BC64C7002}"/>
    <cellStyle name="40% - Accent4 8 4" xfId="11338" xr:uid="{76097E6C-936C-4002-8B5D-D32FD35BCB98}"/>
    <cellStyle name="40% - Accent4 9" xfId="2336" xr:uid="{00000000-0005-0000-0000-00003E060000}"/>
    <cellStyle name="40% - Accent4 9 2" xfId="6642" xr:uid="{00000000-0005-0000-0000-00003F060000}"/>
    <cellStyle name="40% - Accent4 9 2 2" xfId="15968" xr:uid="{4D6E3FAF-D63B-46CE-B746-1C8C79C2EAC0}"/>
    <cellStyle name="40% - Accent4 9 3" xfId="11751" xr:uid="{794D04C6-26E3-490A-AF7D-B39A21E58755}"/>
    <cellStyle name="40% - Accent5" xfId="81" builtinId="47" customBuiltin="1"/>
    <cellStyle name="40% - Accent5 10" xfId="4584" xr:uid="{00000000-0005-0000-0000-000041060000}"/>
    <cellStyle name="40% - Accent5 10 2" xfId="13910" xr:uid="{9645F3D0-970F-4EBC-8D21-9511D07222E5}"/>
    <cellStyle name="40% - Accent5 11" xfId="8767" xr:uid="{7A46ADF8-3420-4D4A-A3FE-8E96F0FA38E7}"/>
    <cellStyle name="40% - Accent5 11 2" xfId="18091" xr:uid="{E717E5F4-9909-467E-B4A5-196A7F2C422C}"/>
    <cellStyle name="40% - Accent5 12" xfId="9693" xr:uid="{3280924F-B9CE-4488-B57A-0365764163D4}"/>
    <cellStyle name="40% - Accent5 2" xfId="82" xr:uid="{00000000-0005-0000-0000-000042060000}"/>
    <cellStyle name="40% - Accent5 2 10" xfId="8802" xr:uid="{CF9BFF45-99AC-47A3-8B01-051C55FBB24D}"/>
    <cellStyle name="40% - Accent5 2 10 2" xfId="18126" xr:uid="{E1798373-3E72-4B18-8A37-E8323356675F}"/>
    <cellStyle name="40% - Accent5 2 11" xfId="9694" xr:uid="{F0A187FD-8E72-441C-A6E2-6D861DF00CDE}"/>
    <cellStyle name="40% - Accent5 2 2" xfId="83" xr:uid="{00000000-0005-0000-0000-000043060000}"/>
    <cellStyle name="40% - Accent5 2 2 10" xfId="9695" xr:uid="{2605817B-6E16-4375-A08B-F4281E5FF582}"/>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FE8C9C3E-FB5B-4939-BD97-0A60A55D38FB}"/>
    <cellStyle name="40% - Accent5 2 2 2 2 2 3" xfId="12255" xr:uid="{3C43468D-FABA-45D1-B40F-FF97DF37B5B0}"/>
    <cellStyle name="40% - Accent5 2 2 2 2 3" xfId="5001" xr:uid="{00000000-0005-0000-0000-000048060000}"/>
    <cellStyle name="40% - Accent5 2 2 2 2 3 2" xfId="14327" xr:uid="{528C8B25-6BFF-46B4-A139-901180490AE9}"/>
    <cellStyle name="40% - Accent5 2 2 2 2 4" xfId="9537" xr:uid="{83834145-5D3F-4083-A609-6DB90651C4CE}"/>
    <cellStyle name="40% - Accent5 2 2 2 2 4 2" xfId="18852" xr:uid="{AEAA5182-52C0-485A-BA41-BD0FAB3C4297}"/>
    <cellStyle name="40% - Accent5 2 2 2 2 5" xfId="10110" xr:uid="{CFFF5866-B704-4EDB-ABCB-AC9AFDB7B38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E0D2EE86-2AB5-44C0-8522-23B852E0C6C2}"/>
    <cellStyle name="40% - Accent5 2 2 2 3 2 3" xfId="12668" xr:uid="{42D27889-E0D6-4737-A222-F7B5802FFED1}"/>
    <cellStyle name="40% - Accent5 2 2 2 3 3" xfId="5414" xr:uid="{00000000-0005-0000-0000-00004C060000}"/>
    <cellStyle name="40% - Accent5 2 2 2 3 3 2" xfId="14740" xr:uid="{547DF3B1-A37B-4FBC-8719-D4F1BD87AE3C}"/>
    <cellStyle name="40% - Accent5 2 2 2 3 4" xfId="10523" xr:uid="{A03D70C4-823D-4382-961B-C04B37FC7D4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F4E3ED7E-A189-41F0-90A7-FE77C65593E9}"/>
    <cellStyle name="40% - Accent5 2 2 2 4 2 3" xfId="13081" xr:uid="{7AA93849-1DE4-4CE5-9D45-FBF642177809}"/>
    <cellStyle name="40% - Accent5 2 2 2 4 3" xfId="5827" xr:uid="{00000000-0005-0000-0000-000050060000}"/>
    <cellStyle name="40% - Accent5 2 2 2 4 3 2" xfId="15153" xr:uid="{B07DAB6E-A5FC-404F-872F-77FECE453540}"/>
    <cellStyle name="40% - Accent5 2 2 2 4 4" xfId="10936" xr:uid="{EA11BB85-0AE0-4E67-8640-DED5AA03698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18C94E01-8A95-44BC-92C2-87E63768FAD9}"/>
    <cellStyle name="40% - Accent5 2 2 2 5 2 3" xfId="13494" xr:uid="{E83608C2-8AA6-4878-9AC6-5C78B038D826}"/>
    <cellStyle name="40% - Accent5 2 2 2 5 3" xfId="6240" xr:uid="{00000000-0005-0000-0000-000054060000}"/>
    <cellStyle name="40% - Accent5 2 2 2 5 3 2" xfId="15566" xr:uid="{290361DF-C854-4259-BE05-9E3464D9B378}"/>
    <cellStyle name="40% - Accent5 2 2 2 5 4" xfId="11349" xr:uid="{EECEB3A2-48BE-4F4A-AACD-C64D9876A7BC}"/>
    <cellStyle name="40% - Accent5 2 2 2 6" xfId="2347" xr:uid="{00000000-0005-0000-0000-000055060000}"/>
    <cellStyle name="40% - Accent5 2 2 2 6 2" xfId="6653" xr:uid="{00000000-0005-0000-0000-000056060000}"/>
    <cellStyle name="40% - Accent5 2 2 2 6 2 2" xfId="15979" xr:uid="{C9DDA98A-45C7-4975-88B1-008F03AD03BD}"/>
    <cellStyle name="40% - Accent5 2 2 2 6 3" xfId="11762" xr:uid="{60342AC2-0D23-4ACB-A138-E4E1B5AF80AD}"/>
    <cellStyle name="40% - Accent5 2 2 2 7" xfId="4587" xr:uid="{00000000-0005-0000-0000-000057060000}"/>
    <cellStyle name="40% - Accent5 2 2 2 7 2" xfId="13913" xr:uid="{A3E39AA6-DCD9-4B06-A545-0F16F982C9D9}"/>
    <cellStyle name="40% - Accent5 2 2 2 8" xfId="9112" xr:uid="{65D0CC40-E9D0-4CE3-B684-8DE4A2C7BCD7}"/>
    <cellStyle name="40% - Accent5 2 2 2 8 2" xfId="18436" xr:uid="{5D973E74-164B-4A17-A538-E650151337B2}"/>
    <cellStyle name="40% - Accent5 2 2 2 9" xfId="9696" xr:uid="{ED82A672-C043-445D-B5AF-D2ACB0EE6364}"/>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0B462D22-A145-4C43-86AA-FEE0504CD172}"/>
    <cellStyle name="40% - Accent5 2 2 3 2 3" xfId="12254" xr:uid="{FF588896-B730-468D-9447-A10DFF52E330}"/>
    <cellStyle name="40% - Accent5 2 2 3 3" xfId="5000" xr:uid="{00000000-0005-0000-0000-00005B060000}"/>
    <cellStyle name="40% - Accent5 2 2 3 3 2" xfId="14326" xr:uid="{B4F25B41-89F3-4EB8-9EA9-EDAB4C48D7BC}"/>
    <cellStyle name="40% - Accent5 2 2 3 4" xfId="9330" xr:uid="{75959B30-FD84-42A5-95AE-69048CCC8361}"/>
    <cellStyle name="40% - Accent5 2 2 3 4 2" xfId="18645" xr:uid="{B1E65D98-63FD-4CD8-89FB-8A9F9C2C900E}"/>
    <cellStyle name="40% - Accent5 2 2 3 5" xfId="10109" xr:uid="{409C775F-2828-47C4-8004-D6929592DF4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0247B29D-409C-49AE-BCAA-A2E493B8AFCA}"/>
    <cellStyle name="40% - Accent5 2 2 4 2 3" xfId="12667" xr:uid="{4232C6C9-225C-49B0-8732-00E22B53EA0F}"/>
    <cellStyle name="40% - Accent5 2 2 4 3" xfId="5413" xr:uid="{00000000-0005-0000-0000-00005F060000}"/>
    <cellStyle name="40% - Accent5 2 2 4 3 2" xfId="14739" xr:uid="{D03D5101-E042-458F-882E-B4A36EDB2BA6}"/>
    <cellStyle name="40% - Accent5 2 2 4 4" xfId="10522" xr:uid="{4BFE6823-308C-42F3-A5E0-CFE5194F09C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4935736B-575F-4959-AAE3-317E860920BF}"/>
    <cellStyle name="40% - Accent5 2 2 5 2 3" xfId="13080" xr:uid="{36E8FE0D-9529-4B63-AF6C-FC877D594E3A}"/>
    <cellStyle name="40% - Accent5 2 2 5 3" xfId="5826" xr:uid="{00000000-0005-0000-0000-000063060000}"/>
    <cellStyle name="40% - Accent5 2 2 5 3 2" xfId="15152" xr:uid="{8EB22BC2-9773-4D94-B99F-D739A79D1E45}"/>
    <cellStyle name="40% - Accent5 2 2 5 4" xfId="10935" xr:uid="{AC829CD6-7765-4AB1-958D-577F2611666D}"/>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6246E135-9A9A-47AD-918E-42E4D7F8CD05}"/>
    <cellStyle name="40% - Accent5 2 2 6 2 3" xfId="13493" xr:uid="{07FE5F6C-085A-4D1C-9007-A865701AABE4}"/>
    <cellStyle name="40% - Accent5 2 2 6 3" xfId="6239" xr:uid="{00000000-0005-0000-0000-000067060000}"/>
    <cellStyle name="40% - Accent5 2 2 6 3 2" xfId="15565" xr:uid="{475216F3-DA77-4763-88EA-E1A3583B884C}"/>
    <cellStyle name="40% - Accent5 2 2 6 4" xfId="11348" xr:uid="{E55BBBE0-DA77-49A5-A2DF-BCA2D65687DB}"/>
    <cellStyle name="40% - Accent5 2 2 7" xfId="2346" xr:uid="{00000000-0005-0000-0000-000068060000}"/>
    <cellStyle name="40% - Accent5 2 2 7 2" xfId="6652" xr:uid="{00000000-0005-0000-0000-000069060000}"/>
    <cellStyle name="40% - Accent5 2 2 7 2 2" xfId="15978" xr:uid="{EB67AC55-82A6-427C-A289-C6BE6EFB1E85}"/>
    <cellStyle name="40% - Accent5 2 2 7 3" xfId="11761" xr:uid="{09031B57-D897-4F2A-B811-BCE84E8B3B03}"/>
    <cellStyle name="40% - Accent5 2 2 8" xfId="4586" xr:uid="{00000000-0005-0000-0000-00006A060000}"/>
    <cellStyle name="40% - Accent5 2 2 8 2" xfId="13912" xr:uid="{AE312291-2FBB-449A-812D-B9CE18516364}"/>
    <cellStyle name="40% - Accent5 2 2 9" xfId="8905" xr:uid="{3B48B2AE-2C2B-47FB-A8F4-43FECCDBCFEF}"/>
    <cellStyle name="40% - Accent5 2 2 9 2" xfId="18229" xr:uid="{6ADFB692-E560-4CE5-B84C-16F2BB257089}"/>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C2CC5462-9FE9-47E6-B15D-DB391032A02E}"/>
    <cellStyle name="40% - Accent5 2 3 2 2 3" xfId="12256" xr:uid="{2E3FD313-DBAE-446C-B4BA-9549F8227DFC}"/>
    <cellStyle name="40% - Accent5 2 3 2 3" xfId="5002" xr:uid="{00000000-0005-0000-0000-00006F060000}"/>
    <cellStyle name="40% - Accent5 2 3 2 3 2" xfId="14328" xr:uid="{F38D3A34-4279-4571-BC7F-B34330FA95A5}"/>
    <cellStyle name="40% - Accent5 2 3 2 4" xfId="9434" xr:uid="{512EAA64-F150-4B15-8534-EB34D6D41408}"/>
    <cellStyle name="40% - Accent5 2 3 2 4 2" xfId="18749" xr:uid="{3263FBB0-F60C-422D-8A6E-1294D1AF46F5}"/>
    <cellStyle name="40% - Accent5 2 3 2 5" xfId="10111" xr:uid="{90E34E8D-1957-4E51-AF9D-FC82CF5C7C2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2A4B4687-FB6F-4A0C-970B-1416EFFCEFA1}"/>
    <cellStyle name="40% - Accent5 2 3 3 2 3" xfId="12669" xr:uid="{95C2EEAD-A9CA-4648-A546-EE4CB303153A}"/>
    <cellStyle name="40% - Accent5 2 3 3 3" xfId="5415" xr:uid="{00000000-0005-0000-0000-000073060000}"/>
    <cellStyle name="40% - Accent5 2 3 3 3 2" xfId="14741" xr:uid="{28366C4E-3E28-4350-8395-A2CEC28A3FEA}"/>
    <cellStyle name="40% - Accent5 2 3 3 4" xfId="10524" xr:uid="{7CB89CA1-BA18-42CF-856A-6C9D2A564E12}"/>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6EA17856-3474-4C06-BBC7-DEC0FE02BB44}"/>
    <cellStyle name="40% - Accent5 2 3 4 2 3" xfId="13082" xr:uid="{D637C232-2BEC-4226-8530-EF07B0CC02B7}"/>
    <cellStyle name="40% - Accent5 2 3 4 3" xfId="5828" xr:uid="{00000000-0005-0000-0000-000077060000}"/>
    <cellStyle name="40% - Accent5 2 3 4 3 2" xfId="15154" xr:uid="{D49FA4C3-00D7-4BA1-B8A4-8557319FEB4F}"/>
    <cellStyle name="40% - Accent5 2 3 4 4" xfId="10937" xr:uid="{4482F9AB-DF96-4D7E-89A4-61DF7AAAA22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F8C6D3DC-9AF3-42D9-B22E-1445AA90D40F}"/>
    <cellStyle name="40% - Accent5 2 3 5 2 3" xfId="13495" xr:uid="{8648FF81-3DEC-4F10-AF7A-331B85BCF686}"/>
    <cellStyle name="40% - Accent5 2 3 5 3" xfId="6241" xr:uid="{00000000-0005-0000-0000-00007B060000}"/>
    <cellStyle name="40% - Accent5 2 3 5 3 2" xfId="15567" xr:uid="{921397B1-B651-42C4-B918-80C5D55B011A}"/>
    <cellStyle name="40% - Accent5 2 3 5 4" xfId="11350" xr:uid="{FE5D3F50-F14D-453D-BE70-AEFD01AEADC6}"/>
    <cellStyle name="40% - Accent5 2 3 6" xfId="2348" xr:uid="{00000000-0005-0000-0000-00007C060000}"/>
    <cellStyle name="40% - Accent5 2 3 6 2" xfId="6654" xr:uid="{00000000-0005-0000-0000-00007D060000}"/>
    <cellStyle name="40% - Accent5 2 3 6 2 2" xfId="15980" xr:uid="{7B63D386-C9BA-419E-97C3-66210634A787}"/>
    <cellStyle name="40% - Accent5 2 3 6 3" xfId="11763" xr:uid="{C100A5F7-BA8C-4F38-A55B-F45A0EE4DAC8}"/>
    <cellStyle name="40% - Accent5 2 3 7" xfId="4588" xr:uid="{00000000-0005-0000-0000-00007E060000}"/>
    <cellStyle name="40% - Accent5 2 3 7 2" xfId="13914" xr:uid="{B5772A17-174E-4170-8A17-7BA5B9A6C2CB}"/>
    <cellStyle name="40% - Accent5 2 3 8" xfId="9009" xr:uid="{DE8B6E41-761F-4ED0-BA8A-00A6A898A2FC}"/>
    <cellStyle name="40% - Accent5 2 3 8 2" xfId="18333" xr:uid="{4CA71F59-4F2B-459A-8F7D-A836A25D7D5B}"/>
    <cellStyle name="40% - Accent5 2 3 9" xfId="9697" xr:uid="{EE1F3CD0-DF48-4B9D-9F26-8B99BDE0E009}"/>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834EC597-3CAD-4A42-82A5-65F0A2922423}"/>
    <cellStyle name="40% - Accent5 2 4 2 3" xfId="12253" xr:uid="{0941E77F-90C3-43D0-ADD0-CE25EEF52AC8}"/>
    <cellStyle name="40% - Accent5 2 4 3" xfId="4999" xr:uid="{00000000-0005-0000-0000-000082060000}"/>
    <cellStyle name="40% - Accent5 2 4 3 2" xfId="14325" xr:uid="{F12EDC37-8A3D-4885-9E08-88D49461DF35}"/>
    <cellStyle name="40% - Accent5 2 4 4" xfId="9226" xr:uid="{6A688709-D29B-458C-973B-231279FAFEF5}"/>
    <cellStyle name="40% - Accent5 2 4 4 2" xfId="18542" xr:uid="{7D6787E3-928E-403D-978A-95CD14CE1D47}"/>
    <cellStyle name="40% - Accent5 2 4 5" xfId="10108" xr:uid="{BE8B5591-C052-4D3A-BECC-C5CF7333EC9F}"/>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FAE5B5AD-CDCE-46C4-AE3C-47F4A291A98C}"/>
    <cellStyle name="40% - Accent5 2 5 2 3" xfId="12666" xr:uid="{81D8424A-6DD3-48D2-90E9-AE6AD5819DA8}"/>
    <cellStyle name="40% - Accent5 2 5 3" xfId="5412" xr:uid="{00000000-0005-0000-0000-000086060000}"/>
    <cellStyle name="40% - Accent5 2 5 3 2" xfId="14738" xr:uid="{83450987-83EF-4555-AD27-ED557EA16F31}"/>
    <cellStyle name="40% - Accent5 2 5 4" xfId="10521" xr:uid="{D97A057A-1D54-430C-A281-F241FD7502A9}"/>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E4D00DC-BA84-4ECB-B588-76876095DAAD}"/>
    <cellStyle name="40% - Accent5 2 6 2 3" xfId="13079" xr:uid="{6A506EBC-3D7D-4C3A-806C-D7832D30616E}"/>
    <cellStyle name="40% - Accent5 2 6 3" xfId="5825" xr:uid="{00000000-0005-0000-0000-00008A060000}"/>
    <cellStyle name="40% - Accent5 2 6 3 2" xfId="15151" xr:uid="{C3936585-2A3E-4D11-9B9D-3101FEA8C331}"/>
    <cellStyle name="40% - Accent5 2 6 4" xfId="10934" xr:uid="{47E85E58-497B-423F-951B-AC06ABC22754}"/>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A06921DF-1000-49DC-A5E7-F0E075D9F5F5}"/>
    <cellStyle name="40% - Accent5 2 7 2 3" xfId="13492" xr:uid="{F948A2CB-760B-4871-8493-81511EC0ABFE}"/>
    <cellStyle name="40% - Accent5 2 7 3" xfId="6238" xr:uid="{00000000-0005-0000-0000-00008E060000}"/>
    <cellStyle name="40% - Accent5 2 7 3 2" xfId="15564" xr:uid="{CA5B4631-E4CE-4753-BF34-10A47160B597}"/>
    <cellStyle name="40% - Accent5 2 7 4" xfId="11347" xr:uid="{9A1C4C0D-727F-413B-BAD0-45886938CD58}"/>
    <cellStyle name="40% - Accent5 2 8" xfId="2345" xr:uid="{00000000-0005-0000-0000-00008F060000}"/>
    <cellStyle name="40% - Accent5 2 8 2" xfId="6651" xr:uid="{00000000-0005-0000-0000-000090060000}"/>
    <cellStyle name="40% - Accent5 2 8 2 2" xfId="15977" xr:uid="{659E3329-B740-4992-8084-18435C150C88}"/>
    <cellStyle name="40% - Accent5 2 8 3" xfId="11760" xr:uid="{1D7B3DB5-7B2F-4B20-92FB-0013FDB60CC6}"/>
    <cellStyle name="40% - Accent5 2 9" xfId="4585" xr:uid="{00000000-0005-0000-0000-000091060000}"/>
    <cellStyle name="40% - Accent5 2 9 2" xfId="13911" xr:uid="{97BB1724-DA7B-4829-A343-AB1971FA423B}"/>
    <cellStyle name="40% - Accent5 3" xfId="86" xr:uid="{00000000-0005-0000-0000-000092060000}"/>
    <cellStyle name="40% - Accent5 3 10" xfId="9698" xr:uid="{F06020A7-A371-45C2-8F44-803EF342EA79}"/>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BEAF697E-CBCC-4592-8823-49C444FEB6E6}"/>
    <cellStyle name="40% - Accent5 3 2 2 2 3" xfId="12258" xr:uid="{8B63DCF3-18D6-47B9-93FB-8334CE39AE42}"/>
    <cellStyle name="40% - Accent5 3 2 2 3" xfId="5004" xr:uid="{00000000-0005-0000-0000-000097060000}"/>
    <cellStyle name="40% - Accent5 3 2 2 3 2" xfId="14330" xr:uid="{66ED2DD3-3FFC-4030-8ADE-93D90BC5C938}"/>
    <cellStyle name="40% - Accent5 3 2 2 4" xfId="9502" xr:uid="{96903B0D-DCFE-4149-8088-461BCB03A73B}"/>
    <cellStyle name="40% - Accent5 3 2 2 4 2" xfId="18817" xr:uid="{FBC58699-2767-4D04-8FF3-668582393F81}"/>
    <cellStyle name="40% - Accent5 3 2 2 5" xfId="10113" xr:uid="{8BB3F029-99A5-46D5-A0E9-881DE7439422}"/>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6591D058-4F23-4366-B203-C777844BF726}"/>
    <cellStyle name="40% - Accent5 3 2 3 2 3" xfId="12671" xr:uid="{C7BEC09A-3E94-40E7-ACAC-9C59D98A49E5}"/>
    <cellStyle name="40% - Accent5 3 2 3 3" xfId="5417" xr:uid="{00000000-0005-0000-0000-00009B060000}"/>
    <cellStyle name="40% - Accent5 3 2 3 3 2" xfId="14743" xr:uid="{829408D1-9BA4-4282-ACB3-B6BFC9D95D16}"/>
    <cellStyle name="40% - Accent5 3 2 3 4" xfId="10526" xr:uid="{2BE54A19-9C79-411F-926A-3F10B3EB1774}"/>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7DEEF1EB-FE1B-4B42-8757-409AB2BA7C69}"/>
    <cellStyle name="40% - Accent5 3 2 4 2 3" xfId="13084" xr:uid="{C73614E1-A71F-4156-9A72-C9CD5478147F}"/>
    <cellStyle name="40% - Accent5 3 2 4 3" xfId="5830" xr:uid="{00000000-0005-0000-0000-00009F060000}"/>
    <cellStyle name="40% - Accent5 3 2 4 3 2" xfId="15156" xr:uid="{77BC5DEA-A54D-44F5-A425-3BBE771C326C}"/>
    <cellStyle name="40% - Accent5 3 2 4 4" xfId="10939" xr:uid="{803CA57F-A344-4B37-8C01-FD6ED193ECF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B1F82B13-B6B9-4E5B-B94B-C165DF6B1C5D}"/>
    <cellStyle name="40% - Accent5 3 2 5 2 3" xfId="13497" xr:uid="{BB469CE1-0235-4478-8475-D151D2668135}"/>
    <cellStyle name="40% - Accent5 3 2 5 3" xfId="6243" xr:uid="{00000000-0005-0000-0000-0000A3060000}"/>
    <cellStyle name="40% - Accent5 3 2 5 3 2" xfId="15569" xr:uid="{EBE4F050-8972-4A7D-8DB4-901FE66D2DC1}"/>
    <cellStyle name="40% - Accent5 3 2 5 4" xfId="11352" xr:uid="{9849A962-E991-419D-A3C8-5BDFFCA49D12}"/>
    <cellStyle name="40% - Accent5 3 2 6" xfId="2350" xr:uid="{00000000-0005-0000-0000-0000A4060000}"/>
    <cellStyle name="40% - Accent5 3 2 6 2" xfId="6656" xr:uid="{00000000-0005-0000-0000-0000A5060000}"/>
    <cellStyle name="40% - Accent5 3 2 6 2 2" xfId="15982" xr:uid="{8C88A827-A2E3-49F9-BD9A-A69A3A5F6DBC}"/>
    <cellStyle name="40% - Accent5 3 2 6 3" xfId="11765" xr:uid="{A67B6C50-9351-4D09-BF5B-AC5F42E444D4}"/>
    <cellStyle name="40% - Accent5 3 2 7" xfId="4590" xr:uid="{00000000-0005-0000-0000-0000A6060000}"/>
    <cellStyle name="40% - Accent5 3 2 7 2" xfId="13916" xr:uid="{83FE5855-83D4-49AE-A34B-D798DFF029DD}"/>
    <cellStyle name="40% - Accent5 3 2 8" xfId="9077" xr:uid="{8842DD15-54E4-487D-B492-3A505722387C}"/>
    <cellStyle name="40% - Accent5 3 2 8 2" xfId="18401" xr:uid="{354094E7-A35B-4EFA-B93F-0CB001EE2EA9}"/>
    <cellStyle name="40% - Accent5 3 2 9" xfId="9699" xr:uid="{6F16136F-71AE-4622-BB91-0625BD3EB40E}"/>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1D34B17-8796-4E85-B99E-96C11B8C58A6}"/>
    <cellStyle name="40% - Accent5 3 3 2 3" xfId="12257" xr:uid="{8DA24675-AE41-416A-8434-76C58A004CE8}"/>
    <cellStyle name="40% - Accent5 3 3 3" xfId="5003" xr:uid="{00000000-0005-0000-0000-0000AA060000}"/>
    <cellStyle name="40% - Accent5 3 3 3 2" xfId="14329" xr:uid="{C343D0A0-CBAA-4F9A-A171-E8A117FE10CD}"/>
    <cellStyle name="40% - Accent5 3 3 4" xfId="9295" xr:uid="{0D42C89E-252E-426A-8E1F-7D3AD6B9FE55}"/>
    <cellStyle name="40% - Accent5 3 3 4 2" xfId="18610" xr:uid="{50CE972B-8D39-42EB-AEE8-B61EBB82C532}"/>
    <cellStyle name="40% - Accent5 3 3 5" xfId="10112" xr:uid="{158E8BD2-FFC6-4C1E-A8E1-29E7FE22F2D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EB9A9F6A-B6CA-4A25-B3B0-01B171F5AC19}"/>
    <cellStyle name="40% - Accent5 3 4 2 3" xfId="12670" xr:uid="{2DB7FF5D-2D35-41C2-AB55-DD270D11E534}"/>
    <cellStyle name="40% - Accent5 3 4 3" xfId="5416" xr:uid="{00000000-0005-0000-0000-0000AE060000}"/>
    <cellStyle name="40% - Accent5 3 4 3 2" xfId="14742" xr:uid="{1426B1C5-0F11-4FCD-983E-D533367375F6}"/>
    <cellStyle name="40% - Accent5 3 4 4" xfId="10525" xr:uid="{E51A55D2-6A14-4A7F-9436-9F1D8802CE9F}"/>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8F44171D-3AE3-4A50-A56B-6097F51C47DB}"/>
    <cellStyle name="40% - Accent5 3 5 2 3" xfId="13083" xr:uid="{FD756132-5642-4D89-801F-D4EBABA7184C}"/>
    <cellStyle name="40% - Accent5 3 5 3" xfId="5829" xr:uid="{00000000-0005-0000-0000-0000B2060000}"/>
    <cellStyle name="40% - Accent5 3 5 3 2" xfId="15155" xr:uid="{3FC8AED6-E226-4C78-9CBD-E625D97FBD52}"/>
    <cellStyle name="40% - Accent5 3 5 4" xfId="10938" xr:uid="{CE8FA8E6-6371-4436-92DB-E649E7593857}"/>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FE70F1B7-E087-4D3E-8196-6ACD4DBA863B}"/>
    <cellStyle name="40% - Accent5 3 6 2 3" xfId="13496" xr:uid="{AD3455B4-7275-4DFC-B6B4-47580A7E2E4C}"/>
    <cellStyle name="40% - Accent5 3 6 3" xfId="6242" xr:uid="{00000000-0005-0000-0000-0000B6060000}"/>
    <cellStyle name="40% - Accent5 3 6 3 2" xfId="15568" xr:uid="{315DBC3D-0F25-4591-B5B4-1CEB008DA382}"/>
    <cellStyle name="40% - Accent5 3 6 4" xfId="11351" xr:uid="{DB5453F6-D17C-4C71-864C-477F6065A2C0}"/>
    <cellStyle name="40% - Accent5 3 7" xfId="2349" xr:uid="{00000000-0005-0000-0000-0000B7060000}"/>
    <cellStyle name="40% - Accent5 3 7 2" xfId="6655" xr:uid="{00000000-0005-0000-0000-0000B8060000}"/>
    <cellStyle name="40% - Accent5 3 7 2 2" xfId="15981" xr:uid="{A34BD835-6563-4748-9A0A-AF1F2DC2AACF}"/>
    <cellStyle name="40% - Accent5 3 7 3" xfId="11764" xr:uid="{F3366CA1-EBD9-4182-AF4C-5DE2159AEBD7}"/>
    <cellStyle name="40% - Accent5 3 8" xfId="4589" xr:uid="{00000000-0005-0000-0000-0000B9060000}"/>
    <cellStyle name="40% - Accent5 3 8 2" xfId="13915" xr:uid="{84BAE55D-B2A2-4A91-8A31-9AB614B4FA16}"/>
    <cellStyle name="40% - Accent5 3 9" xfId="8870" xr:uid="{F7DB5D96-1272-4D48-B3B6-48053CFCBA44}"/>
    <cellStyle name="40% - Accent5 3 9 2" xfId="18194" xr:uid="{BD6EC1F7-7DEA-4251-A704-15CB76EDAD4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16F51322-308C-4194-A985-17C286F4ECF5}"/>
    <cellStyle name="40% - Accent5 4 2 2 3" xfId="12259" xr:uid="{31C35048-B964-4423-B4F5-27C5AF360E00}"/>
    <cellStyle name="40% - Accent5 4 2 3" xfId="5005" xr:uid="{00000000-0005-0000-0000-0000BE060000}"/>
    <cellStyle name="40% - Accent5 4 2 3 2" xfId="14331" xr:uid="{14032FF4-0AA2-4F54-B8BF-59834B95F971}"/>
    <cellStyle name="40% - Accent5 4 2 4" xfId="9381" xr:uid="{6D86932C-AFC4-4FF0-967D-0F56E90E02E1}"/>
    <cellStyle name="40% - Accent5 4 2 4 2" xfId="18696" xr:uid="{01D90369-8094-4889-BF06-8FA6A0CE6E15}"/>
    <cellStyle name="40% - Accent5 4 2 5" xfId="10114" xr:uid="{D809BA53-145D-4C71-8FBD-89A1D2E9214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900F7013-E508-4B69-BFB6-5F950115E576}"/>
    <cellStyle name="40% - Accent5 4 3 2 3" xfId="12672" xr:uid="{1BE09266-7C84-4DEF-965C-57F351B4E834}"/>
    <cellStyle name="40% - Accent5 4 3 3" xfId="5418" xr:uid="{00000000-0005-0000-0000-0000C2060000}"/>
    <cellStyle name="40% - Accent5 4 3 3 2" xfId="14744" xr:uid="{383B3CB2-889D-41DF-BD42-51D9C3F221C8}"/>
    <cellStyle name="40% - Accent5 4 3 4" xfId="10527" xr:uid="{899CA10F-B392-492C-8F90-6D9BDBCD62F1}"/>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4E4B4E85-57AC-4A26-9E6C-1F6E575B5B76}"/>
    <cellStyle name="40% - Accent5 4 4 2 3" xfId="13085" xr:uid="{9E57546C-1561-4232-A04C-CEDBE72136DF}"/>
    <cellStyle name="40% - Accent5 4 4 3" xfId="5831" xr:uid="{00000000-0005-0000-0000-0000C6060000}"/>
    <cellStyle name="40% - Accent5 4 4 3 2" xfId="15157" xr:uid="{09E33A86-F0F7-4F1F-960E-B9A135949876}"/>
    <cellStyle name="40% - Accent5 4 4 4" xfId="10940" xr:uid="{034A5141-D946-49ED-AB9D-BECE6141872C}"/>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3E6E99FC-9717-43FF-AF6D-FE207E76DFD5}"/>
    <cellStyle name="40% - Accent5 4 5 2 3" xfId="13498" xr:uid="{CBBBD1F5-1C7C-480B-A4ED-55FC0BDB515C}"/>
    <cellStyle name="40% - Accent5 4 5 3" xfId="6244" xr:uid="{00000000-0005-0000-0000-0000CA060000}"/>
    <cellStyle name="40% - Accent5 4 5 3 2" xfId="15570" xr:uid="{D8EA3A98-EEAF-4542-A473-D360A95398AB}"/>
    <cellStyle name="40% - Accent5 4 5 4" xfId="11353" xr:uid="{6D3E7DBB-5009-457D-8415-C097055EF9EB}"/>
    <cellStyle name="40% - Accent5 4 6" xfId="2351" xr:uid="{00000000-0005-0000-0000-0000CB060000}"/>
    <cellStyle name="40% - Accent5 4 6 2" xfId="6657" xr:uid="{00000000-0005-0000-0000-0000CC060000}"/>
    <cellStyle name="40% - Accent5 4 6 2 2" xfId="15983" xr:uid="{BAB80DE6-4A4C-47FA-B441-FE0D96DFC6CC}"/>
    <cellStyle name="40% - Accent5 4 6 3" xfId="11766" xr:uid="{0BE1DF9C-79A4-4A4F-B60F-6AF9E2DD95D3}"/>
    <cellStyle name="40% - Accent5 4 7" xfId="4591" xr:uid="{00000000-0005-0000-0000-0000CD060000}"/>
    <cellStyle name="40% - Accent5 4 7 2" xfId="13917" xr:uid="{6BCD676A-D3B8-42A4-969A-6442A8FABE82}"/>
    <cellStyle name="40% - Accent5 4 8" xfId="8956" xr:uid="{20EBAEFE-DF5E-4B38-878B-CDA5BD3DABC1}"/>
    <cellStyle name="40% - Accent5 4 8 2" xfId="18280" xr:uid="{9382243F-B128-4110-9F0F-335953720AA4}"/>
    <cellStyle name="40% - Accent5 4 9" xfId="9700" xr:uid="{F60C7C6A-CE22-486A-9F70-139F809E70A3}"/>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1A14416F-16EC-416B-91AF-BE8AAA3181BF}"/>
    <cellStyle name="40% - Accent5 5 2 3" xfId="12252" xr:uid="{82180B25-36B4-4807-87DE-5D95BBF3C0BD}"/>
    <cellStyle name="40% - Accent5 5 3" xfId="4998" xr:uid="{00000000-0005-0000-0000-0000D1060000}"/>
    <cellStyle name="40% - Accent5 5 3 2" xfId="14324" xr:uid="{518694BB-7243-4326-8EEB-65D82256647F}"/>
    <cellStyle name="40% - Accent5 5 4" xfId="9189" xr:uid="{AE9A155E-B06B-4FF1-8984-8F7810581B15}"/>
    <cellStyle name="40% - Accent5 5 4 2" xfId="18507" xr:uid="{68B1DE3C-234E-40D4-AB8A-60D4A2CE1584}"/>
    <cellStyle name="40% - Accent5 5 5" xfId="10107" xr:uid="{0C0BB53D-B017-437F-8FE0-82E774009155}"/>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B2E87EB5-BE1F-4D42-BCB7-2859A4C7CE25}"/>
    <cellStyle name="40% - Accent5 6 2 3" xfId="12665" xr:uid="{B73FF1E3-DDC4-4431-891B-7B841A3731EA}"/>
    <cellStyle name="40% - Accent5 6 3" xfId="5411" xr:uid="{00000000-0005-0000-0000-0000D5060000}"/>
    <cellStyle name="40% - Accent5 6 3 2" xfId="14737" xr:uid="{7F9DD2DD-70D2-494E-9674-0DF017ED523C}"/>
    <cellStyle name="40% - Accent5 6 4" xfId="10520" xr:uid="{7FFB5F18-B5C1-47CC-A8DF-9397032AD723}"/>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6A31D680-07A3-477B-A9D6-129EB1B0F7A9}"/>
    <cellStyle name="40% - Accent5 7 2 3" xfId="13078" xr:uid="{83060015-4B3F-4683-9F53-5FD294F00C8B}"/>
    <cellStyle name="40% - Accent5 7 3" xfId="5824" xr:uid="{00000000-0005-0000-0000-0000D9060000}"/>
    <cellStyle name="40% - Accent5 7 3 2" xfId="15150" xr:uid="{A1D311F7-581B-42BB-8FD4-EFF22AD9C903}"/>
    <cellStyle name="40% - Accent5 7 4" xfId="10933" xr:uid="{F4C2B80F-6FD9-40B8-983B-0E9092FAD944}"/>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B4F4343E-408F-4BA1-B714-47D1FD0F6CA5}"/>
    <cellStyle name="40% - Accent5 8 2 3" xfId="13491" xr:uid="{E76BA06A-D772-465D-850F-F06EEB414EFE}"/>
    <cellStyle name="40% - Accent5 8 3" xfId="6237" xr:uid="{00000000-0005-0000-0000-0000DD060000}"/>
    <cellStyle name="40% - Accent5 8 3 2" xfId="15563" xr:uid="{EAADE427-BC49-4044-920B-B0146E79B031}"/>
    <cellStyle name="40% - Accent5 8 4" xfId="11346" xr:uid="{DCAA099B-1CF3-4586-AD92-26DF1423FB9B}"/>
    <cellStyle name="40% - Accent5 9" xfId="2344" xr:uid="{00000000-0005-0000-0000-0000DE060000}"/>
    <cellStyle name="40% - Accent5 9 2" xfId="6650" xr:uid="{00000000-0005-0000-0000-0000DF060000}"/>
    <cellStyle name="40% - Accent5 9 2 2" xfId="15976" xr:uid="{CE695283-B857-4417-BCF7-DD66867891F3}"/>
    <cellStyle name="40% - Accent5 9 3" xfId="11759" xr:uid="{416CB6B4-2F24-4F87-A7B4-314A67036433}"/>
    <cellStyle name="40% - Accent6" xfId="89" builtinId="51" customBuiltin="1"/>
    <cellStyle name="40% - Accent6 10" xfId="4592" xr:uid="{00000000-0005-0000-0000-0000E1060000}"/>
    <cellStyle name="40% - Accent6 10 2" xfId="13918" xr:uid="{AED05E24-229A-4BE2-BACE-0EAF95C5EFC6}"/>
    <cellStyle name="40% - Accent6 11" xfId="8769" xr:uid="{8369FE49-3815-490F-BF3A-3BEB88E35DFA}"/>
    <cellStyle name="40% - Accent6 11 2" xfId="18093" xr:uid="{7CFE4FB5-872A-4CB8-82D2-243F5E752B30}"/>
    <cellStyle name="40% - Accent6 12" xfId="9701" xr:uid="{0D9A0975-C3DA-4BA9-8AEF-A931AC60F557}"/>
    <cellStyle name="40% - Accent6 2" xfId="90" xr:uid="{00000000-0005-0000-0000-0000E2060000}"/>
    <cellStyle name="40% - Accent6 2 10" xfId="8803" xr:uid="{3530B69D-EB1D-41EA-A6FB-440FE4FE29AB}"/>
    <cellStyle name="40% - Accent6 2 10 2" xfId="18127" xr:uid="{3588AD4F-CA2A-406C-B383-81AFD900BC9E}"/>
    <cellStyle name="40% - Accent6 2 11" xfId="9702" xr:uid="{14CADF88-CE4C-4E75-97F2-688B2F97C695}"/>
    <cellStyle name="40% - Accent6 2 2" xfId="91" xr:uid="{00000000-0005-0000-0000-0000E3060000}"/>
    <cellStyle name="40% - Accent6 2 2 10" xfId="9703" xr:uid="{2B2449C4-3C1A-4BC8-B879-D90B108A01D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6F389348-B9B3-4B56-AE4F-7232E840AF69}"/>
    <cellStyle name="40% - Accent6 2 2 2 2 2 3" xfId="12263" xr:uid="{2DBE4028-F5A8-48D6-9B6D-66CCC3267DCB}"/>
    <cellStyle name="40% - Accent6 2 2 2 2 3" xfId="5009" xr:uid="{00000000-0005-0000-0000-0000E8060000}"/>
    <cellStyle name="40% - Accent6 2 2 2 2 3 2" xfId="14335" xr:uid="{67C7F44B-E1D9-40CC-813A-FF8F14315069}"/>
    <cellStyle name="40% - Accent6 2 2 2 2 4" xfId="9538" xr:uid="{D1801D0B-FDF1-4C59-8DE2-DEC53081BC5D}"/>
    <cellStyle name="40% - Accent6 2 2 2 2 4 2" xfId="18853" xr:uid="{5317211A-08E5-42F8-9D13-57F2BF94FD86}"/>
    <cellStyle name="40% - Accent6 2 2 2 2 5" xfId="10118" xr:uid="{64378979-E589-42AA-8BAE-1BEAF6A44DBE}"/>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D17032CE-80D6-4424-9C27-071D30C34DF0}"/>
    <cellStyle name="40% - Accent6 2 2 2 3 2 3" xfId="12676" xr:uid="{E097888E-010E-4D2B-87F5-4A47C388A5F6}"/>
    <cellStyle name="40% - Accent6 2 2 2 3 3" xfId="5422" xr:uid="{00000000-0005-0000-0000-0000EC060000}"/>
    <cellStyle name="40% - Accent6 2 2 2 3 3 2" xfId="14748" xr:uid="{B771EF66-45B0-4BA4-93AA-CCB07B938AE7}"/>
    <cellStyle name="40% - Accent6 2 2 2 3 4" xfId="10531" xr:uid="{775D2ECE-471A-4EC1-8F15-D64896B092BE}"/>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8BC57483-94ED-48AB-AAB3-242C8FBEF10C}"/>
    <cellStyle name="40% - Accent6 2 2 2 4 2 3" xfId="13089" xr:uid="{83C9A12D-1CD7-494C-A0D6-7B0EBEBAF96E}"/>
    <cellStyle name="40% - Accent6 2 2 2 4 3" xfId="5835" xr:uid="{00000000-0005-0000-0000-0000F0060000}"/>
    <cellStyle name="40% - Accent6 2 2 2 4 3 2" xfId="15161" xr:uid="{39795BA8-3187-4325-85C5-41A2118D2C97}"/>
    <cellStyle name="40% - Accent6 2 2 2 4 4" xfId="10944" xr:uid="{A5690E69-9B03-451C-BBB7-493E11CE0B6E}"/>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BC610334-C4A9-42CB-BB58-A2CB6C5207A8}"/>
    <cellStyle name="40% - Accent6 2 2 2 5 2 3" xfId="13502" xr:uid="{A2581D04-B9EC-420E-A61E-0FFA34348124}"/>
    <cellStyle name="40% - Accent6 2 2 2 5 3" xfId="6248" xr:uid="{00000000-0005-0000-0000-0000F4060000}"/>
    <cellStyle name="40% - Accent6 2 2 2 5 3 2" xfId="15574" xr:uid="{0789A6C0-DA2C-447D-8F75-E59B8005E761}"/>
    <cellStyle name="40% - Accent6 2 2 2 5 4" xfId="11357" xr:uid="{92F5574B-C98E-4028-89F8-7731AC048C0C}"/>
    <cellStyle name="40% - Accent6 2 2 2 6" xfId="2355" xr:uid="{00000000-0005-0000-0000-0000F5060000}"/>
    <cellStyle name="40% - Accent6 2 2 2 6 2" xfId="6661" xr:uid="{00000000-0005-0000-0000-0000F6060000}"/>
    <cellStyle name="40% - Accent6 2 2 2 6 2 2" xfId="15987" xr:uid="{500FEEBF-C911-4D37-A6B4-1752C8C1963E}"/>
    <cellStyle name="40% - Accent6 2 2 2 6 3" xfId="11770" xr:uid="{DADF35FA-1ADF-423E-B245-2E4F17C53EE0}"/>
    <cellStyle name="40% - Accent6 2 2 2 7" xfId="4595" xr:uid="{00000000-0005-0000-0000-0000F7060000}"/>
    <cellStyle name="40% - Accent6 2 2 2 7 2" xfId="13921" xr:uid="{F29CF89E-2E92-4138-B41B-A66E5198F795}"/>
    <cellStyle name="40% - Accent6 2 2 2 8" xfId="9113" xr:uid="{D9373B4A-E1DA-437A-874A-FCE4D00708EB}"/>
    <cellStyle name="40% - Accent6 2 2 2 8 2" xfId="18437" xr:uid="{25CEBFF6-7060-4678-B3D6-CFC7CC1EEEF1}"/>
    <cellStyle name="40% - Accent6 2 2 2 9" xfId="9704" xr:uid="{AD1D2396-D4D9-4E48-BA52-ED77A5DB0130}"/>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F4AC36B0-95FD-4AE5-A883-2D0F873EC374}"/>
    <cellStyle name="40% - Accent6 2 2 3 2 3" xfId="12262" xr:uid="{4518E265-E228-4591-A66C-DBF162E80528}"/>
    <cellStyle name="40% - Accent6 2 2 3 3" xfId="5008" xr:uid="{00000000-0005-0000-0000-0000FB060000}"/>
    <cellStyle name="40% - Accent6 2 2 3 3 2" xfId="14334" xr:uid="{733708C0-230D-4C7D-89A4-4A18044EAE5F}"/>
    <cellStyle name="40% - Accent6 2 2 3 4" xfId="9331" xr:uid="{223B62DA-AA8A-4703-B6D5-D6AA8918B034}"/>
    <cellStyle name="40% - Accent6 2 2 3 4 2" xfId="18646" xr:uid="{2F7A6A5A-D129-4F5C-AAB4-9FF0D2A6AE0B}"/>
    <cellStyle name="40% - Accent6 2 2 3 5" xfId="10117" xr:uid="{064228DF-1C97-4A6B-AB36-EA02ADA9B260}"/>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728E095C-FE68-4139-A801-4E3B12C52D40}"/>
    <cellStyle name="40% - Accent6 2 2 4 2 3" xfId="12675" xr:uid="{4E8B73FD-AC96-4F51-8D41-CEF7F859A2E4}"/>
    <cellStyle name="40% - Accent6 2 2 4 3" xfId="5421" xr:uid="{00000000-0005-0000-0000-0000FF060000}"/>
    <cellStyle name="40% - Accent6 2 2 4 3 2" xfId="14747" xr:uid="{4E53A7E6-CAF5-43B3-840B-E68474DC571E}"/>
    <cellStyle name="40% - Accent6 2 2 4 4" xfId="10530" xr:uid="{C55AA76C-358E-4E4D-9CB5-483049FE3E2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6261B2ED-E795-4873-ABC7-51EC0CDAF7AC}"/>
    <cellStyle name="40% - Accent6 2 2 5 2 3" xfId="13088" xr:uid="{B71B16A1-8E0D-44EF-AF34-B0AB80F3C502}"/>
    <cellStyle name="40% - Accent6 2 2 5 3" xfId="5834" xr:uid="{00000000-0005-0000-0000-000003070000}"/>
    <cellStyle name="40% - Accent6 2 2 5 3 2" xfId="15160" xr:uid="{7386E165-7F09-465D-B720-05AA5A662010}"/>
    <cellStyle name="40% - Accent6 2 2 5 4" xfId="10943" xr:uid="{956BC736-E09C-4030-918C-9F2D04E4F478}"/>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00F408DF-CF7D-49F8-A8F9-5D0C0562DA83}"/>
    <cellStyle name="40% - Accent6 2 2 6 2 3" xfId="13501" xr:uid="{622052E4-4EDA-4164-95B3-7B4B7E1E022D}"/>
    <cellStyle name="40% - Accent6 2 2 6 3" xfId="6247" xr:uid="{00000000-0005-0000-0000-000007070000}"/>
    <cellStyle name="40% - Accent6 2 2 6 3 2" xfId="15573" xr:uid="{407D1222-5732-415D-8874-BC9E2AC08828}"/>
    <cellStyle name="40% - Accent6 2 2 6 4" xfId="11356" xr:uid="{9972C435-EA1F-4121-A78B-38594F88DD36}"/>
    <cellStyle name="40% - Accent6 2 2 7" xfId="2354" xr:uid="{00000000-0005-0000-0000-000008070000}"/>
    <cellStyle name="40% - Accent6 2 2 7 2" xfId="6660" xr:uid="{00000000-0005-0000-0000-000009070000}"/>
    <cellStyle name="40% - Accent6 2 2 7 2 2" xfId="15986" xr:uid="{1F454EE0-F92C-4DC3-BF9B-1FD6AA8E74D7}"/>
    <cellStyle name="40% - Accent6 2 2 7 3" xfId="11769" xr:uid="{88C28E12-7314-43FF-86D5-7807ADB1BE39}"/>
    <cellStyle name="40% - Accent6 2 2 8" xfId="4594" xr:uid="{00000000-0005-0000-0000-00000A070000}"/>
    <cellStyle name="40% - Accent6 2 2 8 2" xfId="13920" xr:uid="{80014936-156F-40E3-BB57-F94AC60EEB44}"/>
    <cellStyle name="40% - Accent6 2 2 9" xfId="8906" xr:uid="{C30FCA09-BA1A-4F54-9397-4FC676425C46}"/>
    <cellStyle name="40% - Accent6 2 2 9 2" xfId="18230" xr:uid="{F9408F7D-2B70-4780-8DAC-E22A24A33AD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B99A67BE-C40F-4239-A9D3-D7E2FA7DA214}"/>
    <cellStyle name="40% - Accent6 2 3 2 2 3" xfId="12264" xr:uid="{2553BE32-2EC7-4E95-98C0-1CC7B64F7F8A}"/>
    <cellStyle name="40% - Accent6 2 3 2 3" xfId="5010" xr:uid="{00000000-0005-0000-0000-00000F070000}"/>
    <cellStyle name="40% - Accent6 2 3 2 3 2" xfId="14336" xr:uid="{F7563F72-93AE-41A4-BA02-88E2BF94E3EA}"/>
    <cellStyle name="40% - Accent6 2 3 2 4" xfId="9435" xr:uid="{36535681-1736-4584-8CB6-F8F38C9E0E5B}"/>
    <cellStyle name="40% - Accent6 2 3 2 4 2" xfId="18750" xr:uid="{AC8377C6-6F7F-4DFD-BB8F-F507D24CF06B}"/>
    <cellStyle name="40% - Accent6 2 3 2 5" xfId="10119" xr:uid="{1FEE4A9A-BFD5-4B47-BF4C-7654B64647F0}"/>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97518292-7FDF-461C-B930-04E942F96799}"/>
    <cellStyle name="40% - Accent6 2 3 3 2 3" xfId="12677" xr:uid="{672744D2-D6B7-4C8C-8747-87D86D71326A}"/>
    <cellStyle name="40% - Accent6 2 3 3 3" xfId="5423" xr:uid="{00000000-0005-0000-0000-000013070000}"/>
    <cellStyle name="40% - Accent6 2 3 3 3 2" xfId="14749" xr:uid="{312422BF-291A-4B89-8E16-6DA894C8D8F7}"/>
    <cellStyle name="40% - Accent6 2 3 3 4" xfId="10532" xr:uid="{69A629F6-735E-4F1E-99EC-01C2AE61604B}"/>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DABEF9F0-7C46-4602-B15A-0579CDEC8A26}"/>
    <cellStyle name="40% - Accent6 2 3 4 2 3" xfId="13090" xr:uid="{ED7BEC07-D67F-4D59-B495-567B1750B9C3}"/>
    <cellStyle name="40% - Accent6 2 3 4 3" xfId="5836" xr:uid="{00000000-0005-0000-0000-000017070000}"/>
    <cellStyle name="40% - Accent6 2 3 4 3 2" xfId="15162" xr:uid="{13AEBD74-048E-4455-B683-7A0DB249A100}"/>
    <cellStyle name="40% - Accent6 2 3 4 4" xfId="10945" xr:uid="{EE2F6098-D94B-4A2F-A981-703C6AA1A1A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D5D84269-338B-4C11-AAFF-3C26D0D57FC6}"/>
    <cellStyle name="40% - Accent6 2 3 5 2 3" xfId="13503" xr:uid="{4F9492A3-5596-401C-BD48-93766B35F449}"/>
    <cellStyle name="40% - Accent6 2 3 5 3" xfId="6249" xr:uid="{00000000-0005-0000-0000-00001B070000}"/>
    <cellStyle name="40% - Accent6 2 3 5 3 2" xfId="15575" xr:uid="{977D122A-1D4E-414B-9390-257B40FA32F4}"/>
    <cellStyle name="40% - Accent6 2 3 5 4" xfId="11358" xr:uid="{E6FAA89E-BFC2-4CE8-862F-BD8062F91753}"/>
    <cellStyle name="40% - Accent6 2 3 6" xfId="2356" xr:uid="{00000000-0005-0000-0000-00001C070000}"/>
    <cellStyle name="40% - Accent6 2 3 6 2" xfId="6662" xr:uid="{00000000-0005-0000-0000-00001D070000}"/>
    <cellStyle name="40% - Accent6 2 3 6 2 2" xfId="15988" xr:uid="{B20986A0-F29F-4B12-8A7F-BF8B88341668}"/>
    <cellStyle name="40% - Accent6 2 3 6 3" xfId="11771" xr:uid="{55A1B08D-7109-4D75-A320-FD66DE66286E}"/>
    <cellStyle name="40% - Accent6 2 3 7" xfId="4596" xr:uid="{00000000-0005-0000-0000-00001E070000}"/>
    <cellStyle name="40% - Accent6 2 3 7 2" xfId="13922" xr:uid="{FC8DA576-46A5-49A0-BE4F-E2A9B3B5C84B}"/>
    <cellStyle name="40% - Accent6 2 3 8" xfId="9010" xr:uid="{63E1B5F8-FE5F-441F-B768-94B1D98CB2B1}"/>
    <cellStyle name="40% - Accent6 2 3 8 2" xfId="18334" xr:uid="{AF3A17B5-AC94-4B2B-9DFD-854AB6861FEA}"/>
    <cellStyle name="40% - Accent6 2 3 9" xfId="9705" xr:uid="{C03A7E98-CB12-43BF-9679-7ECCF512385B}"/>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4F63B9DA-7DA2-49AB-B2E4-7A9483210B21}"/>
    <cellStyle name="40% - Accent6 2 4 2 3" xfId="12261" xr:uid="{2CCD56E3-3B4B-429A-AAE2-77E0556DB07D}"/>
    <cellStyle name="40% - Accent6 2 4 3" xfId="5007" xr:uid="{00000000-0005-0000-0000-000022070000}"/>
    <cellStyle name="40% - Accent6 2 4 3 2" xfId="14333" xr:uid="{6E53654A-F5D7-45CE-978E-A5C1C44B9FAE}"/>
    <cellStyle name="40% - Accent6 2 4 4" xfId="9227" xr:uid="{61BC3AC1-FAE9-47DF-8143-7EECE05FF8D3}"/>
    <cellStyle name="40% - Accent6 2 4 4 2" xfId="18543" xr:uid="{271BD514-86B1-48A5-8E46-1FB9051217E8}"/>
    <cellStyle name="40% - Accent6 2 4 5" xfId="10116" xr:uid="{C885F9F3-8B5B-4F14-92CE-A9413174582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FC22B876-32E1-4A43-904D-F95B589D0F2B}"/>
    <cellStyle name="40% - Accent6 2 5 2 3" xfId="12674" xr:uid="{552F9705-D647-4570-BAC3-230431B5BCED}"/>
    <cellStyle name="40% - Accent6 2 5 3" xfId="5420" xr:uid="{00000000-0005-0000-0000-000026070000}"/>
    <cellStyle name="40% - Accent6 2 5 3 2" xfId="14746" xr:uid="{50EA2B29-E951-4274-9F00-03D2D73F3D80}"/>
    <cellStyle name="40% - Accent6 2 5 4" xfId="10529" xr:uid="{147AA1AB-B650-4127-8D60-2BE5F00AC252}"/>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C8BE58FF-03BB-469C-99DD-B7D3480BC838}"/>
    <cellStyle name="40% - Accent6 2 6 2 3" xfId="13087" xr:uid="{4EBA51F1-A9B0-49C6-93BF-C464AE68AAD3}"/>
    <cellStyle name="40% - Accent6 2 6 3" xfId="5833" xr:uid="{00000000-0005-0000-0000-00002A070000}"/>
    <cellStyle name="40% - Accent6 2 6 3 2" xfId="15159" xr:uid="{FDDC964A-FD70-40B5-A6A6-F66B2A9EADCE}"/>
    <cellStyle name="40% - Accent6 2 6 4" xfId="10942" xr:uid="{EE6082D0-2E90-45D0-BE9E-EA298631EA66}"/>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A8F3F45B-34C5-4D42-B876-3AFAF6B23055}"/>
    <cellStyle name="40% - Accent6 2 7 2 3" xfId="13500" xr:uid="{947740EB-C668-44CB-9E0A-8632C2172D55}"/>
    <cellStyle name="40% - Accent6 2 7 3" xfId="6246" xr:uid="{00000000-0005-0000-0000-00002E070000}"/>
    <cellStyle name="40% - Accent6 2 7 3 2" xfId="15572" xr:uid="{5CB44619-E113-4DCC-B56C-DE7C49F5076C}"/>
    <cellStyle name="40% - Accent6 2 7 4" xfId="11355" xr:uid="{2BF1377B-859C-4DD5-BCA1-44052A6FAC6E}"/>
    <cellStyle name="40% - Accent6 2 8" xfId="2353" xr:uid="{00000000-0005-0000-0000-00002F070000}"/>
    <cellStyle name="40% - Accent6 2 8 2" xfId="6659" xr:uid="{00000000-0005-0000-0000-000030070000}"/>
    <cellStyle name="40% - Accent6 2 8 2 2" xfId="15985" xr:uid="{D0BBF21A-9AA3-4594-BE41-9B6BFAEF6D03}"/>
    <cellStyle name="40% - Accent6 2 8 3" xfId="11768" xr:uid="{B8ADB21A-7F08-428E-9952-FE41D19DED07}"/>
    <cellStyle name="40% - Accent6 2 9" xfId="4593" xr:uid="{00000000-0005-0000-0000-000031070000}"/>
    <cellStyle name="40% - Accent6 2 9 2" xfId="13919" xr:uid="{A7214E53-6800-4948-A789-602788688314}"/>
    <cellStyle name="40% - Accent6 3" xfId="94" xr:uid="{00000000-0005-0000-0000-000032070000}"/>
    <cellStyle name="40% - Accent6 3 10" xfId="9706" xr:uid="{C1CDF31E-ED75-472E-832F-0D1A2E316375}"/>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3D427B87-721C-4F6A-99FD-AFB48F3DC9A1}"/>
    <cellStyle name="40% - Accent6 3 2 2 2 3" xfId="12266" xr:uid="{E7984ADD-47DF-4461-BB77-24071812BBFD}"/>
    <cellStyle name="40% - Accent6 3 2 2 3" xfId="5012" xr:uid="{00000000-0005-0000-0000-000037070000}"/>
    <cellStyle name="40% - Accent6 3 2 2 3 2" xfId="14338" xr:uid="{FEE9F05B-4DF2-4813-9367-A535A12FAEAC}"/>
    <cellStyle name="40% - Accent6 3 2 2 4" xfId="9504" xr:uid="{23E46585-FD8F-4BA3-8B65-284D6884E4FD}"/>
    <cellStyle name="40% - Accent6 3 2 2 4 2" xfId="18819" xr:uid="{DB59EF09-2CD2-4DED-B98C-413463BB1E15}"/>
    <cellStyle name="40% - Accent6 3 2 2 5" xfId="10121" xr:uid="{11D5EFAB-E1FA-4A9C-A21B-4A48788A633F}"/>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5326B02D-F167-436D-8A92-DBB354E414A2}"/>
    <cellStyle name="40% - Accent6 3 2 3 2 3" xfId="12679" xr:uid="{2680FFF2-B46B-41C2-9D95-69270ABFEBD6}"/>
    <cellStyle name="40% - Accent6 3 2 3 3" xfId="5425" xr:uid="{00000000-0005-0000-0000-00003B070000}"/>
    <cellStyle name="40% - Accent6 3 2 3 3 2" xfId="14751" xr:uid="{49C9E752-3BFB-4A23-87A6-3D6DA0B5799F}"/>
    <cellStyle name="40% - Accent6 3 2 3 4" xfId="10534" xr:uid="{3991936C-9639-425F-BED1-025B6D12EC1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1D226D54-E988-4A89-B36C-95C82BE62A22}"/>
    <cellStyle name="40% - Accent6 3 2 4 2 3" xfId="13092" xr:uid="{0BDAA58E-71FA-42FC-8ADF-8BD1CB60B9EB}"/>
    <cellStyle name="40% - Accent6 3 2 4 3" xfId="5838" xr:uid="{00000000-0005-0000-0000-00003F070000}"/>
    <cellStyle name="40% - Accent6 3 2 4 3 2" xfId="15164" xr:uid="{693513D8-83F7-4B70-8518-ACDDA8D4D55A}"/>
    <cellStyle name="40% - Accent6 3 2 4 4" xfId="10947" xr:uid="{B2F5B6A3-8567-4AC1-B59B-EC03D8277283}"/>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1BB64806-E43C-44AF-ACEE-72937EA3F674}"/>
    <cellStyle name="40% - Accent6 3 2 5 2 3" xfId="13505" xr:uid="{994BBEA9-72CD-4EB5-990C-54F183A5DC45}"/>
    <cellStyle name="40% - Accent6 3 2 5 3" xfId="6251" xr:uid="{00000000-0005-0000-0000-000043070000}"/>
    <cellStyle name="40% - Accent6 3 2 5 3 2" xfId="15577" xr:uid="{DD9BF72C-B55F-4604-8D2E-0DA65A83AC7F}"/>
    <cellStyle name="40% - Accent6 3 2 5 4" xfId="11360" xr:uid="{D325884E-3559-4F71-BDBA-5B63B34E81EE}"/>
    <cellStyle name="40% - Accent6 3 2 6" xfId="2358" xr:uid="{00000000-0005-0000-0000-000044070000}"/>
    <cellStyle name="40% - Accent6 3 2 6 2" xfId="6664" xr:uid="{00000000-0005-0000-0000-000045070000}"/>
    <cellStyle name="40% - Accent6 3 2 6 2 2" xfId="15990" xr:uid="{4E658B52-A905-4DA0-8AE9-3949A5396763}"/>
    <cellStyle name="40% - Accent6 3 2 6 3" xfId="11773" xr:uid="{8C8F0952-12F8-4034-91E0-A9F6A49436C6}"/>
    <cellStyle name="40% - Accent6 3 2 7" xfId="4598" xr:uid="{00000000-0005-0000-0000-000046070000}"/>
    <cellStyle name="40% - Accent6 3 2 7 2" xfId="13924" xr:uid="{74F9F34C-68DA-444D-A91B-C970AE86D00C}"/>
    <cellStyle name="40% - Accent6 3 2 8" xfId="9079" xr:uid="{7FA93E2E-699F-4676-8533-A3CC5F80D807}"/>
    <cellStyle name="40% - Accent6 3 2 8 2" xfId="18403" xr:uid="{EA9BF99F-E612-4675-B972-6F80A07E486F}"/>
    <cellStyle name="40% - Accent6 3 2 9" xfId="9707" xr:uid="{3EF5A088-A56C-4053-A359-EF1746384A93}"/>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2C41FA85-BCF2-417F-9F62-C00653F420CF}"/>
    <cellStyle name="40% - Accent6 3 3 2 3" xfId="12265" xr:uid="{01F61FFD-F1EB-42FE-87B2-68D834716001}"/>
    <cellStyle name="40% - Accent6 3 3 3" xfId="5011" xr:uid="{00000000-0005-0000-0000-00004A070000}"/>
    <cellStyle name="40% - Accent6 3 3 3 2" xfId="14337" xr:uid="{9B07A041-3B3A-44DC-8D22-552FB4E87087}"/>
    <cellStyle name="40% - Accent6 3 3 4" xfId="9297" xr:uid="{1226E28F-09E7-4580-8D19-7F14AC1CB4B3}"/>
    <cellStyle name="40% - Accent6 3 3 4 2" xfId="18612" xr:uid="{5A97ADEA-A089-4D3C-8315-8304AEEE6BC8}"/>
    <cellStyle name="40% - Accent6 3 3 5" xfId="10120" xr:uid="{52F27149-7E5E-4CBE-A378-B1D0AA4DD090}"/>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E3930544-6F46-44A0-BFA2-EDC71FAC3224}"/>
    <cellStyle name="40% - Accent6 3 4 2 3" xfId="12678" xr:uid="{BE762353-9451-4CDD-93D3-029E591670A0}"/>
    <cellStyle name="40% - Accent6 3 4 3" xfId="5424" xr:uid="{00000000-0005-0000-0000-00004E070000}"/>
    <cellStyle name="40% - Accent6 3 4 3 2" xfId="14750" xr:uid="{A4443936-079C-47AD-BB5F-0381608FA399}"/>
    <cellStyle name="40% - Accent6 3 4 4" xfId="10533" xr:uid="{4660EE3B-DA9D-496F-8F19-D29A1589EC94}"/>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98C40CD9-5CB4-42B8-8916-DE54E4DFF5C6}"/>
    <cellStyle name="40% - Accent6 3 5 2 3" xfId="13091" xr:uid="{9DC7EBE0-B367-426A-AB2C-D3D80E45395C}"/>
    <cellStyle name="40% - Accent6 3 5 3" xfId="5837" xr:uid="{00000000-0005-0000-0000-000052070000}"/>
    <cellStyle name="40% - Accent6 3 5 3 2" xfId="15163" xr:uid="{77067B1C-5E4B-43B2-B489-46687CDE980C}"/>
    <cellStyle name="40% - Accent6 3 5 4" xfId="10946" xr:uid="{F9E7FB0A-5F99-49D2-A49F-BD7053E41E9D}"/>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4336E53A-0AFB-498B-AF24-8EC859C6F9CB}"/>
    <cellStyle name="40% - Accent6 3 6 2 3" xfId="13504" xr:uid="{7A579483-F6EF-4788-9965-A7D22430011A}"/>
    <cellStyle name="40% - Accent6 3 6 3" xfId="6250" xr:uid="{00000000-0005-0000-0000-000056070000}"/>
    <cellStyle name="40% - Accent6 3 6 3 2" xfId="15576" xr:uid="{DA439C07-4124-4464-8801-4EABBF5FF40A}"/>
    <cellStyle name="40% - Accent6 3 6 4" xfId="11359" xr:uid="{76F6718D-92D3-4983-817A-271B745E16CB}"/>
    <cellStyle name="40% - Accent6 3 7" xfId="2357" xr:uid="{00000000-0005-0000-0000-000057070000}"/>
    <cellStyle name="40% - Accent6 3 7 2" xfId="6663" xr:uid="{00000000-0005-0000-0000-000058070000}"/>
    <cellStyle name="40% - Accent6 3 7 2 2" xfId="15989" xr:uid="{FCF20BA2-84D1-482F-B245-595774A39A8D}"/>
    <cellStyle name="40% - Accent6 3 7 3" xfId="11772" xr:uid="{1F715488-3AB8-44CB-B0F9-F5C37E3EBE48}"/>
    <cellStyle name="40% - Accent6 3 8" xfId="4597" xr:uid="{00000000-0005-0000-0000-000059070000}"/>
    <cellStyle name="40% - Accent6 3 8 2" xfId="13923" xr:uid="{EB162204-1A9F-46C6-BDEF-D1C98B478024}"/>
    <cellStyle name="40% - Accent6 3 9" xfId="8872" xr:uid="{E018AF0F-504E-4DED-BF70-CC97997D74E9}"/>
    <cellStyle name="40% - Accent6 3 9 2" xfId="18196" xr:uid="{109DD0C9-6916-499B-B4FE-BD8DC0E271A8}"/>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07D73991-678A-4FB1-8152-E079A904810D}"/>
    <cellStyle name="40% - Accent6 4 2 2 3" xfId="12267" xr:uid="{C0F596B3-B4D4-463B-BE34-426C6BFB59E2}"/>
    <cellStyle name="40% - Accent6 4 2 3" xfId="5013" xr:uid="{00000000-0005-0000-0000-00005E070000}"/>
    <cellStyle name="40% - Accent6 4 2 3 2" xfId="14339" xr:uid="{9D553A42-1A83-480D-A10E-870D37A60D5E}"/>
    <cellStyle name="40% - Accent6 4 2 4" xfId="9383" xr:uid="{07C7426F-B517-4815-A0BF-2BAE02B26B53}"/>
    <cellStyle name="40% - Accent6 4 2 4 2" xfId="18698" xr:uid="{BDCF91C4-5D80-4C95-BB96-8A3AAB9692E4}"/>
    <cellStyle name="40% - Accent6 4 2 5" xfId="10122" xr:uid="{58CAB14F-05A8-4C9A-8CC0-34E3D4150F0E}"/>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5374716F-B9EC-4D97-9574-72020E2AF57F}"/>
    <cellStyle name="40% - Accent6 4 3 2 3" xfId="12680" xr:uid="{698BA169-0A3B-4170-A774-C71D1A960132}"/>
    <cellStyle name="40% - Accent6 4 3 3" xfId="5426" xr:uid="{00000000-0005-0000-0000-000062070000}"/>
    <cellStyle name="40% - Accent6 4 3 3 2" xfId="14752" xr:uid="{BE1F05F0-32C5-4B33-B9D3-BD1E20222519}"/>
    <cellStyle name="40% - Accent6 4 3 4" xfId="10535" xr:uid="{E54A7A49-ACC3-492C-A43E-850D98BB77B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D29FC9F4-DB3E-4188-8C09-D6DF204875BC}"/>
    <cellStyle name="40% - Accent6 4 4 2 3" xfId="13093" xr:uid="{AF9E11BF-49A1-473F-A7D0-53EBA7AD00F1}"/>
    <cellStyle name="40% - Accent6 4 4 3" xfId="5839" xr:uid="{00000000-0005-0000-0000-000066070000}"/>
    <cellStyle name="40% - Accent6 4 4 3 2" xfId="15165" xr:uid="{94BDF925-42EE-429B-8904-0968F255129F}"/>
    <cellStyle name="40% - Accent6 4 4 4" xfId="10948" xr:uid="{6ED7CEFA-B842-4C54-80EA-6014E494DC03}"/>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3C4D8916-99FD-46A4-9FAF-2E55F037C666}"/>
    <cellStyle name="40% - Accent6 4 5 2 3" xfId="13506" xr:uid="{5154ED37-DB54-4435-9F35-171EB50C137C}"/>
    <cellStyle name="40% - Accent6 4 5 3" xfId="6252" xr:uid="{00000000-0005-0000-0000-00006A070000}"/>
    <cellStyle name="40% - Accent6 4 5 3 2" xfId="15578" xr:uid="{E5426DB8-98A0-4BB2-BAA7-DE65CF91D1B5}"/>
    <cellStyle name="40% - Accent6 4 5 4" xfId="11361" xr:uid="{1FFE5F19-CF0F-44A8-85BA-63E784E32B44}"/>
    <cellStyle name="40% - Accent6 4 6" xfId="2359" xr:uid="{00000000-0005-0000-0000-00006B070000}"/>
    <cellStyle name="40% - Accent6 4 6 2" xfId="6665" xr:uid="{00000000-0005-0000-0000-00006C070000}"/>
    <cellStyle name="40% - Accent6 4 6 2 2" xfId="15991" xr:uid="{DA81C69E-FB84-48B4-BD7A-1C7F3D0FB743}"/>
    <cellStyle name="40% - Accent6 4 6 3" xfId="11774" xr:uid="{978512F1-6720-4D2B-83CF-8C47AD96B841}"/>
    <cellStyle name="40% - Accent6 4 7" xfId="4599" xr:uid="{00000000-0005-0000-0000-00006D070000}"/>
    <cellStyle name="40% - Accent6 4 7 2" xfId="13925" xr:uid="{C07E8C7E-800D-49C3-80D5-31598BFF9E42}"/>
    <cellStyle name="40% - Accent6 4 8" xfId="8958" xr:uid="{058203D5-6D6D-4106-8D68-93F66B236239}"/>
    <cellStyle name="40% - Accent6 4 8 2" xfId="18282" xr:uid="{6CC1225E-AF4F-4475-92DA-2142C09D14CF}"/>
    <cellStyle name="40% - Accent6 4 9" xfId="9708" xr:uid="{60AC592E-3D0A-4C82-955A-603AF4C293A3}"/>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A6CD42ED-DFEE-4B51-A416-4813CFEA8BFB}"/>
    <cellStyle name="40% - Accent6 5 2 3" xfId="12260" xr:uid="{C7DDC0D6-8CD7-49FF-BD8D-5ED4C39A50DD}"/>
    <cellStyle name="40% - Accent6 5 3" xfId="5006" xr:uid="{00000000-0005-0000-0000-000071070000}"/>
    <cellStyle name="40% - Accent6 5 3 2" xfId="14332" xr:uid="{0C5FB8AD-A26D-4E5B-93D8-A4F06906C3E0}"/>
    <cellStyle name="40% - Accent6 5 4" xfId="9192" xr:uid="{19661A88-B46A-4EF9-A9F3-4BCF8E242108}"/>
    <cellStyle name="40% - Accent6 5 4 2" xfId="18509" xr:uid="{D0070569-DDCF-4E04-A89C-CE2920BA78C8}"/>
    <cellStyle name="40% - Accent6 5 5" xfId="10115" xr:uid="{B1F088F6-477C-428E-85C1-E720C11D423E}"/>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9E63A2D4-543C-426C-9B63-D6AA37611382}"/>
    <cellStyle name="40% - Accent6 6 2 3" xfId="12673" xr:uid="{9EF3E5F4-CB64-4442-92AE-506331D42C98}"/>
    <cellStyle name="40% - Accent6 6 3" xfId="5419" xr:uid="{00000000-0005-0000-0000-000075070000}"/>
    <cellStyle name="40% - Accent6 6 3 2" xfId="14745" xr:uid="{11A3CAAF-B4AC-4DAB-9426-81FDE925D932}"/>
    <cellStyle name="40% - Accent6 6 4" xfId="10528" xr:uid="{AF997B44-E6EA-4BA9-94AD-8F38370CB5BA}"/>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5A1D4E02-16D6-4417-B996-6CCA90885CBC}"/>
    <cellStyle name="40% - Accent6 7 2 3" xfId="13086" xr:uid="{EA72F8B1-0178-479E-97FD-5E1638E2977B}"/>
    <cellStyle name="40% - Accent6 7 3" xfId="5832" xr:uid="{00000000-0005-0000-0000-000079070000}"/>
    <cellStyle name="40% - Accent6 7 3 2" xfId="15158" xr:uid="{2374E2BF-9755-4503-9091-A660F6BCBB90}"/>
    <cellStyle name="40% - Accent6 7 4" xfId="10941" xr:uid="{A54DE7F2-9976-468B-A856-F7EE4C1527E2}"/>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5ADEA0C5-EE53-4915-9C80-5F094A37C610}"/>
    <cellStyle name="40% - Accent6 8 2 3" xfId="13499" xr:uid="{44893C00-DAA8-42F3-94FC-1B5414E92285}"/>
    <cellStyle name="40% - Accent6 8 3" xfId="6245" xr:uid="{00000000-0005-0000-0000-00007D070000}"/>
    <cellStyle name="40% - Accent6 8 3 2" xfId="15571" xr:uid="{E43C1115-22AC-4BCE-B835-FD4C0B4C6D7A}"/>
    <cellStyle name="40% - Accent6 8 4" xfId="11354" xr:uid="{506E269C-AFF7-4726-9325-6D63C4D5EFBB}"/>
    <cellStyle name="40% - Accent6 9" xfId="2352" xr:uid="{00000000-0005-0000-0000-00007E070000}"/>
    <cellStyle name="40% - Accent6 9 2" xfId="6658" xr:uid="{00000000-0005-0000-0000-00007F070000}"/>
    <cellStyle name="40% - Accent6 9 2 2" xfId="15984" xr:uid="{17B70833-C865-47B6-8A3B-EA240E272BA3}"/>
    <cellStyle name="40% - Accent6 9 3" xfId="11767" xr:uid="{9F1421D3-1A4C-4B59-9718-134B36517F8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C04FFBEC-A0A5-4917-99E8-742FB1929575}"/>
    <cellStyle name="Comma 4 2 2 2 10 3" xfId="12092" xr:uid="{990BB808-85A7-4208-8785-83EF1E8307CD}"/>
    <cellStyle name="Comma 4 2 2 2 11" xfId="4600" xr:uid="{00000000-0005-0000-0000-0000A3070000}"/>
    <cellStyle name="Comma 4 2 2 2 11 2" xfId="13926" xr:uid="{AB0AF8FF-E595-48A7-96D9-6177C37452C0}"/>
    <cellStyle name="Comma 4 2 2 2 12" xfId="8806" xr:uid="{6C773D0B-D2E3-4A8C-B041-8DA2843B9E25}"/>
    <cellStyle name="Comma 4 2 2 2 12 2" xfId="18130" xr:uid="{EB0C95D1-68EA-4ED4-98E3-4C186994BEC0}"/>
    <cellStyle name="Comma 4 2 2 2 13" xfId="9709" xr:uid="{AA1D2732-3877-4F4E-9BFA-4FD093820840}"/>
    <cellStyle name="Comma 4 2 2 2 2" xfId="129" xr:uid="{00000000-0005-0000-0000-0000A4070000}"/>
    <cellStyle name="Comma 4 2 2 2 2 10" xfId="4601" xr:uid="{00000000-0005-0000-0000-0000A5070000}"/>
    <cellStyle name="Comma 4 2 2 2 2 10 2" xfId="13927" xr:uid="{2C660867-59EC-41E7-9068-EF1CE114CA2E}"/>
    <cellStyle name="Comma 4 2 2 2 2 11" xfId="8909" xr:uid="{477FCE05-1F49-4658-A03C-A8A5E7983C47}"/>
    <cellStyle name="Comma 4 2 2 2 2 11 2" xfId="18233" xr:uid="{EE1311EA-F266-44C0-A420-B9938083667C}"/>
    <cellStyle name="Comma 4 2 2 2 2 12" xfId="9710" xr:uid="{88D338F9-CAE1-42AF-81ED-DEA9EB839965}"/>
    <cellStyle name="Comma 4 2 2 2 2 2" xfId="130" xr:uid="{00000000-0005-0000-0000-0000A6070000}"/>
    <cellStyle name="Comma 4 2 2 2 2 2 10" xfId="9116" xr:uid="{7A07505D-6B4C-4086-90B5-B5D345FB7611}"/>
    <cellStyle name="Comma 4 2 2 2 2 2 10 2" xfId="18440" xr:uid="{C24FE55B-6FE1-461E-9755-A97646BA08A1}"/>
    <cellStyle name="Comma 4 2 2 2 2 2 11" xfId="9711" xr:uid="{FBD1D71D-A368-4EF0-87C4-E393514F95A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74349A9A-4A03-4E5D-80A5-9D392FF9931E}"/>
    <cellStyle name="Comma 4 2 2 2 2 2 2 2 3" xfId="12270" xr:uid="{569BC644-FD98-4E52-95DE-E4D414485906}"/>
    <cellStyle name="Comma 4 2 2 2 2 2 2 3" xfId="5016" xr:uid="{00000000-0005-0000-0000-0000AA070000}"/>
    <cellStyle name="Comma 4 2 2 2 2 2 2 3 2" xfId="14342" xr:uid="{914D6B12-E628-4514-A075-3A43BC16B105}"/>
    <cellStyle name="Comma 4 2 2 2 2 2 2 4" xfId="9541" xr:uid="{21DC771E-83A2-48BA-BE40-3E9E8454DE28}"/>
    <cellStyle name="Comma 4 2 2 2 2 2 2 4 2" xfId="18856" xr:uid="{AA0076EB-3178-497A-9F77-58522EBEA4D2}"/>
    <cellStyle name="Comma 4 2 2 2 2 2 2 5" xfId="10125" xr:uid="{2C634466-AD26-4ECB-A50B-233417BD11AD}"/>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7B4AC4EB-171A-4365-86EA-633A9A100348}"/>
    <cellStyle name="Comma 4 2 2 2 2 2 3 2 3" xfId="12683" xr:uid="{2767EFF0-BA60-44A7-9705-84E5493AD3B0}"/>
    <cellStyle name="Comma 4 2 2 2 2 2 3 3" xfId="5429" xr:uid="{00000000-0005-0000-0000-0000AE070000}"/>
    <cellStyle name="Comma 4 2 2 2 2 2 3 3 2" xfId="14755" xr:uid="{31E7A13F-DE88-4FBB-94A5-296495D2468C}"/>
    <cellStyle name="Comma 4 2 2 2 2 2 3 4" xfId="10538" xr:uid="{20758644-843D-4FA9-9734-917C7D0C0305}"/>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24CC1678-3A3F-4E7A-BF6E-329A86A2351D}"/>
    <cellStyle name="Comma 4 2 2 2 2 2 4 2 3" xfId="13096" xr:uid="{113F5FCF-F75F-47B1-BB50-997C94081657}"/>
    <cellStyle name="Comma 4 2 2 2 2 2 4 3" xfId="5842" xr:uid="{00000000-0005-0000-0000-0000B2070000}"/>
    <cellStyle name="Comma 4 2 2 2 2 2 4 3 2" xfId="15168" xr:uid="{957662A6-37FB-4DFB-AFC0-285DBF795540}"/>
    <cellStyle name="Comma 4 2 2 2 2 2 4 4" xfId="10951" xr:uid="{DB589B7C-8FE8-45A0-8956-2CE5846B944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41AB8308-90AB-4DCC-B926-BBA375273806}"/>
    <cellStyle name="Comma 4 2 2 2 2 2 5 2 3" xfId="13509" xr:uid="{DFC6A695-445F-4AAA-B2DD-1F9617A2EBFE}"/>
    <cellStyle name="Comma 4 2 2 2 2 2 5 3" xfId="6255" xr:uid="{00000000-0005-0000-0000-0000B6070000}"/>
    <cellStyle name="Comma 4 2 2 2 2 2 5 3 2" xfId="15581" xr:uid="{FBF00E4D-DB00-4AE6-93C2-D46694DC6EF1}"/>
    <cellStyle name="Comma 4 2 2 2 2 2 5 4" xfId="11364" xr:uid="{8A3E67A8-FBB5-4287-AA4D-1C64A9EEF839}"/>
    <cellStyle name="Comma 4 2 2 2 2 2 6" xfId="2384" xr:uid="{00000000-0005-0000-0000-0000B7070000}"/>
    <cellStyle name="Comma 4 2 2 2 2 2 6 2" xfId="6668" xr:uid="{00000000-0005-0000-0000-0000B8070000}"/>
    <cellStyle name="Comma 4 2 2 2 2 2 6 2 2" xfId="15994" xr:uid="{322B155B-AE1B-4DDF-8F35-04F8A9CD9DD2}"/>
    <cellStyle name="Comma 4 2 2 2 2 2 6 3" xfId="11777" xr:uid="{E70ACC0C-B02E-40F0-93CC-85F31A31A5A7}"/>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FE184B3B-F69E-4E3E-8009-2F760D2B3D6A}"/>
    <cellStyle name="Comma 4 2 2 2 2 2 8 3" xfId="12094" xr:uid="{EEFD6070-136F-44D7-974D-98223F467A52}"/>
    <cellStyle name="Comma 4 2 2 2 2 2 9" xfId="4602" xr:uid="{00000000-0005-0000-0000-0000BC070000}"/>
    <cellStyle name="Comma 4 2 2 2 2 2 9 2" xfId="13928" xr:uid="{A668BE28-C3C4-49A2-9CEB-C8A6FEFFB11A}"/>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BE2C0798-BC81-491A-A5ED-A93A65EE5320}"/>
    <cellStyle name="Comma 4 2 2 2 2 3 2 3" xfId="12269" xr:uid="{48DA975F-ED53-4D62-9E5D-EC7B9883673C}"/>
    <cellStyle name="Comma 4 2 2 2 2 3 3" xfId="5015" xr:uid="{00000000-0005-0000-0000-0000C0070000}"/>
    <cellStyle name="Comma 4 2 2 2 2 3 3 2" xfId="14341" xr:uid="{D9060076-BBF3-4AB4-816E-CC9182C975DA}"/>
    <cellStyle name="Comma 4 2 2 2 2 3 4" xfId="9334" xr:uid="{50E8807F-6450-4082-BD30-0A86C2E78D0E}"/>
    <cellStyle name="Comma 4 2 2 2 2 3 4 2" xfId="18649" xr:uid="{D8BC5BCF-45D5-4B85-8D79-87F31C17EE8C}"/>
    <cellStyle name="Comma 4 2 2 2 2 3 5" xfId="10124" xr:uid="{57A17911-C4BE-4637-A304-304E50BCBC1C}"/>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54936144-5EF8-4BFA-A23C-244AEE4094D0}"/>
    <cellStyle name="Comma 4 2 2 2 2 4 2 3" xfId="12682" xr:uid="{32BA473F-32AF-41E9-AC40-086416C05C91}"/>
    <cellStyle name="Comma 4 2 2 2 2 4 3" xfId="5428" xr:uid="{00000000-0005-0000-0000-0000C4070000}"/>
    <cellStyle name="Comma 4 2 2 2 2 4 3 2" xfId="14754" xr:uid="{4510C8F8-3169-4849-8626-2DF3A126E364}"/>
    <cellStyle name="Comma 4 2 2 2 2 4 4" xfId="10537" xr:uid="{B090C9FD-2EE3-4364-B808-F2FFFDBEDE0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383746AE-1324-4D30-A7C1-D4D2B6244D51}"/>
    <cellStyle name="Comma 4 2 2 2 2 5 2 3" xfId="13095" xr:uid="{912A2F02-D005-4753-9E97-FCF5A1E4CC9A}"/>
    <cellStyle name="Comma 4 2 2 2 2 5 3" xfId="5841" xr:uid="{00000000-0005-0000-0000-0000C8070000}"/>
    <cellStyle name="Comma 4 2 2 2 2 5 3 2" xfId="15167" xr:uid="{968876E5-0334-417E-97C8-7D70D1083626}"/>
    <cellStyle name="Comma 4 2 2 2 2 5 4" xfId="10950" xr:uid="{164FC0C8-5487-49A9-97FD-52348FD0DC6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84196D80-F638-4620-A5A9-9436F57E15C4}"/>
    <cellStyle name="Comma 4 2 2 2 2 6 2 3" xfId="13508" xr:uid="{58257B63-1EDE-4C0D-AD4C-93B03EE507B8}"/>
    <cellStyle name="Comma 4 2 2 2 2 6 3" xfId="6254" xr:uid="{00000000-0005-0000-0000-0000CC070000}"/>
    <cellStyle name="Comma 4 2 2 2 2 6 3 2" xfId="15580" xr:uid="{B47A6E27-4A96-401F-8171-3DF373583D03}"/>
    <cellStyle name="Comma 4 2 2 2 2 6 4" xfId="11363" xr:uid="{B921E6A2-5484-4FC6-B2B3-52F48F416C51}"/>
    <cellStyle name="Comma 4 2 2 2 2 7" xfId="2383" xr:uid="{00000000-0005-0000-0000-0000CD070000}"/>
    <cellStyle name="Comma 4 2 2 2 2 7 2" xfId="6667" xr:uid="{00000000-0005-0000-0000-0000CE070000}"/>
    <cellStyle name="Comma 4 2 2 2 2 7 2 2" xfId="15993" xr:uid="{8F06796C-EE6E-4768-90ED-8612A4051175}"/>
    <cellStyle name="Comma 4 2 2 2 2 7 3" xfId="11776" xr:uid="{109ECDE0-13FB-4AE4-817C-775F75AFD8CB}"/>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444E090F-A0D6-448C-8632-6CC74F8BC504}"/>
    <cellStyle name="Comma 4 2 2 2 2 9 3" xfId="12093" xr:uid="{B3E13D50-00B9-4097-AF29-F23CFF7CB3B8}"/>
    <cellStyle name="Comma 4 2 2 2 3" xfId="131" xr:uid="{00000000-0005-0000-0000-0000D2070000}"/>
    <cellStyle name="Comma 4 2 2 2 3 10" xfId="9013" xr:uid="{D7491CA1-A7A0-4099-A659-9FB418CDDACA}"/>
    <cellStyle name="Comma 4 2 2 2 3 10 2" xfId="18337" xr:uid="{8216BF10-145D-4CB7-A600-D0CE46A96E16}"/>
    <cellStyle name="Comma 4 2 2 2 3 11" xfId="9712" xr:uid="{598729D8-1DB6-4EAF-A14F-C7E02168D2D2}"/>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691CC433-8F23-4092-BCFB-B8690B6B8658}"/>
    <cellStyle name="Comma 4 2 2 2 3 2 2 3" xfId="12271" xr:uid="{3ADEB34D-98B3-4881-B6F2-18A50644271A}"/>
    <cellStyle name="Comma 4 2 2 2 3 2 3" xfId="5017" xr:uid="{00000000-0005-0000-0000-0000D6070000}"/>
    <cellStyle name="Comma 4 2 2 2 3 2 3 2" xfId="14343" xr:uid="{0267DC59-7BB3-4381-A18F-EA7D95403B59}"/>
    <cellStyle name="Comma 4 2 2 2 3 2 4" xfId="9438" xr:uid="{8E9C4341-814A-43D1-8D35-8CCC512A2E32}"/>
    <cellStyle name="Comma 4 2 2 2 3 2 4 2" xfId="18753" xr:uid="{AC4AB6F7-EAB8-4985-AEE0-C7711CC43611}"/>
    <cellStyle name="Comma 4 2 2 2 3 2 5" xfId="10126" xr:uid="{10C2CA26-AFBD-4517-80CE-0E919F572BC9}"/>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1838FBBC-B306-421A-AC50-9CE232C15743}"/>
    <cellStyle name="Comma 4 2 2 2 3 3 2 3" xfId="12684" xr:uid="{1429DC14-DE1B-4673-B29A-B46C07DDD239}"/>
    <cellStyle name="Comma 4 2 2 2 3 3 3" xfId="5430" xr:uid="{00000000-0005-0000-0000-0000DA070000}"/>
    <cellStyle name="Comma 4 2 2 2 3 3 3 2" xfId="14756" xr:uid="{C3888AFC-DB82-465D-AC65-32773C84782C}"/>
    <cellStyle name="Comma 4 2 2 2 3 3 4" xfId="10539" xr:uid="{58DCE91C-1D68-47EF-9A1C-0B0CE9260F8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436D6F16-809F-4C0E-9AE3-0FCCDBC8F9C2}"/>
    <cellStyle name="Comma 4 2 2 2 3 4 2 3" xfId="13097" xr:uid="{1E806C5B-A891-4EDE-A55B-5020842EC911}"/>
    <cellStyle name="Comma 4 2 2 2 3 4 3" xfId="5843" xr:uid="{00000000-0005-0000-0000-0000DE070000}"/>
    <cellStyle name="Comma 4 2 2 2 3 4 3 2" xfId="15169" xr:uid="{8DBC3C9D-349D-4AC9-96E3-5844DDBFCEF7}"/>
    <cellStyle name="Comma 4 2 2 2 3 4 4" xfId="10952" xr:uid="{651D87CA-BA57-4D4E-81BC-254E219E6EC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B13E4D5F-1678-4D3B-8C71-F5FE34510909}"/>
    <cellStyle name="Comma 4 2 2 2 3 5 2 3" xfId="13510" xr:uid="{FBAC3C4E-5D05-416E-B46C-EF9AF47D5FA5}"/>
    <cellStyle name="Comma 4 2 2 2 3 5 3" xfId="6256" xr:uid="{00000000-0005-0000-0000-0000E2070000}"/>
    <cellStyle name="Comma 4 2 2 2 3 5 3 2" xfId="15582" xr:uid="{6BD2EEE8-4B8C-4AF6-85B3-C61933AC7F2D}"/>
    <cellStyle name="Comma 4 2 2 2 3 5 4" xfId="11365" xr:uid="{28A46543-F37C-49C3-9E0B-FB10C972F450}"/>
    <cellStyle name="Comma 4 2 2 2 3 6" xfId="2385" xr:uid="{00000000-0005-0000-0000-0000E3070000}"/>
    <cellStyle name="Comma 4 2 2 2 3 6 2" xfId="6669" xr:uid="{00000000-0005-0000-0000-0000E4070000}"/>
    <cellStyle name="Comma 4 2 2 2 3 6 2 2" xfId="15995" xr:uid="{B9C440D5-0AEF-4AA1-AD61-0344800C53D9}"/>
    <cellStyle name="Comma 4 2 2 2 3 6 3" xfId="11778" xr:uid="{9DFECF53-4497-48D0-8827-235BBA624950}"/>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F657D96C-4F28-42C7-8182-CC52295B60C4}"/>
    <cellStyle name="Comma 4 2 2 2 3 8 3" xfId="12095" xr:uid="{E6741080-728B-4730-BACE-601362ACB2BB}"/>
    <cellStyle name="Comma 4 2 2 2 3 9" xfId="4603" xr:uid="{00000000-0005-0000-0000-0000E8070000}"/>
    <cellStyle name="Comma 4 2 2 2 3 9 2" xfId="13929" xr:uid="{04C21861-83A0-4D89-8304-BED0682878D4}"/>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5974187F-46D2-4D92-911B-BDC228818D4B}"/>
    <cellStyle name="Comma 4 2 2 2 4 2 3" xfId="12268" xr:uid="{BD090FDD-67EC-4073-AA25-261ED9AD0C21}"/>
    <cellStyle name="Comma 4 2 2 2 4 3" xfId="5014" xr:uid="{00000000-0005-0000-0000-0000EC070000}"/>
    <cellStyle name="Comma 4 2 2 2 4 3 2" xfId="14340" xr:uid="{588B83BF-733F-4A22-A91C-0782C9FD30B6}"/>
    <cellStyle name="Comma 4 2 2 2 4 4" xfId="9231" xr:uid="{31DAC97A-9492-467B-9850-183797A56FBE}"/>
    <cellStyle name="Comma 4 2 2 2 4 4 2" xfId="18546" xr:uid="{E28A8E4F-55D8-473A-8DEE-6BAF035335C6}"/>
    <cellStyle name="Comma 4 2 2 2 4 5" xfId="10123" xr:uid="{FB2E7D08-F638-48CE-A2B9-CB9673DAB77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02D2109F-1879-4C89-8789-7993197AFF4E}"/>
    <cellStyle name="Comma 4 2 2 2 5 2 3" xfId="12681" xr:uid="{37B6DE4E-BD4A-44D2-A8B0-3EFC1B3B7C9E}"/>
    <cellStyle name="Comma 4 2 2 2 5 3" xfId="5427" xr:uid="{00000000-0005-0000-0000-0000F0070000}"/>
    <cellStyle name="Comma 4 2 2 2 5 3 2" xfId="14753" xr:uid="{9321FCB3-0190-4C01-A54F-1D15762ED9C2}"/>
    <cellStyle name="Comma 4 2 2 2 5 4" xfId="10536" xr:uid="{FCA9D9F7-AAF1-4219-93A1-1A35C80FC273}"/>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E746293F-27D8-4F06-8E09-851F4A0B70CE}"/>
    <cellStyle name="Comma 4 2 2 2 6 2 3" xfId="13094" xr:uid="{F7E819C2-AAAF-4D30-8366-443D3479EBB4}"/>
    <cellStyle name="Comma 4 2 2 2 6 3" xfId="5840" xr:uid="{00000000-0005-0000-0000-0000F4070000}"/>
    <cellStyle name="Comma 4 2 2 2 6 3 2" xfId="15166" xr:uid="{39555340-1573-416F-A3ED-F83861B9FCE8}"/>
    <cellStyle name="Comma 4 2 2 2 6 4" xfId="10949" xr:uid="{85AC8BE0-41F9-4B59-B7AA-A08A96C92FE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ED031D98-5AA8-4733-9E5C-F23E43822B5E}"/>
    <cellStyle name="Comma 4 2 2 2 7 2 3" xfId="13507" xr:uid="{A88AD93A-6E1D-43C3-A5BA-973ED3B51520}"/>
    <cellStyle name="Comma 4 2 2 2 7 3" xfId="6253" xr:uid="{00000000-0005-0000-0000-0000F8070000}"/>
    <cellStyle name="Comma 4 2 2 2 7 3 2" xfId="15579" xr:uid="{19F97694-B522-4A55-8D4C-CB8F814768A0}"/>
    <cellStyle name="Comma 4 2 2 2 7 4" xfId="11362" xr:uid="{FF1CD223-1E3F-4DCA-9AA7-C18548D771C9}"/>
    <cellStyle name="Comma 4 2 2 2 8" xfId="2382" xr:uid="{00000000-0005-0000-0000-0000F9070000}"/>
    <cellStyle name="Comma 4 2 2 2 8 2" xfId="6666" xr:uid="{00000000-0005-0000-0000-0000FA070000}"/>
    <cellStyle name="Comma 4 2 2 2 8 2 2" xfId="15992" xr:uid="{9B10872D-9791-4938-AF8C-8D924C597B41}"/>
    <cellStyle name="Comma 4 2 2 2 8 3" xfId="11775" xr:uid="{2F21596B-133F-4F85-BE30-C96EB66C963A}"/>
    <cellStyle name="Comma 4 2 2 2 9" xfId="2381" xr:uid="{00000000-0005-0000-0000-0000FB070000}"/>
    <cellStyle name="Comma 4 2 2 3" xfId="132" xr:uid="{00000000-0005-0000-0000-0000FC070000}"/>
    <cellStyle name="Comma 4 2 2 3 10" xfId="4604" xr:uid="{00000000-0005-0000-0000-0000FD070000}"/>
    <cellStyle name="Comma 4 2 2 3 10 2" xfId="13930" xr:uid="{595212AC-74EC-4EF5-9760-6F63F7E493F5}"/>
    <cellStyle name="Comma 4 2 2 3 11" xfId="8889" xr:uid="{93813409-C042-4436-8561-B0237A135E7D}"/>
    <cellStyle name="Comma 4 2 2 3 11 2" xfId="18213" xr:uid="{700DD683-5F38-4622-9BB8-A5792E8589AF}"/>
    <cellStyle name="Comma 4 2 2 3 12" xfId="9713" xr:uid="{651FD285-2B6B-49F4-8E30-1186D20DC5F0}"/>
    <cellStyle name="Comma 4 2 2 3 2" xfId="133" xr:uid="{00000000-0005-0000-0000-0000FE070000}"/>
    <cellStyle name="Comma 4 2 2 3 2 10" xfId="9096" xr:uid="{C395B6CC-7E3E-452B-B5AB-BBF992A45CEB}"/>
    <cellStyle name="Comma 4 2 2 3 2 10 2" xfId="18420" xr:uid="{EA78FBF4-1340-4D68-916D-C0D0C0C4D2F3}"/>
    <cellStyle name="Comma 4 2 2 3 2 11" xfId="9714" xr:uid="{785ACD0F-4E30-466F-8ED3-54D37881EC2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E402C1A4-1E68-45E4-81FB-B1BDAEF2ABF1}"/>
    <cellStyle name="Comma 4 2 2 3 2 2 2 3" xfId="12273" xr:uid="{EC572D5F-50A7-4B3C-8C1C-2A313DC3E528}"/>
    <cellStyle name="Comma 4 2 2 3 2 2 3" xfId="5019" xr:uid="{00000000-0005-0000-0000-000002080000}"/>
    <cellStyle name="Comma 4 2 2 3 2 2 3 2" xfId="14345" xr:uid="{FC4AB5AD-3253-47E3-9F58-AF7BC5AA5435}"/>
    <cellStyle name="Comma 4 2 2 3 2 2 4" xfId="9521" xr:uid="{8F14F654-C711-4E70-8A06-71F68E70E2E0}"/>
    <cellStyle name="Comma 4 2 2 3 2 2 4 2" xfId="18836" xr:uid="{AD271440-A3C1-4BFE-B127-3BC03A68987B}"/>
    <cellStyle name="Comma 4 2 2 3 2 2 5" xfId="10128" xr:uid="{75326ECD-37A0-4B84-8468-04B9D1EB3989}"/>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87D64B3B-29A8-4D99-87E7-04F02DB4FCC5}"/>
    <cellStyle name="Comma 4 2 2 3 2 3 2 3" xfId="12686" xr:uid="{52D89BDF-FBB4-432F-8434-10880A351439}"/>
    <cellStyle name="Comma 4 2 2 3 2 3 3" xfId="5432" xr:uid="{00000000-0005-0000-0000-000006080000}"/>
    <cellStyle name="Comma 4 2 2 3 2 3 3 2" xfId="14758" xr:uid="{1F7B8AA3-FF0F-4AF8-9D60-CAA920E9C8CD}"/>
    <cellStyle name="Comma 4 2 2 3 2 3 4" xfId="10541" xr:uid="{E221E4BB-F7FC-4090-9239-8A6B235158C1}"/>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9045390D-42FF-40AE-899D-54D3C129E0C6}"/>
    <cellStyle name="Comma 4 2 2 3 2 4 2 3" xfId="13099" xr:uid="{69EC229D-CB6E-4576-86A6-F07903C17BA7}"/>
    <cellStyle name="Comma 4 2 2 3 2 4 3" xfId="5845" xr:uid="{00000000-0005-0000-0000-00000A080000}"/>
    <cellStyle name="Comma 4 2 2 3 2 4 3 2" xfId="15171" xr:uid="{60C08FB7-9ACD-42FF-9C54-7E53F61EA5BE}"/>
    <cellStyle name="Comma 4 2 2 3 2 4 4" xfId="10954" xr:uid="{8AEE0127-FD80-4FF8-9D61-9C1ADA26A7DA}"/>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82B8547D-593F-4FC5-AA65-7FB9FA4E4371}"/>
    <cellStyle name="Comma 4 2 2 3 2 5 2 3" xfId="13512" xr:uid="{841023A4-D596-4E6E-BA7E-21E4C7DA2A69}"/>
    <cellStyle name="Comma 4 2 2 3 2 5 3" xfId="6258" xr:uid="{00000000-0005-0000-0000-00000E080000}"/>
    <cellStyle name="Comma 4 2 2 3 2 5 3 2" xfId="15584" xr:uid="{A73EC58D-A923-4D8E-8174-3EDE6BCA7383}"/>
    <cellStyle name="Comma 4 2 2 3 2 5 4" xfId="11367" xr:uid="{EDE6B933-9CC1-4729-888A-2510283A6187}"/>
    <cellStyle name="Comma 4 2 2 3 2 6" xfId="2387" xr:uid="{00000000-0005-0000-0000-00000F080000}"/>
    <cellStyle name="Comma 4 2 2 3 2 6 2" xfId="6671" xr:uid="{00000000-0005-0000-0000-000010080000}"/>
    <cellStyle name="Comma 4 2 2 3 2 6 2 2" xfId="15997" xr:uid="{A77CD1D6-3D90-4319-9A1A-CD386DBB7A07}"/>
    <cellStyle name="Comma 4 2 2 3 2 6 3" xfId="11780" xr:uid="{5F70B298-38A6-42C7-A43D-44B59708286A}"/>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023A8E5D-8D1C-4435-AA14-44644118171B}"/>
    <cellStyle name="Comma 4 2 2 3 2 8 3" xfId="12097" xr:uid="{52399ACF-DECB-4E94-B4B3-AEB34B271700}"/>
    <cellStyle name="Comma 4 2 2 3 2 9" xfId="4605" xr:uid="{00000000-0005-0000-0000-000014080000}"/>
    <cellStyle name="Comma 4 2 2 3 2 9 2" xfId="13931" xr:uid="{982C6889-C9D6-4AE6-A0C8-6C6D2898889E}"/>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F4F82CDF-F15F-42A4-95CD-E1703158361D}"/>
    <cellStyle name="Comma 4 2 2 3 3 2 3" xfId="12272" xr:uid="{63FADB76-739B-4CC8-A9BA-30A6136BF1AC}"/>
    <cellStyle name="Comma 4 2 2 3 3 3" xfId="5018" xr:uid="{00000000-0005-0000-0000-000018080000}"/>
    <cellStyle name="Comma 4 2 2 3 3 3 2" xfId="14344" xr:uid="{9A01E47E-1F3B-4074-9CC6-A458DA7E1EDB}"/>
    <cellStyle name="Comma 4 2 2 3 3 4" xfId="9314" xr:uid="{A74197AE-1229-40FC-8212-8FB289D74FF6}"/>
    <cellStyle name="Comma 4 2 2 3 3 4 2" xfId="18629" xr:uid="{52B6C45A-72FF-4E91-B26D-42BED45E408F}"/>
    <cellStyle name="Comma 4 2 2 3 3 5" xfId="10127" xr:uid="{4D464373-6FBB-461C-A2FB-2A2FBD56FC3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D80439A4-CB98-4BBA-9586-EFA9EA09F8A9}"/>
    <cellStyle name="Comma 4 2 2 3 4 2 3" xfId="12685" xr:uid="{AEAB69E9-70CE-4A57-A90B-84D775D8C184}"/>
    <cellStyle name="Comma 4 2 2 3 4 3" xfId="5431" xr:uid="{00000000-0005-0000-0000-00001C080000}"/>
    <cellStyle name="Comma 4 2 2 3 4 3 2" xfId="14757" xr:uid="{91B1A319-87EA-4C95-88FB-0C14AFBDD120}"/>
    <cellStyle name="Comma 4 2 2 3 4 4" xfId="10540" xr:uid="{D6BC2EAF-59BB-4A0A-AAC2-F67E6828F201}"/>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0B968023-FC1E-4C9B-AE42-897772CD564F}"/>
    <cellStyle name="Comma 4 2 2 3 5 2 3" xfId="13098" xr:uid="{303091A2-B6E6-4F3D-A345-A115B82352B2}"/>
    <cellStyle name="Comma 4 2 2 3 5 3" xfId="5844" xr:uid="{00000000-0005-0000-0000-000020080000}"/>
    <cellStyle name="Comma 4 2 2 3 5 3 2" xfId="15170" xr:uid="{0DAC526F-DE87-4494-8959-D61EE33E06BE}"/>
    <cellStyle name="Comma 4 2 2 3 5 4" xfId="10953" xr:uid="{6FB432CE-2FE2-4F93-A18A-BE362B59DB8A}"/>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E1AA247E-2B41-4EDD-ACC0-1D26DB6E6CE1}"/>
    <cellStyle name="Comma 4 2 2 3 6 2 3" xfId="13511" xr:uid="{B6C13B2D-98D7-4C63-B8CB-CEB06308254C}"/>
    <cellStyle name="Comma 4 2 2 3 6 3" xfId="6257" xr:uid="{00000000-0005-0000-0000-000024080000}"/>
    <cellStyle name="Comma 4 2 2 3 6 3 2" xfId="15583" xr:uid="{7A1EBE27-A2D4-4688-ACB9-56ADE41CB4DF}"/>
    <cellStyle name="Comma 4 2 2 3 6 4" xfId="11366" xr:uid="{DDD9687C-3879-41D9-B70C-9E7BFFF0A46C}"/>
    <cellStyle name="Comma 4 2 2 3 7" xfId="2386" xr:uid="{00000000-0005-0000-0000-000025080000}"/>
    <cellStyle name="Comma 4 2 2 3 7 2" xfId="6670" xr:uid="{00000000-0005-0000-0000-000026080000}"/>
    <cellStyle name="Comma 4 2 2 3 7 2 2" xfId="15996" xr:uid="{2FB522C7-3230-4691-9145-D9208332D365}"/>
    <cellStyle name="Comma 4 2 2 3 7 3" xfId="11779" xr:uid="{959BD7D5-C055-4B61-8162-2763CBE43F16}"/>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3B77DDB2-B7E4-4FEB-AB69-1840CF28DD73}"/>
    <cellStyle name="Comma 4 2 2 3 9 3" xfId="12096" xr:uid="{902EB795-1DB9-4649-AEA8-7A04E6E1389A}"/>
    <cellStyle name="Comma 4 2 2 4" xfId="134" xr:uid="{00000000-0005-0000-0000-00002A080000}"/>
    <cellStyle name="Comma 4 2 2 4 10" xfId="8993" xr:uid="{2969CB69-37C4-4C43-BC9D-87F92556F829}"/>
    <cellStyle name="Comma 4 2 2 4 10 2" xfId="18317" xr:uid="{055EA0B3-38B9-41D6-ABA7-0E9A0793A38F}"/>
    <cellStyle name="Comma 4 2 2 4 11" xfId="9715" xr:uid="{9009A376-469A-46DD-9804-DF37D596EAAF}"/>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B5CE2E3B-8442-4734-93AB-A9ECDA9868E6}"/>
    <cellStyle name="Comma 4 2 2 4 2 2 3" xfId="12274" xr:uid="{EA397B58-3959-4A73-AF3F-AACE72A40BB9}"/>
    <cellStyle name="Comma 4 2 2 4 2 3" xfId="5020" xr:uid="{00000000-0005-0000-0000-00002E080000}"/>
    <cellStyle name="Comma 4 2 2 4 2 3 2" xfId="14346" xr:uid="{8AE9C187-F8B6-4D41-A85A-ADE11A28483A}"/>
    <cellStyle name="Comma 4 2 2 4 2 4" xfId="9418" xr:uid="{F2EB07B7-2227-485D-9411-A8F75EC2F9DA}"/>
    <cellStyle name="Comma 4 2 2 4 2 4 2" xfId="18733" xr:uid="{7B81F192-C758-4714-B8D5-956B4FF0FCAD}"/>
    <cellStyle name="Comma 4 2 2 4 2 5" xfId="10129" xr:uid="{03F99515-B70A-4A5D-A459-BCF1341D2915}"/>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B523379A-D938-4DD8-AB5A-7292CF7EA540}"/>
    <cellStyle name="Comma 4 2 2 4 3 2 3" xfId="12687" xr:uid="{90B6D321-486B-41B7-94D2-B149C6F12D52}"/>
    <cellStyle name="Comma 4 2 2 4 3 3" xfId="5433" xr:uid="{00000000-0005-0000-0000-000032080000}"/>
    <cellStyle name="Comma 4 2 2 4 3 3 2" xfId="14759" xr:uid="{A83A0173-D437-44A4-AB88-11BA539CBF7D}"/>
    <cellStyle name="Comma 4 2 2 4 3 4" xfId="10542" xr:uid="{62CA439A-D7CB-4431-9B2B-D4C53F323D1D}"/>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A28127FD-1EE1-4F4B-81D0-87E1A6C5163B}"/>
    <cellStyle name="Comma 4 2 2 4 4 2 3" xfId="13100" xr:uid="{3C382E6E-05D4-4127-8B5F-BD28A4AD5965}"/>
    <cellStyle name="Comma 4 2 2 4 4 3" xfId="5846" xr:uid="{00000000-0005-0000-0000-000036080000}"/>
    <cellStyle name="Comma 4 2 2 4 4 3 2" xfId="15172" xr:uid="{A5BDE0BC-D1AE-40A7-947D-35BCF7EBA608}"/>
    <cellStyle name="Comma 4 2 2 4 4 4" xfId="10955" xr:uid="{D7B14185-7F8B-450A-9622-11C31DFFBECC}"/>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6795DE86-4D73-45F8-B7EF-E500278B9CA4}"/>
    <cellStyle name="Comma 4 2 2 4 5 2 3" xfId="13513" xr:uid="{585ED61C-EDB9-488F-9A20-D836F1A085A3}"/>
    <cellStyle name="Comma 4 2 2 4 5 3" xfId="6259" xr:uid="{00000000-0005-0000-0000-00003A080000}"/>
    <cellStyle name="Comma 4 2 2 4 5 3 2" xfId="15585" xr:uid="{9B7DBC27-0AFD-49FF-A510-6E55BA30FB75}"/>
    <cellStyle name="Comma 4 2 2 4 5 4" xfId="11368" xr:uid="{0F966A96-8F3D-4A3E-9E73-1F033D3BEAD2}"/>
    <cellStyle name="Comma 4 2 2 4 6" xfId="2388" xr:uid="{00000000-0005-0000-0000-00003B080000}"/>
    <cellStyle name="Comma 4 2 2 4 6 2" xfId="6672" xr:uid="{00000000-0005-0000-0000-00003C080000}"/>
    <cellStyle name="Comma 4 2 2 4 6 2 2" xfId="15998" xr:uid="{0B380487-3704-4379-A2BD-035E8FA03208}"/>
    <cellStyle name="Comma 4 2 2 4 6 3" xfId="11781" xr:uid="{BDCB9563-7416-4726-85D4-1A17BF0ABC8D}"/>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7CE5891B-6445-4A50-ACDE-A052F3CCDD94}"/>
    <cellStyle name="Comma 4 2 2 4 8 3" xfId="12098" xr:uid="{3EA9EF89-156B-4DA1-B9B2-B039304CD9FB}"/>
    <cellStyle name="Comma 4 2 2 4 9" xfId="4606" xr:uid="{00000000-0005-0000-0000-000040080000}"/>
    <cellStyle name="Comma 4 2 2 4 9 2" xfId="13932" xr:uid="{CBC24BEC-A378-4E12-B3D7-79844F8D2631}"/>
    <cellStyle name="Comma 4 2 2 5" xfId="135" xr:uid="{00000000-0005-0000-0000-000041080000}"/>
    <cellStyle name="Comma 4 2 2 5 10" xfId="9210" xr:uid="{C1F9418B-EF96-4063-883D-A983E131C6A4}"/>
    <cellStyle name="Comma 4 2 2 5 10 2" xfId="18526" xr:uid="{03AA2E13-826E-4351-9388-FFCE1039B8BC}"/>
    <cellStyle name="Comma 4 2 2 5 11" xfId="9716" xr:uid="{8E52EF4A-B6BF-4AD2-8742-A50854378B50}"/>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F302EC31-BD8E-4FA5-BB53-0397BC4F3319}"/>
    <cellStyle name="Comma 4 2 2 5 2 2 3" xfId="12275" xr:uid="{CDC5091B-0420-44CF-8EF7-4CAFD45F3DF0}"/>
    <cellStyle name="Comma 4 2 2 5 2 3" xfId="5021" xr:uid="{00000000-0005-0000-0000-000045080000}"/>
    <cellStyle name="Comma 4 2 2 5 2 3 2" xfId="14347" xr:uid="{E0D7FD1A-E9F9-443B-8027-55AE49EB3BA8}"/>
    <cellStyle name="Comma 4 2 2 5 2 4" xfId="9593" xr:uid="{3B41C66E-2108-4CBE-9776-211459781E55}"/>
    <cellStyle name="Comma 4 2 2 5 2 4 2" xfId="18897" xr:uid="{6868CB11-24D4-4285-8AB9-41C77BD449AB}"/>
    <cellStyle name="Comma 4 2 2 5 2 5" xfId="10130" xr:uid="{76DFEB63-3095-40F3-BC6B-221DBB5D48A7}"/>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2F27BAFC-E921-4D17-8B1F-D4D9707B366D}"/>
    <cellStyle name="Comma 4 2 2 5 3 2 3" xfId="12688" xr:uid="{891A75BA-8DD0-4B8A-B719-C47A42047D6C}"/>
    <cellStyle name="Comma 4 2 2 5 3 3" xfId="5434" xr:uid="{00000000-0005-0000-0000-000049080000}"/>
    <cellStyle name="Comma 4 2 2 5 3 3 2" xfId="14760" xr:uid="{1CDFB617-40CE-4F92-BF32-E25FABB4E659}"/>
    <cellStyle name="Comma 4 2 2 5 3 4" xfId="10543" xr:uid="{220AA85E-C192-4FFD-B038-D53F66E8C37A}"/>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988BB604-BFDC-4846-9771-3E86ACE43350}"/>
    <cellStyle name="Comma 4 2 2 5 4 2 3" xfId="13101" xr:uid="{91F15109-C0A4-4E5B-8FB8-0F6D313330E2}"/>
    <cellStyle name="Comma 4 2 2 5 4 3" xfId="5847" xr:uid="{00000000-0005-0000-0000-00004D080000}"/>
    <cellStyle name="Comma 4 2 2 5 4 3 2" xfId="15173" xr:uid="{E1EFD651-C28D-48CB-8F97-5D025B8021D7}"/>
    <cellStyle name="Comma 4 2 2 5 4 4" xfId="10956" xr:uid="{58B9BC8F-0948-4A45-B0AC-99131A686B58}"/>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B11E9D4E-EF9F-4B58-AFB3-FAAB78C2461E}"/>
    <cellStyle name="Comma 4 2 2 5 5 2 3" xfId="13514" xr:uid="{3C71CF4D-3886-44DF-AD8D-9D9E29022367}"/>
    <cellStyle name="Comma 4 2 2 5 5 3" xfId="6260" xr:uid="{00000000-0005-0000-0000-000051080000}"/>
    <cellStyle name="Comma 4 2 2 5 5 3 2" xfId="15586" xr:uid="{69C66838-0591-4EF7-98E7-9285389E891E}"/>
    <cellStyle name="Comma 4 2 2 5 5 4" xfId="11369" xr:uid="{6EDF0373-02CD-4955-BBD6-351C5BB6E508}"/>
    <cellStyle name="Comma 4 2 2 5 6" xfId="2389" xr:uid="{00000000-0005-0000-0000-000052080000}"/>
    <cellStyle name="Comma 4 2 2 5 6 2" xfId="6673" xr:uid="{00000000-0005-0000-0000-000053080000}"/>
    <cellStyle name="Comma 4 2 2 5 6 2 2" xfId="15999" xr:uid="{66B6C1F1-C216-4689-83E0-39219EC41F59}"/>
    <cellStyle name="Comma 4 2 2 5 6 3" xfId="11782" xr:uid="{56728AE2-4385-4CE7-9D2E-18466B42510E}"/>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61CA8894-7573-43CA-BAAC-E01E2B19C961}"/>
    <cellStyle name="Comma 4 2 2 5 8 3" xfId="12099" xr:uid="{D6554A2A-C4D3-49D0-8905-538B65FACF40}"/>
    <cellStyle name="Comma 4 2 2 5 9" xfId="4607" xr:uid="{00000000-0005-0000-0000-000057080000}"/>
    <cellStyle name="Comma 4 2 2 5 9 2" xfId="13933" xr:uid="{33B1F940-0F27-4B12-B104-ADC3C1289F0E}"/>
    <cellStyle name="Comma 4 2 2 6" xfId="9228" xr:uid="{49D8FCED-23A7-48B2-8D10-F90787B2F62D}"/>
    <cellStyle name="Comma 4 2 2 7" xfId="8786" xr:uid="{8FDBE9F4-5F27-4B1B-A262-D62BF874EF16}"/>
    <cellStyle name="Comma 4 2 2 7 2" xfId="18110" xr:uid="{EA9203AB-9CD0-4498-A994-677C8CE9159E}"/>
    <cellStyle name="Comma 4 2 3" xfId="136" xr:uid="{00000000-0005-0000-0000-000058080000}"/>
    <cellStyle name="Comma 4 2 3 10" xfId="2768" xr:uid="{00000000-0005-0000-0000-000059080000}"/>
    <cellStyle name="Comma 4 2 3 10 2" xfId="6991" xr:uid="{00000000-0005-0000-0000-00005A080000}"/>
    <cellStyle name="Comma 4 2 3 10 2 2" xfId="16317" xr:uid="{A386C254-8CF0-4702-BF72-8A26D9FE1B07}"/>
    <cellStyle name="Comma 4 2 3 10 3" xfId="12100" xr:uid="{E9AAD844-AB49-4415-AAC8-DA72FF5233E3}"/>
    <cellStyle name="Comma 4 2 3 11" xfId="4608" xr:uid="{00000000-0005-0000-0000-00005B080000}"/>
    <cellStyle name="Comma 4 2 3 11 2" xfId="13934" xr:uid="{08A9C66B-0BD9-448F-9669-D8F0FF137C0A}"/>
    <cellStyle name="Comma 4 2 3 12" xfId="8805" xr:uid="{C45527F6-07B7-4887-BAF3-A6424444BA3B}"/>
    <cellStyle name="Comma 4 2 3 12 2" xfId="18129" xr:uid="{69F89530-40B1-416F-A7D0-E69ECB5A8D38}"/>
    <cellStyle name="Comma 4 2 3 13" xfId="9717" xr:uid="{8EE5962F-7A3E-404B-82D6-7E222DA97115}"/>
    <cellStyle name="Comma 4 2 3 2" xfId="137" xr:uid="{00000000-0005-0000-0000-00005C080000}"/>
    <cellStyle name="Comma 4 2 3 2 10" xfId="4609" xr:uid="{00000000-0005-0000-0000-00005D080000}"/>
    <cellStyle name="Comma 4 2 3 2 10 2" xfId="13935" xr:uid="{DF58BDD1-91C5-41E6-8E6F-B8ADB029F97F}"/>
    <cellStyle name="Comma 4 2 3 2 11" xfId="8908" xr:uid="{E7021C11-E6EB-4392-A0AD-2A78F42B4BB7}"/>
    <cellStyle name="Comma 4 2 3 2 11 2" xfId="18232" xr:uid="{7AEF5437-38D3-4D7F-9415-73BBABA70307}"/>
    <cellStyle name="Comma 4 2 3 2 12" xfId="9718" xr:uid="{B5F3BCFA-4ADC-4B03-A943-9584887F3D0E}"/>
    <cellStyle name="Comma 4 2 3 2 2" xfId="138" xr:uid="{00000000-0005-0000-0000-00005E080000}"/>
    <cellStyle name="Comma 4 2 3 2 2 10" xfId="9115" xr:uid="{1A31CCC4-B2C0-4E0C-B714-855521500FE8}"/>
    <cellStyle name="Comma 4 2 3 2 2 10 2" xfId="18439" xr:uid="{54CF2DDB-68C9-47D2-AAF5-C194C0973AE7}"/>
    <cellStyle name="Comma 4 2 3 2 2 11" xfId="9719" xr:uid="{FC91DAAA-DDA2-447D-B80C-2EA4A3043F69}"/>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4292488E-116F-4CFB-86CA-51E2B1BF2168}"/>
    <cellStyle name="Comma 4 2 3 2 2 2 2 3" xfId="12278" xr:uid="{105DEFBE-F2B1-475C-A9FE-409B7F3963D5}"/>
    <cellStyle name="Comma 4 2 3 2 2 2 3" xfId="5024" xr:uid="{00000000-0005-0000-0000-000062080000}"/>
    <cellStyle name="Comma 4 2 3 2 2 2 3 2" xfId="14350" xr:uid="{270D2180-F819-4429-A223-DE23CE8BD47E}"/>
    <cellStyle name="Comma 4 2 3 2 2 2 4" xfId="9540" xr:uid="{F922DD27-FEAE-4DB6-894F-26CD58815668}"/>
    <cellStyle name="Comma 4 2 3 2 2 2 4 2" xfId="18855" xr:uid="{49B0F38E-60A3-426A-A7E4-EC939EB591FE}"/>
    <cellStyle name="Comma 4 2 3 2 2 2 5" xfId="10133" xr:uid="{8F874BCE-E2AB-466A-8F08-93B416FA26E4}"/>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695F29E1-1488-40B5-97E2-72382C627753}"/>
    <cellStyle name="Comma 4 2 3 2 2 3 2 3" xfId="12691" xr:uid="{5768209E-8C2C-4DF4-9644-3A66A8F98F2A}"/>
    <cellStyle name="Comma 4 2 3 2 2 3 3" xfId="5437" xr:uid="{00000000-0005-0000-0000-000066080000}"/>
    <cellStyle name="Comma 4 2 3 2 2 3 3 2" xfId="14763" xr:uid="{48AB7A1C-C8D9-47D2-8528-6702E26B99B3}"/>
    <cellStyle name="Comma 4 2 3 2 2 3 4" xfId="10546" xr:uid="{5C229ABB-FDF6-4993-97AB-0D0DD8CD6B5B}"/>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C09A8562-C29C-4C58-BCA5-FE8A392DE85E}"/>
    <cellStyle name="Comma 4 2 3 2 2 4 2 3" xfId="13104" xr:uid="{3DE9AF1F-3241-4ECC-8249-C139F4075156}"/>
    <cellStyle name="Comma 4 2 3 2 2 4 3" xfId="5850" xr:uid="{00000000-0005-0000-0000-00006A080000}"/>
    <cellStyle name="Comma 4 2 3 2 2 4 3 2" xfId="15176" xr:uid="{976F69C5-1DB4-4980-B313-E458ADF9F8C1}"/>
    <cellStyle name="Comma 4 2 3 2 2 4 4" xfId="10959" xr:uid="{3EE4E66B-DDE1-4209-8C30-5C2768854FEF}"/>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F5EFF08A-5A85-407F-AA84-028A48DCAE0A}"/>
    <cellStyle name="Comma 4 2 3 2 2 5 2 3" xfId="13517" xr:uid="{6412475F-139C-43EA-8B1B-803953B7D14E}"/>
    <cellStyle name="Comma 4 2 3 2 2 5 3" xfId="6263" xr:uid="{00000000-0005-0000-0000-00006E080000}"/>
    <cellStyle name="Comma 4 2 3 2 2 5 3 2" xfId="15589" xr:uid="{81C73564-8D1B-4D19-A8C0-B50A128E563C}"/>
    <cellStyle name="Comma 4 2 3 2 2 5 4" xfId="11372" xr:uid="{AB4D4166-8E85-48BC-86F2-296CDC9CA632}"/>
    <cellStyle name="Comma 4 2 3 2 2 6" xfId="2392" xr:uid="{00000000-0005-0000-0000-00006F080000}"/>
    <cellStyle name="Comma 4 2 3 2 2 6 2" xfId="6676" xr:uid="{00000000-0005-0000-0000-000070080000}"/>
    <cellStyle name="Comma 4 2 3 2 2 6 2 2" xfId="16002" xr:uid="{DB60AD56-A2B7-46F2-BF36-42A7E9F5324C}"/>
    <cellStyle name="Comma 4 2 3 2 2 6 3" xfId="11785" xr:uid="{CA5FE4F6-8780-4BBC-89D8-FE2DF561342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714C3F0C-79F0-44BB-8EC6-E4709AC8909A}"/>
    <cellStyle name="Comma 4 2 3 2 2 8 3" xfId="12102" xr:uid="{FCB85DF2-0BF0-4F67-909D-99470183D68D}"/>
    <cellStyle name="Comma 4 2 3 2 2 9" xfId="4610" xr:uid="{00000000-0005-0000-0000-000074080000}"/>
    <cellStyle name="Comma 4 2 3 2 2 9 2" xfId="13936" xr:uid="{DB6DD31F-A304-4277-BF6A-E79F6FC9C741}"/>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FBA5CB0F-D0B9-41AE-8DB5-2BEF78B565FE}"/>
    <cellStyle name="Comma 4 2 3 2 3 2 3" xfId="12277" xr:uid="{CA581B82-F59F-4D88-AD24-FD271773BE17}"/>
    <cellStyle name="Comma 4 2 3 2 3 3" xfId="5023" xr:uid="{00000000-0005-0000-0000-000078080000}"/>
    <cellStyle name="Comma 4 2 3 2 3 3 2" xfId="14349" xr:uid="{6E3F9556-C838-412A-8E3A-0FE25D637EDE}"/>
    <cellStyle name="Comma 4 2 3 2 3 4" xfId="9333" xr:uid="{5C974796-1B06-4FA8-AB2A-F6B34628ACD4}"/>
    <cellStyle name="Comma 4 2 3 2 3 4 2" xfId="18648" xr:uid="{C7D23C93-B8F1-4645-820D-3A81FD7623F4}"/>
    <cellStyle name="Comma 4 2 3 2 3 5" xfId="10132" xr:uid="{F572F368-BC6D-48F9-BC36-B1F2DC80AF3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33DF938A-7121-42A6-A5FF-7643BB3EBE97}"/>
    <cellStyle name="Comma 4 2 3 2 4 2 3" xfId="12690" xr:uid="{10AD112A-93E7-4113-9236-8FF369CCAE8D}"/>
    <cellStyle name="Comma 4 2 3 2 4 3" xfId="5436" xr:uid="{00000000-0005-0000-0000-00007C080000}"/>
    <cellStyle name="Comma 4 2 3 2 4 3 2" xfId="14762" xr:uid="{63B74695-A0F4-4106-BC72-652753138C22}"/>
    <cellStyle name="Comma 4 2 3 2 4 4" xfId="10545" xr:uid="{9E53A65D-1445-4457-8FDA-E6AEDDC58BFE}"/>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97DBDE22-5E9B-4E6B-B2F9-9574A2558134}"/>
    <cellStyle name="Comma 4 2 3 2 5 2 3" xfId="13103" xr:uid="{99B7B649-8C58-40B0-A376-12A155197C96}"/>
    <cellStyle name="Comma 4 2 3 2 5 3" xfId="5849" xr:uid="{00000000-0005-0000-0000-000080080000}"/>
    <cellStyle name="Comma 4 2 3 2 5 3 2" xfId="15175" xr:uid="{0F042A1A-C718-47A2-9413-EA0D44FE9BA2}"/>
    <cellStyle name="Comma 4 2 3 2 5 4" xfId="10958" xr:uid="{C6489315-3E13-422C-A910-28F0F1398420}"/>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F91B30F2-2BF2-4975-90E9-49E9233BEDCD}"/>
    <cellStyle name="Comma 4 2 3 2 6 2 3" xfId="13516" xr:uid="{E7D5B5E0-84C9-4E5F-A4D4-92BC610CD380}"/>
    <cellStyle name="Comma 4 2 3 2 6 3" xfId="6262" xr:uid="{00000000-0005-0000-0000-000084080000}"/>
    <cellStyle name="Comma 4 2 3 2 6 3 2" xfId="15588" xr:uid="{1C812F07-4743-4DA4-8183-C55D85C4F861}"/>
    <cellStyle name="Comma 4 2 3 2 6 4" xfId="11371" xr:uid="{023BC8FB-20BC-436B-8593-5B3202CC558D}"/>
    <cellStyle name="Comma 4 2 3 2 7" xfId="2391" xr:uid="{00000000-0005-0000-0000-000085080000}"/>
    <cellStyle name="Comma 4 2 3 2 7 2" xfId="6675" xr:uid="{00000000-0005-0000-0000-000086080000}"/>
    <cellStyle name="Comma 4 2 3 2 7 2 2" xfId="16001" xr:uid="{CC5633B0-082D-407A-9725-277B44AF228E}"/>
    <cellStyle name="Comma 4 2 3 2 7 3" xfId="11784" xr:uid="{F99A86A3-304D-4C6E-A087-84670E353F94}"/>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F01D6C5F-AA4A-4413-BFBF-97219FF24800}"/>
    <cellStyle name="Comma 4 2 3 2 9 3" xfId="12101" xr:uid="{6EF39477-7B47-4E64-B9DD-099D61268858}"/>
    <cellStyle name="Comma 4 2 3 3" xfId="139" xr:uid="{00000000-0005-0000-0000-00008A080000}"/>
    <cellStyle name="Comma 4 2 3 3 10" xfId="9012" xr:uid="{61C0F117-76A9-43CA-B381-88B2CFF6294C}"/>
    <cellStyle name="Comma 4 2 3 3 10 2" xfId="18336" xr:uid="{262C24EE-720D-415F-A4B0-28909D72B522}"/>
    <cellStyle name="Comma 4 2 3 3 11" xfId="9720" xr:uid="{EB1D9C33-7523-4814-8C4A-FC1E363CB84E}"/>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84DF152A-CE58-466F-A7B5-0A8155DD9EE0}"/>
    <cellStyle name="Comma 4 2 3 3 2 2 3" xfId="12279" xr:uid="{BB0934F3-3D02-4E6E-BEF2-F248F00C76BA}"/>
    <cellStyle name="Comma 4 2 3 3 2 3" xfId="5025" xr:uid="{00000000-0005-0000-0000-00008E080000}"/>
    <cellStyle name="Comma 4 2 3 3 2 3 2" xfId="14351" xr:uid="{8141816F-0CB2-4FCC-AA06-6EF2E26C1136}"/>
    <cellStyle name="Comma 4 2 3 3 2 4" xfId="9437" xr:uid="{35C6809B-E49F-4A7F-8CB1-650474E72B0A}"/>
    <cellStyle name="Comma 4 2 3 3 2 4 2" xfId="18752" xr:uid="{1FB2A9CE-4DB2-4920-A861-37D2ABC6C793}"/>
    <cellStyle name="Comma 4 2 3 3 2 5" xfId="10134" xr:uid="{A9CBD182-9AED-4742-B3D6-34793A3B8BF2}"/>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9C617695-18B0-419F-B88B-F91DC1C5C007}"/>
    <cellStyle name="Comma 4 2 3 3 3 2 3" xfId="12692" xr:uid="{60F4D6CA-D5E5-4125-996A-395F531C31EC}"/>
    <cellStyle name="Comma 4 2 3 3 3 3" xfId="5438" xr:uid="{00000000-0005-0000-0000-000092080000}"/>
    <cellStyle name="Comma 4 2 3 3 3 3 2" xfId="14764" xr:uid="{9E193802-ECDF-43C4-BCE8-61C8D11165EB}"/>
    <cellStyle name="Comma 4 2 3 3 3 4" xfId="10547" xr:uid="{11FAC509-A28E-4845-9079-ED7FFDF3CCB2}"/>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594326DF-AA9D-43F6-88D8-E7B7373A47EF}"/>
    <cellStyle name="Comma 4 2 3 3 4 2 3" xfId="13105" xr:uid="{D96CDFB7-FEE7-41AF-8ECF-CD8FAA943942}"/>
    <cellStyle name="Comma 4 2 3 3 4 3" xfId="5851" xr:uid="{00000000-0005-0000-0000-000096080000}"/>
    <cellStyle name="Comma 4 2 3 3 4 3 2" xfId="15177" xr:uid="{3F9565BA-564E-4E21-89A0-9391247503B7}"/>
    <cellStyle name="Comma 4 2 3 3 4 4" xfId="10960" xr:uid="{8D737DFD-BFB1-480E-9ABB-FB9D6B1B96B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CE322E2E-8C7B-455B-82EF-4E96FE2C31F7}"/>
    <cellStyle name="Comma 4 2 3 3 5 2 3" xfId="13518" xr:uid="{AF3D37FB-61D2-42E7-B163-5CFAB831AB9B}"/>
    <cellStyle name="Comma 4 2 3 3 5 3" xfId="6264" xr:uid="{00000000-0005-0000-0000-00009A080000}"/>
    <cellStyle name="Comma 4 2 3 3 5 3 2" xfId="15590" xr:uid="{76A518BC-A333-4996-8AE5-C6A7F1C43556}"/>
    <cellStyle name="Comma 4 2 3 3 5 4" xfId="11373" xr:uid="{B78AE456-602D-4D45-93D1-AB27EBF352CC}"/>
    <cellStyle name="Comma 4 2 3 3 6" xfId="2393" xr:uid="{00000000-0005-0000-0000-00009B080000}"/>
    <cellStyle name="Comma 4 2 3 3 6 2" xfId="6677" xr:uid="{00000000-0005-0000-0000-00009C080000}"/>
    <cellStyle name="Comma 4 2 3 3 6 2 2" xfId="16003" xr:uid="{92CE8A65-5BC5-423D-9FDC-58FFE62BF1BB}"/>
    <cellStyle name="Comma 4 2 3 3 6 3" xfId="11786" xr:uid="{99695631-3B02-4D71-8742-DC17E597A1A3}"/>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BB3067A3-4A54-405E-88B9-FCFCA545F513}"/>
    <cellStyle name="Comma 4 2 3 3 8 3" xfId="12103" xr:uid="{319531CF-072E-4644-BA7E-74C8E762C1F1}"/>
    <cellStyle name="Comma 4 2 3 3 9" xfId="4611" xr:uid="{00000000-0005-0000-0000-0000A0080000}"/>
    <cellStyle name="Comma 4 2 3 3 9 2" xfId="13937" xr:uid="{B3EB258D-6E36-4E26-B1F1-D851B533DB58}"/>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C3B32856-64A8-4BFF-9CFB-420EEB6B53D7}"/>
    <cellStyle name="Comma 4 2 3 4 2 3" xfId="12276" xr:uid="{6BD23E60-BE22-4482-8904-5AD82CC96C2F}"/>
    <cellStyle name="Comma 4 2 3 4 3" xfId="5022" xr:uid="{00000000-0005-0000-0000-0000A4080000}"/>
    <cellStyle name="Comma 4 2 3 4 3 2" xfId="14348" xr:uid="{45DBC6F7-2B40-491E-9865-2BC0C558EBDC}"/>
    <cellStyle name="Comma 4 2 3 4 4" xfId="9230" xr:uid="{24B6B749-023F-4009-8785-C6CFE1098E24}"/>
    <cellStyle name="Comma 4 2 3 4 4 2" xfId="18545" xr:uid="{55A874B6-5A00-49D7-B087-C160253D452D}"/>
    <cellStyle name="Comma 4 2 3 4 5" xfId="10131" xr:uid="{60AFA4CC-0B10-4AB7-AAC5-6AC27EB7054D}"/>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1070D5EE-28F2-4860-A2FD-DC7BE4B835AB}"/>
    <cellStyle name="Comma 4 2 3 5 2 3" xfId="12689" xr:uid="{F141BDDE-E9FB-4441-BEC8-7ADC24399544}"/>
    <cellStyle name="Comma 4 2 3 5 3" xfId="5435" xr:uid="{00000000-0005-0000-0000-0000A8080000}"/>
    <cellStyle name="Comma 4 2 3 5 3 2" xfId="14761" xr:uid="{CCC84DAB-3F71-4B86-93FC-BD2952B87C32}"/>
    <cellStyle name="Comma 4 2 3 5 4" xfId="10544" xr:uid="{287C41F7-9179-48AD-8192-7E64EA028FAE}"/>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2486CD86-1399-4A6E-B2CF-C51F0A73E69B}"/>
    <cellStyle name="Comma 4 2 3 6 2 3" xfId="13102" xr:uid="{53085303-F698-4C4E-9578-4D8EE6B3F807}"/>
    <cellStyle name="Comma 4 2 3 6 3" xfId="5848" xr:uid="{00000000-0005-0000-0000-0000AC080000}"/>
    <cellStyle name="Comma 4 2 3 6 3 2" xfId="15174" xr:uid="{1408EB21-D150-454D-8F2D-CC05D0FA12D9}"/>
    <cellStyle name="Comma 4 2 3 6 4" xfId="10957" xr:uid="{ED2F51FD-9F3F-403D-918A-EE6C3B4BB01F}"/>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BDE100EB-B057-4F8A-93A3-295228E387F4}"/>
    <cellStyle name="Comma 4 2 3 7 2 3" xfId="13515" xr:uid="{5696DDF3-1DC5-42F7-B686-D7791C2F1A14}"/>
    <cellStyle name="Comma 4 2 3 7 3" xfId="6261" xr:uid="{00000000-0005-0000-0000-0000B0080000}"/>
    <cellStyle name="Comma 4 2 3 7 3 2" xfId="15587" xr:uid="{3F602E09-378F-4149-9FB5-84BFDD8ADA8B}"/>
    <cellStyle name="Comma 4 2 3 7 4" xfId="11370" xr:uid="{DC5BB1F9-5F71-4F57-BA33-F85CDC96B887}"/>
    <cellStyle name="Comma 4 2 3 8" xfId="2390" xr:uid="{00000000-0005-0000-0000-0000B1080000}"/>
    <cellStyle name="Comma 4 2 3 8 2" xfId="6674" xr:uid="{00000000-0005-0000-0000-0000B2080000}"/>
    <cellStyle name="Comma 4 2 3 8 2 2" xfId="16000" xr:uid="{8F8EFEB2-DE86-4416-9DCB-2CA5D6CB795C}"/>
    <cellStyle name="Comma 4 2 3 8 3" xfId="11783" xr:uid="{47414ABA-5216-4114-A0E0-043621C830E8}"/>
    <cellStyle name="Comma 4 2 3 9" xfId="2373" xr:uid="{00000000-0005-0000-0000-0000B3080000}"/>
    <cellStyle name="Comma 4 2 4" xfId="140" xr:uid="{00000000-0005-0000-0000-0000B4080000}"/>
    <cellStyle name="Comma 4 2 4 10" xfId="4612" xr:uid="{00000000-0005-0000-0000-0000B5080000}"/>
    <cellStyle name="Comma 4 2 4 10 2" xfId="13938" xr:uid="{A4BDB21E-042C-46E7-8254-7D8A362D96A0}"/>
    <cellStyle name="Comma 4 2 4 11" xfId="8858" xr:uid="{B6A00C95-D04C-44B2-B8AF-67540882256C}"/>
    <cellStyle name="Comma 4 2 4 11 2" xfId="18182" xr:uid="{35B84641-8EF0-4856-8AB3-886449CBC4D2}"/>
    <cellStyle name="Comma 4 2 4 12" xfId="9721" xr:uid="{EC21738A-A822-4F95-BAC2-FC099B4FCECE}"/>
    <cellStyle name="Comma 4 2 4 2" xfId="141" xr:uid="{00000000-0005-0000-0000-0000B6080000}"/>
    <cellStyle name="Comma 4 2 4 2 10" xfId="9065" xr:uid="{961AA06A-D943-447E-AADB-49B440E7E7CE}"/>
    <cellStyle name="Comma 4 2 4 2 10 2" xfId="18389" xr:uid="{44929736-7D5E-4BAF-9515-3739846A3AB1}"/>
    <cellStyle name="Comma 4 2 4 2 11" xfId="9722" xr:uid="{47D81B1B-4C2E-4C59-9834-73F0874A80C7}"/>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80CA54B8-4785-4791-815A-C0198D0B1500}"/>
    <cellStyle name="Comma 4 2 4 2 2 2 3" xfId="12281" xr:uid="{D2C76642-9AB9-469B-949C-9012A8650DAB}"/>
    <cellStyle name="Comma 4 2 4 2 2 3" xfId="5027" xr:uid="{00000000-0005-0000-0000-0000BA080000}"/>
    <cellStyle name="Comma 4 2 4 2 2 3 2" xfId="14353" xr:uid="{312D4394-43C2-49A2-887E-854AA3B691CC}"/>
    <cellStyle name="Comma 4 2 4 2 2 4" xfId="9490" xr:uid="{2FAEB1E6-7B41-437B-B2A9-4352AB4F4B98}"/>
    <cellStyle name="Comma 4 2 4 2 2 4 2" xfId="18805" xr:uid="{3CFF17F9-78EB-4E1C-B4F2-F57C74DBEE8F}"/>
    <cellStyle name="Comma 4 2 4 2 2 5" xfId="10136" xr:uid="{5A099AB2-3AC7-45C0-A078-CE3DA84EB582}"/>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6097E9E7-F9F3-48AC-A737-70CE643F2DBD}"/>
    <cellStyle name="Comma 4 2 4 2 3 2 3" xfId="12694" xr:uid="{FD2256F0-7B7F-4610-AFD7-3A449F4EA336}"/>
    <cellStyle name="Comma 4 2 4 2 3 3" xfId="5440" xr:uid="{00000000-0005-0000-0000-0000BE080000}"/>
    <cellStyle name="Comma 4 2 4 2 3 3 2" xfId="14766" xr:uid="{C5F18B80-D11B-4D99-98C3-84A083796331}"/>
    <cellStyle name="Comma 4 2 4 2 3 4" xfId="10549" xr:uid="{D1ACC713-F286-4669-A775-E536EB72D804}"/>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A60181CE-48A7-4699-B085-C841C8145221}"/>
    <cellStyle name="Comma 4 2 4 2 4 2 3" xfId="13107" xr:uid="{395C713E-F725-421C-90F3-3FB0B17E7D6C}"/>
    <cellStyle name="Comma 4 2 4 2 4 3" xfId="5853" xr:uid="{00000000-0005-0000-0000-0000C2080000}"/>
    <cellStyle name="Comma 4 2 4 2 4 3 2" xfId="15179" xr:uid="{0A1B0C58-2186-4863-BF47-90927AC78A7A}"/>
    <cellStyle name="Comma 4 2 4 2 4 4" xfId="10962" xr:uid="{2D42D65C-6861-4499-B2A0-1C43949872D4}"/>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45B1C3E0-DF94-430E-93C6-3E34ADC87952}"/>
    <cellStyle name="Comma 4 2 4 2 5 2 3" xfId="13520" xr:uid="{1E0E15F6-8BD5-4018-A8F6-00FC009F8B33}"/>
    <cellStyle name="Comma 4 2 4 2 5 3" xfId="6266" xr:uid="{00000000-0005-0000-0000-0000C6080000}"/>
    <cellStyle name="Comma 4 2 4 2 5 3 2" xfId="15592" xr:uid="{A0311E46-DF10-4E22-B66F-43663FC0BC97}"/>
    <cellStyle name="Comma 4 2 4 2 5 4" xfId="11375" xr:uid="{538B42DC-BF12-4EAB-85C5-A046965C7D5F}"/>
    <cellStyle name="Comma 4 2 4 2 6" xfId="2395" xr:uid="{00000000-0005-0000-0000-0000C7080000}"/>
    <cellStyle name="Comma 4 2 4 2 6 2" xfId="6679" xr:uid="{00000000-0005-0000-0000-0000C8080000}"/>
    <cellStyle name="Comma 4 2 4 2 6 2 2" xfId="16005" xr:uid="{4D71053C-33CD-41E6-A341-814BDD70F504}"/>
    <cellStyle name="Comma 4 2 4 2 6 3" xfId="11788" xr:uid="{F2996CE2-ED65-472C-A79A-067C88DB3C91}"/>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39AF5297-6483-4F99-AD5B-E077A42D647F}"/>
    <cellStyle name="Comma 4 2 4 2 8 3" xfId="12105" xr:uid="{0D29BA48-F463-49BF-B86B-B382FB05F76F}"/>
    <cellStyle name="Comma 4 2 4 2 9" xfId="4613" xr:uid="{00000000-0005-0000-0000-0000CC080000}"/>
    <cellStyle name="Comma 4 2 4 2 9 2" xfId="13939" xr:uid="{EA319087-8CDD-4D10-8379-AF0371D4DF74}"/>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B07517C5-749E-4432-96B9-DC31FDC457D7}"/>
    <cellStyle name="Comma 4 2 4 3 2 3" xfId="12280" xr:uid="{693BE4CF-5DD9-4989-8E33-8CB3206C6FAB}"/>
    <cellStyle name="Comma 4 2 4 3 3" xfId="5026" xr:uid="{00000000-0005-0000-0000-0000D0080000}"/>
    <cellStyle name="Comma 4 2 4 3 3 2" xfId="14352" xr:uid="{9EFC76E2-2544-4A61-B742-B6842423ECA6}"/>
    <cellStyle name="Comma 4 2 4 3 4" xfId="9283" xr:uid="{7E46ED3C-A8F4-4512-93D9-5F41F1AC397C}"/>
    <cellStyle name="Comma 4 2 4 3 4 2" xfId="18598" xr:uid="{1A19EAD2-B61D-44D1-AB66-A4FE254B0736}"/>
    <cellStyle name="Comma 4 2 4 3 5" xfId="10135" xr:uid="{75D03CA7-8E7E-4940-9AC7-0FB7CCAABDAD}"/>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6BBAEBD1-603F-470B-AA47-4C2F9CEA6BD1}"/>
    <cellStyle name="Comma 4 2 4 4 2 3" xfId="12693" xr:uid="{A2B6B86C-5E87-48D5-8000-C062FED1B314}"/>
    <cellStyle name="Comma 4 2 4 4 3" xfId="5439" xr:uid="{00000000-0005-0000-0000-0000D4080000}"/>
    <cellStyle name="Comma 4 2 4 4 3 2" xfId="14765" xr:uid="{FE90B546-9EB7-4B1B-9956-180CDAE11914}"/>
    <cellStyle name="Comma 4 2 4 4 4" xfId="10548" xr:uid="{4274C738-540D-470F-91E7-3F5253D0C0D4}"/>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D994AF3F-204E-40FB-9C0C-1591FCBB8AB8}"/>
    <cellStyle name="Comma 4 2 4 5 2 3" xfId="13106" xr:uid="{25B0B553-6847-44DC-B009-9A387DB91387}"/>
    <cellStyle name="Comma 4 2 4 5 3" xfId="5852" xr:uid="{00000000-0005-0000-0000-0000D8080000}"/>
    <cellStyle name="Comma 4 2 4 5 3 2" xfId="15178" xr:uid="{CF643401-1EB8-4E5F-9DFB-C9CE610560E1}"/>
    <cellStyle name="Comma 4 2 4 5 4" xfId="10961" xr:uid="{FE43A4E7-7E61-4A37-914A-83E3C8054D6E}"/>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419A049F-5F47-43FA-A255-052923942B23}"/>
    <cellStyle name="Comma 4 2 4 6 2 3" xfId="13519" xr:uid="{8BE774CC-1A3E-4638-B85D-1471A73B156A}"/>
    <cellStyle name="Comma 4 2 4 6 3" xfId="6265" xr:uid="{00000000-0005-0000-0000-0000DC080000}"/>
    <cellStyle name="Comma 4 2 4 6 3 2" xfId="15591" xr:uid="{D4F04CD6-8881-466A-9CC9-0105DC7FC786}"/>
    <cellStyle name="Comma 4 2 4 6 4" xfId="11374" xr:uid="{ECE223F3-2937-4335-96C2-8E85B226174C}"/>
    <cellStyle name="Comma 4 2 4 7" xfId="2394" xr:uid="{00000000-0005-0000-0000-0000DD080000}"/>
    <cellStyle name="Comma 4 2 4 7 2" xfId="6678" xr:uid="{00000000-0005-0000-0000-0000DE080000}"/>
    <cellStyle name="Comma 4 2 4 7 2 2" xfId="16004" xr:uid="{17E7EDA2-21F7-4BE1-BE65-D0543C3BADC4}"/>
    <cellStyle name="Comma 4 2 4 7 3" xfId="11787" xr:uid="{904F86D3-1FA0-465C-A11B-47A5DC9C38EF}"/>
    <cellStyle name="Comma 4 2 4 8" xfId="2369" xr:uid="{00000000-0005-0000-0000-0000DF080000}"/>
    <cellStyle name="Comma 4 2 4 9" xfId="2772" xr:uid="{00000000-0005-0000-0000-0000E0080000}"/>
    <cellStyle name="Comma 4 2 4 9 2" xfId="6995" xr:uid="{00000000-0005-0000-0000-0000E1080000}"/>
    <cellStyle name="Comma 4 2 4 9 2 2" xfId="16321" xr:uid="{BE4CE01D-3CA7-438D-8528-7E79983C7AF9}"/>
    <cellStyle name="Comma 4 2 4 9 3" xfId="12104" xr:uid="{7389DA0B-F331-4B9F-A675-521E28CB448F}"/>
    <cellStyle name="Comma 4 2 5" xfId="142" xr:uid="{00000000-0005-0000-0000-0000E2080000}"/>
    <cellStyle name="Comma 4 2 5 10" xfId="8974" xr:uid="{86B0C89A-8A2D-4755-B15D-84E412E1D380}"/>
    <cellStyle name="Comma 4 2 5 10 2" xfId="18298" xr:uid="{4C86AA2A-2D87-41EC-B1AF-4D936BDE523E}"/>
    <cellStyle name="Comma 4 2 5 11" xfId="9723" xr:uid="{3FC60CFC-DFCA-4545-8079-A5FB7960696F}"/>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6450EB3A-DC2A-4C9C-B236-2ED3994C7CB6}"/>
    <cellStyle name="Comma 4 2 5 2 2 3" xfId="12282" xr:uid="{649C0D7F-48C2-47A7-A47D-AEE233F6FDC0}"/>
    <cellStyle name="Comma 4 2 5 2 3" xfId="5028" xr:uid="{00000000-0005-0000-0000-0000E6080000}"/>
    <cellStyle name="Comma 4 2 5 2 3 2" xfId="14354" xr:uid="{A3AB41D9-A15B-4F40-B3E7-75F6C13635B4}"/>
    <cellStyle name="Comma 4 2 5 2 4" xfId="9399" xr:uid="{1B388BC7-1FC6-4DC3-B345-755F61B57864}"/>
    <cellStyle name="Comma 4 2 5 2 4 2" xfId="18714" xr:uid="{A0262F79-7DA7-4AE9-B96F-30EF28E6D373}"/>
    <cellStyle name="Comma 4 2 5 2 5" xfId="10137" xr:uid="{AF8E2517-B741-41FC-B9F7-18F13020CAE7}"/>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5DC8E72D-2F77-4570-90B4-563116C42B38}"/>
    <cellStyle name="Comma 4 2 5 3 2 3" xfId="12695" xr:uid="{FE35BF4E-86DA-4E8F-849B-254002E20973}"/>
    <cellStyle name="Comma 4 2 5 3 3" xfId="5441" xr:uid="{00000000-0005-0000-0000-0000EA080000}"/>
    <cellStyle name="Comma 4 2 5 3 3 2" xfId="14767" xr:uid="{DA53884D-6E37-4F32-BF57-6448D4ABE74B}"/>
    <cellStyle name="Comma 4 2 5 3 4" xfId="10550" xr:uid="{FCB72BB2-7B27-433E-AC79-EC463C8DFD48}"/>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DA7F81B9-B43B-451D-B71D-D6A5AE561198}"/>
    <cellStyle name="Comma 4 2 5 4 2 3" xfId="13108" xr:uid="{F043EFEB-CDCC-47D9-8F92-4244181E6465}"/>
    <cellStyle name="Comma 4 2 5 4 3" xfId="5854" xr:uid="{00000000-0005-0000-0000-0000EE080000}"/>
    <cellStyle name="Comma 4 2 5 4 3 2" xfId="15180" xr:uid="{A909FFDF-50AB-4669-AC1E-E0EB69285FF7}"/>
    <cellStyle name="Comma 4 2 5 4 4" xfId="10963" xr:uid="{DC16A741-B113-403F-BE46-DA4BAB84178C}"/>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9A100D0A-056D-491B-BDB9-783E16E4874D}"/>
    <cellStyle name="Comma 4 2 5 5 2 3" xfId="13521" xr:uid="{42D22D9A-4334-4350-B163-F011D27A19A8}"/>
    <cellStyle name="Comma 4 2 5 5 3" xfId="6267" xr:uid="{00000000-0005-0000-0000-0000F2080000}"/>
    <cellStyle name="Comma 4 2 5 5 3 2" xfId="15593" xr:uid="{C289661A-ED9F-47A3-9D57-D9B3EE455196}"/>
    <cellStyle name="Comma 4 2 5 5 4" xfId="11376" xr:uid="{7741D5F9-411A-4801-88C1-7B4A51FDDAD8}"/>
    <cellStyle name="Comma 4 2 5 6" xfId="2396" xr:uid="{00000000-0005-0000-0000-0000F3080000}"/>
    <cellStyle name="Comma 4 2 5 6 2" xfId="6680" xr:uid="{00000000-0005-0000-0000-0000F4080000}"/>
    <cellStyle name="Comma 4 2 5 6 2 2" xfId="16006" xr:uid="{B63B6D31-B125-438D-AFEE-677DDE247377}"/>
    <cellStyle name="Comma 4 2 5 6 3" xfId="11789" xr:uid="{F0BDF5AF-1040-4C06-9AAB-9C2F5C41F801}"/>
    <cellStyle name="Comma 4 2 5 7" xfId="2367" xr:uid="{00000000-0005-0000-0000-0000F5080000}"/>
    <cellStyle name="Comma 4 2 5 8" xfId="2774" xr:uid="{00000000-0005-0000-0000-0000F6080000}"/>
    <cellStyle name="Comma 4 2 5 8 2" xfId="6997" xr:uid="{00000000-0005-0000-0000-0000F7080000}"/>
    <cellStyle name="Comma 4 2 5 8 2 2" xfId="16323" xr:uid="{C914D16C-2BB2-45FC-949F-AFE44C1271E5}"/>
    <cellStyle name="Comma 4 2 5 8 3" xfId="12106" xr:uid="{5822CF02-C95A-4C9F-90E8-A315A9680E66}"/>
    <cellStyle name="Comma 4 2 5 9" xfId="4614" xr:uid="{00000000-0005-0000-0000-0000F8080000}"/>
    <cellStyle name="Comma 4 2 5 9 2" xfId="13940" xr:uid="{716C70A2-B166-4A8C-9882-669C894494F0}"/>
    <cellStyle name="Comma 4 2 6" xfId="143" xr:uid="{00000000-0005-0000-0000-0000F9080000}"/>
    <cellStyle name="Comma 4 2 6 10" xfId="9177" xr:uid="{A20A3B72-7630-464F-8E57-DA2B9D6E44FB}"/>
    <cellStyle name="Comma 4 2 6 10 2" xfId="18495" xr:uid="{20E4C125-90E2-4A90-AFC4-E2214D5DA31D}"/>
    <cellStyle name="Comma 4 2 6 11" xfId="9724" xr:uid="{016848C1-4D15-4635-B7B8-4AA82783697D}"/>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0FABD7F5-4D1A-4AB5-B201-110E386D3BD2}"/>
    <cellStyle name="Comma 4 2 6 2 2 3" xfId="12283" xr:uid="{3871F4A9-1E3E-4229-89E8-2EB4A8D04A5C}"/>
    <cellStyle name="Comma 4 2 6 2 3" xfId="5029" xr:uid="{00000000-0005-0000-0000-0000FD080000}"/>
    <cellStyle name="Comma 4 2 6 2 3 2" xfId="14355" xr:uid="{B0AF3352-DF55-4C0C-A097-A775997D7244}"/>
    <cellStyle name="Comma 4 2 6 2 4" xfId="9594" xr:uid="{CCB8D3FE-19FC-4F7F-9966-44FD23A1A32A}"/>
    <cellStyle name="Comma 4 2 6 2 4 2" xfId="18898" xr:uid="{485FF529-6194-474F-BCF4-219ADDA81700}"/>
    <cellStyle name="Comma 4 2 6 2 5" xfId="10138" xr:uid="{667D98CD-8B09-4859-8926-0D881673B55F}"/>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BD507EB7-BE96-439C-93A8-F227C24D1179}"/>
    <cellStyle name="Comma 4 2 6 3 2 3" xfId="12696" xr:uid="{1806ABC9-637B-4AF2-A315-3587169D4B85}"/>
    <cellStyle name="Comma 4 2 6 3 3" xfId="5442" xr:uid="{00000000-0005-0000-0000-000001090000}"/>
    <cellStyle name="Comma 4 2 6 3 3 2" xfId="14768" xr:uid="{27072FF6-8CDB-4CD9-8CB2-BC1FC26D044E}"/>
    <cellStyle name="Comma 4 2 6 3 4" xfId="10551" xr:uid="{DEDFDADB-8573-41E1-87AB-939F200C2B26}"/>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99E5C960-C15F-4554-88A8-051781D8C739}"/>
    <cellStyle name="Comma 4 2 6 4 2 3" xfId="13109" xr:uid="{A49A8141-9F15-4166-B4CF-46A80B91D71C}"/>
    <cellStyle name="Comma 4 2 6 4 3" xfId="5855" xr:uid="{00000000-0005-0000-0000-000005090000}"/>
    <cellStyle name="Comma 4 2 6 4 3 2" xfId="15181" xr:uid="{9F637163-AECE-47D7-8F69-83474EE985DA}"/>
    <cellStyle name="Comma 4 2 6 4 4" xfId="10964" xr:uid="{160DA14A-7840-40F5-8079-CB3159315007}"/>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E64D8728-F1C7-4CD4-AD3C-D22B061D8473}"/>
    <cellStyle name="Comma 4 2 6 5 2 3" xfId="13522" xr:uid="{52AB84B0-C210-4C98-AA1A-E228FF798128}"/>
    <cellStyle name="Comma 4 2 6 5 3" xfId="6268" xr:uid="{00000000-0005-0000-0000-000009090000}"/>
    <cellStyle name="Comma 4 2 6 5 3 2" xfId="15594" xr:uid="{6DDC8A90-00F8-4B4C-B6BB-7DD49A4FF5EE}"/>
    <cellStyle name="Comma 4 2 6 5 4" xfId="11377" xr:uid="{3D9A6AFF-1D08-439A-8E2D-F9FB8915E4F0}"/>
    <cellStyle name="Comma 4 2 6 6" xfId="2397" xr:uid="{00000000-0005-0000-0000-00000A090000}"/>
    <cellStyle name="Comma 4 2 6 6 2" xfId="6681" xr:uid="{00000000-0005-0000-0000-00000B090000}"/>
    <cellStyle name="Comma 4 2 6 6 2 2" xfId="16007" xr:uid="{9DC04C92-64DB-48CE-8019-996090A1EEB4}"/>
    <cellStyle name="Comma 4 2 6 6 3" xfId="11790" xr:uid="{8410D044-65B7-482B-B3D2-1664B3F398BA}"/>
    <cellStyle name="Comma 4 2 6 7" xfId="2366" xr:uid="{00000000-0005-0000-0000-00000C090000}"/>
    <cellStyle name="Comma 4 2 6 8" xfId="2775" xr:uid="{00000000-0005-0000-0000-00000D090000}"/>
    <cellStyle name="Comma 4 2 6 8 2" xfId="6998" xr:uid="{00000000-0005-0000-0000-00000E090000}"/>
    <cellStyle name="Comma 4 2 6 8 2 2" xfId="16324" xr:uid="{79A6D1FE-8612-4008-9D11-C1E76633D659}"/>
    <cellStyle name="Comma 4 2 6 8 3" xfId="12107" xr:uid="{B1874C2A-CC2C-4F67-900A-AC7EDBE111D1}"/>
    <cellStyle name="Comma 4 2 6 9" xfId="4615" xr:uid="{00000000-0005-0000-0000-00000F090000}"/>
    <cellStyle name="Comma 4 2 6 9 2" xfId="13941" xr:uid="{BDEB6201-B426-4371-B7E7-D938141D51AB}"/>
    <cellStyle name="Comma 4 2 7" xfId="9190" xr:uid="{C8B7F6BD-E2DD-41C7-A6AF-A5C7B900A7ED}"/>
    <cellStyle name="Comma 4 2 8" xfId="8755" xr:uid="{40286204-C766-4116-8542-387551AD6364}"/>
    <cellStyle name="Comma 4 2 8 2" xfId="18079" xr:uid="{92D6A727-C8AC-47AD-A1D3-D8C0A025271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FBC196A1-16BC-4B83-A32A-DD9F6C1F5718}"/>
    <cellStyle name="Comma 4 3 2 10 3" xfId="12108" xr:uid="{E8DD8E21-9D3B-49FD-B536-B940888FC2A3}"/>
    <cellStyle name="Comma 4 3 2 11" xfId="4616" xr:uid="{00000000-0005-0000-0000-000014090000}"/>
    <cellStyle name="Comma 4 3 2 11 2" xfId="13942" xr:uid="{5EF27501-D3A5-4C2B-9F10-65711B8CD25B}"/>
    <cellStyle name="Comma 4 3 2 12" xfId="8807" xr:uid="{5C5EF314-D0DB-425B-AE7D-D52FEEE90EC1}"/>
    <cellStyle name="Comma 4 3 2 12 2" xfId="18131" xr:uid="{C1A692B1-8896-4CB2-8CB4-365B12398C79}"/>
    <cellStyle name="Comma 4 3 2 13" xfId="9725" xr:uid="{BC781ABB-4065-4248-AFB5-8D0FBB20D8AE}"/>
    <cellStyle name="Comma 4 3 2 2" xfId="146" xr:uid="{00000000-0005-0000-0000-000015090000}"/>
    <cellStyle name="Comma 4 3 2 2 10" xfId="4617" xr:uid="{00000000-0005-0000-0000-000016090000}"/>
    <cellStyle name="Comma 4 3 2 2 10 2" xfId="13943" xr:uid="{52702B90-88BB-46D9-876C-00EC4823FABC}"/>
    <cellStyle name="Comma 4 3 2 2 11" xfId="8910" xr:uid="{15019DD0-71A0-438D-B796-68DE42B22692}"/>
    <cellStyle name="Comma 4 3 2 2 11 2" xfId="18234" xr:uid="{9676B0B7-A933-4AE8-843C-D600B73B0132}"/>
    <cellStyle name="Comma 4 3 2 2 12" xfId="9726" xr:uid="{22BE4678-049C-49E8-AB48-7A7571478608}"/>
    <cellStyle name="Comma 4 3 2 2 2" xfId="147" xr:uid="{00000000-0005-0000-0000-000017090000}"/>
    <cellStyle name="Comma 4 3 2 2 2 10" xfId="9117" xr:uid="{1409F531-DBF2-41E0-9C74-F9317358BA15}"/>
    <cellStyle name="Comma 4 3 2 2 2 10 2" xfId="18441" xr:uid="{8CA425CB-C609-4CAD-BF71-C93C2D8CE113}"/>
    <cellStyle name="Comma 4 3 2 2 2 11" xfId="9727" xr:uid="{C8F91CD7-B792-4988-A0A5-AFFA9F95BBB1}"/>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01C8EB15-D484-474C-ACD6-2E02C9864D3A}"/>
    <cellStyle name="Comma 4 3 2 2 2 2 2 3" xfId="12286" xr:uid="{A2232DF8-334E-42DA-BF1C-7E83A7F172CD}"/>
    <cellStyle name="Comma 4 3 2 2 2 2 3" xfId="5032" xr:uid="{00000000-0005-0000-0000-00001B090000}"/>
    <cellStyle name="Comma 4 3 2 2 2 2 3 2" xfId="14358" xr:uid="{5436138A-7A6F-47BB-8C41-D8A9C496A9D7}"/>
    <cellStyle name="Comma 4 3 2 2 2 2 4" xfId="9542" xr:uid="{26CD77CC-F017-4839-8245-BBF245D45E53}"/>
    <cellStyle name="Comma 4 3 2 2 2 2 4 2" xfId="18857" xr:uid="{AD35F513-E30A-4ABB-8CD6-D34D55634B2C}"/>
    <cellStyle name="Comma 4 3 2 2 2 2 5" xfId="10141" xr:uid="{95B732B2-304B-4243-AF53-2589E910B04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DDE8BB3E-474C-470A-B67D-CA86E474CC16}"/>
    <cellStyle name="Comma 4 3 2 2 2 3 2 3" xfId="12699" xr:uid="{CBBEC218-3814-44A7-9854-F51CCBD35D70}"/>
    <cellStyle name="Comma 4 3 2 2 2 3 3" xfId="5445" xr:uid="{00000000-0005-0000-0000-00001F090000}"/>
    <cellStyle name="Comma 4 3 2 2 2 3 3 2" xfId="14771" xr:uid="{DCBA6198-2DAB-477F-AB56-BABA67019D90}"/>
    <cellStyle name="Comma 4 3 2 2 2 3 4" xfId="10554" xr:uid="{91994EA7-53C8-4972-9437-469F0DD1473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09E5DE05-C833-41B7-BF6C-2CD90B9523EB}"/>
    <cellStyle name="Comma 4 3 2 2 2 4 2 3" xfId="13112" xr:uid="{2067DA57-6BD4-4EE5-A5AC-8F013229556A}"/>
    <cellStyle name="Comma 4 3 2 2 2 4 3" xfId="5858" xr:uid="{00000000-0005-0000-0000-000023090000}"/>
    <cellStyle name="Comma 4 3 2 2 2 4 3 2" xfId="15184" xr:uid="{3B1AA56C-4EF8-4466-9375-6D955888F804}"/>
    <cellStyle name="Comma 4 3 2 2 2 4 4" xfId="10967" xr:uid="{3A799F9D-9A61-4324-A1EC-1DDD5ABC195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5F30BBE0-E154-4E3A-8B44-A8937DFE5E69}"/>
    <cellStyle name="Comma 4 3 2 2 2 5 2 3" xfId="13525" xr:uid="{86B6FCB7-F2A2-45AD-A496-719CAFB755CC}"/>
    <cellStyle name="Comma 4 3 2 2 2 5 3" xfId="6271" xr:uid="{00000000-0005-0000-0000-000027090000}"/>
    <cellStyle name="Comma 4 3 2 2 2 5 3 2" xfId="15597" xr:uid="{09F724DF-A63E-4CFA-A8A2-9E6837D82128}"/>
    <cellStyle name="Comma 4 3 2 2 2 5 4" xfId="11380" xr:uid="{61A93956-0F36-4F73-B7A6-6119C661FACB}"/>
    <cellStyle name="Comma 4 3 2 2 2 6" xfId="2400" xr:uid="{00000000-0005-0000-0000-000028090000}"/>
    <cellStyle name="Comma 4 3 2 2 2 6 2" xfId="6684" xr:uid="{00000000-0005-0000-0000-000029090000}"/>
    <cellStyle name="Comma 4 3 2 2 2 6 2 2" xfId="16010" xr:uid="{9EC93A02-FE04-4193-AAA9-D326B9BD858C}"/>
    <cellStyle name="Comma 4 3 2 2 2 6 3" xfId="11793" xr:uid="{635D1FF6-6933-4904-9534-7D49D4D3EEF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6B1BA188-7B36-407E-9C0B-12ED565C18B7}"/>
    <cellStyle name="Comma 4 3 2 2 2 8 3" xfId="12110" xr:uid="{CE1CBFE1-A025-4E2E-8878-FA07DEB9FDC4}"/>
    <cellStyle name="Comma 4 3 2 2 2 9" xfId="4618" xr:uid="{00000000-0005-0000-0000-00002D090000}"/>
    <cellStyle name="Comma 4 3 2 2 2 9 2" xfId="13944" xr:uid="{EC5C82B2-BB0E-42C0-B143-328A2C5138B1}"/>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13C6339A-D32B-455C-B64B-E3AF313BEAC9}"/>
    <cellStyle name="Comma 4 3 2 2 3 2 3" xfId="12285" xr:uid="{DA4B3E51-D722-4BD3-AC18-8E5607262B1F}"/>
    <cellStyle name="Comma 4 3 2 2 3 3" xfId="5031" xr:uid="{00000000-0005-0000-0000-000031090000}"/>
    <cellStyle name="Comma 4 3 2 2 3 3 2" xfId="14357" xr:uid="{8EF847BC-BEB4-4ADB-8A43-D9ABB96E6421}"/>
    <cellStyle name="Comma 4 3 2 2 3 4" xfId="9335" xr:uid="{BACD532B-C811-4076-B107-03E74D1B7113}"/>
    <cellStyle name="Comma 4 3 2 2 3 4 2" xfId="18650" xr:uid="{DBD67692-28D1-4F11-B512-A5DB48ECABF9}"/>
    <cellStyle name="Comma 4 3 2 2 3 5" xfId="10140" xr:uid="{8849BC22-DAD1-483C-AEB9-6DA287A86C0E}"/>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A0EDF3B5-7813-4652-AB6E-D840E0A2AF2A}"/>
    <cellStyle name="Comma 4 3 2 2 4 2 3" xfId="12698" xr:uid="{10BFC7C7-2495-492C-B79A-722E29C38AB1}"/>
    <cellStyle name="Comma 4 3 2 2 4 3" xfId="5444" xr:uid="{00000000-0005-0000-0000-000035090000}"/>
    <cellStyle name="Comma 4 3 2 2 4 3 2" xfId="14770" xr:uid="{408117E3-66DA-4006-BB03-7BBBE22D649E}"/>
    <cellStyle name="Comma 4 3 2 2 4 4" xfId="10553" xr:uid="{BA38CECB-BED9-4793-8748-A8D6509254C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B4D4838A-3E96-471E-9810-2D69A6370B90}"/>
    <cellStyle name="Comma 4 3 2 2 5 2 3" xfId="13111" xr:uid="{F8C86B8B-CFC9-4B9B-A916-8B912FC12CE7}"/>
    <cellStyle name="Comma 4 3 2 2 5 3" xfId="5857" xr:uid="{00000000-0005-0000-0000-000039090000}"/>
    <cellStyle name="Comma 4 3 2 2 5 3 2" xfId="15183" xr:uid="{13776A9B-47A8-46FC-932D-199F18C7805C}"/>
    <cellStyle name="Comma 4 3 2 2 5 4" xfId="10966" xr:uid="{6B78B47E-83FD-4B40-BBA9-D8A5B1D85000}"/>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207F3254-8B1D-4A6D-AD71-ECB3DBC50393}"/>
    <cellStyle name="Comma 4 3 2 2 6 2 3" xfId="13524" xr:uid="{8BA1690A-C52E-4B48-8BD2-57A78A3AAC51}"/>
    <cellStyle name="Comma 4 3 2 2 6 3" xfId="6270" xr:uid="{00000000-0005-0000-0000-00003D090000}"/>
    <cellStyle name="Comma 4 3 2 2 6 3 2" xfId="15596" xr:uid="{1BBD9ABE-FDD3-4C6B-B1F6-8FBF13EC5BF2}"/>
    <cellStyle name="Comma 4 3 2 2 6 4" xfId="11379" xr:uid="{A3595861-2353-4B59-9B15-B9CD484A69DA}"/>
    <cellStyle name="Comma 4 3 2 2 7" xfId="2399" xr:uid="{00000000-0005-0000-0000-00003E090000}"/>
    <cellStyle name="Comma 4 3 2 2 7 2" xfId="6683" xr:uid="{00000000-0005-0000-0000-00003F090000}"/>
    <cellStyle name="Comma 4 3 2 2 7 2 2" xfId="16009" xr:uid="{16DFDF33-5816-4E8F-A2F0-766AA9E247F8}"/>
    <cellStyle name="Comma 4 3 2 2 7 3" xfId="11792" xr:uid="{DE06FDD3-5A6F-452B-AABF-49FF58EC2A9A}"/>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C5231158-A42A-40E4-9B4E-5FC0D457CD45}"/>
    <cellStyle name="Comma 4 3 2 2 9 3" xfId="12109" xr:uid="{DEAD6754-5902-43A3-872C-7EC24CB2A9EE}"/>
    <cellStyle name="Comma 4 3 2 3" xfId="148" xr:uid="{00000000-0005-0000-0000-000043090000}"/>
    <cellStyle name="Comma 4 3 2 3 10" xfId="9014" xr:uid="{46568903-2C47-4BC3-8E78-5A47F62B319C}"/>
    <cellStyle name="Comma 4 3 2 3 10 2" xfId="18338" xr:uid="{C3D29675-0005-4DAC-8DE7-C13B1D48B192}"/>
    <cellStyle name="Comma 4 3 2 3 11" xfId="9728" xr:uid="{D74ABAC1-361C-4406-99B0-E700B4021850}"/>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BCE6D773-B40F-4502-A723-B2BF73F1F213}"/>
    <cellStyle name="Comma 4 3 2 3 2 2 3" xfId="12287" xr:uid="{1C5BD29C-3965-4BF7-B8D0-05D17A6D3975}"/>
    <cellStyle name="Comma 4 3 2 3 2 3" xfId="5033" xr:uid="{00000000-0005-0000-0000-000047090000}"/>
    <cellStyle name="Comma 4 3 2 3 2 3 2" xfId="14359" xr:uid="{C39EF718-0967-4D5A-BEE1-3CCB19EB323F}"/>
    <cellStyle name="Comma 4 3 2 3 2 4" xfId="9439" xr:uid="{2FD116B5-6902-4630-AFC5-CC8B06C5F457}"/>
    <cellStyle name="Comma 4 3 2 3 2 4 2" xfId="18754" xr:uid="{FB8C464E-C735-42BD-90DF-6663C5E7B097}"/>
    <cellStyle name="Comma 4 3 2 3 2 5" xfId="10142" xr:uid="{B12248F5-00A6-480B-80E9-B1E22B019C9D}"/>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3D23145C-8D9E-4E65-BE54-2335816119D1}"/>
    <cellStyle name="Comma 4 3 2 3 3 2 3" xfId="12700" xr:uid="{3D8EC58F-5D37-49BA-AF61-A314A241E4A6}"/>
    <cellStyle name="Comma 4 3 2 3 3 3" xfId="5446" xr:uid="{00000000-0005-0000-0000-00004B090000}"/>
    <cellStyle name="Comma 4 3 2 3 3 3 2" xfId="14772" xr:uid="{AF53707E-B9F9-434B-8C77-5C4143DF2F6F}"/>
    <cellStyle name="Comma 4 3 2 3 3 4" xfId="10555" xr:uid="{D4D4EA42-FC10-4669-BAB1-7F6656823BEC}"/>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DB1A8F7D-8844-485C-B1C4-527128318A82}"/>
    <cellStyle name="Comma 4 3 2 3 4 2 3" xfId="13113" xr:uid="{B5028A91-1768-429C-B75D-45BE3F942737}"/>
    <cellStyle name="Comma 4 3 2 3 4 3" xfId="5859" xr:uid="{00000000-0005-0000-0000-00004F090000}"/>
    <cellStyle name="Comma 4 3 2 3 4 3 2" xfId="15185" xr:uid="{C1D007F4-FDC8-49E7-B672-F69734E733F0}"/>
    <cellStyle name="Comma 4 3 2 3 4 4" xfId="10968" xr:uid="{2610D3CC-B1C2-4DE6-A140-BFD1BEE4100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EEA0B7EE-112A-4679-A6A8-86053018A9B4}"/>
    <cellStyle name="Comma 4 3 2 3 5 2 3" xfId="13526" xr:uid="{698639F9-3A31-458C-A66D-E4DC8817B69D}"/>
    <cellStyle name="Comma 4 3 2 3 5 3" xfId="6272" xr:uid="{00000000-0005-0000-0000-000053090000}"/>
    <cellStyle name="Comma 4 3 2 3 5 3 2" xfId="15598" xr:uid="{6AA0DA12-2B15-477B-84BA-16B834123244}"/>
    <cellStyle name="Comma 4 3 2 3 5 4" xfId="11381" xr:uid="{E2395A24-2D98-4F61-874A-9AFB10CFD247}"/>
    <cellStyle name="Comma 4 3 2 3 6" xfId="2401" xr:uid="{00000000-0005-0000-0000-000054090000}"/>
    <cellStyle name="Comma 4 3 2 3 6 2" xfId="6685" xr:uid="{00000000-0005-0000-0000-000055090000}"/>
    <cellStyle name="Comma 4 3 2 3 6 2 2" xfId="16011" xr:uid="{D945205C-6E36-49C5-B829-5F96031E9F43}"/>
    <cellStyle name="Comma 4 3 2 3 6 3" xfId="11794" xr:uid="{E352856C-D0A7-41FA-965F-0D78A719B0E3}"/>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D0E427C1-81F2-4C25-80A9-01A1A1DEC004}"/>
    <cellStyle name="Comma 4 3 2 3 8 3" xfId="12111" xr:uid="{C46653BA-A0B8-436F-A3F3-0394C50ED563}"/>
    <cellStyle name="Comma 4 3 2 3 9" xfId="4619" xr:uid="{00000000-0005-0000-0000-000059090000}"/>
    <cellStyle name="Comma 4 3 2 3 9 2" xfId="13945" xr:uid="{D27A7CF3-39E0-4E0F-A372-CBA6EB23DDFC}"/>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4429C29A-9C0C-4FBA-8647-56B014B30724}"/>
    <cellStyle name="Comma 4 3 2 4 2 3" xfId="12284" xr:uid="{0EF0E212-58A4-4A88-98C0-A1DEAE2594A2}"/>
    <cellStyle name="Comma 4 3 2 4 3" xfId="5030" xr:uid="{00000000-0005-0000-0000-00005D090000}"/>
    <cellStyle name="Comma 4 3 2 4 3 2" xfId="14356" xr:uid="{248EA734-31CA-4FF9-B2EE-C9CDC6F69ACB}"/>
    <cellStyle name="Comma 4 3 2 4 4" xfId="9232" xr:uid="{8193451B-D8F0-40BD-91ED-34E7041117F6}"/>
    <cellStyle name="Comma 4 3 2 4 4 2" xfId="18547" xr:uid="{C5816517-4D5A-4034-9523-ABBDF3B28A4F}"/>
    <cellStyle name="Comma 4 3 2 4 5" xfId="10139" xr:uid="{F32B01A5-CFE1-4939-AB3B-F367D2900A74}"/>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F41D8C77-DB52-4276-8D41-7CE5EFA1E593}"/>
    <cellStyle name="Comma 4 3 2 5 2 3" xfId="12697" xr:uid="{F3495DB6-94D9-468A-8532-911CF90792E4}"/>
    <cellStyle name="Comma 4 3 2 5 3" xfId="5443" xr:uid="{00000000-0005-0000-0000-000061090000}"/>
    <cellStyle name="Comma 4 3 2 5 3 2" xfId="14769" xr:uid="{94461FB0-444B-45E8-9317-1057FA0652D2}"/>
    <cellStyle name="Comma 4 3 2 5 4" xfId="10552" xr:uid="{6A69DC3E-845F-410F-A087-156FCCADD898}"/>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7968E30F-6438-451B-A0DB-41A3163836EC}"/>
    <cellStyle name="Comma 4 3 2 6 2 3" xfId="13110" xr:uid="{C6FB7E5E-1FB9-4844-B00F-A747285B22B4}"/>
    <cellStyle name="Comma 4 3 2 6 3" xfId="5856" xr:uid="{00000000-0005-0000-0000-000065090000}"/>
    <cellStyle name="Comma 4 3 2 6 3 2" xfId="15182" xr:uid="{D54BCB80-1FDE-42BB-86CE-685445300CD7}"/>
    <cellStyle name="Comma 4 3 2 6 4" xfId="10965" xr:uid="{CD6E2456-4169-4408-AF68-86F7F27E3F7C}"/>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921874AF-15FB-4006-B0C5-FEB7F8553C97}"/>
    <cellStyle name="Comma 4 3 2 7 2 3" xfId="13523" xr:uid="{45B39BF2-3C32-4F1C-B9C1-F01E2762F6B6}"/>
    <cellStyle name="Comma 4 3 2 7 3" xfId="6269" xr:uid="{00000000-0005-0000-0000-000069090000}"/>
    <cellStyle name="Comma 4 3 2 7 3 2" xfId="15595" xr:uid="{5762B866-C50E-4D2F-9E83-AFE9ED8F2E50}"/>
    <cellStyle name="Comma 4 3 2 7 4" xfId="11378" xr:uid="{462BD8BC-6079-4CAD-A509-0E9A3710B12D}"/>
    <cellStyle name="Comma 4 3 2 8" xfId="2398" xr:uid="{00000000-0005-0000-0000-00006A090000}"/>
    <cellStyle name="Comma 4 3 2 8 2" xfId="6682" xr:uid="{00000000-0005-0000-0000-00006B090000}"/>
    <cellStyle name="Comma 4 3 2 8 2 2" xfId="16008" xr:uid="{4D99D1EE-9945-49F7-A203-2ACBA6C76FDA}"/>
    <cellStyle name="Comma 4 3 2 8 3" xfId="11791" xr:uid="{AAACEB83-F9F4-48DF-B10B-D9A2EDF328D9}"/>
    <cellStyle name="Comma 4 3 2 9" xfId="2365" xr:uid="{00000000-0005-0000-0000-00006C090000}"/>
    <cellStyle name="Comma 4 3 3" xfId="149" xr:uid="{00000000-0005-0000-0000-00006D090000}"/>
    <cellStyle name="Comma 4 3 3 10" xfId="4620" xr:uid="{00000000-0005-0000-0000-00006E090000}"/>
    <cellStyle name="Comma 4 3 3 10 2" xfId="13946" xr:uid="{4D1A455E-127D-4381-B5AF-EA107C89B8CE}"/>
    <cellStyle name="Comma 4 3 3 11" xfId="8881" xr:uid="{ACA3BC7C-CED7-49C2-9DC3-E2A3989962E9}"/>
    <cellStyle name="Comma 4 3 3 11 2" xfId="18205" xr:uid="{6B42600A-65E1-499F-BEFE-C0FDDC857230}"/>
    <cellStyle name="Comma 4 3 3 12" xfId="9729" xr:uid="{79BC322C-16AB-415C-9B20-A7AC00AAA5C4}"/>
    <cellStyle name="Comma 4 3 3 2" xfId="150" xr:uid="{00000000-0005-0000-0000-00006F090000}"/>
    <cellStyle name="Comma 4 3 3 2 10" xfId="9088" xr:uid="{D40CFC42-DEA3-4A4C-8532-2B6CFC29229D}"/>
    <cellStyle name="Comma 4 3 3 2 10 2" xfId="18412" xr:uid="{C643FF4E-9628-42D4-A2A5-8829E7260E56}"/>
    <cellStyle name="Comma 4 3 3 2 11" xfId="9730" xr:uid="{A6B0DAF4-6C80-484C-B6F5-8955B4D8A5B6}"/>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B1663F13-C6C8-49B4-8270-8C5498EC2C38}"/>
    <cellStyle name="Comma 4 3 3 2 2 2 3" xfId="12289" xr:uid="{3C6207D4-A813-492E-B349-4E6321F3F659}"/>
    <cellStyle name="Comma 4 3 3 2 2 3" xfId="5035" xr:uid="{00000000-0005-0000-0000-000073090000}"/>
    <cellStyle name="Comma 4 3 3 2 2 3 2" xfId="14361" xr:uid="{67FDA4F3-2BD0-4421-896D-436D59FCED09}"/>
    <cellStyle name="Comma 4 3 3 2 2 4" xfId="9513" xr:uid="{986E0DAD-8ABC-4DAC-9C56-EF87B6B3B829}"/>
    <cellStyle name="Comma 4 3 3 2 2 4 2" xfId="18828" xr:uid="{77C09553-3441-4D28-A5E7-454CAADA94B7}"/>
    <cellStyle name="Comma 4 3 3 2 2 5" xfId="10144" xr:uid="{F5F6E3B2-3F50-476B-90D5-2A266F6C6BB8}"/>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5254028D-8029-4B9B-B141-FFB4426D7D96}"/>
    <cellStyle name="Comma 4 3 3 2 3 2 3" xfId="12702" xr:uid="{65DF856B-664E-45C2-88A3-33C05A86779D}"/>
    <cellStyle name="Comma 4 3 3 2 3 3" xfId="5448" xr:uid="{00000000-0005-0000-0000-000077090000}"/>
    <cellStyle name="Comma 4 3 3 2 3 3 2" xfId="14774" xr:uid="{47EC24E5-1F9C-4182-A4CE-26AED58D21C7}"/>
    <cellStyle name="Comma 4 3 3 2 3 4" xfId="10557" xr:uid="{21BA3DE2-C01F-40F4-83B0-B9D982D135F9}"/>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F1C1E455-87A7-4A1E-9EBF-C06CA3DE307C}"/>
    <cellStyle name="Comma 4 3 3 2 4 2 3" xfId="13115" xr:uid="{8D8F9D0B-2ECD-4447-B1BF-71FB66A62EBF}"/>
    <cellStyle name="Comma 4 3 3 2 4 3" xfId="5861" xr:uid="{00000000-0005-0000-0000-00007B090000}"/>
    <cellStyle name="Comma 4 3 3 2 4 3 2" xfId="15187" xr:uid="{BF6735AE-2191-4EDE-9336-8B32C1631C15}"/>
    <cellStyle name="Comma 4 3 3 2 4 4" xfId="10970" xr:uid="{940FD3E5-CBA9-4A48-A110-35D648DEF044}"/>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430B44B1-F4AF-4D1E-B9C3-6EAC94020A19}"/>
    <cellStyle name="Comma 4 3 3 2 5 2 3" xfId="13528" xr:uid="{FAEC4F3A-B95E-4D34-B4DF-5924963DC850}"/>
    <cellStyle name="Comma 4 3 3 2 5 3" xfId="6274" xr:uid="{00000000-0005-0000-0000-00007F090000}"/>
    <cellStyle name="Comma 4 3 3 2 5 3 2" xfId="15600" xr:uid="{E21E6E4F-71B7-400B-B6E5-8CDB4C0EB56B}"/>
    <cellStyle name="Comma 4 3 3 2 5 4" xfId="11383" xr:uid="{C371B9C2-F3EF-4E72-8983-104EF9EC1571}"/>
    <cellStyle name="Comma 4 3 3 2 6" xfId="2403" xr:uid="{00000000-0005-0000-0000-000080090000}"/>
    <cellStyle name="Comma 4 3 3 2 6 2" xfId="6687" xr:uid="{00000000-0005-0000-0000-000081090000}"/>
    <cellStyle name="Comma 4 3 3 2 6 2 2" xfId="16013" xr:uid="{C8673396-738D-4B71-9F30-7B66B10B2766}"/>
    <cellStyle name="Comma 4 3 3 2 6 3" xfId="11796" xr:uid="{9614E6A6-E7A6-4D62-B33E-C00D5EBED8BA}"/>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07CC6074-74C8-4672-9E72-2D403A0D5A78}"/>
    <cellStyle name="Comma 4 3 3 2 8 3" xfId="12113" xr:uid="{BAA4DAB8-4D85-421B-829D-4C9F531C1514}"/>
    <cellStyle name="Comma 4 3 3 2 9" xfId="4621" xr:uid="{00000000-0005-0000-0000-000085090000}"/>
    <cellStyle name="Comma 4 3 3 2 9 2" xfId="13947" xr:uid="{D4B3C9A8-B053-4BF0-BAE2-F3D1CA0B996A}"/>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A8D7EE34-8184-4D3C-B4DC-6F02DDDA208D}"/>
    <cellStyle name="Comma 4 3 3 3 2 3" xfId="12288" xr:uid="{5AD61002-AF12-4253-B60E-3140CAAD84C3}"/>
    <cellStyle name="Comma 4 3 3 3 3" xfId="5034" xr:uid="{00000000-0005-0000-0000-000089090000}"/>
    <cellStyle name="Comma 4 3 3 3 3 2" xfId="14360" xr:uid="{AA900E63-C1FF-42F2-96B9-6D6235DEF402}"/>
    <cellStyle name="Comma 4 3 3 3 4" xfId="9306" xr:uid="{6AC2749B-EC1D-4760-AD4B-F36381A669B6}"/>
    <cellStyle name="Comma 4 3 3 3 4 2" xfId="18621" xr:uid="{36A4BE62-4DAD-4FE4-A63C-231372B3337B}"/>
    <cellStyle name="Comma 4 3 3 3 5" xfId="10143" xr:uid="{9C0EA9C8-818F-4A5C-A8DA-58C820F2FD75}"/>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4AE373EF-7A0C-4AB0-ACE6-54ADB9E981B8}"/>
    <cellStyle name="Comma 4 3 3 4 2 3" xfId="12701" xr:uid="{A99A8216-3A2E-40CE-8A0C-C27216E46A8F}"/>
    <cellStyle name="Comma 4 3 3 4 3" xfId="5447" xr:uid="{00000000-0005-0000-0000-00008D090000}"/>
    <cellStyle name="Comma 4 3 3 4 3 2" xfId="14773" xr:uid="{267D6D32-1381-4194-A727-F159470141F5}"/>
    <cellStyle name="Comma 4 3 3 4 4" xfId="10556" xr:uid="{D8ECC145-0468-41E2-8AD0-34850F356A70}"/>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83A152FB-6CEC-4F52-873E-0DF6CFCCA01B}"/>
    <cellStyle name="Comma 4 3 3 5 2 3" xfId="13114" xr:uid="{AD012A64-7016-4D81-AA53-666A746B82B6}"/>
    <cellStyle name="Comma 4 3 3 5 3" xfId="5860" xr:uid="{00000000-0005-0000-0000-000091090000}"/>
    <cellStyle name="Comma 4 3 3 5 3 2" xfId="15186" xr:uid="{F06081EA-0A75-41C8-B9F2-3C47EB32B648}"/>
    <cellStyle name="Comma 4 3 3 5 4" xfId="10969" xr:uid="{CDF9CD62-E83D-43DD-A2FA-9E6D4F734825}"/>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13517A5A-7C38-491D-9BD9-797579F1BAF4}"/>
    <cellStyle name="Comma 4 3 3 6 2 3" xfId="13527" xr:uid="{F35D3AF9-80A7-48E3-AC0A-3C7BD4919431}"/>
    <cellStyle name="Comma 4 3 3 6 3" xfId="6273" xr:uid="{00000000-0005-0000-0000-000095090000}"/>
    <cellStyle name="Comma 4 3 3 6 3 2" xfId="15599" xr:uid="{6D2A17CC-4316-4A85-AEE6-6A587A8F2476}"/>
    <cellStyle name="Comma 4 3 3 6 4" xfId="11382" xr:uid="{12C258B3-CEC4-4A58-BBE0-C72B32FB1772}"/>
    <cellStyle name="Comma 4 3 3 7" xfId="2402" xr:uid="{00000000-0005-0000-0000-000096090000}"/>
    <cellStyle name="Comma 4 3 3 7 2" xfId="6686" xr:uid="{00000000-0005-0000-0000-000097090000}"/>
    <cellStyle name="Comma 4 3 3 7 2 2" xfId="16012" xr:uid="{145FBD2D-1994-4FD9-919B-69CD7C4DD939}"/>
    <cellStyle name="Comma 4 3 3 7 3" xfId="11795" xr:uid="{3B0FCDA4-7C80-4B41-9295-FC4144EC1CD1}"/>
    <cellStyle name="Comma 4 3 3 8" xfId="2361" xr:uid="{00000000-0005-0000-0000-000098090000}"/>
    <cellStyle name="Comma 4 3 3 9" xfId="2780" xr:uid="{00000000-0005-0000-0000-000099090000}"/>
    <cellStyle name="Comma 4 3 3 9 2" xfId="7003" xr:uid="{00000000-0005-0000-0000-00009A090000}"/>
    <cellStyle name="Comma 4 3 3 9 2 2" xfId="16329" xr:uid="{264BAE6E-C30C-4B7A-88FA-DDBF9C993206}"/>
    <cellStyle name="Comma 4 3 3 9 3" xfId="12112" xr:uid="{71141B74-8C63-4300-BF0D-64E5CEF81F10}"/>
    <cellStyle name="Comma 4 3 4" xfId="151" xr:uid="{00000000-0005-0000-0000-00009B090000}"/>
    <cellStyle name="Comma 4 3 4 10" xfId="8985" xr:uid="{E965CEC1-A932-4F91-9E18-794CBF7DC7FC}"/>
    <cellStyle name="Comma 4 3 4 10 2" xfId="18309" xr:uid="{79E7FE97-6F71-4984-A1EC-2FE5CB176DA1}"/>
    <cellStyle name="Comma 4 3 4 11" xfId="9731" xr:uid="{8038CAC3-04B1-4212-9D1B-397003102443}"/>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B7FBD34A-FE2A-4ACF-9570-35272FC12BA4}"/>
    <cellStyle name="Comma 4 3 4 2 2 3" xfId="12290" xr:uid="{923DF88B-2F9A-44C4-848A-8E3C6FA368A2}"/>
    <cellStyle name="Comma 4 3 4 2 3" xfId="5036" xr:uid="{00000000-0005-0000-0000-00009F090000}"/>
    <cellStyle name="Comma 4 3 4 2 3 2" xfId="14362" xr:uid="{405A8EB7-B983-444A-82C3-50F3670035B0}"/>
    <cellStyle name="Comma 4 3 4 2 4" xfId="9410" xr:uid="{54DEC146-6204-4AAF-A15F-BAC0A12B5984}"/>
    <cellStyle name="Comma 4 3 4 2 4 2" xfId="18725" xr:uid="{1A111780-FA6C-4E81-A1AA-F28D2FA84627}"/>
    <cellStyle name="Comma 4 3 4 2 5" xfId="10145" xr:uid="{842CC866-D261-48CD-81B6-E58D855A5BEA}"/>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19B4C53E-730B-4E42-817E-8BDA8C65B7BA}"/>
    <cellStyle name="Comma 4 3 4 3 2 3" xfId="12703" xr:uid="{35712003-91B1-4D59-95BE-EC91DC20BFCF}"/>
    <cellStyle name="Comma 4 3 4 3 3" xfId="5449" xr:uid="{00000000-0005-0000-0000-0000A3090000}"/>
    <cellStyle name="Comma 4 3 4 3 3 2" xfId="14775" xr:uid="{136F1D45-2AAE-4C0A-A24E-6502613B11AA}"/>
    <cellStyle name="Comma 4 3 4 3 4" xfId="10558" xr:uid="{24A98C8D-2565-472A-B6B6-2A9346FF1529}"/>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FA76549C-CA6F-4240-93FC-C73F4500A8DF}"/>
    <cellStyle name="Comma 4 3 4 4 2 3" xfId="13116" xr:uid="{23B81AD7-593D-41A7-BB83-4C33BFC09D1B}"/>
    <cellStyle name="Comma 4 3 4 4 3" xfId="5862" xr:uid="{00000000-0005-0000-0000-0000A7090000}"/>
    <cellStyle name="Comma 4 3 4 4 3 2" xfId="15188" xr:uid="{177CD9D2-DF88-4888-AA45-B19CB8D19268}"/>
    <cellStyle name="Comma 4 3 4 4 4" xfId="10971" xr:uid="{E55FF213-7045-4619-B06F-22F5D59A183E}"/>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B308D81E-F482-4081-A7B7-E10B180452B9}"/>
    <cellStyle name="Comma 4 3 4 5 2 3" xfId="13529" xr:uid="{687731ED-71B6-4AC3-B28A-DB162328C8C2}"/>
    <cellStyle name="Comma 4 3 4 5 3" xfId="6275" xr:uid="{00000000-0005-0000-0000-0000AB090000}"/>
    <cellStyle name="Comma 4 3 4 5 3 2" xfId="15601" xr:uid="{53C4B70C-1B26-4FE9-BE1D-99A29AF6349F}"/>
    <cellStyle name="Comma 4 3 4 5 4" xfId="11384" xr:uid="{D4424A24-473A-482A-B6E6-F2FEA180B8EA}"/>
    <cellStyle name="Comma 4 3 4 6" xfId="2404" xr:uid="{00000000-0005-0000-0000-0000AC090000}"/>
    <cellStyle name="Comma 4 3 4 6 2" xfId="6688" xr:uid="{00000000-0005-0000-0000-0000AD090000}"/>
    <cellStyle name="Comma 4 3 4 6 2 2" xfId="16014" xr:uid="{1503CBD9-DD2A-442D-92E7-F7164D821A8E}"/>
    <cellStyle name="Comma 4 3 4 6 3" xfId="11797" xr:uid="{F999E7E4-5B08-4F9F-A99A-0637535D9574}"/>
    <cellStyle name="Comma 4 3 4 7" xfId="2700" xr:uid="{00000000-0005-0000-0000-0000AE090000}"/>
    <cellStyle name="Comma 4 3 4 8" xfId="2782" xr:uid="{00000000-0005-0000-0000-0000AF090000}"/>
    <cellStyle name="Comma 4 3 4 8 2" xfId="7005" xr:uid="{00000000-0005-0000-0000-0000B0090000}"/>
    <cellStyle name="Comma 4 3 4 8 2 2" xfId="16331" xr:uid="{6CD1E788-0860-401C-B4D8-39A6DE43FF2B}"/>
    <cellStyle name="Comma 4 3 4 8 3" xfId="12114" xr:uid="{B53F9DED-49BB-4593-843D-88D4947E1006}"/>
    <cellStyle name="Comma 4 3 4 9" xfId="4622" xr:uid="{00000000-0005-0000-0000-0000B1090000}"/>
    <cellStyle name="Comma 4 3 4 9 2" xfId="13948" xr:uid="{3FA4F212-FA98-4A4B-ACAF-4B4FC21F973C}"/>
    <cellStyle name="Comma 4 3 5" xfId="152" xr:uid="{00000000-0005-0000-0000-0000B2090000}"/>
    <cellStyle name="Comma 4 3 5 10" xfId="9202" xr:uid="{BF5456DA-E11C-47BD-8210-21F45D9E5F79}"/>
    <cellStyle name="Comma 4 3 5 10 2" xfId="18518" xr:uid="{4DFA8885-9112-4EA5-9B22-FF8A74F96E64}"/>
    <cellStyle name="Comma 4 3 5 11" xfId="9732" xr:uid="{05D7BFD4-AD53-465E-B1EC-4F4516699B33}"/>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6FC28367-52E7-40C2-A999-7498FEA4E5EA}"/>
    <cellStyle name="Comma 4 3 5 2 2 3" xfId="12291" xr:uid="{A5851C1A-D86A-4A0F-B5AA-D87A57E02A96}"/>
    <cellStyle name="Comma 4 3 5 2 3" xfId="5037" xr:uid="{00000000-0005-0000-0000-0000B6090000}"/>
    <cellStyle name="Comma 4 3 5 2 3 2" xfId="14363" xr:uid="{C4B8B012-BD6C-4216-B9BF-72A0602DE1FA}"/>
    <cellStyle name="Comma 4 3 5 2 4" xfId="9595" xr:uid="{3E6BF710-D2EA-4AFB-83F1-C6BF1C2192FF}"/>
    <cellStyle name="Comma 4 3 5 2 4 2" xfId="18899" xr:uid="{E78BCFE8-0090-4A02-A265-FDE4B6AAA684}"/>
    <cellStyle name="Comma 4 3 5 2 5" xfId="10146" xr:uid="{865827FB-2C49-42B5-9CCD-812869683A57}"/>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B6D9DC78-7C2D-4432-AAAC-37A241B438AA}"/>
    <cellStyle name="Comma 4 3 5 3 2 3" xfId="12704" xr:uid="{18CF839D-EED7-4947-BDA4-08684B3CD28B}"/>
    <cellStyle name="Comma 4 3 5 3 3" xfId="5450" xr:uid="{00000000-0005-0000-0000-0000BA090000}"/>
    <cellStyle name="Comma 4 3 5 3 3 2" xfId="14776" xr:uid="{B5CB9573-ED18-4FAA-BEFC-9330E90FFE3A}"/>
    <cellStyle name="Comma 4 3 5 3 4" xfId="10559" xr:uid="{1FE1B9C6-13F0-487A-9063-8E3B210BCB95}"/>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74B2FDC8-6A55-44A0-868C-5FCD5C476B39}"/>
    <cellStyle name="Comma 4 3 5 4 2 3" xfId="13117" xr:uid="{42DC878D-1F5B-4F2B-9779-FF1687C7758A}"/>
    <cellStyle name="Comma 4 3 5 4 3" xfId="5863" xr:uid="{00000000-0005-0000-0000-0000BE090000}"/>
    <cellStyle name="Comma 4 3 5 4 3 2" xfId="15189" xr:uid="{0C13A524-9FCE-40EF-A9D5-4F6A07EDFF8F}"/>
    <cellStyle name="Comma 4 3 5 4 4" xfId="10972" xr:uid="{BBADC25C-A0F6-4EA4-BF9D-40401DA9C57B}"/>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47F07A28-4D56-4344-8508-AD545361AA87}"/>
    <cellStyle name="Comma 4 3 5 5 2 3" xfId="13530" xr:uid="{AB78922F-B1D3-42DB-9E95-94B0134AA2CC}"/>
    <cellStyle name="Comma 4 3 5 5 3" xfId="6276" xr:uid="{00000000-0005-0000-0000-0000C2090000}"/>
    <cellStyle name="Comma 4 3 5 5 3 2" xfId="15602" xr:uid="{CEBF0D11-F7DA-46CF-9814-C5ACC266FF6E}"/>
    <cellStyle name="Comma 4 3 5 5 4" xfId="11385" xr:uid="{9FC9AF2D-6E94-4794-9820-8F354325EE8E}"/>
    <cellStyle name="Comma 4 3 5 6" xfId="2405" xr:uid="{00000000-0005-0000-0000-0000C3090000}"/>
    <cellStyle name="Comma 4 3 5 6 2" xfId="6689" xr:uid="{00000000-0005-0000-0000-0000C4090000}"/>
    <cellStyle name="Comma 4 3 5 6 2 2" xfId="16015" xr:uid="{ED2DCC81-CA3F-4048-9332-60F94C50E30F}"/>
    <cellStyle name="Comma 4 3 5 6 3" xfId="11798" xr:uid="{3BE0540A-6FDC-4031-8884-DD2C9623AA16}"/>
    <cellStyle name="Comma 4 3 5 7" xfId="2701" xr:uid="{00000000-0005-0000-0000-0000C5090000}"/>
    <cellStyle name="Comma 4 3 5 8" xfId="2783" xr:uid="{00000000-0005-0000-0000-0000C6090000}"/>
    <cellStyle name="Comma 4 3 5 8 2" xfId="7006" xr:uid="{00000000-0005-0000-0000-0000C7090000}"/>
    <cellStyle name="Comma 4 3 5 8 2 2" xfId="16332" xr:uid="{465B5C3A-0710-4B72-B15D-81882C4A7E3B}"/>
    <cellStyle name="Comma 4 3 5 8 3" xfId="12115" xr:uid="{B15B7903-AB86-40D0-A657-B3AB527F401E}"/>
    <cellStyle name="Comma 4 3 5 9" xfId="4623" xr:uid="{00000000-0005-0000-0000-0000C8090000}"/>
    <cellStyle name="Comma 4 3 5 9 2" xfId="13949" xr:uid="{7AC0D9AC-0BE4-4295-9708-227D1B5E90B2}"/>
    <cellStyle name="Comma 4 3 6" xfId="9582" xr:uid="{F1B74700-6F25-44D3-B4B6-1EFC63A6078B}"/>
    <cellStyle name="Comma 4 3 7" xfId="8778" xr:uid="{01CB0168-3495-42C5-9A13-F25D4D0EF35E}"/>
    <cellStyle name="Comma 4 3 7 2" xfId="18102" xr:uid="{E61E725B-94D1-4580-8F7B-FEDD6B6AA4C2}"/>
    <cellStyle name="Comma 4 4" xfId="153" xr:uid="{00000000-0005-0000-0000-0000C9090000}"/>
    <cellStyle name="Comma 4 4 10" xfId="2784" xr:uid="{00000000-0005-0000-0000-0000CA090000}"/>
    <cellStyle name="Comma 4 4 10 2" xfId="7007" xr:uid="{00000000-0005-0000-0000-0000CB090000}"/>
    <cellStyle name="Comma 4 4 10 2 2" xfId="16333" xr:uid="{F22DBCA0-C979-4E4D-ADD7-14D0FFBE26E1}"/>
    <cellStyle name="Comma 4 4 10 3" xfId="12116" xr:uid="{4F4258FC-D33A-4078-B214-80A6C4C26ADD}"/>
    <cellStyle name="Comma 4 4 11" xfId="4624" xr:uid="{00000000-0005-0000-0000-0000CC090000}"/>
    <cellStyle name="Comma 4 4 11 2" xfId="13950" xr:uid="{FCE3686D-4777-44EB-8478-643BF38C6B4C}"/>
    <cellStyle name="Comma 4 4 12" xfId="8804" xr:uid="{A2BB6322-7771-45CD-845C-77E2FE03AC7A}"/>
    <cellStyle name="Comma 4 4 12 2" xfId="18128" xr:uid="{AE060795-015D-48AF-87D2-0F791808189F}"/>
    <cellStyle name="Comma 4 4 13" xfId="9733" xr:uid="{4C005F32-7CB8-4FEC-A416-CB3A9210C3A7}"/>
    <cellStyle name="Comma 4 4 2" xfId="154" xr:uid="{00000000-0005-0000-0000-0000CD090000}"/>
    <cellStyle name="Comma 4 4 2 10" xfId="4625" xr:uid="{00000000-0005-0000-0000-0000CE090000}"/>
    <cellStyle name="Comma 4 4 2 10 2" xfId="13951" xr:uid="{8AD5978B-42D6-46E5-A198-2119B34F3F4B}"/>
    <cellStyle name="Comma 4 4 2 11" xfId="8907" xr:uid="{F9F87618-3BA1-4211-A686-62CF5BBA5770}"/>
    <cellStyle name="Comma 4 4 2 11 2" xfId="18231" xr:uid="{0E6E657E-3593-4C2D-AB72-2CA2343A059C}"/>
    <cellStyle name="Comma 4 4 2 12" xfId="9734" xr:uid="{FF6E5920-5A09-485A-92C4-2D31E80F2E96}"/>
    <cellStyle name="Comma 4 4 2 2" xfId="155" xr:uid="{00000000-0005-0000-0000-0000CF090000}"/>
    <cellStyle name="Comma 4 4 2 2 10" xfId="9114" xr:uid="{871FAC03-A44E-4C24-806C-3CC0605FD124}"/>
    <cellStyle name="Comma 4 4 2 2 10 2" xfId="18438" xr:uid="{E294C05E-034E-4094-8AAB-681D970572D4}"/>
    <cellStyle name="Comma 4 4 2 2 11" xfId="9735" xr:uid="{6DEE7CDC-9FEB-49C5-B9AE-4B4E58705B3A}"/>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4D87380B-29B7-47AA-86EF-75F7536EB22A}"/>
    <cellStyle name="Comma 4 4 2 2 2 2 3" xfId="12294" xr:uid="{D43BE2D0-8F6E-461E-A211-BB9F1F2FEACA}"/>
    <cellStyle name="Comma 4 4 2 2 2 3" xfId="5040" xr:uid="{00000000-0005-0000-0000-0000D3090000}"/>
    <cellStyle name="Comma 4 4 2 2 2 3 2" xfId="14366" xr:uid="{7EA5C371-9291-48FD-8317-2F97EDF4679E}"/>
    <cellStyle name="Comma 4 4 2 2 2 4" xfId="9539" xr:uid="{6209A471-8158-46C6-9ADA-C828BB6621B2}"/>
    <cellStyle name="Comma 4 4 2 2 2 4 2" xfId="18854" xr:uid="{093751D7-F449-456E-A987-8A6DD0061921}"/>
    <cellStyle name="Comma 4 4 2 2 2 5" xfId="10149" xr:uid="{2E3D8B14-D57F-4DB2-B3BB-4879D8BB96AF}"/>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7EE65F9D-DD75-4959-8540-4F97C940982D}"/>
    <cellStyle name="Comma 4 4 2 2 3 2 3" xfId="12707" xr:uid="{B1D76596-5A13-4695-A74F-07202F2A0526}"/>
    <cellStyle name="Comma 4 4 2 2 3 3" xfId="5453" xr:uid="{00000000-0005-0000-0000-0000D7090000}"/>
    <cellStyle name="Comma 4 4 2 2 3 3 2" xfId="14779" xr:uid="{B93A641E-08AE-4C0F-B282-B6A1C305327F}"/>
    <cellStyle name="Comma 4 4 2 2 3 4" xfId="10562" xr:uid="{69F36E4D-4733-48B1-8F42-71D0689AB54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BF2C3963-A0DF-40B1-B8DE-E4DDC437F379}"/>
    <cellStyle name="Comma 4 4 2 2 4 2 3" xfId="13120" xr:uid="{48D22521-CE43-4561-9093-F4DE48116274}"/>
    <cellStyle name="Comma 4 4 2 2 4 3" xfId="5866" xr:uid="{00000000-0005-0000-0000-0000DB090000}"/>
    <cellStyle name="Comma 4 4 2 2 4 3 2" xfId="15192" xr:uid="{7D622250-2C3D-4587-8671-816DE48FAD1D}"/>
    <cellStyle name="Comma 4 4 2 2 4 4" xfId="10975" xr:uid="{438841A0-AB48-440F-A392-A57265655409}"/>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A2547D8D-8FF5-4CEA-BA00-580274AC46DC}"/>
    <cellStyle name="Comma 4 4 2 2 5 2 3" xfId="13533" xr:uid="{7DADB0F6-1DA8-4AE1-BCBA-26442FFA22C9}"/>
    <cellStyle name="Comma 4 4 2 2 5 3" xfId="6279" xr:uid="{00000000-0005-0000-0000-0000DF090000}"/>
    <cellStyle name="Comma 4 4 2 2 5 3 2" xfId="15605" xr:uid="{3F25CF05-E0FB-4323-B1C9-F1B0F523CACE}"/>
    <cellStyle name="Comma 4 4 2 2 5 4" xfId="11388" xr:uid="{B9D80499-6D97-4A23-AA33-B63F9FBEF224}"/>
    <cellStyle name="Comma 4 4 2 2 6" xfId="2408" xr:uid="{00000000-0005-0000-0000-0000E0090000}"/>
    <cellStyle name="Comma 4 4 2 2 6 2" xfId="6692" xr:uid="{00000000-0005-0000-0000-0000E1090000}"/>
    <cellStyle name="Comma 4 4 2 2 6 2 2" xfId="16018" xr:uid="{04BFB770-EAAE-4195-A0DC-140D958DC2B5}"/>
    <cellStyle name="Comma 4 4 2 2 6 3" xfId="11801" xr:uid="{7CA070FC-7FE7-4BF4-82B9-53F34E54383D}"/>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C1716879-D206-4CBE-A38E-6A9C221D1F02}"/>
    <cellStyle name="Comma 4 4 2 2 8 3" xfId="12118" xr:uid="{198085D1-7A5A-445F-A314-FF3D78B4240D}"/>
    <cellStyle name="Comma 4 4 2 2 9" xfId="4626" xr:uid="{00000000-0005-0000-0000-0000E5090000}"/>
    <cellStyle name="Comma 4 4 2 2 9 2" xfId="13952" xr:uid="{46CE4C4B-00BD-4951-BD09-4E8B534C9B31}"/>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A8561E49-E6B1-45BE-8596-6CD3A253A71E}"/>
    <cellStyle name="Comma 4 4 2 3 2 3" xfId="12293" xr:uid="{BB19BCB3-1C09-4168-9653-948160E79D96}"/>
    <cellStyle name="Comma 4 4 2 3 3" xfId="5039" xr:uid="{00000000-0005-0000-0000-0000E9090000}"/>
    <cellStyle name="Comma 4 4 2 3 3 2" xfId="14365" xr:uid="{AC0AD697-253F-4C8D-8B68-DF050C384ABD}"/>
    <cellStyle name="Comma 4 4 2 3 4" xfId="9332" xr:uid="{00F59ECD-64D7-476B-90FD-CD86F054AE4D}"/>
    <cellStyle name="Comma 4 4 2 3 4 2" xfId="18647" xr:uid="{85AC2D81-1685-438D-8728-ED53145BFED0}"/>
    <cellStyle name="Comma 4 4 2 3 5" xfId="10148" xr:uid="{4B304FC1-D3D1-48C8-8528-81EDA182F145}"/>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59369DC3-3794-4604-9727-210B66AE5CE5}"/>
    <cellStyle name="Comma 4 4 2 4 2 3" xfId="12706" xr:uid="{7E5BBBD8-C1AA-4E51-8EF2-A4A0BF12E8EB}"/>
    <cellStyle name="Comma 4 4 2 4 3" xfId="5452" xr:uid="{00000000-0005-0000-0000-0000ED090000}"/>
    <cellStyle name="Comma 4 4 2 4 3 2" xfId="14778" xr:uid="{51AD13B9-40B7-4F4A-A4EF-64AF4DB17292}"/>
    <cellStyle name="Comma 4 4 2 4 4" xfId="10561" xr:uid="{F7BD534F-B839-42CF-A4C8-5F6741D0E32C}"/>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561DA78E-004B-4517-8289-B4163837C4FC}"/>
    <cellStyle name="Comma 4 4 2 5 2 3" xfId="13119" xr:uid="{34454E32-5665-42DC-95BB-7D4D4A85B0FC}"/>
    <cellStyle name="Comma 4 4 2 5 3" xfId="5865" xr:uid="{00000000-0005-0000-0000-0000F1090000}"/>
    <cellStyle name="Comma 4 4 2 5 3 2" xfId="15191" xr:uid="{15DEF715-6D30-4667-8BFE-F42C2D731D9C}"/>
    <cellStyle name="Comma 4 4 2 5 4" xfId="10974" xr:uid="{E24E050B-A204-4D8D-B412-4AC11A4997BE}"/>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BA08FBED-4EA2-4764-BFC3-7609978F778C}"/>
    <cellStyle name="Comma 4 4 2 6 2 3" xfId="13532" xr:uid="{6FC74845-A9B9-4450-B17D-A4A2651CBB92}"/>
    <cellStyle name="Comma 4 4 2 6 3" xfId="6278" xr:uid="{00000000-0005-0000-0000-0000F5090000}"/>
    <cellStyle name="Comma 4 4 2 6 3 2" xfId="15604" xr:uid="{66900686-62FA-4430-9A48-2DE3C40FA4E0}"/>
    <cellStyle name="Comma 4 4 2 6 4" xfId="11387" xr:uid="{FE63C018-1021-4D6B-81EF-59849D0E7990}"/>
    <cellStyle name="Comma 4 4 2 7" xfId="2407" xr:uid="{00000000-0005-0000-0000-0000F6090000}"/>
    <cellStyle name="Comma 4 4 2 7 2" xfId="6691" xr:uid="{00000000-0005-0000-0000-0000F7090000}"/>
    <cellStyle name="Comma 4 4 2 7 2 2" xfId="16017" xr:uid="{4E129442-9A69-4768-8802-D5CAB728D388}"/>
    <cellStyle name="Comma 4 4 2 7 3" xfId="11800" xr:uid="{3CF58EE6-1026-4FAE-B331-2C5554ECEC58}"/>
    <cellStyle name="Comma 4 4 2 8" xfId="2703" xr:uid="{00000000-0005-0000-0000-0000F8090000}"/>
    <cellStyle name="Comma 4 4 2 9" xfId="2785" xr:uid="{00000000-0005-0000-0000-0000F9090000}"/>
    <cellStyle name="Comma 4 4 2 9 2" xfId="7008" xr:uid="{00000000-0005-0000-0000-0000FA090000}"/>
    <cellStyle name="Comma 4 4 2 9 2 2" xfId="16334" xr:uid="{16A5F4BE-4D70-44A5-AB01-01738F95FCA6}"/>
    <cellStyle name="Comma 4 4 2 9 3" xfId="12117" xr:uid="{8DD47EE5-9762-4189-987D-5D76FC12E584}"/>
    <cellStyle name="Comma 4 4 3" xfId="156" xr:uid="{00000000-0005-0000-0000-0000FB090000}"/>
    <cellStyle name="Comma 4 4 3 10" xfId="9011" xr:uid="{31ED03AD-AB12-49AF-9AD4-B783F0BF7322}"/>
    <cellStyle name="Comma 4 4 3 10 2" xfId="18335" xr:uid="{EE2FA59C-1E2B-4582-998C-55D75EE8259E}"/>
    <cellStyle name="Comma 4 4 3 11" xfId="9736" xr:uid="{4840D58C-3078-46E9-BCBE-827D79260081}"/>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2A2BF1F1-9D47-4A74-8C92-D98592BD5379}"/>
    <cellStyle name="Comma 4 4 3 2 2 3" xfId="12295" xr:uid="{30725340-6184-4F2E-A172-C6E96743245C}"/>
    <cellStyle name="Comma 4 4 3 2 3" xfId="5041" xr:uid="{00000000-0005-0000-0000-0000FF090000}"/>
    <cellStyle name="Comma 4 4 3 2 3 2" xfId="14367" xr:uid="{49A27F7C-EFE2-4C31-82DA-ADB7095AD49F}"/>
    <cellStyle name="Comma 4 4 3 2 4" xfId="9436" xr:uid="{5B7DDC25-9095-4E8E-BD31-668F46BBD33F}"/>
    <cellStyle name="Comma 4 4 3 2 4 2" xfId="18751" xr:uid="{AE589C42-A2CA-4A7C-B886-2583E1CAC949}"/>
    <cellStyle name="Comma 4 4 3 2 5" xfId="10150" xr:uid="{EC1274ED-E8B1-46C9-9F98-347314550DF9}"/>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92811D00-F493-4A0B-A12C-985D2F3EC991}"/>
    <cellStyle name="Comma 4 4 3 3 2 3" xfId="12708" xr:uid="{6CD2D56D-6F0D-491F-BBE2-462664274A3A}"/>
    <cellStyle name="Comma 4 4 3 3 3" xfId="5454" xr:uid="{00000000-0005-0000-0000-0000030A0000}"/>
    <cellStyle name="Comma 4 4 3 3 3 2" xfId="14780" xr:uid="{A08AF5A6-5C6B-4B94-A087-99FBE9B6256E}"/>
    <cellStyle name="Comma 4 4 3 3 4" xfId="10563" xr:uid="{60C33B85-A96C-411A-A922-73C302969E3F}"/>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31F79618-EC6A-43AD-BBBB-4FCB8953253F}"/>
    <cellStyle name="Comma 4 4 3 4 2 3" xfId="13121" xr:uid="{AEC530B6-ED69-4132-9198-597FE604DC33}"/>
    <cellStyle name="Comma 4 4 3 4 3" xfId="5867" xr:uid="{00000000-0005-0000-0000-0000070A0000}"/>
    <cellStyle name="Comma 4 4 3 4 3 2" xfId="15193" xr:uid="{6DA46025-A1A2-4CA6-A96C-12F432BDA8FB}"/>
    <cellStyle name="Comma 4 4 3 4 4" xfId="10976" xr:uid="{C41AD191-4B78-4548-9BCA-2D65E7E065C5}"/>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532C84E2-02F5-4BA0-B7F9-9BDBCEBE151C}"/>
    <cellStyle name="Comma 4 4 3 5 2 3" xfId="13534" xr:uid="{42C9A3F7-F012-4F28-8165-168781C4F8A7}"/>
    <cellStyle name="Comma 4 4 3 5 3" xfId="6280" xr:uid="{00000000-0005-0000-0000-00000B0A0000}"/>
    <cellStyle name="Comma 4 4 3 5 3 2" xfId="15606" xr:uid="{BF771EF0-98AA-4A5A-8F1B-D222E3ED2B5D}"/>
    <cellStyle name="Comma 4 4 3 5 4" xfId="11389" xr:uid="{D905D3AA-38AC-4741-860C-869EB828E7A2}"/>
    <cellStyle name="Comma 4 4 3 6" xfId="2409" xr:uid="{00000000-0005-0000-0000-00000C0A0000}"/>
    <cellStyle name="Comma 4 4 3 6 2" xfId="6693" xr:uid="{00000000-0005-0000-0000-00000D0A0000}"/>
    <cellStyle name="Comma 4 4 3 6 2 2" xfId="16019" xr:uid="{5E0049D1-D9FB-43AA-AD56-FE1C312669BB}"/>
    <cellStyle name="Comma 4 4 3 6 3" xfId="11802" xr:uid="{0DBADE2B-8FA5-4127-B2A6-2EA760D41F77}"/>
    <cellStyle name="Comma 4 4 3 7" xfId="2705" xr:uid="{00000000-0005-0000-0000-00000E0A0000}"/>
    <cellStyle name="Comma 4 4 3 8" xfId="2787" xr:uid="{00000000-0005-0000-0000-00000F0A0000}"/>
    <cellStyle name="Comma 4 4 3 8 2" xfId="7010" xr:uid="{00000000-0005-0000-0000-0000100A0000}"/>
    <cellStyle name="Comma 4 4 3 8 2 2" xfId="16336" xr:uid="{3F1C2E54-1797-4882-973A-6B6851495B3D}"/>
    <cellStyle name="Comma 4 4 3 8 3" xfId="12119" xr:uid="{CDC3ABE2-8902-442B-8280-3F93B4078263}"/>
    <cellStyle name="Comma 4 4 3 9" xfId="4627" xr:uid="{00000000-0005-0000-0000-0000110A0000}"/>
    <cellStyle name="Comma 4 4 3 9 2" xfId="13953" xr:uid="{84C8E135-35A5-4E88-8DD2-C5C3CA6E28DD}"/>
    <cellStyle name="Comma 4 4 4" xfId="690" xr:uid="{00000000-0005-0000-0000-0000120A0000}"/>
    <cellStyle name="Comma 4 4 4 2" xfId="2961" xr:uid="{00000000-0005-0000-0000-0000130A0000}"/>
    <cellStyle name="Comma 4 4 4 2 2" xfId="7183" xr:uid="{00000000-0005-0000-0000-0000140A0000}"/>
    <cellStyle name="Comma 4 4 4 2 2 2" xfId="16509" xr:uid="{2DD5438B-4EC5-4E37-A81C-168378DBA924}"/>
    <cellStyle name="Comma 4 4 4 2 3" xfId="12292" xr:uid="{C3F68F43-AF4E-434D-A0ED-4059153DCAB7}"/>
    <cellStyle name="Comma 4 4 4 3" xfId="5038" xr:uid="{00000000-0005-0000-0000-0000150A0000}"/>
    <cellStyle name="Comma 4 4 4 3 2" xfId="14364" xr:uid="{59069A5B-1F21-4E48-9A21-48FB0B4FE7F0}"/>
    <cellStyle name="Comma 4 4 4 4" xfId="9229" xr:uid="{5D655A80-2199-4116-9BF2-7327D5827395}"/>
    <cellStyle name="Comma 4 4 4 4 2" xfId="18544" xr:uid="{1EC8FA7D-00CD-4B16-AAE6-268EAC453F75}"/>
    <cellStyle name="Comma 4 4 4 5" xfId="10147" xr:uid="{D7DDA36C-2695-4474-8218-38E9FC3D700A}"/>
    <cellStyle name="Comma 4 4 5" xfId="1143" xr:uid="{00000000-0005-0000-0000-0000160A0000}"/>
    <cellStyle name="Comma 4 4 5 2" xfId="3374" xr:uid="{00000000-0005-0000-0000-0000170A0000}"/>
    <cellStyle name="Comma 4 4 5 2 2" xfId="7596" xr:uid="{00000000-0005-0000-0000-0000180A0000}"/>
    <cellStyle name="Comma 4 4 5 2 2 2" xfId="16922" xr:uid="{414E116C-B0BF-42C1-84CF-368DBC335F13}"/>
    <cellStyle name="Comma 4 4 5 2 3" xfId="12705" xr:uid="{6A9E2CBD-401F-4DB0-B1F9-C07598860398}"/>
    <cellStyle name="Comma 4 4 5 3" xfId="5451" xr:uid="{00000000-0005-0000-0000-0000190A0000}"/>
    <cellStyle name="Comma 4 4 5 3 2" xfId="14777" xr:uid="{B4771EF5-5B18-4545-9487-7BA93EB74A8E}"/>
    <cellStyle name="Comma 4 4 5 4" xfId="10560" xr:uid="{2307E234-11E9-4B20-9C72-F713A2CF3BB7}"/>
    <cellStyle name="Comma 4 4 6" xfId="1557" xr:uid="{00000000-0005-0000-0000-00001A0A0000}"/>
    <cellStyle name="Comma 4 4 6 2" xfId="3787" xr:uid="{00000000-0005-0000-0000-00001B0A0000}"/>
    <cellStyle name="Comma 4 4 6 2 2" xfId="8009" xr:uid="{00000000-0005-0000-0000-00001C0A0000}"/>
    <cellStyle name="Comma 4 4 6 2 2 2" xfId="17335" xr:uid="{FB9B342C-0405-4654-8CD2-7C5CD7621B62}"/>
    <cellStyle name="Comma 4 4 6 2 3" xfId="13118" xr:uid="{4C395A07-5D6E-430F-9060-52977A33DCB5}"/>
    <cellStyle name="Comma 4 4 6 3" xfId="5864" xr:uid="{00000000-0005-0000-0000-00001D0A0000}"/>
    <cellStyle name="Comma 4 4 6 3 2" xfId="15190" xr:uid="{13A4006F-EF5E-48B9-98A8-9973348BB633}"/>
    <cellStyle name="Comma 4 4 6 4" xfId="10973" xr:uid="{01C50DAD-CD07-4F73-89B8-01A55D75FFE7}"/>
    <cellStyle name="Comma 4 4 7" xfId="1971" xr:uid="{00000000-0005-0000-0000-00001E0A0000}"/>
    <cellStyle name="Comma 4 4 7 2" xfId="4200" xr:uid="{00000000-0005-0000-0000-00001F0A0000}"/>
    <cellStyle name="Comma 4 4 7 2 2" xfId="8422" xr:uid="{00000000-0005-0000-0000-0000200A0000}"/>
    <cellStyle name="Comma 4 4 7 2 2 2" xfId="17748" xr:uid="{C36E26C9-C808-4225-A5C2-7F7E21C7CA9A}"/>
    <cellStyle name="Comma 4 4 7 2 3" xfId="13531" xr:uid="{061ED305-AD72-4A0B-84C5-67297758A6BE}"/>
    <cellStyle name="Comma 4 4 7 3" xfId="6277" xr:uid="{00000000-0005-0000-0000-0000210A0000}"/>
    <cellStyle name="Comma 4 4 7 3 2" xfId="15603" xr:uid="{809212A7-CCA0-4975-A523-AAD33BDD5BBF}"/>
    <cellStyle name="Comma 4 4 7 4" xfId="11386" xr:uid="{43CC0CA5-048A-45DA-9B06-389DABB4CBEE}"/>
    <cellStyle name="Comma 4 4 8" xfId="2406" xr:uid="{00000000-0005-0000-0000-0000220A0000}"/>
    <cellStyle name="Comma 4 4 8 2" xfId="6690" xr:uid="{00000000-0005-0000-0000-0000230A0000}"/>
    <cellStyle name="Comma 4 4 8 2 2" xfId="16016" xr:uid="{6210EEB7-EDFC-4EDB-BCDC-F49DF49293D0}"/>
    <cellStyle name="Comma 4 4 8 3" xfId="11799" xr:uid="{DCD8A79C-7D1E-4BB3-85A4-8512D0572F29}"/>
    <cellStyle name="Comma 4 4 9" xfId="2702" xr:uid="{00000000-0005-0000-0000-0000240A0000}"/>
    <cellStyle name="Comma 4 5" xfId="157" xr:uid="{00000000-0005-0000-0000-0000250A0000}"/>
    <cellStyle name="Comma 4 5 10" xfId="4628" xr:uid="{00000000-0005-0000-0000-0000260A0000}"/>
    <cellStyle name="Comma 4 5 10 2" xfId="13954" xr:uid="{14E29D6F-B74C-43E7-9925-533F99AC47FB}"/>
    <cellStyle name="Comma 4 5 11" xfId="8849" xr:uid="{344CCE08-63E3-41E8-B38A-00347480820F}"/>
    <cellStyle name="Comma 4 5 11 2" xfId="18173" xr:uid="{37633D6D-578A-46D5-856A-34A62447312F}"/>
    <cellStyle name="Comma 4 5 12" xfId="9737" xr:uid="{B9102454-2C1B-45B9-987E-7543CCF1A649}"/>
    <cellStyle name="Comma 4 5 2" xfId="158" xr:uid="{00000000-0005-0000-0000-0000270A0000}"/>
    <cellStyle name="Comma 4 5 2 10" xfId="9056" xr:uid="{C7C2153B-7EAA-4A13-9C28-1151ACD100A8}"/>
    <cellStyle name="Comma 4 5 2 10 2" xfId="18380" xr:uid="{8A53F257-76E8-444B-AD96-893CDCC585FC}"/>
    <cellStyle name="Comma 4 5 2 11" xfId="9738" xr:uid="{B5E843D4-D253-4069-AED0-52710B33F915}"/>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D8960F8F-080E-4AE3-B210-8FD36F00B21E}"/>
    <cellStyle name="Comma 4 5 2 2 2 3" xfId="12297" xr:uid="{FD5ADC8D-5DF7-4F24-B1BA-51B68104653B}"/>
    <cellStyle name="Comma 4 5 2 2 3" xfId="5043" xr:uid="{00000000-0005-0000-0000-00002B0A0000}"/>
    <cellStyle name="Comma 4 5 2 2 3 2" xfId="14369" xr:uid="{ED88AF46-09C5-491A-996D-C06B02E4601C}"/>
    <cellStyle name="Comma 4 5 2 2 4" xfId="9481" xr:uid="{47C88F6D-21B1-4457-908C-FFAB8FF83BD1}"/>
    <cellStyle name="Comma 4 5 2 2 4 2" xfId="18796" xr:uid="{7F04A0D9-D32A-4B36-A8FF-34B23F6355FA}"/>
    <cellStyle name="Comma 4 5 2 2 5" xfId="10152" xr:uid="{89541CF0-F0CD-4CC5-8343-4478553A93FD}"/>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7BE79C87-E534-44DF-8068-86CE3712D71C}"/>
    <cellStyle name="Comma 4 5 2 3 2 3" xfId="12710" xr:uid="{681D40B1-2FD8-43EF-A327-FE2F2B479FED}"/>
    <cellStyle name="Comma 4 5 2 3 3" xfId="5456" xr:uid="{00000000-0005-0000-0000-00002F0A0000}"/>
    <cellStyle name="Comma 4 5 2 3 3 2" xfId="14782" xr:uid="{0C55E0A3-962E-4DE5-BF04-5307A3736AFD}"/>
    <cellStyle name="Comma 4 5 2 3 4" xfId="10565" xr:uid="{4DBE8685-62FA-49D7-92AE-46DE77F78EB3}"/>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771CD112-267E-49E8-AFD4-6963A819BF66}"/>
    <cellStyle name="Comma 4 5 2 4 2 3" xfId="13123" xr:uid="{AC7C1CFD-D2F1-4AB9-B48A-A84662F3E9CF}"/>
    <cellStyle name="Comma 4 5 2 4 3" xfId="5869" xr:uid="{00000000-0005-0000-0000-0000330A0000}"/>
    <cellStyle name="Comma 4 5 2 4 3 2" xfId="15195" xr:uid="{A3AF07FB-BC58-47B8-900E-B765B568B857}"/>
    <cellStyle name="Comma 4 5 2 4 4" xfId="10978" xr:uid="{7E65BD12-D069-4B61-8DD5-4F8FED25DF42}"/>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2E8A3F68-E8DF-4122-ABB4-3E064DF00319}"/>
    <cellStyle name="Comma 4 5 2 5 2 3" xfId="13536" xr:uid="{4F745E30-EBD5-4CA2-995C-B107F6132E76}"/>
    <cellStyle name="Comma 4 5 2 5 3" xfId="6282" xr:uid="{00000000-0005-0000-0000-0000370A0000}"/>
    <cellStyle name="Comma 4 5 2 5 3 2" xfId="15608" xr:uid="{F69B10FD-A8DD-45F7-A923-7EB003E397C5}"/>
    <cellStyle name="Comma 4 5 2 5 4" xfId="11391" xr:uid="{5F6B5770-B519-4FB5-92CF-BD480EB6B6F1}"/>
    <cellStyle name="Comma 4 5 2 6" xfId="2411" xr:uid="{00000000-0005-0000-0000-0000380A0000}"/>
    <cellStyle name="Comma 4 5 2 6 2" xfId="6695" xr:uid="{00000000-0005-0000-0000-0000390A0000}"/>
    <cellStyle name="Comma 4 5 2 6 2 2" xfId="16021" xr:uid="{D7F18E46-11C6-4E6E-AB04-484C325DDF10}"/>
    <cellStyle name="Comma 4 5 2 6 3" xfId="11804" xr:uid="{88C16FFE-9830-4E79-BACF-653C26095DCF}"/>
    <cellStyle name="Comma 4 5 2 7" xfId="2707" xr:uid="{00000000-0005-0000-0000-00003A0A0000}"/>
    <cellStyle name="Comma 4 5 2 8" xfId="2789" xr:uid="{00000000-0005-0000-0000-00003B0A0000}"/>
    <cellStyle name="Comma 4 5 2 8 2" xfId="7012" xr:uid="{00000000-0005-0000-0000-00003C0A0000}"/>
    <cellStyle name="Comma 4 5 2 8 2 2" xfId="16338" xr:uid="{71D587C1-B746-4BB1-B8AF-397F8CBE6926}"/>
    <cellStyle name="Comma 4 5 2 8 3" xfId="12121" xr:uid="{9B5C9922-5AE9-461E-9F8E-6B6FC9FBC64B}"/>
    <cellStyle name="Comma 4 5 2 9" xfId="4629" xr:uid="{00000000-0005-0000-0000-00003D0A0000}"/>
    <cellStyle name="Comma 4 5 2 9 2" xfId="13955" xr:uid="{CC907FB2-D44E-4F8E-85E0-DD826DA7D131}"/>
    <cellStyle name="Comma 4 5 3" xfId="694" xr:uid="{00000000-0005-0000-0000-00003E0A0000}"/>
    <cellStyle name="Comma 4 5 3 2" xfId="2965" xr:uid="{00000000-0005-0000-0000-00003F0A0000}"/>
    <cellStyle name="Comma 4 5 3 2 2" xfId="7187" xr:uid="{00000000-0005-0000-0000-0000400A0000}"/>
    <cellStyle name="Comma 4 5 3 2 2 2" xfId="16513" xr:uid="{3D604115-D1FF-411E-8978-CEB0CD8ADC07}"/>
    <cellStyle name="Comma 4 5 3 2 3" xfId="12296" xr:uid="{BA07C628-D689-4ED8-8197-87FDD2CC8AEF}"/>
    <cellStyle name="Comma 4 5 3 3" xfId="5042" xr:uid="{00000000-0005-0000-0000-0000410A0000}"/>
    <cellStyle name="Comma 4 5 3 3 2" xfId="14368" xr:uid="{86FF6E21-F3FF-4384-B46A-2C927AF4A571}"/>
    <cellStyle name="Comma 4 5 3 4" xfId="9274" xr:uid="{04AC3EF2-4A78-4DC5-BAB4-87936023C7E5}"/>
    <cellStyle name="Comma 4 5 3 4 2" xfId="18589" xr:uid="{FDA03A62-1267-4AD3-946D-F04ADD144D8B}"/>
    <cellStyle name="Comma 4 5 3 5" xfId="10151" xr:uid="{4E6C736F-B91C-4FB7-AC83-DB88C8D5155A}"/>
    <cellStyle name="Comma 4 5 4" xfId="1147" xr:uid="{00000000-0005-0000-0000-0000420A0000}"/>
    <cellStyle name="Comma 4 5 4 2" xfId="3378" xr:uid="{00000000-0005-0000-0000-0000430A0000}"/>
    <cellStyle name="Comma 4 5 4 2 2" xfId="7600" xr:uid="{00000000-0005-0000-0000-0000440A0000}"/>
    <cellStyle name="Comma 4 5 4 2 2 2" xfId="16926" xr:uid="{E8FF5C43-BB4B-49A9-9E61-3C03047CCE32}"/>
    <cellStyle name="Comma 4 5 4 2 3" xfId="12709" xr:uid="{BE46F89D-F9BC-4EC1-B81E-D6535E3E03E0}"/>
    <cellStyle name="Comma 4 5 4 3" xfId="5455" xr:uid="{00000000-0005-0000-0000-0000450A0000}"/>
    <cellStyle name="Comma 4 5 4 3 2" xfId="14781" xr:uid="{B5ADB2CA-A210-42F7-AF1E-417DBFFEEBC4}"/>
    <cellStyle name="Comma 4 5 4 4" xfId="10564" xr:uid="{296F5DA6-E444-4FFA-9975-B720169AAC9D}"/>
    <cellStyle name="Comma 4 5 5" xfId="1561" xr:uid="{00000000-0005-0000-0000-0000460A0000}"/>
    <cellStyle name="Comma 4 5 5 2" xfId="3791" xr:uid="{00000000-0005-0000-0000-0000470A0000}"/>
    <cellStyle name="Comma 4 5 5 2 2" xfId="8013" xr:uid="{00000000-0005-0000-0000-0000480A0000}"/>
    <cellStyle name="Comma 4 5 5 2 2 2" xfId="17339" xr:uid="{57A1155F-F87D-4EE1-80A6-FE633059ADAB}"/>
    <cellStyle name="Comma 4 5 5 2 3" xfId="13122" xr:uid="{CA5FE530-AC9E-4B3D-A8EC-053751927057}"/>
    <cellStyle name="Comma 4 5 5 3" xfId="5868" xr:uid="{00000000-0005-0000-0000-0000490A0000}"/>
    <cellStyle name="Comma 4 5 5 3 2" xfId="15194" xr:uid="{3CB90BA2-81FF-4015-874E-0701C46115F1}"/>
    <cellStyle name="Comma 4 5 5 4" xfId="10977" xr:uid="{7DD27210-73E7-4E2C-808D-0006B7A708C9}"/>
    <cellStyle name="Comma 4 5 6" xfId="1975" xr:uid="{00000000-0005-0000-0000-00004A0A0000}"/>
    <cellStyle name="Comma 4 5 6 2" xfId="4204" xr:uid="{00000000-0005-0000-0000-00004B0A0000}"/>
    <cellStyle name="Comma 4 5 6 2 2" xfId="8426" xr:uid="{00000000-0005-0000-0000-00004C0A0000}"/>
    <cellStyle name="Comma 4 5 6 2 2 2" xfId="17752" xr:uid="{373209E6-0743-49BF-9411-6C676093F39B}"/>
    <cellStyle name="Comma 4 5 6 2 3" xfId="13535" xr:uid="{4BB03448-EBF4-4B6C-B659-74CC6A4B13A0}"/>
    <cellStyle name="Comma 4 5 6 3" xfId="6281" xr:uid="{00000000-0005-0000-0000-00004D0A0000}"/>
    <cellStyle name="Comma 4 5 6 3 2" xfId="15607" xr:uid="{012946C3-86E8-4FBE-A617-B6799BE3A1FA}"/>
    <cellStyle name="Comma 4 5 6 4" xfId="11390" xr:uid="{711C9B02-1650-4125-956A-04720029F4AF}"/>
    <cellStyle name="Comma 4 5 7" xfId="2410" xr:uid="{00000000-0005-0000-0000-00004E0A0000}"/>
    <cellStyle name="Comma 4 5 7 2" xfId="6694" xr:uid="{00000000-0005-0000-0000-00004F0A0000}"/>
    <cellStyle name="Comma 4 5 7 2 2" xfId="16020" xr:uid="{8B3109B9-82A5-4A8F-9BCA-048313C1B7AD}"/>
    <cellStyle name="Comma 4 5 7 3" xfId="11803" xr:uid="{6D1F6DED-693B-4A4E-81DF-6A2F0E3B0437}"/>
    <cellStyle name="Comma 4 5 8" xfId="2706" xr:uid="{00000000-0005-0000-0000-0000500A0000}"/>
    <cellStyle name="Comma 4 5 9" xfId="2788" xr:uid="{00000000-0005-0000-0000-0000510A0000}"/>
    <cellStyle name="Comma 4 5 9 2" xfId="7011" xr:uid="{00000000-0005-0000-0000-0000520A0000}"/>
    <cellStyle name="Comma 4 5 9 2 2" xfId="16337" xr:uid="{F66535B6-F8CB-4FC8-83BA-2A5D2B7E5DF8}"/>
    <cellStyle name="Comma 4 5 9 3" xfId="12120" xr:uid="{1D1F4B9A-5ED3-4274-BC5C-1EE5F56F626E}"/>
    <cellStyle name="Comma 4 6" xfId="159" xr:uid="{00000000-0005-0000-0000-0000530A0000}"/>
    <cellStyle name="Comma 4 6 10" xfId="8965" xr:uid="{FDA33E7D-96B8-46F2-87D8-5CB6C30A4CC6}"/>
    <cellStyle name="Comma 4 6 10 2" xfId="18289" xr:uid="{8AEA5D22-D7A6-4851-A568-4C5A7E02EDA0}"/>
    <cellStyle name="Comma 4 6 11" xfId="9739" xr:uid="{D83A7AA0-A1EF-4DEA-B164-E99345D46255}"/>
    <cellStyle name="Comma 4 6 2" xfId="696" xr:uid="{00000000-0005-0000-0000-0000540A0000}"/>
    <cellStyle name="Comma 4 6 2 2" xfId="2967" xr:uid="{00000000-0005-0000-0000-0000550A0000}"/>
    <cellStyle name="Comma 4 6 2 2 2" xfId="7189" xr:uid="{00000000-0005-0000-0000-0000560A0000}"/>
    <cellStyle name="Comma 4 6 2 2 2 2" xfId="16515" xr:uid="{AC524CD9-01E9-4DAE-98F0-7F29EB890945}"/>
    <cellStyle name="Comma 4 6 2 2 3" xfId="12298" xr:uid="{20B7E8B3-0034-49C0-8EFE-710851EC87F8}"/>
    <cellStyle name="Comma 4 6 2 3" xfId="5044" xr:uid="{00000000-0005-0000-0000-0000570A0000}"/>
    <cellStyle name="Comma 4 6 2 3 2" xfId="14370" xr:uid="{B5BF1E7A-A7C7-463A-A971-BF7282CE3DBE}"/>
    <cellStyle name="Comma 4 6 2 4" xfId="9390" xr:uid="{F8012948-A58F-476A-B4CF-A63C8F36D5B6}"/>
    <cellStyle name="Comma 4 6 2 4 2" xfId="18705" xr:uid="{22D63AE2-140E-48D8-8809-30F049BDF631}"/>
    <cellStyle name="Comma 4 6 2 5" xfId="10153" xr:uid="{BFBDE2EA-FF7D-4067-8851-88DE87DAB9DB}"/>
    <cellStyle name="Comma 4 6 3" xfId="1149" xr:uid="{00000000-0005-0000-0000-0000580A0000}"/>
    <cellStyle name="Comma 4 6 3 2" xfId="3380" xr:uid="{00000000-0005-0000-0000-0000590A0000}"/>
    <cellStyle name="Comma 4 6 3 2 2" xfId="7602" xr:uid="{00000000-0005-0000-0000-00005A0A0000}"/>
    <cellStyle name="Comma 4 6 3 2 2 2" xfId="16928" xr:uid="{0938F1FD-85C0-47AD-A9FE-ECE6AAC6CE59}"/>
    <cellStyle name="Comma 4 6 3 2 3" xfId="12711" xr:uid="{A8107FC3-E83D-4A69-99C8-2E357F2CC826}"/>
    <cellStyle name="Comma 4 6 3 3" xfId="5457" xr:uid="{00000000-0005-0000-0000-00005B0A0000}"/>
    <cellStyle name="Comma 4 6 3 3 2" xfId="14783" xr:uid="{A6EC1BE7-89C6-431D-8D4C-67A8224293AC}"/>
    <cellStyle name="Comma 4 6 3 4" xfId="10566" xr:uid="{056E9404-9ED7-4DFA-8787-20273026D92A}"/>
    <cellStyle name="Comma 4 6 4" xfId="1563" xr:uid="{00000000-0005-0000-0000-00005C0A0000}"/>
    <cellStyle name="Comma 4 6 4 2" xfId="3793" xr:uid="{00000000-0005-0000-0000-00005D0A0000}"/>
    <cellStyle name="Comma 4 6 4 2 2" xfId="8015" xr:uid="{00000000-0005-0000-0000-00005E0A0000}"/>
    <cellStyle name="Comma 4 6 4 2 2 2" xfId="17341" xr:uid="{06CFC577-E473-4087-A2FA-A463B274DC52}"/>
    <cellStyle name="Comma 4 6 4 2 3" xfId="13124" xr:uid="{924E39E8-30DE-4A4D-A2BB-F3DB47F5D368}"/>
    <cellStyle name="Comma 4 6 4 3" xfId="5870" xr:uid="{00000000-0005-0000-0000-00005F0A0000}"/>
    <cellStyle name="Comma 4 6 4 3 2" xfId="15196" xr:uid="{A23CAB9F-9B19-4A35-9CD6-9A9F6779F10D}"/>
    <cellStyle name="Comma 4 6 4 4" xfId="10979" xr:uid="{F7FF7C76-3111-4AB4-9EF0-1E57C6455C2D}"/>
    <cellStyle name="Comma 4 6 5" xfId="1977" xr:uid="{00000000-0005-0000-0000-0000600A0000}"/>
    <cellStyle name="Comma 4 6 5 2" xfId="4206" xr:uid="{00000000-0005-0000-0000-0000610A0000}"/>
    <cellStyle name="Comma 4 6 5 2 2" xfId="8428" xr:uid="{00000000-0005-0000-0000-0000620A0000}"/>
    <cellStyle name="Comma 4 6 5 2 2 2" xfId="17754" xr:uid="{D238C9FD-5BC9-493A-A35C-293C5F8D9787}"/>
    <cellStyle name="Comma 4 6 5 2 3" xfId="13537" xr:uid="{D82252BE-E80E-4DFA-8E4D-417FC6EE7C2C}"/>
    <cellStyle name="Comma 4 6 5 3" xfId="6283" xr:uid="{00000000-0005-0000-0000-0000630A0000}"/>
    <cellStyle name="Comma 4 6 5 3 2" xfId="15609" xr:uid="{4588A85A-B5AE-449E-BB5B-C88A810F49E1}"/>
    <cellStyle name="Comma 4 6 5 4" xfId="11392" xr:uid="{2EFECF44-A305-45B6-8794-3A6E868E5EDE}"/>
    <cellStyle name="Comma 4 6 6" xfId="2412" xr:uid="{00000000-0005-0000-0000-0000640A0000}"/>
    <cellStyle name="Comma 4 6 6 2" xfId="6696" xr:uid="{00000000-0005-0000-0000-0000650A0000}"/>
    <cellStyle name="Comma 4 6 6 2 2" xfId="16022" xr:uid="{2B240C95-56C2-4CD4-B704-9A4B7FFEFD07}"/>
    <cellStyle name="Comma 4 6 6 3" xfId="11805" xr:uid="{E0864711-9AA6-4BA8-B25E-B5D1638647CF}"/>
    <cellStyle name="Comma 4 6 7" xfId="2708" xr:uid="{00000000-0005-0000-0000-0000660A0000}"/>
    <cellStyle name="Comma 4 6 8" xfId="2790" xr:uid="{00000000-0005-0000-0000-0000670A0000}"/>
    <cellStyle name="Comma 4 6 8 2" xfId="7013" xr:uid="{00000000-0005-0000-0000-0000680A0000}"/>
    <cellStyle name="Comma 4 6 8 2 2" xfId="16339" xr:uid="{158CF988-C366-4FA4-8B6B-5D33CF8DA923}"/>
    <cellStyle name="Comma 4 6 8 3" xfId="12122" xr:uid="{3D287ABD-1F2C-4051-A401-869E39C0D398}"/>
    <cellStyle name="Comma 4 6 9" xfId="4630" xr:uid="{00000000-0005-0000-0000-0000690A0000}"/>
    <cellStyle name="Comma 4 6 9 2" xfId="13956" xr:uid="{1DDE05E9-20A3-4995-87BA-CF56B5A12B51}"/>
    <cellStyle name="Comma 4 7" xfId="160" xr:uid="{00000000-0005-0000-0000-00006A0A0000}"/>
    <cellStyle name="Comma 4 7 10" xfId="9168" xr:uid="{C5EF0C72-87BD-43A9-8A23-92F9D9423F50}"/>
    <cellStyle name="Comma 4 7 10 2" xfId="18486" xr:uid="{7F87B9FA-2B68-49B7-B4D6-F49FBB509E44}"/>
    <cellStyle name="Comma 4 7 11" xfId="9740" xr:uid="{425707B4-69CF-4349-BCA3-65DF06A3C21C}"/>
    <cellStyle name="Comma 4 7 2" xfId="697" xr:uid="{00000000-0005-0000-0000-00006B0A0000}"/>
    <cellStyle name="Comma 4 7 2 2" xfId="2968" xr:uid="{00000000-0005-0000-0000-00006C0A0000}"/>
    <cellStyle name="Comma 4 7 2 2 2" xfId="7190" xr:uid="{00000000-0005-0000-0000-00006D0A0000}"/>
    <cellStyle name="Comma 4 7 2 2 2 2" xfId="16516" xr:uid="{F620F603-38B1-4B57-9264-1C2ACA42BA99}"/>
    <cellStyle name="Comma 4 7 2 2 3" xfId="12299" xr:uid="{A3392A1C-AF6E-4763-B26E-4D251E4A2443}"/>
    <cellStyle name="Comma 4 7 2 3" xfId="5045" xr:uid="{00000000-0005-0000-0000-00006E0A0000}"/>
    <cellStyle name="Comma 4 7 2 3 2" xfId="14371" xr:uid="{FD5B30E0-9AD3-4F79-959B-0C24BAA19D48}"/>
    <cellStyle name="Comma 4 7 2 4" xfId="9596" xr:uid="{F4A1C070-02C1-4F2A-89F2-15465D9BEBB2}"/>
    <cellStyle name="Comma 4 7 2 4 2" xfId="18900" xr:uid="{9581CE9B-24D8-4AA5-9F1D-85C7472FEB21}"/>
    <cellStyle name="Comma 4 7 2 5" xfId="10154" xr:uid="{9276B3F8-C9E3-44EF-82EC-15F3CDE77967}"/>
    <cellStyle name="Comma 4 7 3" xfId="1150" xr:uid="{00000000-0005-0000-0000-00006F0A0000}"/>
    <cellStyle name="Comma 4 7 3 2" xfId="3381" xr:uid="{00000000-0005-0000-0000-0000700A0000}"/>
    <cellStyle name="Comma 4 7 3 2 2" xfId="7603" xr:uid="{00000000-0005-0000-0000-0000710A0000}"/>
    <cellStyle name="Comma 4 7 3 2 2 2" xfId="16929" xr:uid="{2D682C63-8117-4120-AD1F-C346C46D5AF7}"/>
    <cellStyle name="Comma 4 7 3 2 3" xfId="12712" xr:uid="{AD56D360-EB72-496F-AED9-2FB495B4E920}"/>
    <cellStyle name="Comma 4 7 3 3" xfId="5458" xr:uid="{00000000-0005-0000-0000-0000720A0000}"/>
    <cellStyle name="Comma 4 7 3 3 2" xfId="14784" xr:uid="{5E66A053-F889-48C7-BF0C-F5D3CBDDB686}"/>
    <cellStyle name="Comma 4 7 3 4" xfId="10567" xr:uid="{3F3615C6-66AF-416D-8638-D1229F04F9FB}"/>
    <cellStyle name="Comma 4 7 4" xfId="1564" xr:uid="{00000000-0005-0000-0000-0000730A0000}"/>
    <cellStyle name="Comma 4 7 4 2" xfId="3794" xr:uid="{00000000-0005-0000-0000-0000740A0000}"/>
    <cellStyle name="Comma 4 7 4 2 2" xfId="8016" xr:uid="{00000000-0005-0000-0000-0000750A0000}"/>
    <cellStyle name="Comma 4 7 4 2 2 2" xfId="17342" xr:uid="{41D98948-7DA4-4C5F-AA10-DA9AE4FBC2D3}"/>
    <cellStyle name="Comma 4 7 4 2 3" xfId="13125" xr:uid="{A2DC48B9-02C6-42F9-8459-5AA51156BB45}"/>
    <cellStyle name="Comma 4 7 4 3" xfId="5871" xr:uid="{00000000-0005-0000-0000-0000760A0000}"/>
    <cellStyle name="Comma 4 7 4 3 2" xfId="15197" xr:uid="{4B989445-5842-4654-BD7F-0AD3980647A9}"/>
    <cellStyle name="Comma 4 7 4 4" xfId="10980" xr:uid="{0432BE05-3315-4AA2-B22A-CB13692387A0}"/>
    <cellStyle name="Comma 4 7 5" xfId="1978" xr:uid="{00000000-0005-0000-0000-0000770A0000}"/>
    <cellStyle name="Comma 4 7 5 2" xfId="4207" xr:uid="{00000000-0005-0000-0000-0000780A0000}"/>
    <cellStyle name="Comma 4 7 5 2 2" xfId="8429" xr:uid="{00000000-0005-0000-0000-0000790A0000}"/>
    <cellStyle name="Comma 4 7 5 2 2 2" xfId="17755" xr:uid="{C0BCA9EB-8EE1-4D44-A125-996478DA389B}"/>
    <cellStyle name="Comma 4 7 5 2 3" xfId="13538" xr:uid="{A48EFE2B-E103-4538-9498-B1A7E7957459}"/>
    <cellStyle name="Comma 4 7 5 3" xfId="6284" xr:uid="{00000000-0005-0000-0000-00007A0A0000}"/>
    <cellStyle name="Comma 4 7 5 3 2" xfId="15610" xr:uid="{41EAC636-6A7C-4318-A876-B53046B94A87}"/>
    <cellStyle name="Comma 4 7 5 4" xfId="11393" xr:uid="{F0A84468-F03C-4839-8D97-67D196FED65F}"/>
    <cellStyle name="Comma 4 7 6" xfId="2413" xr:uid="{00000000-0005-0000-0000-00007B0A0000}"/>
    <cellStyle name="Comma 4 7 6 2" xfId="6697" xr:uid="{00000000-0005-0000-0000-00007C0A0000}"/>
    <cellStyle name="Comma 4 7 6 2 2" xfId="16023" xr:uid="{D7441276-6181-47F4-9B84-0B589AAFF4F8}"/>
    <cellStyle name="Comma 4 7 6 3" xfId="11806" xr:uid="{FEA87394-A3ED-4AF4-8830-8C522FADCE81}"/>
    <cellStyle name="Comma 4 7 7" xfId="2709" xr:uid="{00000000-0005-0000-0000-00007D0A0000}"/>
    <cellStyle name="Comma 4 7 8" xfId="2791" xr:uid="{00000000-0005-0000-0000-00007E0A0000}"/>
    <cellStyle name="Comma 4 7 8 2" xfId="7014" xr:uid="{00000000-0005-0000-0000-00007F0A0000}"/>
    <cellStyle name="Comma 4 7 8 2 2" xfId="16340" xr:uid="{188A4105-D726-42C0-BBCD-DF3B9A115C70}"/>
    <cellStyle name="Comma 4 7 8 3" xfId="12123" xr:uid="{D10144CE-E8CF-4276-A54D-9418E1361F83}"/>
    <cellStyle name="Comma 4 7 9" xfId="4631" xr:uid="{00000000-0005-0000-0000-0000800A0000}"/>
    <cellStyle name="Comma 4 7 9 2" xfId="13957" xr:uid="{B40F6398-B55F-4FE3-AAA7-434ECE608947}"/>
    <cellStyle name="Comma 4 8" xfId="9193" xr:uid="{D2F7B7D5-1187-4B94-96D8-1D61B28E4E34}"/>
    <cellStyle name="Comma 4 9" xfId="8746" xr:uid="{EB6F8E1D-15EE-4A1C-A7FF-36C2A43F5A26}"/>
    <cellStyle name="Comma 4 9 2" xfId="18070" xr:uid="{76CEAE32-2182-40FA-AA16-EED696A4ED49}"/>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1AC6E673-8186-41FC-A382-794F774E8F79}"/>
    <cellStyle name="Comma 7 3" xfId="9589" xr:uid="{E5FB568C-33F4-49EE-BE6E-4022B43BCBB9}"/>
    <cellStyle name="Comma 7 4" xfId="13825" xr:uid="{86F0CFBF-5B43-4A87-9532-687674AB10ED}"/>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5F92D850-CC74-4CDF-985C-34B2616AE4C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D17F178A-CCCE-4A37-953D-BB6E2B18639B}"/>
    <cellStyle name="Currency 14 3 2 2 2 2 3" xfId="18058" xr:uid="{6A257DD1-A316-4760-818D-B5B4B754CC0E}"/>
    <cellStyle name="Currency 14 3 2 2 2 3" xfId="18055" xr:uid="{9DB39E4C-09E5-4695-BCBB-E4D35D61A668}"/>
    <cellStyle name="Currency 14 3 2 2 3" xfId="18051" xr:uid="{9A721A6B-ADEA-4423-BEDC-960FF9B3C518}"/>
    <cellStyle name="Currency 14 3 2 3" xfId="18048" xr:uid="{79611FA5-D850-4075-97C1-12804A618ECD}"/>
    <cellStyle name="Currency 14 3 3" xfId="18045" xr:uid="{ADFEDBC7-FE91-4DB3-96E8-1D474035EE7C}"/>
    <cellStyle name="Currency 14 4" xfId="13828" xr:uid="{AB456F4A-12B9-4515-B49F-73332A405CAD}"/>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21E35A5B-DAA1-4F3D-B834-7AE7743ABC30}"/>
    <cellStyle name="Currency 3 2 2 10 3" xfId="12124" xr:uid="{692DFEBB-11C5-418A-914C-E37A7F7C71A4}"/>
    <cellStyle name="Currency 3 2 2 11" xfId="4632" xr:uid="{00000000-0005-0000-0000-0000A50A0000}"/>
    <cellStyle name="Currency 3 2 2 11 2" xfId="13958" xr:uid="{D5C62386-4847-4B5E-94A4-96C14C1C7E72}"/>
    <cellStyle name="Currency 3 2 2 12" xfId="8808" xr:uid="{5CD24693-181E-456A-9199-DC057509AC96}"/>
    <cellStyle name="Currency 3 2 2 12 2" xfId="18132" xr:uid="{85AB3F2F-0237-424E-B954-37F87D46C43C}"/>
    <cellStyle name="Currency 3 2 2 13" xfId="9741" xr:uid="{71A8E125-D5FF-4E78-8502-4961CCB189A8}"/>
    <cellStyle name="Currency 3 2 2 2" xfId="179" xr:uid="{00000000-0005-0000-0000-0000A60A0000}"/>
    <cellStyle name="Currency 3 2 2 2 10" xfId="4633" xr:uid="{00000000-0005-0000-0000-0000A70A0000}"/>
    <cellStyle name="Currency 3 2 2 2 10 2" xfId="13959" xr:uid="{CFF24D99-66B6-42A8-B730-F6FA25916B15}"/>
    <cellStyle name="Currency 3 2 2 2 11" xfId="8911" xr:uid="{177A45F7-B130-49DA-829A-AA3BF41B848C}"/>
    <cellStyle name="Currency 3 2 2 2 11 2" xfId="18235" xr:uid="{5A42B299-82C0-4A99-B09F-B75360A9483F}"/>
    <cellStyle name="Currency 3 2 2 2 12" xfId="9742" xr:uid="{2AF27115-448A-4946-A4A4-9C5D344D4AE6}"/>
    <cellStyle name="Currency 3 2 2 2 2" xfId="180" xr:uid="{00000000-0005-0000-0000-0000A80A0000}"/>
    <cellStyle name="Currency 3 2 2 2 2 10" xfId="9118" xr:uid="{4DDBDF88-B997-49F5-AF34-322CC93508E5}"/>
    <cellStyle name="Currency 3 2 2 2 2 10 2" xfId="18442" xr:uid="{3A01FF19-1E25-4DEE-8FFA-2E3C4D175C79}"/>
    <cellStyle name="Currency 3 2 2 2 2 11" xfId="9743" xr:uid="{4E1946A9-DF81-4035-A13D-953248EBD044}"/>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D8AF8CDB-EEC6-4D1F-B920-E5D48DFDFCEB}"/>
    <cellStyle name="Currency 3 2 2 2 2 2 2 3" xfId="12302" xr:uid="{93F7D1EB-2A8D-47E1-8440-28C69FD200AD}"/>
    <cellStyle name="Currency 3 2 2 2 2 2 3" xfId="5048" xr:uid="{00000000-0005-0000-0000-0000AC0A0000}"/>
    <cellStyle name="Currency 3 2 2 2 2 2 3 2" xfId="14374" xr:uid="{56381A43-105B-411B-A695-63C1C471161E}"/>
    <cellStyle name="Currency 3 2 2 2 2 2 4" xfId="9543" xr:uid="{08990697-BAC1-4B06-A86B-C554A35267E6}"/>
    <cellStyle name="Currency 3 2 2 2 2 2 4 2" xfId="18858" xr:uid="{E0F469B9-C150-4C1A-9909-388EF5BA00D3}"/>
    <cellStyle name="Currency 3 2 2 2 2 2 5" xfId="10157" xr:uid="{FE8218BB-C493-4CBA-80F9-48BE99775BD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D3BACFBC-7B31-4B7B-9E1F-94AC1E648F51}"/>
    <cellStyle name="Currency 3 2 2 2 2 3 2 3" xfId="12715" xr:uid="{2459E7A9-E8AD-42FE-BB29-D2ED633D11AF}"/>
    <cellStyle name="Currency 3 2 2 2 2 3 3" xfId="5461" xr:uid="{00000000-0005-0000-0000-0000B00A0000}"/>
    <cellStyle name="Currency 3 2 2 2 2 3 3 2" xfId="14787" xr:uid="{9BCA3437-6AEE-4C53-9AA9-A6A39F47788F}"/>
    <cellStyle name="Currency 3 2 2 2 2 3 4" xfId="10570" xr:uid="{D1856E4D-DA0A-4E65-A90E-B57B81A8F99F}"/>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75B77C1F-C976-42C5-A3BE-BB66FA2F32AC}"/>
    <cellStyle name="Currency 3 2 2 2 2 4 2 3" xfId="13128" xr:uid="{84A6B5B7-70C1-4168-967D-64F1564E8626}"/>
    <cellStyle name="Currency 3 2 2 2 2 4 3" xfId="5874" xr:uid="{00000000-0005-0000-0000-0000B40A0000}"/>
    <cellStyle name="Currency 3 2 2 2 2 4 3 2" xfId="15200" xr:uid="{BA200F25-7E58-4D96-AC87-2EA283E1EBF9}"/>
    <cellStyle name="Currency 3 2 2 2 2 4 4" xfId="10983" xr:uid="{27E7B728-86DC-41FE-9E5D-F33D4257B78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FC252B1C-D3FA-454E-AF5B-24C3567DC18F}"/>
    <cellStyle name="Currency 3 2 2 2 2 5 2 3" xfId="13541" xr:uid="{CC7C541E-E573-4FA4-9E4C-D9496279512D}"/>
    <cellStyle name="Currency 3 2 2 2 2 5 3" xfId="6287" xr:uid="{00000000-0005-0000-0000-0000B80A0000}"/>
    <cellStyle name="Currency 3 2 2 2 2 5 3 2" xfId="15613" xr:uid="{08CA38CB-7406-4188-92EB-FB960F50F2FA}"/>
    <cellStyle name="Currency 3 2 2 2 2 5 4" xfId="11396" xr:uid="{53B54597-B9FA-485A-8139-1AECA78C0783}"/>
    <cellStyle name="Currency 3 2 2 2 2 6" xfId="2416" xr:uid="{00000000-0005-0000-0000-0000B90A0000}"/>
    <cellStyle name="Currency 3 2 2 2 2 6 2" xfId="6700" xr:uid="{00000000-0005-0000-0000-0000BA0A0000}"/>
    <cellStyle name="Currency 3 2 2 2 2 6 2 2" xfId="16026" xr:uid="{93154619-BB90-463E-A655-1DEFF428E787}"/>
    <cellStyle name="Currency 3 2 2 2 2 6 3" xfId="11809" xr:uid="{85F7F75C-1B0E-424F-BE34-7ECF027CF81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8F46F878-BC9E-48DA-BB2D-AF04278A229F}"/>
    <cellStyle name="Currency 3 2 2 2 2 8 3" xfId="12126" xr:uid="{0C8E65E3-A01A-4F90-8776-3CA23B83790C}"/>
    <cellStyle name="Currency 3 2 2 2 2 9" xfId="4634" xr:uid="{00000000-0005-0000-0000-0000BE0A0000}"/>
    <cellStyle name="Currency 3 2 2 2 2 9 2" xfId="13960" xr:uid="{36660CD6-3617-4819-993F-0543ED13DD3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237C8D5C-306E-4EB4-8CCA-DD72EA870668}"/>
    <cellStyle name="Currency 3 2 2 2 3 2 3" xfId="12301" xr:uid="{8D83DF5A-535A-47C7-BCD9-AEE414B03C03}"/>
    <cellStyle name="Currency 3 2 2 2 3 3" xfId="5047" xr:uid="{00000000-0005-0000-0000-0000C20A0000}"/>
    <cellStyle name="Currency 3 2 2 2 3 3 2" xfId="14373" xr:uid="{30AD18EA-0553-4557-B1C0-C53D3DF3ED4F}"/>
    <cellStyle name="Currency 3 2 2 2 3 4" xfId="9336" xr:uid="{F86D5454-A503-484B-B8F3-81FF219E49D0}"/>
    <cellStyle name="Currency 3 2 2 2 3 4 2" xfId="18651" xr:uid="{0CDD88F6-61D5-4087-8C12-D370808998CA}"/>
    <cellStyle name="Currency 3 2 2 2 3 5" xfId="10156" xr:uid="{D53471C2-EF7D-4901-9BD2-45387B0EB539}"/>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4830BDE2-8B48-4D04-B0B7-BC79B5597A54}"/>
    <cellStyle name="Currency 3 2 2 2 4 2 3" xfId="12714" xr:uid="{99B3297C-5F2D-4189-AC25-CBBE9EEEABCF}"/>
    <cellStyle name="Currency 3 2 2 2 4 3" xfId="5460" xr:uid="{00000000-0005-0000-0000-0000C60A0000}"/>
    <cellStyle name="Currency 3 2 2 2 4 3 2" xfId="14786" xr:uid="{A6A10260-8C70-4DDA-AABC-E4178B194DC8}"/>
    <cellStyle name="Currency 3 2 2 2 4 4" xfId="10569" xr:uid="{B57D6B76-7434-4FE8-9DDC-AD00923B19BF}"/>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F2B3114A-8C26-4D7F-9852-828C495E875A}"/>
    <cellStyle name="Currency 3 2 2 2 5 2 3" xfId="13127" xr:uid="{A0012C28-9C8D-4890-8994-EAF9D0CC6498}"/>
    <cellStyle name="Currency 3 2 2 2 5 3" xfId="5873" xr:uid="{00000000-0005-0000-0000-0000CA0A0000}"/>
    <cellStyle name="Currency 3 2 2 2 5 3 2" xfId="15199" xr:uid="{43B1C66C-8AC5-4E54-BC26-97D94DAF3F1E}"/>
    <cellStyle name="Currency 3 2 2 2 5 4" xfId="10982" xr:uid="{C3C9FBF2-5A4B-461E-A12B-8B7BBF0CF304}"/>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B6683A82-A307-43A9-9E09-0D062DE2A19D}"/>
    <cellStyle name="Currency 3 2 2 2 6 2 3" xfId="13540" xr:uid="{A0885592-BCF8-4FE4-B5BB-2BEC18B60CDF}"/>
    <cellStyle name="Currency 3 2 2 2 6 3" xfId="6286" xr:uid="{00000000-0005-0000-0000-0000CE0A0000}"/>
    <cellStyle name="Currency 3 2 2 2 6 3 2" xfId="15612" xr:uid="{E7DA186D-E2B4-4B8E-98F0-2E468A7629D2}"/>
    <cellStyle name="Currency 3 2 2 2 6 4" xfId="11395" xr:uid="{616A427B-972C-48BD-BDEF-4D56D3172BBA}"/>
    <cellStyle name="Currency 3 2 2 2 7" xfId="2415" xr:uid="{00000000-0005-0000-0000-0000CF0A0000}"/>
    <cellStyle name="Currency 3 2 2 2 7 2" xfId="6699" xr:uid="{00000000-0005-0000-0000-0000D00A0000}"/>
    <cellStyle name="Currency 3 2 2 2 7 2 2" xfId="16025" xr:uid="{60750342-8B4C-413B-A315-09DC940EDB57}"/>
    <cellStyle name="Currency 3 2 2 2 7 3" xfId="11808" xr:uid="{19AC2EBE-01D9-458A-97D4-77418693DB95}"/>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454E0CC9-E628-4861-9A1A-5FD977BAC234}"/>
    <cellStyle name="Currency 3 2 2 2 9 3" xfId="12125" xr:uid="{327A9638-3E88-4DEA-89C9-3368C6314946}"/>
    <cellStyle name="Currency 3 2 2 3" xfId="181" xr:uid="{00000000-0005-0000-0000-0000D40A0000}"/>
    <cellStyle name="Currency 3 2 2 3 10" xfId="9015" xr:uid="{A1C3FAFC-6FB9-45C5-A279-C90E61794A63}"/>
    <cellStyle name="Currency 3 2 2 3 10 2" xfId="18339" xr:uid="{8F78B921-D2EE-4186-9820-AA7569D764A7}"/>
    <cellStyle name="Currency 3 2 2 3 11" xfId="9744" xr:uid="{B4A72CB9-28E2-4A51-BA25-7B61B12F68A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470F6280-BBF5-41B4-830E-061928992112}"/>
    <cellStyle name="Currency 3 2 2 3 2 2 3" xfId="12303" xr:uid="{5C9886F4-B947-4D90-874A-678E4846B74C}"/>
    <cellStyle name="Currency 3 2 2 3 2 3" xfId="5049" xr:uid="{00000000-0005-0000-0000-0000D80A0000}"/>
    <cellStyle name="Currency 3 2 2 3 2 3 2" xfId="14375" xr:uid="{CE26E74C-9D9E-4552-A9DF-55DDC501EE96}"/>
    <cellStyle name="Currency 3 2 2 3 2 4" xfId="9440" xr:uid="{774D5512-BCA5-4224-A909-3336A63369C8}"/>
    <cellStyle name="Currency 3 2 2 3 2 4 2" xfId="18755" xr:uid="{F3435F7E-F693-4D08-B758-69BB2DDA05E2}"/>
    <cellStyle name="Currency 3 2 2 3 2 5" xfId="10158" xr:uid="{B651D95C-1CE5-4759-96B8-B31D7E50E73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497D6FA2-F793-4228-AAED-E98E9FE3CBD1}"/>
    <cellStyle name="Currency 3 2 2 3 3 2 3" xfId="12716" xr:uid="{21858AFC-0218-4E50-9A6E-E147A576FDC8}"/>
    <cellStyle name="Currency 3 2 2 3 3 3" xfId="5462" xr:uid="{00000000-0005-0000-0000-0000DC0A0000}"/>
    <cellStyle name="Currency 3 2 2 3 3 3 2" xfId="14788" xr:uid="{040271F3-5C42-4F7F-8FE7-EA3DC6E27C1C}"/>
    <cellStyle name="Currency 3 2 2 3 3 4" xfId="10571" xr:uid="{0FAD18D1-8F3D-4F6A-BF07-38E32B0918DA}"/>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55F1F553-0CE6-4D4D-B2FF-1AAC932954BD}"/>
    <cellStyle name="Currency 3 2 2 3 4 2 3" xfId="13129" xr:uid="{52189F0A-8D45-40F4-92EA-67DE56723225}"/>
    <cellStyle name="Currency 3 2 2 3 4 3" xfId="5875" xr:uid="{00000000-0005-0000-0000-0000E00A0000}"/>
    <cellStyle name="Currency 3 2 2 3 4 3 2" xfId="15201" xr:uid="{07A866C5-041B-4A77-A9BD-163E6E79475E}"/>
    <cellStyle name="Currency 3 2 2 3 4 4" xfId="10984" xr:uid="{40C4D0C2-A9B4-4F24-8F20-5285CE3654F2}"/>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BF1318FA-684F-448C-BAE2-AB0CC13F2E8D}"/>
    <cellStyle name="Currency 3 2 2 3 5 2 3" xfId="13542" xr:uid="{16780A43-54A3-4A8A-A490-5D764FF53A2B}"/>
    <cellStyle name="Currency 3 2 2 3 5 3" xfId="6288" xr:uid="{00000000-0005-0000-0000-0000E40A0000}"/>
    <cellStyle name="Currency 3 2 2 3 5 3 2" xfId="15614" xr:uid="{2E1A4808-D936-4CE6-9489-ABC2DDA43CE6}"/>
    <cellStyle name="Currency 3 2 2 3 5 4" xfId="11397" xr:uid="{9C1D2616-4DC1-4BCD-ACA4-9F26C877EEC8}"/>
    <cellStyle name="Currency 3 2 2 3 6" xfId="2417" xr:uid="{00000000-0005-0000-0000-0000E50A0000}"/>
    <cellStyle name="Currency 3 2 2 3 6 2" xfId="6701" xr:uid="{00000000-0005-0000-0000-0000E60A0000}"/>
    <cellStyle name="Currency 3 2 2 3 6 2 2" xfId="16027" xr:uid="{DD9C600C-32FB-4716-A155-2057D65238F1}"/>
    <cellStyle name="Currency 3 2 2 3 6 3" xfId="11810" xr:uid="{91C3B19C-3090-4EDC-AF27-B2CC3FE30413}"/>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C7AD34D6-E08A-45C1-A8CB-E943D8D6215E}"/>
    <cellStyle name="Currency 3 2 2 3 8 3" xfId="12127" xr:uid="{C7CE7B60-B53D-48B5-B16F-F5CCD98B4934}"/>
    <cellStyle name="Currency 3 2 2 3 9" xfId="4635" xr:uid="{00000000-0005-0000-0000-0000EA0A0000}"/>
    <cellStyle name="Currency 3 2 2 3 9 2" xfId="13961" xr:uid="{BC2B5BA9-156D-4AE8-B5AA-0907875F49A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D7EEB46A-B21B-4C91-AB2C-A48747D8DCB9}"/>
    <cellStyle name="Currency 3 2 2 4 2 3" xfId="12300" xr:uid="{621F24ED-CEC3-4595-AF30-2F0BEDBB1A0F}"/>
    <cellStyle name="Currency 3 2 2 4 3" xfId="5046" xr:uid="{00000000-0005-0000-0000-0000EE0A0000}"/>
    <cellStyle name="Currency 3 2 2 4 3 2" xfId="14372" xr:uid="{A01543BB-A092-4C73-989B-059D803BFB96}"/>
    <cellStyle name="Currency 3 2 2 4 4" xfId="9233" xr:uid="{A90843BF-65B1-48E5-9C93-A2651D7B4B13}"/>
    <cellStyle name="Currency 3 2 2 4 4 2" xfId="18548" xr:uid="{1EAE0D5D-DE5D-4860-B127-01DDC0E6E296}"/>
    <cellStyle name="Currency 3 2 2 4 5" xfId="10155" xr:uid="{0AEC7C80-7B6A-4842-8829-D906F8E600D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F31D2146-E42C-4BA0-82E8-20A189EE6C7D}"/>
    <cellStyle name="Currency 3 2 2 5 2 3" xfId="12713" xr:uid="{D7DE040A-2A45-4CB9-822E-B2B2764361F7}"/>
    <cellStyle name="Currency 3 2 2 5 3" xfId="5459" xr:uid="{00000000-0005-0000-0000-0000F20A0000}"/>
    <cellStyle name="Currency 3 2 2 5 3 2" xfId="14785" xr:uid="{0637B3A0-0D81-4F62-AF4A-814353B42FA8}"/>
    <cellStyle name="Currency 3 2 2 5 4" xfId="10568" xr:uid="{33EF569B-99B8-44DE-9643-7E047EEFD8A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E99025CA-4EBF-4459-94A9-4D540DA80734}"/>
    <cellStyle name="Currency 3 2 2 6 2 3" xfId="13126" xr:uid="{EF8DE595-191D-4E2A-BE0D-DEBD5DCB870F}"/>
    <cellStyle name="Currency 3 2 2 6 3" xfId="5872" xr:uid="{00000000-0005-0000-0000-0000F60A0000}"/>
    <cellStyle name="Currency 3 2 2 6 3 2" xfId="15198" xr:uid="{87C76672-A97C-42DD-A764-2798FF875814}"/>
    <cellStyle name="Currency 3 2 2 6 4" xfId="10981" xr:uid="{BEE623FC-7CA9-401F-89BE-F30E0BFD095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A64FF3B1-DEBC-469E-B366-029B4588520C}"/>
    <cellStyle name="Currency 3 2 2 7 2 3" xfId="13539" xr:uid="{0AF41466-8050-46F0-94AB-716C0C79F800}"/>
    <cellStyle name="Currency 3 2 2 7 3" xfId="6285" xr:uid="{00000000-0005-0000-0000-0000FA0A0000}"/>
    <cellStyle name="Currency 3 2 2 7 3 2" xfId="15611" xr:uid="{9E1FB58F-E038-4933-AEAA-3D87B4CC4FCA}"/>
    <cellStyle name="Currency 3 2 2 7 4" xfId="11394" xr:uid="{B35D7250-71CF-4A0D-870E-F50C3C36F112}"/>
    <cellStyle name="Currency 3 2 2 8" xfId="2414" xr:uid="{00000000-0005-0000-0000-0000FB0A0000}"/>
    <cellStyle name="Currency 3 2 2 8 2" xfId="6698" xr:uid="{00000000-0005-0000-0000-0000FC0A0000}"/>
    <cellStyle name="Currency 3 2 2 8 2 2" xfId="16024" xr:uid="{836574E7-7E7C-4DDF-B874-FB60C793DC1A}"/>
    <cellStyle name="Currency 3 2 2 8 3" xfId="11807" xr:uid="{723A0CAC-5904-490A-AAF6-CDA628322125}"/>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36568813-26B4-4F44-B580-A1FE862DE52F}"/>
    <cellStyle name="Currency 3 2 3 11" xfId="8893" xr:uid="{8CE28714-D587-402C-9A17-1A08799662D4}"/>
    <cellStyle name="Currency 3 2 3 11 2" xfId="18217" xr:uid="{DA3A7717-D154-4E45-95C3-C3874069E37C}"/>
    <cellStyle name="Currency 3 2 3 12" xfId="9745" xr:uid="{7A15FD93-58EA-4380-88F4-F93E58919CBB}"/>
    <cellStyle name="Currency 3 2 3 2" xfId="183" xr:uid="{00000000-0005-0000-0000-0000000B0000}"/>
    <cellStyle name="Currency 3 2 3 2 10" xfId="9100" xr:uid="{CEBE1F40-0923-46C6-AB84-DD4DAB20CD81}"/>
    <cellStyle name="Currency 3 2 3 2 10 2" xfId="18424" xr:uid="{3C93F09C-97E5-4AF3-9AD8-D933D0CB2D4A}"/>
    <cellStyle name="Currency 3 2 3 2 11" xfId="9746" xr:uid="{8FE8A27E-B391-4130-8651-AE1B8532F177}"/>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F25D890-E6C2-4D54-B9F5-6CC6C7B32288}"/>
    <cellStyle name="Currency 3 2 3 2 2 2 3" xfId="12305" xr:uid="{A255BDD3-D657-4441-AD60-95E9F5400C64}"/>
    <cellStyle name="Currency 3 2 3 2 2 3" xfId="5051" xr:uid="{00000000-0005-0000-0000-0000040B0000}"/>
    <cellStyle name="Currency 3 2 3 2 2 3 2" xfId="14377" xr:uid="{FEDB6CDC-EB75-4DCB-BA6F-2822045D1090}"/>
    <cellStyle name="Currency 3 2 3 2 2 4" xfId="9525" xr:uid="{759374BA-DDD8-4F33-9655-B300986F8700}"/>
    <cellStyle name="Currency 3 2 3 2 2 4 2" xfId="18840" xr:uid="{73BBB91D-72AA-45F5-9D7D-542B255EAE37}"/>
    <cellStyle name="Currency 3 2 3 2 2 5" xfId="10160" xr:uid="{B0C1FA65-2937-4124-8B6A-FDD1C0CF717A}"/>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4B22DF54-CF0E-4E0C-BA18-7CD4CDF1B20E}"/>
    <cellStyle name="Currency 3 2 3 2 3 2 3" xfId="12718" xr:uid="{1259CED1-5CF9-4721-B899-B99A94396E01}"/>
    <cellStyle name="Currency 3 2 3 2 3 3" xfId="5464" xr:uid="{00000000-0005-0000-0000-0000080B0000}"/>
    <cellStyle name="Currency 3 2 3 2 3 3 2" xfId="14790" xr:uid="{387E3514-2B1A-4D3C-8C1F-05AF96F734FD}"/>
    <cellStyle name="Currency 3 2 3 2 3 4" xfId="10573" xr:uid="{5C23E785-A7FF-4567-A6FA-D179F258A31D}"/>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3B25B389-FFB4-447C-80A2-79BCCA0DC114}"/>
    <cellStyle name="Currency 3 2 3 2 4 2 3" xfId="13131" xr:uid="{2F1B60B7-0445-44D6-954E-CA2B23F2199C}"/>
    <cellStyle name="Currency 3 2 3 2 4 3" xfId="5877" xr:uid="{00000000-0005-0000-0000-00000C0B0000}"/>
    <cellStyle name="Currency 3 2 3 2 4 3 2" xfId="15203" xr:uid="{A5042FED-D30B-440D-9637-EF96DD50BC49}"/>
    <cellStyle name="Currency 3 2 3 2 4 4" xfId="10986" xr:uid="{F4ED03B6-FF3D-47B6-9285-6767E3C2A6B5}"/>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A8863D99-7FE5-47D6-B988-E3E6A760397A}"/>
    <cellStyle name="Currency 3 2 3 2 5 2 3" xfId="13544" xr:uid="{9CC6466A-53B4-4F2B-B9C8-C1B03870B00D}"/>
    <cellStyle name="Currency 3 2 3 2 5 3" xfId="6290" xr:uid="{00000000-0005-0000-0000-0000100B0000}"/>
    <cellStyle name="Currency 3 2 3 2 5 3 2" xfId="15616" xr:uid="{0E92F2C3-8B21-4CE8-A393-10AAA2F54191}"/>
    <cellStyle name="Currency 3 2 3 2 5 4" xfId="11399" xr:uid="{A7093143-22B3-4AD0-8550-0FB624160201}"/>
    <cellStyle name="Currency 3 2 3 2 6" xfId="2419" xr:uid="{00000000-0005-0000-0000-0000110B0000}"/>
    <cellStyle name="Currency 3 2 3 2 6 2" xfId="6703" xr:uid="{00000000-0005-0000-0000-0000120B0000}"/>
    <cellStyle name="Currency 3 2 3 2 6 2 2" xfId="16029" xr:uid="{74EA04D9-05F6-496A-BA3F-0D42BF75B58E}"/>
    <cellStyle name="Currency 3 2 3 2 6 3" xfId="11812" xr:uid="{D30E91F7-E217-4574-894E-E1137CE5EB1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D8F1AA63-FBFA-4991-9FA3-B2EADD805D4E}"/>
    <cellStyle name="Currency 3 2 3 2 8 3" xfId="12129" xr:uid="{F06CF8D7-B7AE-4FB8-A57C-FD595B1E2AEF}"/>
    <cellStyle name="Currency 3 2 3 2 9" xfId="4637" xr:uid="{00000000-0005-0000-0000-0000160B0000}"/>
    <cellStyle name="Currency 3 2 3 2 9 2" xfId="13963" xr:uid="{315EEC5F-B149-423F-AA8A-CBD328470F72}"/>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9810CBB7-16A4-421C-9FAB-CA093132BA69}"/>
    <cellStyle name="Currency 3 2 3 3 2 3" xfId="12304" xr:uid="{A3D4FC0F-3E01-4959-8EE2-49C6B0CE00D3}"/>
    <cellStyle name="Currency 3 2 3 3 3" xfId="5050" xr:uid="{00000000-0005-0000-0000-00001A0B0000}"/>
    <cellStyle name="Currency 3 2 3 3 3 2" xfId="14376" xr:uid="{2F023941-CBF5-4238-BA09-6AA79EBFDA3D}"/>
    <cellStyle name="Currency 3 2 3 3 4" xfId="9318" xr:uid="{AA73873E-8E72-4FDE-A22E-F5D80E2A87B1}"/>
    <cellStyle name="Currency 3 2 3 3 4 2" xfId="18633" xr:uid="{462861EC-B4AA-4175-A538-61579AEC49F0}"/>
    <cellStyle name="Currency 3 2 3 3 5" xfId="10159" xr:uid="{68A97CC6-3EC9-4A69-92E2-7A92450127B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9D73535A-AA41-4360-9F69-B87B19FC8F42}"/>
    <cellStyle name="Currency 3 2 3 4 2 3" xfId="12717" xr:uid="{2B011E1E-5368-405F-B721-96BFB793402A}"/>
    <cellStyle name="Currency 3 2 3 4 3" xfId="5463" xr:uid="{00000000-0005-0000-0000-00001E0B0000}"/>
    <cellStyle name="Currency 3 2 3 4 3 2" xfId="14789" xr:uid="{A4B09C67-2ABF-48F8-AED3-8D6474DAEEF9}"/>
    <cellStyle name="Currency 3 2 3 4 4" xfId="10572" xr:uid="{EDD7233C-157B-4AC4-B256-2561C5A601D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6FD4B9E1-FC1A-46FC-BD55-075B14E1A27A}"/>
    <cellStyle name="Currency 3 2 3 5 2 3" xfId="13130" xr:uid="{D137DEC1-023B-429E-AEB0-83AD13A0528A}"/>
    <cellStyle name="Currency 3 2 3 5 3" xfId="5876" xr:uid="{00000000-0005-0000-0000-0000220B0000}"/>
    <cellStyle name="Currency 3 2 3 5 3 2" xfId="15202" xr:uid="{37F22256-C603-4B12-8F58-8417BF5FA495}"/>
    <cellStyle name="Currency 3 2 3 5 4" xfId="10985" xr:uid="{5292EF17-9C0B-44EE-9721-ED7DF1F771AE}"/>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FCE922E0-D0B2-431E-89B5-124F8C56B6B0}"/>
    <cellStyle name="Currency 3 2 3 6 2 3" xfId="13543" xr:uid="{BA4CF26D-24CA-4781-9A87-5199D384D24B}"/>
    <cellStyle name="Currency 3 2 3 6 3" xfId="6289" xr:uid="{00000000-0005-0000-0000-0000260B0000}"/>
    <cellStyle name="Currency 3 2 3 6 3 2" xfId="15615" xr:uid="{342D2390-BD97-4297-A92D-820FC4ED4084}"/>
    <cellStyle name="Currency 3 2 3 6 4" xfId="11398" xr:uid="{7F80DDE8-4005-4CB5-9ABB-8B21BEFF8A23}"/>
    <cellStyle name="Currency 3 2 3 7" xfId="2418" xr:uid="{00000000-0005-0000-0000-0000270B0000}"/>
    <cellStyle name="Currency 3 2 3 7 2" xfId="6702" xr:uid="{00000000-0005-0000-0000-0000280B0000}"/>
    <cellStyle name="Currency 3 2 3 7 2 2" xfId="16028" xr:uid="{63525B3D-A59C-418A-AE6E-FE3E86BFA8BF}"/>
    <cellStyle name="Currency 3 2 3 7 3" xfId="11811" xr:uid="{BAD152ED-E33C-4C50-AEEE-9198ED1227FD}"/>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745408AE-EEA1-465C-926E-AABD44F11F68}"/>
    <cellStyle name="Currency 3 2 3 9 3" xfId="12128" xr:uid="{BA790BD4-C5A0-4F3F-BDEE-46C190A8BA0A}"/>
    <cellStyle name="Currency 3 2 4" xfId="184" xr:uid="{00000000-0005-0000-0000-00002C0B0000}"/>
    <cellStyle name="Currency 3 2 4 10" xfId="8997" xr:uid="{DF9FC022-A382-4135-990F-F43A472E13BA}"/>
    <cellStyle name="Currency 3 2 4 10 2" xfId="18321" xr:uid="{DB36EE50-ED9B-43CA-B8C9-BF3197A624A5}"/>
    <cellStyle name="Currency 3 2 4 11" xfId="9747" xr:uid="{07FF3152-8508-4B0F-9952-2C1A9C89A8A0}"/>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3EC13A8F-8366-48E6-8987-59C19F97C0F6}"/>
    <cellStyle name="Currency 3 2 4 2 2 3" xfId="12306" xr:uid="{76B01024-C8E9-4190-B3CE-C868177CC151}"/>
    <cellStyle name="Currency 3 2 4 2 3" xfId="5052" xr:uid="{00000000-0005-0000-0000-0000300B0000}"/>
    <cellStyle name="Currency 3 2 4 2 3 2" xfId="14378" xr:uid="{236310EF-6247-4BDC-881F-A41D4580831B}"/>
    <cellStyle name="Currency 3 2 4 2 4" xfId="9422" xr:uid="{3049B7CE-611E-437A-AD0B-2E3AA5E2E50D}"/>
    <cellStyle name="Currency 3 2 4 2 4 2" xfId="18737" xr:uid="{E486929A-3627-4C9B-ABE0-7EB7D3BF913A}"/>
    <cellStyle name="Currency 3 2 4 2 5" xfId="10161" xr:uid="{C1942BA4-27BD-4E70-8787-272F7A95504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8A818C10-740D-4702-A0DA-E604973EC26B}"/>
    <cellStyle name="Currency 3 2 4 3 2 3" xfId="12719" xr:uid="{4F35C143-D818-4161-95A7-93C812D806E8}"/>
    <cellStyle name="Currency 3 2 4 3 3" xfId="5465" xr:uid="{00000000-0005-0000-0000-0000340B0000}"/>
    <cellStyle name="Currency 3 2 4 3 3 2" xfId="14791" xr:uid="{91C84F6F-3642-4CF9-9545-31E6B4F794EB}"/>
    <cellStyle name="Currency 3 2 4 3 4" xfId="10574" xr:uid="{00373635-FA38-4512-91EF-4047935AC96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7532E3FF-7A8D-41C5-AE7F-B136CF1A094D}"/>
    <cellStyle name="Currency 3 2 4 4 2 3" xfId="13132" xr:uid="{ADAC72AB-C853-49F1-811A-9DED85F38833}"/>
    <cellStyle name="Currency 3 2 4 4 3" xfId="5878" xr:uid="{00000000-0005-0000-0000-0000380B0000}"/>
    <cellStyle name="Currency 3 2 4 4 3 2" xfId="15204" xr:uid="{31DD9B29-399A-4C00-A012-9ED887774051}"/>
    <cellStyle name="Currency 3 2 4 4 4" xfId="10987" xr:uid="{A5D13BB4-81AE-49C9-B8AD-9ED06FAFDDBE}"/>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18847DAF-69B5-4B90-B18F-EA6CF03BBCE1}"/>
    <cellStyle name="Currency 3 2 4 5 2 3" xfId="13545" xr:uid="{B8EF929C-D507-4607-82AD-5EDC5E2DC1F9}"/>
    <cellStyle name="Currency 3 2 4 5 3" xfId="6291" xr:uid="{00000000-0005-0000-0000-00003C0B0000}"/>
    <cellStyle name="Currency 3 2 4 5 3 2" xfId="15617" xr:uid="{A75A932F-1630-42FC-9F0B-6566BD3DE738}"/>
    <cellStyle name="Currency 3 2 4 5 4" xfId="11400" xr:uid="{AEFC71FC-8985-47A8-8F06-9CD05E1D41E6}"/>
    <cellStyle name="Currency 3 2 4 6" xfId="2420" xr:uid="{00000000-0005-0000-0000-00003D0B0000}"/>
    <cellStyle name="Currency 3 2 4 6 2" xfId="6704" xr:uid="{00000000-0005-0000-0000-00003E0B0000}"/>
    <cellStyle name="Currency 3 2 4 6 2 2" xfId="16030" xr:uid="{3B3B5118-75BA-48F3-899D-1F6A2CB78C23}"/>
    <cellStyle name="Currency 3 2 4 6 3" xfId="11813" xr:uid="{8E8049C4-F59C-4E19-992E-D1FA026898DA}"/>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DBCA70B8-718B-47C9-B4C2-303275B7E3F3}"/>
    <cellStyle name="Currency 3 2 4 8 3" xfId="12130" xr:uid="{ABE3CC86-9B49-48BF-AB33-E2D93FF64AAF}"/>
    <cellStyle name="Currency 3 2 4 9" xfId="4638" xr:uid="{00000000-0005-0000-0000-0000420B0000}"/>
    <cellStyle name="Currency 3 2 4 9 2" xfId="13964" xr:uid="{C513D5F1-D59E-4DD1-9061-A5FD2859F4EF}"/>
    <cellStyle name="Currency 3 2 5" xfId="185" xr:uid="{00000000-0005-0000-0000-0000430B0000}"/>
    <cellStyle name="Currency 3 2 5 10" xfId="9214" xr:uid="{3D0A867F-0B9D-4759-A509-3EC1084E197B}"/>
    <cellStyle name="Currency 3 2 5 10 2" xfId="18530" xr:uid="{A5280995-1AAB-40A1-8C76-1388221A48AB}"/>
    <cellStyle name="Currency 3 2 5 11" xfId="9748" xr:uid="{0A6D7ADD-8BCE-4D86-A20B-A4C6DEB08908}"/>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2E5C3C8A-C31B-4309-A0D9-053EECC39C64}"/>
    <cellStyle name="Currency 3 2 5 2 2 3" xfId="12307" xr:uid="{5BFFD948-CD0B-474F-907D-7932E5331874}"/>
    <cellStyle name="Currency 3 2 5 2 3" xfId="5053" xr:uid="{00000000-0005-0000-0000-0000470B0000}"/>
    <cellStyle name="Currency 3 2 5 2 3 2" xfId="14379" xr:uid="{11E4A4DA-B60B-42E9-8A14-7214DB35F994}"/>
    <cellStyle name="Currency 3 2 5 2 4" xfId="9597" xr:uid="{6E2F978E-96E4-4AD8-B4BD-1BE9D7E96A2F}"/>
    <cellStyle name="Currency 3 2 5 2 4 2" xfId="18901" xr:uid="{1326A3DF-86F8-4076-867F-64CCE9D93E97}"/>
    <cellStyle name="Currency 3 2 5 2 5" xfId="10162" xr:uid="{29B23E9D-286B-47B6-A353-7860765680EE}"/>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EEC47D76-4DBA-4909-BB39-05243A799857}"/>
    <cellStyle name="Currency 3 2 5 3 2 3" xfId="12720" xr:uid="{00F1D7C4-E0F6-4B66-8E3F-2289906E0360}"/>
    <cellStyle name="Currency 3 2 5 3 3" xfId="5466" xr:uid="{00000000-0005-0000-0000-00004B0B0000}"/>
    <cellStyle name="Currency 3 2 5 3 3 2" xfId="14792" xr:uid="{671D4470-53A9-4420-A8EF-12CDA522690F}"/>
    <cellStyle name="Currency 3 2 5 3 4" xfId="10575" xr:uid="{6D18F4E2-3F87-487E-8672-7C845723A320}"/>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8F49F801-FD32-49C3-8D42-AA224A752F91}"/>
    <cellStyle name="Currency 3 2 5 4 2 3" xfId="13133" xr:uid="{1C91CE6F-B1C6-4296-B61C-7AF57D40B69F}"/>
    <cellStyle name="Currency 3 2 5 4 3" xfId="5879" xr:uid="{00000000-0005-0000-0000-00004F0B0000}"/>
    <cellStyle name="Currency 3 2 5 4 3 2" xfId="15205" xr:uid="{F1CD4CB0-2D1F-4759-B975-406BDBA1642E}"/>
    <cellStyle name="Currency 3 2 5 4 4" xfId="10988" xr:uid="{7A0C644D-F43F-4B72-9A1B-EE3718696A48}"/>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57633563-5F4B-4DD4-882B-7034F952B321}"/>
    <cellStyle name="Currency 3 2 5 5 2 3" xfId="13546" xr:uid="{1F9CA813-26D2-4DBB-851B-ACC75A48EB53}"/>
    <cellStyle name="Currency 3 2 5 5 3" xfId="6292" xr:uid="{00000000-0005-0000-0000-0000530B0000}"/>
    <cellStyle name="Currency 3 2 5 5 3 2" xfId="15618" xr:uid="{2DCEC25F-6002-4A60-B7E6-8CFD9478535D}"/>
    <cellStyle name="Currency 3 2 5 5 4" xfId="11401" xr:uid="{85431E5E-575A-462F-9CFB-210FD71F7F8D}"/>
    <cellStyle name="Currency 3 2 5 6" xfId="2421" xr:uid="{00000000-0005-0000-0000-0000540B0000}"/>
    <cellStyle name="Currency 3 2 5 6 2" xfId="6705" xr:uid="{00000000-0005-0000-0000-0000550B0000}"/>
    <cellStyle name="Currency 3 2 5 6 2 2" xfId="16031" xr:uid="{F4CDD8C8-5292-434C-B0A6-E29C04442AA4}"/>
    <cellStyle name="Currency 3 2 5 6 3" xfId="11814" xr:uid="{6A112C7F-DD3B-4BB8-B99C-FAC1C6456C37}"/>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63EB5AAC-F035-4054-BFBE-A646EA96BF2C}"/>
    <cellStyle name="Currency 3 2 5 8 3" xfId="12131" xr:uid="{039674A6-B310-4B5E-8F6A-3AF6F43A10F6}"/>
    <cellStyle name="Currency 3 2 5 9" xfId="4639" xr:uid="{00000000-0005-0000-0000-0000590B0000}"/>
    <cellStyle name="Currency 3 2 5 9 2" xfId="13965" xr:uid="{DE506AB8-ACCB-4555-A48D-7713F538A3DE}"/>
    <cellStyle name="Currency 3 2 6" xfId="9583" xr:uid="{653EC571-6DFB-4D44-8156-8097E74D2DD4}"/>
    <cellStyle name="Currency 3 2 7" xfId="8790" xr:uid="{4F16186C-C154-4E9A-B12A-0E13D64C3701}"/>
    <cellStyle name="Currency 3 2 7 2" xfId="18114" xr:uid="{144F7A5C-6AF8-490A-BE77-83305AA7F55A}"/>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557C6E8C-E6F0-42FA-B49B-13FD83EC449C}"/>
    <cellStyle name="Currency 5 2 2 2 10 3" xfId="12132" xr:uid="{F59F65B1-00E3-4698-A63E-48762C7791FF}"/>
    <cellStyle name="Currency 5 2 2 2 11" xfId="4640" xr:uid="{00000000-0005-0000-0000-00006C0B0000}"/>
    <cellStyle name="Currency 5 2 2 2 11 2" xfId="13966" xr:uid="{873086EB-B3B2-4D79-9AAC-D132080B9367}"/>
    <cellStyle name="Currency 5 2 2 2 12" xfId="8809" xr:uid="{6E2B58BA-BC61-49BF-A0FE-5BC79A050654}"/>
    <cellStyle name="Currency 5 2 2 2 12 2" xfId="18133" xr:uid="{5D66C0E3-3EE3-4FED-9102-DA9A9EC8B4D6}"/>
    <cellStyle name="Currency 5 2 2 2 13" xfId="9749" xr:uid="{FAAECC06-9E08-4F27-B4C8-EB84F48FF29F}"/>
    <cellStyle name="Currency 5 2 2 2 2" xfId="197" xr:uid="{00000000-0005-0000-0000-00006D0B0000}"/>
    <cellStyle name="Currency 5 2 2 2 2 10" xfId="4641" xr:uid="{00000000-0005-0000-0000-00006E0B0000}"/>
    <cellStyle name="Currency 5 2 2 2 2 10 2" xfId="13967" xr:uid="{62B67297-660B-4061-8475-4DB4027F7256}"/>
    <cellStyle name="Currency 5 2 2 2 2 11" xfId="8912" xr:uid="{4079D27E-F98B-4445-AE20-FFD848158756}"/>
    <cellStyle name="Currency 5 2 2 2 2 11 2" xfId="18236" xr:uid="{7C5D3630-570F-40A9-9906-3A3F681416FF}"/>
    <cellStyle name="Currency 5 2 2 2 2 12" xfId="9750" xr:uid="{D862D28B-FB5E-4DD2-A57B-A0EAC8004706}"/>
    <cellStyle name="Currency 5 2 2 2 2 2" xfId="198" xr:uid="{00000000-0005-0000-0000-00006F0B0000}"/>
    <cellStyle name="Currency 5 2 2 2 2 2 10" xfId="9119" xr:uid="{2B97CFE9-E9FD-476D-A341-C695293642F3}"/>
    <cellStyle name="Currency 5 2 2 2 2 2 10 2" xfId="18443" xr:uid="{264F3A2F-3EA6-4D35-A186-A72926644FE6}"/>
    <cellStyle name="Currency 5 2 2 2 2 2 11" xfId="9751" xr:uid="{68D4B034-F1B6-4538-B2B8-A5F73ACCE54B}"/>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33FD56B5-2747-4F6C-AAEA-EB0C184F8C1A}"/>
    <cellStyle name="Currency 5 2 2 2 2 2 2 2 3" xfId="12310" xr:uid="{2B911F15-55D9-46B6-A9C8-B340778B8D54}"/>
    <cellStyle name="Currency 5 2 2 2 2 2 2 3" xfId="5056" xr:uid="{00000000-0005-0000-0000-0000730B0000}"/>
    <cellStyle name="Currency 5 2 2 2 2 2 2 3 2" xfId="14382" xr:uid="{FFEA963D-3D01-4DF3-928F-C1F1C48BFBE3}"/>
    <cellStyle name="Currency 5 2 2 2 2 2 2 4" xfId="9544" xr:uid="{77881B28-843C-4677-B92C-D2A5804BDB97}"/>
    <cellStyle name="Currency 5 2 2 2 2 2 2 4 2" xfId="18859" xr:uid="{C19805F5-84A3-4D41-9A48-3D912E36CD1F}"/>
    <cellStyle name="Currency 5 2 2 2 2 2 2 5" xfId="10165" xr:uid="{8CDF5F5B-EBDB-4EC5-A405-95C75662584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B8296700-5C84-4D18-AC3B-D04055EB326E}"/>
    <cellStyle name="Currency 5 2 2 2 2 2 3 2 3" xfId="12723" xr:uid="{60AE7DEC-272D-475D-9563-B3B1C3D9E2C5}"/>
    <cellStyle name="Currency 5 2 2 2 2 2 3 3" xfId="5469" xr:uid="{00000000-0005-0000-0000-0000770B0000}"/>
    <cellStyle name="Currency 5 2 2 2 2 2 3 3 2" xfId="14795" xr:uid="{303243AC-14A3-4551-8CC0-1283EB1F6871}"/>
    <cellStyle name="Currency 5 2 2 2 2 2 3 4" xfId="10578" xr:uid="{C34CFF0A-056B-44E0-B89D-8182277D248C}"/>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A379262D-4797-48EC-B99F-EDD7745FC31B}"/>
    <cellStyle name="Currency 5 2 2 2 2 2 4 2 3" xfId="13136" xr:uid="{723D9AE5-A3BA-4EA5-840B-0E6CB66F13BE}"/>
    <cellStyle name="Currency 5 2 2 2 2 2 4 3" xfId="5882" xr:uid="{00000000-0005-0000-0000-00007B0B0000}"/>
    <cellStyle name="Currency 5 2 2 2 2 2 4 3 2" xfId="15208" xr:uid="{AA2FA367-326B-4D82-A64F-6B3FB38AFAE1}"/>
    <cellStyle name="Currency 5 2 2 2 2 2 4 4" xfId="10991" xr:uid="{993329B7-14D1-48B6-A576-33209EF18D1E}"/>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F2FEB8A5-9468-4D13-ABA3-D213B863F312}"/>
    <cellStyle name="Currency 5 2 2 2 2 2 5 2 3" xfId="13549" xr:uid="{8ECCB62F-9C49-44D9-9E29-A35050815AD8}"/>
    <cellStyle name="Currency 5 2 2 2 2 2 5 3" xfId="6295" xr:uid="{00000000-0005-0000-0000-00007F0B0000}"/>
    <cellStyle name="Currency 5 2 2 2 2 2 5 3 2" xfId="15621" xr:uid="{090A07BA-8499-43C3-A60A-96B44DE9E11E}"/>
    <cellStyle name="Currency 5 2 2 2 2 2 5 4" xfId="11404" xr:uid="{DCD4D941-FC52-4C33-9323-53648BFAEB4C}"/>
    <cellStyle name="Currency 5 2 2 2 2 2 6" xfId="2424" xr:uid="{00000000-0005-0000-0000-0000800B0000}"/>
    <cellStyle name="Currency 5 2 2 2 2 2 6 2" xfId="6708" xr:uid="{00000000-0005-0000-0000-0000810B0000}"/>
    <cellStyle name="Currency 5 2 2 2 2 2 6 2 2" xfId="16034" xr:uid="{DE2F9CAC-FAE4-4EF8-8D6B-92352E989161}"/>
    <cellStyle name="Currency 5 2 2 2 2 2 6 3" xfId="11817" xr:uid="{9513DB24-440D-409B-91E3-98C1B6343004}"/>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376861A6-B7DF-408F-A3DA-EAC099467651}"/>
    <cellStyle name="Currency 5 2 2 2 2 2 8 3" xfId="12134" xr:uid="{48239BC3-5AC7-4A42-A0E8-4C55AE89B35A}"/>
    <cellStyle name="Currency 5 2 2 2 2 2 9" xfId="4642" xr:uid="{00000000-0005-0000-0000-0000850B0000}"/>
    <cellStyle name="Currency 5 2 2 2 2 2 9 2" xfId="13968" xr:uid="{C006A388-E32E-495D-925E-2EBDFAF95C9E}"/>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D49E3C7A-B197-46A1-B089-A426C25FA069}"/>
    <cellStyle name="Currency 5 2 2 2 2 3 2 3" xfId="12309" xr:uid="{17D182E5-1039-459E-A349-B30EB371FD9F}"/>
    <cellStyle name="Currency 5 2 2 2 2 3 3" xfId="5055" xr:uid="{00000000-0005-0000-0000-0000890B0000}"/>
    <cellStyle name="Currency 5 2 2 2 2 3 3 2" xfId="14381" xr:uid="{7722BD09-3A1D-4126-828B-02B2CEA6276E}"/>
    <cellStyle name="Currency 5 2 2 2 2 3 4" xfId="9337" xr:uid="{A1FF44B9-A8E0-4A4E-9BE9-DA7FD7E326AE}"/>
    <cellStyle name="Currency 5 2 2 2 2 3 4 2" xfId="18652" xr:uid="{E5A8994C-BEF0-4D11-93DA-9516E09F63F3}"/>
    <cellStyle name="Currency 5 2 2 2 2 3 5" xfId="10164" xr:uid="{498A8477-2161-43C9-9061-626481D2723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942B073D-A0D0-457F-A44B-6C27620C572C}"/>
    <cellStyle name="Currency 5 2 2 2 2 4 2 3" xfId="12722" xr:uid="{C95D929C-4FE1-47C0-B428-F7A3F239B8C3}"/>
    <cellStyle name="Currency 5 2 2 2 2 4 3" xfId="5468" xr:uid="{00000000-0005-0000-0000-00008D0B0000}"/>
    <cellStyle name="Currency 5 2 2 2 2 4 3 2" xfId="14794" xr:uid="{C21675FB-D3FF-430D-9D66-E1DE676D2DEA}"/>
    <cellStyle name="Currency 5 2 2 2 2 4 4" xfId="10577" xr:uid="{C5FF32FF-D65E-499E-842E-91CDEFAEC66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769915CD-E714-43A1-825F-34272C3AC4F2}"/>
    <cellStyle name="Currency 5 2 2 2 2 5 2 3" xfId="13135" xr:uid="{FDF3F610-C539-4D82-8922-A2BE2BF0CA1C}"/>
    <cellStyle name="Currency 5 2 2 2 2 5 3" xfId="5881" xr:uid="{00000000-0005-0000-0000-0000910B0000}"/>
    <cellStyle name="Currency 5 2 2 2 2 5 3 2" xfId="15207" xr:uid="{B89AF62A-349F-48CA-8E40-FF67547C222A}"/>
    <cellStyle name="Currency 5 2 2 2 2 5 4" xfId="10990" xr:uid="{8A4F92F2-A1A4-4EB5-B710-0AF53A5066D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A7F4D468-22A4-47E5-92BC-27D373F228DB}"/>
    <cellStyle name="Currency 5 2 2 2 2 6 2 3" xfId="13548" xr:uid="{C24D6032-7BC5-4E5D-AD73-90788FA5C410}"/>
    <cellStyle name="Currency 5 2 2 2 2 6 3" xfId="6294" xr:uid="{00000000-0005-0000-0000-0000950B0000}"/>
    <cellStyle name="Currency 5 2 2 2 2 6 3 2" xfId="15620" xr:uid="{7CD4D832-EF31-4565-A312-3D5093BE8B86}"/>
    <cellStyle name="Currency 5 2 2 2 2 6 4" xfId="11403" xr:uid="{28A6C039-118F-43FD-B6F7-BA443E16E427}"/>
    <cellStyle name="Currency 5 2 2 2 2 7" xfId="2423" xr:uid="{00000000-0005-0000-0000-0000960B0000}"/>
    <cellStyle name="Currency 5 2 2 2 2 7 2" xfId="6707" xr:uid="{00000000-0005-0000-0000-0000970B0000}"/>
    <cellStyle name="Currency 5 2 2 2 2 7 2 2" xfId="16033" xr:uid="{6D7A5190-1931-4BDF-A0E4-7AE95502417C}"/>
    <cellStyle name="Currency 5 2 2 2 2 7 3" xfId="11816" xr:uid="{BE60E08A-77D3-47CD-A565-5354D349914B}"/>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BA95ABB5-70F8-45D5-B94A-3E24CD5199F7}"/>
    <cellStyle name="Currency 5 2 2 2 2 9 3" xfId="12133" xr:uid="{8D32B787-EECC-4CCB-8D70-6DDB6D01AD98}"/>
    <cellStyle name="Currency 5 2 2 2 3" xfId="199" xr:uid="{00000000-0005-0000-0000-00009B0B0000}"/>
    <cellStyle name="Currency 5 2 2 2 3 10" xfId="9016" xr:uid="{706F9706-E49D-4995-B402-A842C879DBC8}"/>
    <cellStyle name="Currency 5 2 2 2 3 10 2" xfId="18340" xr:uid="{4175B925-0FB3-415D-99DA-20B1A396335E}"/>
    <cellStyle name="Currency 5 2 2 2 3 11" xfId="9752" xr:uid="{F3FCF944-D235-41CF-BB31-F0AD2F961F1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F044F970-86D1-4614-ACE5-9193A090C1CA}"/>
    <cellStyle name="Currency 5 2 2 2 3 2 2 3" xfId="12311" xr:uid="{95520603-7318-4F64-855D-9D9E58B864F7}"/>
    <cellStyle name="Currency 5 2 2 2 3 2 3" xfId="5057" xr:uid="{00000000-0005-0000-0000-00009F0B0000}"/>
    <cellStyle name="Currency 5 2 2 2 3 2 3 2" xfId="14383" xr:uid="{790A2192-C2F3-43A4-B93A-FD2255778152}"/>
    <cellStyle name="Currency 5 2 2 2 3 2 4" xfId="9441" xr:uid="{B7048274-E02F-4E6A-9C9A-FAD4299F19B1}"/>
    <cellStyle name="Currency 5 2 2 2 3 2 4 2" xfId="18756" xr:uid="{60EEB3F3-2CFF-4C26-BFEF-313D1276E6E3}"/>
    <cellStyle name="Currency 5 2 2 2 3 2 5" xfId="10166" xr:uid="{FD6D4E48-0529-4506-831D-891A34B4E539}"/>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43809434-2ABF-4695-B77B-65C7465507A6}"/>
    <cellStyle name="Currency 5 2 2 2 3 3 2 3" xfId="12724" xr:uid="{E494D01D-2A91-4BC1-813F-D870E1944DB2}"/>
    <cellStyle name="Currency 5 2 2 2 3 3 3" xfId="5470" xr:uid="{00000000-0005-0000-0000-0000A30B0000}"/>
    <cellStyle name="Currency 5 2 2 2 3 3 3 2" xfId="14796" xr:uid="{41476312-5D54-4086-8C65-3583317816D2}"/>
    <cellStyle name="Currency 5 2 2 2 3 3 4" xfId="10579" xr:uid="{39F64F09-84DC-45A2-BCCF-84C8BA237DA6}"/>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BE91ECE4-7EEB-4251-8C7E-525F0BAA8C81}"/>
    <cellStyle name="Currency 5 2 2 2 3 4 2 3" xfId="13137" xr:uid="{37A1BCA0-92BF-429C-9EEA-89504C0A88EC}"/>
    <cellStyle name="Currency 5 2 2 2 3 4 3" xfId="5883" xr:uid="{00000000-0005-0000-0000-0000A70B0000}"/>
    <cellStyle name="Currency 5 2 2 2 3 4 3 2" xfId="15209" xr:uid="{A4FDE216-4C6D-4649-8A6D-5E484F20CD21}"/>
    <cellStyle name="Currency 5 2 2 2 3 4 4" xfId="10992" xr:uid="{E23909FB-2594-4BC8-AC29-75A04BC8A63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7A1BA8E3-6B31-46A3-AC92-0822CA5AFDA1}"/>
    <cellStyle name="Currency 5 2 2 2 3 5 2 3" xfId="13550" xr:uid="{D71E23DF-A763-4DA0-8F9E-ECC98F1143A5}"/>
    <cellStyle name="Currency 5 2 2 2 3 5 3" xfId="6296" xr:uid="{00000000-0005-0000-0000-0000AB0B0000}"/>
    <cellStyle name="Currency 5 2 2 2 3 5 3 2" xfId="15622" xr:uid="{43039780-CAD1-4C5C-86A8-5A9AFF8B7CBE}"/>
    <cellStyle name="Currency 5 2 2 2 3 5 4" xfId="11405" xr:uid="{FBBF10F9-455D-4094-82A8-5C46779FF5E4}"/>
    <cellStyle name="Currency 5 2 2 2 3 6" xfId="2425" xr:uid="{00000000-0005-0000-0000-0000AC0B0000}"/>
    <cellStyle name="Currency 5 2 2 2 3 6 2" xfId="6709" xr:uid="{00000000-0005-0000-0000-0000AD0B0000}"/>
    <cellStyle name="Currency 5 2 2 2 3 6 2 2" xfId="16035" xr:uid="{8F367446-EBC2-4BF7-ABCE-A141B1E0D502}"/>
    <cellStyle name="Currency 5 2 2 2 3 6 3" xfId="11818" xr:uid="{176632DE-C7B1-495F-B9F3-A4FFFC86A87C}"/>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264C6F68-87CD-4F06-8428-B2013500B107}"/>
    <cellStyle name="Currency 5 2 2 2 3 8 3" xfId="12135" xr:uid="{962D07C8-04EC-4181-815E-FEF0371D65B6}"/>
    <cellStyle name="Currency 5 2 2 2 3 9" xfId="4643" xr:uid="{00000000-0005-0000-0000-0000B10B0000}"/>
    <cellStyle name="Currency 5 2 2 2 3 9 2" xfId="13969" xr:uid="{4B243642-3A02-4F33-9615-A735585EBDB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AB33F246-5BF0-4F3C-8AFD-DED9F47323EA}"/>
    <cellStyle name="Currency 5 2 2 2 4 2 3" xfId="12308" xr:uid="{837F7A6D-AEEB-40D4-A102-0DA9D53FAA2B}"/>
    <cellStyle name="Currency 5 2 2 2 4 3" xfId="5054" xr:uid="{00000000-0005-0000-0000-0000B50B0000}"/>
    <cellStyle name="Currency 5 2 2 2 4 3 2" xfId="14380" xr:uid="{8AFFF9B3-84A8-49F3-BD96-64719801944C}"/>
    <cellStyle name="Currency 5 2 2 2 4 4" xfId="9234" xr:uid="{AAF147FE-13D8-48BD-A722-062B96166D61}"/>
    <cellStyle name="Currency 5 2 2 2 4 4 2" xfId="18549" xr:uid="{DB820D56-5702-4F9A-B4C9-9D248C6DDEE8}"/>
    <cellStyle name="Currency 5 2 2 2 4 5" xfId="10163" xr:uid="{F6E0AD8E-FDD1-45E8-9255-E0499EF15C6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16FF81EB-6F03-4C7A-BADF-B6FE47246B54}"/>
    <cellStyle name="Currency 5 2 2 2 5 2 3" xfId="12721" xr:uid="{8CB2A01C-8E0D-4B0E-A7D5-7E295AF3561A}"/>
    <cellStyle name="Currency 5 2 2 2 5 3" xfId="5467" xr:uid="{00000000-0005-0000-0000-0000B90B0000}"/>
    <cellStyle name="Currency 5 2 2 2 5 3 2" xfId="14793" xr:uid="{E5299F31-2947-4816-BF34-B2FF73DE42E2}"/>
    <cellStyle name="Currency 5 2 2 2 5 4" xfId="10576" xr:uid="{CDCA7691-84D7-4AFA-90D3-D63E2455C93D}"/>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803D0141-F376-41F8-BEF1-5CCE55010217}"/>
    <cellStyle name="Currency 5 2 2 2 6 2 3" xfId="13134" xr:uid="{2C3C910C-E55F-4569-A4F2-AD045C7EDBAE}"/>
    <cellStyle name="Currency 5 2 2 2 6 3" xfId="5880" xr:uid="{00000000-0005-0000-0000-0000BD0B0000}"/>
    <cellStyle name="Currency 5 2 2 2 6 3 2" xfId="15206" xr:uid="{A2CCB78F-5445-43F5-AD18-DE57E536462C}"/>
    <cellStyle name="Currency 5 2 2 2 6 4" xfId="10989" xr:uid="{E68E9B1D-1398-4516-A318-1F410F364603}"/>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8F39AD33-87FF-4BD9-9768-E58A9479C82E}"/>
    <cellStyle name="Currency 5 2 2 2 7 2 3" xfId="13547" xr:uid="{5192A82E-155F-4361-80BC-7803EF5E1FE2}"/>
    <cellStyle name="Currency 5 2 2 2 7 3" xfId="6293" xr:uid="{00000000-0005-0000-0000-0000C10B0000}"/>
    <cellStyle name="Currency 5 2 2 2 7 3 2" xfId="15619" xr:uid="{46E9EC43-2083-4641-9230-208E2C1C84FA}"/>
    <cellStyle name="Currency 5 2 2 2 7 4" xfId="11402" xr:uid="{8A92795F-0FB5-4524-9776-FCD0C98A54D4}"/>
    <cellStyle name="Currency 5 2 2 2 8" xfId="2422" xr:uid="{00000000-0005-0000-0000-0000C20B0000}"/>
    <cellStyle name="Currency 5 2 2 2 8 2" xfId="6706" xr:uid="{00000000-0005-0000-0000-0000C30B0000}"/>
    <cellStyle name="Currency 5 2 2 2 8 2 2" xfId="16032" xr:uid="{85DF2298-9C02-43CF-A512-95C1B65B0DD3}"/>
    <cellStyle name="Currency 5 2 2 2 8 3" xfId="11815" xr:uid="{7A125971-78E8-4F9E-AAB6-2138E272666B}"/>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BE640791-5858-416D-BDC9-32196F052400}"/>
    <cellStyle name="Currency 5 2 2 3 11" xfId="8890" xr:uid="{F313D4EC-7666-4BAA-9452-39176957C213}"/>
    <cellStyle name="Currency 5 2 2 3 11 2" xfId="18214" xr:uid="{53A22FD0-802D-419E-8F60-5FBBA3A34D54}"/>
    <cellStyle name="Currency 5 2 2 3 12" xfId="9753" xr:uid="{AD0E0641-198A-4C9B-9D79-A50225721EE1}"/>
    <cellStyle name="Currency 5 2 2 3 2" xfId="201" xr:uid="{00000000-0005-0000-0000-0000C70B0000}"/>
    <cellStyle name="Currency 5 2 2 3 2 10" xfId="9097" xr:uid="{74199D2F-F17A-42DD-AC8B-D958FBFFCA8B}"/>
    <cellStyle name="Currency 5 2 2 3 2 10 2" xfId="18421" xr:uid="{DCFE91A2-5C54-4AB3-880D-10E962783F0C}"/>
    <cellStyle name="Currency 5 2 2 3 2 11" xfId="9754" xr:uid="{B51B97B0-1391-4166-B119-0FB63CF16883}"/>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DA843B15-9AF5-41E1-81C8-E40A98F534A2}"/>
    <cellStyle name="Currency 5 2 2 3 2 2 2 3" xfId="12313" xr:uid="{BB37A5FF-8D61-4E5B-B436-77FEC1B5FEBE}"/>
    <cellStyle name="Currency 5 2 2 3 2 2 3" xfId="5059" xr:uid="{00000000-0005-0000-0000-0000CB0B0000}"/>
    <cellStyle name="Currency 5 2 2 3 2 2 3 2" xfId="14385" xr:uid="{262C8389-EC84-4BDB-822A-96E9D7CC7B6F}"/>
    <cellStyle name="Currency 5 2 2 3 2 2 4" xfId="9522" xr:uid="{58EAFCD4-DA5B-47CB-A637-29DA003AA3FD}"/>
    <cellStyle name="Currency 5 2 2 3 2 2 4 2" xfId="18837" xr:uid="{88D90FD9-EEEC-41BB-A9F2-0654B4E45D8A}"/>
    <cellStyle name="Currency 5 2 2 3 2 2 5" xfId="10168" xr:uid="{6C871906-930A-40CE-AC85-4CAEDA83575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FD11DAE5-90F1-4107-B131-B43296D8625F}"/>
    <cellStyle name="Currency 5 2 2 3 2 3 2 3" xfId="12726" xr:uid="{AAA7985C-F0A7-4DCF-837E-8391C9658717}"/>
    <cellStyle name="Currency 5 2 2 3 2 3 3" xfId="5472" xr:uid="{00000000-0005-0000-0000-0000CF0B0000}"/>
    <cellStyle name="Currency 5 2 2 3 2 3 3 2" xfId="14798" xr:uid="{D5F0A545-F76F-4FEF-884E-14554ADCBEB2}"/>
    <cellStyle name="Currency 5 2 2 3 2 3 4" xfId="10581" xr:uid="{4359409B-68B6-43E9-AE4A-E401599339B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88E447E9-0419-4961-BEA6-A1A0205AB25C}"/>
    <cellStyle name="Currency 5 2 2 3 2 4 2 3" xfId="13139" xr:uid="{650CF2B5-756B-441D-84B9-08CF40175AF1}"/>
    <cellStyle name="Currency 5 2 2 3 2 4 3" xfId="5885" xr:uid="{00000000-0005-0000-0000-0000D30B0000}"/>
    <cellStyle name="Currency 5 2 2 3 2 4 3 2" xfId="15211" xr:uid="{CBF10D88-F02A-48E2-9216-D31D65ADF137}"/>
    <cellStyle name="Currency 5 2 2 3 2 4 4" xfId="10994" xr:uid="{A004BD50-070F-4C67-AA1B-3A63622B277B}"/>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9C050A02-AE01-444B-BFF0-FE751FB2AFA1}"/>
    <cellStyle name="Currency 5 2 2 3 2 5 2 3" xfId="13552" xr:uid="{2AE83706-CEB3-4780-9C23-C49F84E01BAA}"/>
    <cellStyle name="Currency 5 2 2 3 2 5 3" xfId="6298" xr:uid="{00000000-0005-0000-0000-0000D70B0000}"/>
    <cellStyle name="Currency 5 2 2 3 2 5 3 2" xfId="15624" xr:uid="{4BA4DAFA-C098-4F99-B5F9-08A341CBDD18}"/>
    <cellStyle name="Currency 5 2 2 3 2 5 4" xfId="11407" xr:uid="{BBDA411E-7E4A-4E31-8504-698084346D78}"/>
    <cellStyle name="Currency 5 2 2 3 2 6" xfId="2427" xr:uid="{00000000-0005-0000-0000-0000D80B0000}"/>
    <cellStyle name="Currency 5 2 2 3 2 6 2" xfId="6711" xr:uid="{00000000-0005-0000-0000-0000D90B0000}"/>
    <cellStyle name="Currency 5 2 2 3 2 6 2 2" xfId="16037" xr:uid="{B11BCAA1-4E41-4754-BF10-893C6130F632}"/>
    <cellStyle name="Currency 5 2 2 3 2 6 3" xfId="11820" xr:uid="{DE9F4039-5BA6-4CF0-8F61-C5E3E6206D8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659AD7F0-ABBD-415D-BB6C-8BEAA38000A4}"/>
    <cellStyle name="Currency 5 2 2 3 2 8 3" xfId="12137" xr:uid="{DFD7835B-44CA-40F0-80DD-2A903A8F792F}"/>
    <cellStyle name="Currency 5 2 2 3 2 9" xfId="4645" xr:uid="{00000000-0005-0000-0000-0000DD0B0000}"/>
    <cellStyle name="Currency 5 2 2 3 2 9 2" xfId="13971" xr:uid="{D9CF5F64-86C3-43D6-B57A-80E0C5B6E0FE}"/>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E61D2865-4CC0-4308-8E90-2C5F7E49816E}"/>
    <cellStyle name="Currency 5 2 2 3 3 2 3" xfId="12312" xr:uid="{7F429A87-236F-48E9-854A-E09ADE9FC2B9}"/>
    <cellStyle name="Currency 5 2 2 3 3 3" xfId="5058" xr:uid="{00000000-0005-0000-0000-0000E10B0000}"/>
    <cellStyle name="Currency 5 2 2 3 3 3 2" xfId="14384" xr:uid="{BF70C0E2-3957-489B-9DAB-AD59E7865CC4}"/>
    <cellStyle name="Currency 5 2 2 3 3 4" xfId="9315" xr:uid="{A76EC348-1CDB-41C1-B9B8-9215FF30C619}"/>
    <cellStyle name="Currency 5 2 2 3 3 4 2" xfId="18630" xr:uid="{133D0902-CEBD-4253-8D8E-455E2C312742}"/>
    <cellStyle name="Currency 5 2 2 3 3 5" xfId="10167" xr:uid="{FE48ECBE-CE42-40EC-BF26-DA8DA9A1B6DF}"/>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BFE81B18-C5A6-42F3-B5CD-9FF74C8B934E}"/>
    <cellStyle name="Currency 5 2 2 3 4 2 3" xfId="12725" xr:uid="{F064BEDE-A581-435D-B105-A315F83EB420}"/>
    <cellStyle name="Currency 5 2 2 3 4 3" xfId="5471" xr:uid="{00000000-0005-0000-0000-0000E50B0000}"/>
    <cellStyle name="Currency 5 2 2 3 4 3 2" xfId="14797" xr:uid="{76BD87AF-0055-4F33-B440-32B4A13E2C8B}"/>
    <cellStyle name="Currency 5 2 2 3 4 4" xfId="10580" xr:uid="{86A479DE-D5C6-4A6C-9F21-3D984D7A6F19}"/>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40FC5FA0-2DE4-43FE-855F-C7EA004CEC32}"/>
    <cellStyle name="Currency 5 2 2 3 5 2 3" xfId="13138" xr:uid="{8A51E0A9-7E60-4BE1-B143-297DF1FB10F0}"/>
    <cellStyle name="Currency 5 2 2 3 5 3" xfId="5884" xr:uid="{00000000-0005-0000-0000-0000E90B0000}"/>
    <cellStyle name="Currency 5 2 2 3 5 3 2" xfId="15210" xr:uid="{86D7DF7F-7C35-41FE-AC44-C95365555D95}"/>
    <cellStyle name="Currency 5 2 2 3 5 4" xfId="10993" xr:uid="{F9935D34-5983-4581-A407-EFBBB1037E22}"/>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794B4EC6-E662-4DD4-87FC-0E54BC9A58CB}"/>
    <cellStyle name="Currency 5 2 2 3 6 2 3" xfId="13551" xr:uid="{A655C215-31D2-43D3-8B8C-0D60484A0388}"/>
    <cellStyle name="Currency 5 2 2 3 6 3" xfId="6297" xr:uid="{00000000-0005-0000-0000-0000ED0B0000}"/>
    <cellStyle name="Currency 5 2 2 3 6 3 2" xfId="15623" xr:uid="{618688AD-5C39-4F6D-82D3-5D2BDFB0135C}"/>
    <cellStyle name="Currency 5 2 2 3 6 4" xfId="11406" xr:uid="{C7237E4B-8DAC-4F4D-A047-68C98230212F}"/>
    <cellStyle name="Currency 5 2 2 3 7" xfId="2426" xr:uid="{00000000-0005-0000-0000-0000EE0B0000}"/>
    <cellStyle name="Currency 5 2 2 3 7 2" xfId="6710" xr:uid="{00000000-0005-0000-0000-0000EF0B0000}"/>
    <cellStyle name="Currency 5 2 2 3 7 2 2" xfId="16036" xr:uid="{46D56679-8C96-4163-B374-8D073DF4D6D9}"/>
    <cellStyle name="Currency 5 2 2 3 7 3" xfId="11819" xr:uid="{E9F37D28-3664-49B2-888F-D0D413CFF9FB}"/>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302F0E1C-2EE0-4292-9937-019898645CD8}"/>
    <cellStyle name="Currency 5 2 2 3 9 3" xfId="12136" xr:uid="{8509DC92-99B0-493C-BEC6-7DDBB70DB1FA}"/>
    <cellStyle name="Currency 5 2 2 4" xfId="202" xr:uid="{00000000-0005-0000-0000-0000F30B0000}"/>
    <cellStyle name="Currency 5 2 2 4 10" xfId="8994" xr:uid="{484CCE7A-1288-4C7F-ABD6-C45948DC4EC0}"/>
    <cellStyle name="Currency 5 2 2 4 10 2" xfId="18318" xr:uid="{8166A901-823E-4FD0-A34E-D9607D5AD386}"/>
    <cellStyle name="Currency 5 2 2 4 11" xfId="9755" xr:uid="{90CB1AA4-05E5-4CC8-B1FA-7323AE5516AA}"/>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364F8510-F5AB-4684-BF80-84B22928605F}"/>
    <cellStyle name="Currency 5 2 2 4 2 2 3" xfId="12314" xr:uid="{855AE7B9-92E4-4859-A1E7-C2B398D7AD3F}"/>
    <cellStyle name="Currency 5 2 2 4 2 3" xfId="5060" xr:uid="{00000000-0005-0000-0000-0000F70B0000}"/>
    <cellStyle name="Currency 5 2 2 4 2 3 2" xfId="14386" xr:uid="{83F62E4F-D158-4E82-8324-3ADF6FED4898}"/>
    <cellStyle name="Currency 5 2 2 4 2 4" xfId="9419" xr:uid="{F03E4D2E-3BA9-4D5B-9C35-959DB128CBAE}"/>
    <cellStyle name="Currency 5 2 2 4 2 4 2" xfId="18734" xr:uid="{E3BCA1F9-0306-4399-BE8A-036AC1FF2E5A}"/>
    <cellStyle name="Currency 5 2 2 4 2 5" xfId="10169" xr:uid="{F3BA8D9C-2153-4674-BA0C-1C717F2A709D}"/>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81701DDC-DF01-40F2-880A-F9D17695663B}"/>
    <cellStyle name="Currency 5 2 2 4 3 2 3" xfId="12727" xr:uid="{65D37E1F-E6A6-4920-A35E-EEF1CD7DCC70}"/>
    <cellStyle name="Currency 5 2 2 4 3 3" xfId="5473" xr:uid="{00000000-0005-0000-0000-0000FB0B0000}"/>
    <cellStyle name="Currency 5 2 2 4 3 3 2" xfId="14799" xr:uid="{E1613CA3-EBCB-42C7-B833-8E5A2FE05253}"/>
    <cellStyle name="Currency 5 2 2 4 3 4" xfId="10582" xr:uid="{23D9D193-FF19-423A-9672-19B4A9C2ABD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90CBAF17-28FD-4D5E-B594-6DDD8D24F92F}"/>
    <cellStyle name="Currency 5 2 2 4 4 2 3" xfId="13140" xr:uid="{0590AD81-A8DF-49C6-A2CF-4D6312C03615}"/>
    <cellStyle name="Currency 5 2 2 4 4 3" xfId="5886" xr:uid="{00000000-0005-0000-0000-0000FF0B0000}"/>
    <cellStyle name="Currency 5 2 2 4 4 3 2" xfId="15212" xr:uid="{569DC683-41DE-4DDA-A60E-260EE244D346}"/>
    <cellStyle name="Currency 5 2 2 4 4 4" xfId="10995" xr:uid="{9B945FAE-947E-4063-8954-97A8514BCDA2}"/>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9814E7D1-F0F0-4419-8829-1AD412BE9071}"/>
    <cellStyle name="Currency 5 2 2 4 5 2 3" xfId="13553" xr:uid="{0727C7F0-0E67-4E5C-B058-E3790397E17E}"/>
    <cellStyle name="Currency 5 2 2 4 5 3" xfId="6299" xr:uid="{00000000-0005-0000-0000-0000030C0000}"/>
    <cellStyle name="Currency 5 2 2 4 5 3 2" xfId="15625" xr:uid="{5DA91468-69F7-4096-B82C-D390B5E43F96}"/>
    <cellStyle name="Currency 5 2 2 4 5 4" xfId="11408" xr:uid="{CF498196-E04A-4255-93FC-0BF7071B1DDA}"/>
    <cellStyle name="Currency 5 2 2 4 6" xfId="2428" xr:uid="{00000000-0005-0000-0000-0000040C0000}"/>
    <cellStyle name="Currency 5 2 2 4 6 2" xfId="6712" xr:uid="{00000000-0005-0000-0000-0000050C0000}"/>
    <cellStyle name="Currency 5 2 2 4 6 2 2" xfId="16038" xr:uid="{B0EB2C55-E9E1-475C-89B7-4F1F09809E35}"/>
    <cellStyle name="Currency 5 2 2 4 6 3" xfId="11821" xr:uid="{0C2E29FE-FA9B-4DB2-94AA-4DE59AC1201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53AC3BDC-70E7-4FCF-893D-F6FEDB2C906B}"/>
    <cellStyle name="Currency 5 2 2 4 8 3" xfId="12138" xr:uid="{5182190D-27BE-4693-A544-112D3C2E463B}"/>
    <cellStyle name="Currency 5 2 2 4 9" xfId="4646" xr:uid="{00000000-0005-0000-0000-0000090C0000}"/>
    <cellStyle name="Currency 5 2 2 4 9 2" xfId="13972" xr:uid="{91AF3B1D-6CD3-4D3E-92CB-F97A16764E38}"/>
    <cellStyle name="Currency 5 2 2 5" xfId="203" xr:uid="{00000000-0005-0000-0000-00000A0C0000}"/>
    <cellStyle name="Currency 5 2 2 5 10" xfId="9211" xr:uid="{586E1D8D-A72F-44A2-BAB5-A0BAD4827F6D}"/>
    <cellStyle name="Currency 5 2 2 5 10 2" xfId="18527" xr:uid="{05EBEF22-4E4B-4A25-ADAF-F57CAE489C80}"/>
    <cellStyle name="Currency 5 2 2 5 11" xfId="9756" xr:uid="{F3123602-5C27-40DB-A705-DCE296552E1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EBC0A456-84C4-4A0E-B21F-AEC3907723AD}"/>
    <cellStyle name="Currency 5 2 2 5 2 2 3" xfId="12315" xr:uid="{E580437C-2785-47E4-95BB-37AE1E79CD9D}"/>
    <cellStyle name="Currency 5 2 2 5 2 3" xfId="5061" xr:uid="{00000000-0005-0000-0000-00000E0C0000}"/>
    <cellStyle name="Currency 5 2 2 5 2 3 2" xfId="14387" xr:uid="{EA0E4BF1-6E0D-4F16-95EE-FC70FBA0F363}"/>
    <cellStyle name="Currency 5 2 2 5 2 4" xfId="9598" xr:uid="{EBD3270B-608E-49E1-8A20-C5ADF81FBC1B}"/>
    <cellStyle name="Currency 5 2 2 5 2 4 2" xfId="18902" xr:uid="{5B094046-6925-4946-9136-CC2292F7AAD8}"/>
    <cellStyle name="Currency 5 2 2 5 2 5" xfId="10170" xr:uid="{DA6CF281-C3F8-4869-9112-BE840B5488D1}"/>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7D267854-579E-4FA0-B066-7971963BD2A4}"/>
    <cellStyle name="Currency 5 2 2 5 3 2 3" xfId="12728" xr:uid="{B1890F03-A4C9-458C-9A78-71AF4AA258A6}"/>
    <cellStyle name="Currency 5 2 2 5 3 3" xfId="5474" xr:uid="{00000000-0005-0000-0000-0000120C0000}"/>
    <cellStyle name="Currency 5 2 2 5 3 3 2" xfId="14800" xr:uid="{FEC6B05C-45DE-4BC6-BC74-39E88CEDD7A9}"/>
    <cellStyle name="Currency 5 2 2 5 3 4" xfId="10583" xr:uid="{DEF6BBF5-33F7-4CF7-9B58-738C362A8514}"/>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09F91E05-0259-4084-9373-A359EFF665FB}"/>
    <cellStyle name="Currency 5 2 2 5 4 2 3" xfId="13141" xr:uid="{54EB084D-74DC-4E3B-8A41-9917B773CB8E}"/>
    <cellStyle name="Currency 5 2 2 5 4 3" xfId="5887" xr:uid="{00000000-0005-0000-0000-0000160C0000}"/>
    <cellStyle name="Currency 5 2 2 5 4 3 2" xfId="15213" xr:uid="{89F37A8D-4FBE-4C4D-9039-54E23F11C66B}"/>
    <cellStyle name="Currency 5 2 2 5 4 4" xfId="10996" xr:uid="{6C309F4F-3F46-47A4-8163-B54DA87856C3}"/>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2132B02D-DEF7-46EA-AF0F-1B2D8C201E26}"/>
    <cellStyle name="Currency 5 2 2 5 5 2 3" xfId="13554" xr:uid="{BEBE7E38-95AA-47D1-803D-3DEB06ECD9E5}"/>
    <cellStyle name="Currency 5 2 2 5 5 3" xfId="6300" xr:uid="{00000000-0005-0000-0000-00001A0C0000}"/>
    <cellStyle name="Currency 5 2 2 5 5 3 2" xfId="15626" xr:uid="{8C535833-E7BA-4B9B-A9FC-2B8D5A5A4297}"/>
    <cellStyle name="Currency 5 2 2 5 5 4" xfId="11409" xr:uid="{12230815-B856-4F98-A3B4-B1A3A2F83B51}"/>
    <cellStyle name="Currency 5 2 2 5 6" xfId="2429" xr:uid="{00000000-0005-0000-0000-00001B0C0000}"/>
    <cellStyle name="Currency 5 2 2 5 6 2" xfId="6713" xr:uid="{00000000-0005-0000-0000-00001C0C0000}"/>
    <cellStyle name="Currency 5 2 2 5 6 2 2" xfId="16039" xr:uid="{A996B331-1DB2-4CFD-8D8C-3F126ED9A0B7}"/>
    <cellStyle name="Currency 5 2 2 5 6 3" xfId="11822" xr:uid="{7B2329EA-3FE9-48C7-8337-48093F81E4DC}"/>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F138E5D5-B134-4B15-B725-9442DD30893B}"/>
    <cellStyle name="Currency 5 2 2 5 8 3" xfId="12139" xr:uid="{4D2B37A5-36B3-4E0C-8D88-608B5702FD1F}"/>
    <cellStyle name="Currency 5 2 2 5 9" xfId="4647" xr:uid="{00000000-0005-0000-0000-0000200C0000}"/>
    <cellStyle name="Currency 5 2 2 5 9 2" xfId="13973" xr:uid="{4A336434-0EFA-4374-8AFD-9CB13F5CB137}"/>
    <cellStyle name="Currency 5 2 2 6" xfId="9584" xr:uid="{DC5749FB-A314-4F8C-B61F-309C27A570F5}"/>
    <cellStyle name="Currency 5 2 2 7" xfId="8787" xr:uid="{822EE7D8-70A6-49D7-843D-E84C848DC397}"/>
    <cellStyle name="Currency 5 2 2 7 2" xfId="18111" xr:uid="{CCD142CA-D18B-4632-8224-34157969A909}"/>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496D7E05-64C4-4841-9390-D86A4A73B90A}"/>
    <cellStyle name="Currency 5 2 4 11" xfId="8859" xr:uid="{D3A5F8AD-5F4E-4BEA-A9B4-9A705A015524}"/>
    <cellStyle name="Currency 5 2 4 11 2" xfId="18183" xr:uid="{4E25D7E9-00B0-4DD8-BBF9-2FD17FF0A7D1}"/>
    <cellStyle name="Currency 5 2 4 12" xfId="9757" xr:uid="{804DF2B8-0C11-44B0-8A94-E982712698F1}"/>
    <cellStyle name="Currency 5 2 4 2" xfId="206" xr:uid="{00000000-0005-0000-0000-0000250C0000}"/>
    <cellStyle name="Currency 5 2 4 2 10" xfId="9066" xr:uid="{2F7A28AF-2120-4AAF-A58B-33C2E07F597D}"/>
    <cellStyle name="Currency 5 2 4 2 10 2" xfId="18390" xr:uid="{59544FEB-C248-476C-8353-6FFA4D445A8A}"/>
    <cellStyle name="Currency 5 2 4 2 11" xfId="9758" xr:uid="{2101887C-DC2B-4561-BD16-BBB9951BFF3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E8FD0519-1E30-4D91-A33E-4C007EEFF476}"/>
    <cellStyle name="Currency 5 2 4 2 2 2 3" xfId="12317" xr:uid="{AC7B31FD-0A8E-498B-A87F-7558CD616B15}"/>
    <cellStyle name="Currency 5 2 4 2 2 3" xfId="5063" xr:uid="{00000000-0005-0000-0000-0000290C0000}"/>
    <cellStyle name="Currency 5 2 4 2 2 3 2" xfId="14389" xr:uid="{C759C34A-9063-4E7F-8948-F1C6922DAC85}"/>
    <cellStyle name="Currency 5 2 4 2 2 4" xfId="9491" xr:uid="{64B868C7-9024-4970-9E74-7DF82417BD7A}"/>
    <cellStyle name="Currency 5 2 4 2 2 4 2" xfId="18806" xr:uid="{584BF5C9-A03F-4C50-B5BE-468683AFE515}"/>
    <cellStyle name="Currency 5 2 4 2 2 5" xfId="10172" xr:uid="{51549020-8192-4DEA-BDB3-FF3A6A1D13C6}"/>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481FE874-4E1E-40A4-8F3C-4D119D54E129}"/>
    <cellStyle name="Currency 5 2 4 2 3 2 3" xfId="12730" xr:uid="{DFA92543-C9C1-44DA-9DBB-3EB7A3DE6872}"/>
    <cellStyle name="Currency 5 2 4 2 3 3" xfId="5476" xr:uid="{00000000-0005-0000-0000-00002D0C0000}"/>
    <cellStyle name="Currency 5 2 4 2 3 3 2" xfId="14802" xr:uid="{742BCEDD-FF96-4CA5-9279-71B82EC6E529}"/>
    <cellStyle name="Currency 5 2 4 2 3 4" xfId="10585" xr:uid="{C4C74BA6-3962-47CB-A219-1C699C68939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B1DCED10-F12E-4EC3-9826-39BFE1E9E2C3}"/>
    <cellStyle name="Currency 5 2 4 2 4 2 3" xfId="13143" xr:uid="{396D6206-9774-4B04-8F74-56DA16F6CE66}"/>
    <cellStyle name="Currency 5 2 4 2 4 3" xfId="5889" xr:uid="{00000000-0005-0000-0000-0000310C0000}"/>
    <cellStyle name="Currency 5 2 4 2 4 3 2" xfId="15215" xr:uid="{CDE32160-7BA7-4AEF-8EC4-12E0D2D8854D}"/>
    <cellStyle name="Currency 5 2 4 2 4 4" xfId="10998" xr:uid="{78E40445-C931-4660-93A5-5DAA21BC00D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046D9F05-9AF0-4499-8255-DE377FDDE30B}"/>
    <cellStyle name="Currency 5 2 4 2 5 2 3" xfId="13556" xr:uid="{26EBC6B0-2986-44DC-8B7B-D4ADC03065DA}"/>
    <cellStyle name="Currency 5 2 4 2 5 3" xfId="6302" xr:uid="{00000000-0005-0000-0000-0000350C0000}"/>
    <cellStyle name="Currency 5 2 4 2 5 3 2" xfId="15628" xr:uid="{FA2E1EA1-4233-42ED-9BA6-1EC65A55C26B}"/>
    <cellStyle name="Currency 5 2 4 2 5 4" xfId="11411" xr:uid="{80DFF6A6-532E-41DC-AE87-1DF47760E0E9}"/>
    <cellStyle name="Currency 5 2 4 2 6" xfId="2431" xr:uid="{00000000-0005-0000-0000-0000360C0000}"/>
    <cellStyle name="Currency 5 2 4 2 6 2" xfId="6715" xr:uid="{00000000-0005-0000-0000-0000370C0000}"/>
    <cellStyle name="Currency 5 2 4 2 6 2 2" xfId="16041" xr:uid="{8889E151-9CEC-4478-B1A5-20121884AB61}"/>
    <cellStyle name="Currency 5 2 4 2 6 3" xfId="11824" xr:uid="{FADD0E89-36BE-41B6-886D-B83F23677C76}"/>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8E177A3A-04DA-4110-BDEE-C95D30B5EBC6}"/>
    <cellStyle name="Currency 5 2 4 2 8 3" xfId="12141" xr:uid="{9ACF76AE-2ABE-426D-B956-2F621FD46002}"/>
    <cellStyle name="Currency 5 2 4 2 9" xfId="4649" xr:uid="{00000000-0005-0000-0000-00003B0C0000}"/>
    <cellStyle name="Currency 5 2 4 2 9 2" xfId="13975" xr:uid="{5FCE4A66-250C-4687-8BEA-946E59D3BBEC}"/>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01E7F212-AE8B-4580-BE38-6CB201BAA69A}"/>
    <cellStyle name="Currency 5 2 4 3 2 3" xfId="12316" xr:uid="{10DD6CFE-7FB9-4812-820A-66F7DA0A3C24}"/>
    <cellStyle name="Currency 5 2 4 3 3" xfId="5062" xr:uid="{00000000-0005-0000-0000-00003F0C0000}"/>
    <cellStyle name="Currency 5 2 4 3 3 2" xfId="14388" xr:uid="{1971FC0F-0F55-475A-A440-E6CA7F54BA3F}"/>
    <cellStyle name="Currency 5 2 4 3 4" xfId="9284" xr:uid="{1D0B72AC-AFAC-428F-8BF0-6DFF9565613D}"/>
    <cellStyle name="Currency 5 2 4 3 4 2" xfId="18599" xr:uid="{2E5DD31E-1087-4722-AE8F-DDA3B06528B6}"/>
    <cellStyle name="Currency 5 2 4 3 5" xfId="10171" xr:uid="{32A526A9-A2A8-4A97-AF4B-413CF0FC8687}"/>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E1D578D7-4513-41B3-A223-1069D4203385}"/>
    <cellStyle name="Currency 5 2 4 4 2 3" xfId="12729" xr:uid="{E09983A7-EFE8-4FAB-AAEE-E7F24347E8AB}"/>
    <cellStyle name="Currency 5 2 4 4 3" xfId="5475" xr:uid="{00000000-0005-0000-0000-0000430C0000}"/>
    <cellStyle name="Currency 5 2 4 4 3 2" xfId="14801" xr:uid="{FBEEEBAD-2ED2-4CFD-8E3D-78C312F39B6E}"/>
    <cellStyle name="Currency 5 2 4 4 4" xfId="10584" xr:uid="{5B65C074-4463-4F29-A6C0-17FCC488FCA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40A38C18-C5EB-4EA4-9E01-6383570820D8}"/>
    <cellStyle name="Currency 5 2 4 5 2 3" xfId="13142" xr:uid="{5CEA2E7E-D8C3-4DF3-B228-3C28FEDF7C17}"/>
    <cellStyle name="Currency 5 2 4 5 3" xfId="5888" xr:uid="{00000000-0005-0000-0000-0000470C0000}"/>
    <cellStyle name="Currency 5 2 4 5 3 2" xfId="15214" xr:uid="{3265CA7F-4F9A-4F80-99A5-61B390B7BBFA}"/>
    <cellStyle name="Currency 5 2 4 5 4" xfId="10997" xr:uid="{D7E653AD-F538-4426-8D22-97E818D5389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46735517-0F88-44EA-8B54-1F8E236A5A68}"/>
    <cellStyle name="Currency 5 2 4 6 2 3" xfId="13555" xr:uid="{AD129EF6-C505-45B6-8187-DB2BCAABD014}"/>
    <cellStyle name="Currency 5 2 4 6 3" xfId="6301" xr:uid="{00000000-0005-0000-0000-00004B0C0000}"/>
    <cellStyle name="Currency 5 2 4 6 3 2" xfId="15627" xr:uid="{0B22CD22-A04D-407A-A9E3-47F228F46F7F}"/>
    <cellStyle name="Currency 5 2 4 6 4" xfId="11410" xr:uid="{970668BA-A7A2-4AED-B5D8-C46068F6A93C}"/>
    <cellStyle name="Currency 5 2 4 7" xfId="2430" xr:uid="{00000000-0005-0000-0000-00004C0C0000}"/>
    <cellStyle name="Currency 5 2 4 7 2" xfId="6714" xr:uid="{00000000-0005-0000-0000-00004D0C0000}"/>
    <cellStyle name="Currency 5 2 4 7 2 2" xfId="16040" xr:uid="{C74530D1-D164-4283-82DA-158C3D45AD3E}"/>
    <cellStyle name="Currency 5 2 4 7 3" xfId="11823" xr:uid="{D223ED35-39CB-4999-ACA5-E8FA8315EDB5}"/>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F6946882-D037-483D-A6DA-69907E7F908D}"/>
    <cellStyle name="Currency 5 2 4 9 3" xfId="12140" xr:uid="{E2DB256A-06B9-4174-893E-67D0BB87694D}"/>
    <cellStyle name="Currency 5 2 5" xfId="207" xr:uid="{00000000-0005-0000-0000-0000510C0000}"/>
    <cellStyle name="Currency 5 2 5 10" xfId="8975" xr:uid="{3422EC31-C47F-46E0-A50C-FE05B1979387}"/>
    <cellStyle name="Currency 5 2 5 10 2" xfId="18299" xr:uid="{CEB9E69C-9F97-4299-A208-7A73101491A1}"/>
    <cellStyle name="Currency 5 2 5 11" xfId="9759" xr:uid="{2FB1F494-C826-4576-9119-E1F67D2D748D}"/>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B38DFD2E-7228-435F-80B3-7AF1B3A8CFAD}"/>
    <cellStyle name="Currency 5 2 5 2 2 3" xfId="12318" xr:uid="{5E108E88-5D08-47A9-B7E1-9498B57D8431}"/>
    <cellStyle name="Currency 5 2 5 2 3" xfId="5064" xr:uid="{00000000-0005-0000-0000-0000550C0000}"/>
    <cellStyle name="Currency 5 2 5 2 3 2" xfId="14390" xr:uid="{E6CB1A02-44E9-48AA-B4F0-F45965E7CE35}"/>
    <cellStyle name="Currency 5 2 5 2 4" xfId="9400" xr:uid="{6620DDCD-05C0-4AFD-8A83-F1190101CCB3}"/>
    <cellStyle name="Currency 5 2 5 2 4 2" xfId="18715" xr:uid="{D0B65CD7-B2F1-4EF2-A964-82BF0511D538}"/>
    <cellStyle name="Currency 5 2 5 2 5" xfId="10173" xr:uid="{B1AEABEE-0B53-41F9-B73E-2834CADC796D}"/>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75E1149D-300C-4E66-991E-0A81B059DE44}"/>
    <cellStyle name="Currency 5 2 5 3 2 3" xfId="12731" xr:uid="{69ADE422-86A5-4FBD-A5D3-EF5B1CFABF8A}"/>
    <cellStyle name="Currency 5 2 5 3 3" xfId="5477" xr:uid="{00000000-0005-0000-0000-0000590C0000}"/>
    <cellStyle name="Currency 5 2 5 3 3 2" xfId="14803" xr:uid="{82566203-B09F-4EE3-BF1C-A8DE2885476A}"/>
    <cellStyle name="Currency 5 2 5 3 4" xfId="10586" xr:uid="{D03AA4EF-F561-4DC8-BBD2-E8754B8A2827}"/>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D1112337-B8EE-4E74-A6BD-53DF487F1CB9}"/>
    <cellStyle name="Currency 5 2 5 4 2 3" xfId="13144" xr:uid="{8C454A7A-649D-44E4-BCB2-C4B6E3D08261}"/>
    <cellStyle name="Currency 5 2 5 4 3" xfId="5890" xr:uid="{00000000-0005-0000-0000-00005D0C0000}"/>
    <cellStyle name="Currency 5 2 5 4 3 2" xfId="15216" xr:uid="{BBA3C9E2-4845-4B9C-B7D4-6B99A05B904F}"/>
    <cellStyle name="Currency 5 2 5 4 4" xfId="10999" xr:uid="{06D27C8F-4CAB-4B2A-95AB-A45C037F5738}"/>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EC53B1F3-1989-4B0F-B9A2-D1A1666CD31B}"/>
    <cellStyle name="Currency 5 2 5 5 2 3" xfId="13557" xr:uid="{06423F50-688A-4F50-9572-F90C24A711BD}"/>
    <cellStyle name="Currency 5 2 5 5 3" xfId="6303" xr:uid="{00000000-0005-0000-0000-0000610C0000}"/>
    <cellStyle name="Currency 5 2 5 5 3 2" xfId="15629" xr:uid="{D4D530CA-82A2-4D18-AA6B-7790E419A51F}"/>
    <cellStyle name="Currency 5 2 5 5 4" xfId="11412" xr:uid="{D0AAF4A0-D6CC-49E1-AD27-42CEFB57F70F}"/>
    <cellStyle name="Currency 5 2 5 6" xfId="2432" xr:uid="{00000000-0005-0000-0000-0000620C0000}"/>
    <cellStyle name="Currency 5 2 5 6 2" xfId="6716" xr:uid="{00000000-0005-0000-0000-0000630C0000}"/>
    <cellStyle name="Currency 5 2 5 6 2 2" xfId="16042" xr:uid="{9C63E9BD-1EA5-4C0F-A656-1301AE90D44C}"/>
    <cellStyle name="Currency 5 2 5 6 3" xfId="11825" xr:uid="{6C2032A0-3063-4A94-9516-E364B2E7DEB6}"/>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D4E3AC88-D985-4315-BC10-F28819917E46}"/>
    <cellStyle name="Currency 5 2 5 8 3" xfId="12142" xr:uid="{223C4F48-EFCB-49A5-B176-81C0CC12A28A}"/>
    <cellStyle name="Currency 5 2 5 9" xfId="4650" xr:uid="{00000000-0005-0000-0000-0000670C0000}"/>
    <cellStyle name="Currency 5 2 5 9 2" xfId="13976" xr:uid="{1EF6F5FC-CF63-4E07-B96B-4902B4502679}"/>
    <cellStyle name="Currency 5 2 6" xfId="208" xr:uid="{00000000-0005-0000-0000-0000680C0000}"/>
    <cellStyle name="Currency 5 2 6 10" xfId="9178" xr:uid="{19F6D70E-88E4-4E39-A1A9-3FF3D840E2F9}"/>
    <cellStyle name="Currency 5 2 6 10 2" xfId="18496" xr:uid="{F8B86832-575A-4553-BA11-DF3DD8D7151F}"/>
    <cellStyle name="Currency 5 2 6 11" xfId="9760" xr:uid="{A12505C4-F145-4974-BACE-C81DF4664230}"/>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C777234A-2BB0-4879-B4B5-D14739064408}"/>
    <cellStyle name="Currency 5 2 6 2 2 3" xfId="12319" xr:uid="{79A297F3-25E2-4940-B469-68D66922EDB5}"/>
    <cellStyle name="Currency 5 2 6 2 3" xfId="5065" xr:uid="{00000000-0005-0000-0000-00006C0C0000}"/>
    <cellStyle name="Currency 5 2 6 2 3 2" xfId="14391" xr:uid="{D18A85E7-A2C8-4561-86C1-5F8D16441579}"/>
    <cellStyle name="Currency 5 2 6 2 4" xfId="9599" xr:uid="{C2EE182C-D73D-4E6C-9671-0484CB4E8D68}"/>
    <cellStyle name="Currency 5 2 6 2 4 2" xfId="18903" xr:uid="{68E6C77F-A6C6-473F-A6CD-8BC5CC29C78D}"/>
    <cellStyle name="Currency 5 2 6 2 5" xfId="10174" xr:uid="{747B7671-DF0A-4F8E-B6FE-24ECFABDCA3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99AAD86D-79F8-4AC8-82D9-7EAB51DBCEBB}"/>
    <cellStyle name="Currency 5 2 6 3 2 3" xfId="12732" xr:uid="{9504FBFF-42E8-4180-A640-1472225AE6F3}"/>
    <cellStyle name="Currency 5 2 6 3 3" xfId="5478" xr:uid="{00000000-0005-0000-0000-0000700C0000}"/>
    <cellStyle name="Currency 5 2 6 3 3 2" xfId="14804" xr:uid="{8C20CD63-2724-4FCA-9FF5-83E198A93A17}"/>
    <cellStyle name="Currency 5 2 6 3 4" xfId="10587" xr:uid="{39A78913-AB7E-4C3F-9794-B8D5F612AF7A}"/>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12EDC4AC-4BEC-4947-96A2-3E62ABB17CF5}"/>
    <cellStyle name="Currency 5 2 6 4 2 3" xfId="13145" xr:uid="{1B95EFBA-7E21-487C-B59C-C03B4A07A592}"/>
    <cellStyle name="Currency 5 2 6 4 3" xfId="5891" xr:uid="{00000000-0005-0000-0000-0000740C0000}"/>
    <cellStyle name="Currency 5 2 6 4 3 2" xfId="15217" xr:uid="{E8D722A2-DD46-4EAD-BA12-C38585B8F4F2}"/>
    <cellStyle name="Currency 5 2 6 4 4" xfId="11000" xr:uid="{0FBAC3E0-592C-44B0-B0E0-AD8503D7A5FA}"/>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3B3E0A72-D685-4F8D-BF3D-0039415E0976}"/>
    <cellStyle name="Currency 5 2 6 5 2 3" xfId="13558" xr:uid="{B14DC5DC-59D8-47AF-879E-E4AD24B82E28}"/>
    <cellStyle name="Currency 5 2 6 5 3" xfId="6304" xr:uid="{00000000-0005-0000-0000-0000780C0000}"/>
    <cellStyle name="Currency 5 2 6 5 3 2" xfId="15630" xr:uid="{2AD36A81-E6F1-42F6-8F61-2E39420C0A58}"/>
    <cellStyle name="Currency 5 2 6 5 4" xfId="11413" xr:uid="{EA416B8E-8B2E-4BC8-9306-78DD32B24F5C}"/>
    <cellStyle name="Currency 5 2 6 6" xfId="2433" xr:uid="{00000000-0005-0000-0000-0000790C0000}"/>
    <cellStyle name="Currency 5 2 6 6 2" xfId="6717" xr:uid="{00000000-0005-0000-0000-00007A0C0000}"/>
    <cellStyle name="Currency 5 2 6 6 2 2" xfId="16043" xr:uid="{69AEF6CA-75CA-4318-B4C0-730F97ED62F4}"/>
    <cellStyle name="Currency 5 2 6 6 3" xfId="11826" xr:uid="{9CFF6DA4-206B-4736-89E5-A79EBEEC7283}"/>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707EF6B5-F551-4BD4-9DC4-972F14B3C220}"/>
    <cellStyle name="Currency 5 2 6 8 3" xfId="12143" xr:uid="{10337A14-782B-42AE-B56D-00DDAA799779}"/>
    <cellStyle name="Currency 5 2 6 9" xfId="4651" xr:uid="{00000000-0005-0000-0000-00007E0C0000}"/>
    <cellStyle name="Currency 5 2 6 9 2" xfId="13977" xr:uid="{3E86483B-7F44-4B44-9E25-0BA5EBC6D8FF}"/>
    <cellStyle name="Currency 5 2 7" xfId="722" xr:uid="{00000000-0005-0000-0000-00007F0C0000}"/>
    <cellStyle name="Currency 5 2 8" xfId="8756" xr:uid="{D16196A2-D0A3-46A2-9B14-6B017B4CC82F}"/>
    <cellStyle name="Currency 5 2 8 2" xfId="18080" xr:uid="{D0C9DA65-F004-4949-BF99-FA8322AD6794}"/>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B5FB72C1-BFE4-4A5E-BC5A-D0B8FA644DCA}"/>
    <cellStyle name="Currency 5 3 2 10 3" xfId="12144" xr:uid="{D1E58C82-DDC1-4ED6-8C8E-C984E7F0C392}"/>
    <cellStyle name="Currency 5 3 2 11" xfId="4652" xr:uid="{00000000-0005-0000-0000-0000840C0000}"/>
    <cellStyle name="Currency 5 3 2 11 2" xfId="13978" xr:uid="{C325391E-2753-4452-908F-EEF0B1B83CA7}"/>
    <cellStyle name="Currency 5 3 2 12" xfId="8810" xr:uid="{C5234FF9-D509-4CD8-ADA1-D3604CCF3D1F}"/>
    <cellStyle name="Currency 5 3 2 12 2" xfId="18134" xr:uid="{49A8F1A7-9FB3-4785-9078-CB616B897EC1}"/>
    <cellStyle name="Currency 5 3 2 13" xfId="9761" xr:uid="{E537F24B-4E47-42A6-B053-73694D41AFDF}"/>
    <cellStyle name="Currency 5 3 2 2" xfId="211" xr:uid="{00000000-0005-0000-0000-0000850C0000}"/>
    <cellStyle name="Currency 5 3 2 2 10" xfId="4653" xr:uid="{00000000-0005-0000-0000-0000860C0000}"/>
    <cellStyle name="Currency 5 3 2 2 10 2" xfId="13979" xr:uid="{259672C0-770D-4AE9-AD88-70A4F62E6069}"/>
    <cellStyle name="Currency 5 3 2 2 11" xfId="8913" xr:uid="{FE033F82-2F16-4925-9899-F927AB9AA612}"/>
    <cellStyle name="Currency 5 3 2 2 11 2" xfId="18237" xr:uid="{78C2064E-31DB-4D45-81D5-5498B741B6B4}"/>
    <cellStyle name="Currency 5 3 2 2 12" xfId="9762" xr:uid="{F63C5201-25AC-47C8-B59A-96E66C289342}"/>
    <cellStyle name="Currency 5 3 2 2 2" xfId="212" xr:uid="{00000000-0005-0000-0000-0000870C0000}"/>
    <cellStyle name="Currency 5 3 2 2 2 10" xfId="9120" xr:uid="{D5536A1F-8418-4CB5-B1E0-470AD716374A}"/>
    <cellStyle name="Currency 5 3 2 2 2 10 2" xfId="18444" xr:uid="{5EA1E2CC-CC24-47B7-9B96-A98D9405030F}"/>
    <cellStyle name="Currency 5 3 2 2 2 11" xfId="9763" xr:uid="{BF2EBD86-936A-4D37-B472-DBF4530CA31E}"/>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A4D9733D-D089-4512-894A-E3B51F5F2A55}"/>
    <cellStyle name="Currency 5 3 2 2 2 2 2 3" xfId="12322" xr:uid="{65CE401C-D49D-4F72-87F3-F10E9ACE719D}"/>
    <cellStyle name="Currency 5 3 2 2 2 2 3" xfId="5068" xr:uid="{00000000-0005-0000-0000-00008B0C0000}"/>
    <cellStyle name="Currency 5 3 2 2 2 2 3 2" xfId="14394" xr:uid="{724528B7-0C43-4C2F-B388-002B3B7B4DEC}"/>
    <cellStyle name="Currency 5 3 2 2 2 2 4" xfId="9545" xr:uid="{F6C268D6-0334-42F7-AE4F-535ADD09B625}"/>
    <cellStyle name="Currency 5 3 2 2 2 2 4 2" xfId="18860" xr:uid="{D42CCA31-A718-4CFA-A2F9-8B215476A316}"/>
    <cellStyle name="Currency 5 3 2 2 2 2 5" xfId="10177" xr:uid="{12D028C4-F6C1-41B5-B8CC-05468B87FBA7}"/>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83A2E6F5-C44B-4CBA-BDB1-64E3807249FC}"/>
    <cellStyle name="Currency 5 3 2 2 2 3 2 3" xfId="12735" xr:uid="{CDF83EC0-45DF-4F4E-896B-92AB795CE621}"/>
    <cellStyle name="Currency 5 3 2 2 2 3 3" xfId="5481" xr:uid="{00000000-0005-0000-0000-00008F0C0000}"/>
    <cellStyle name="Currency 5 3 2 2 2 3 3 2" xfId="14807" xr:uid="{8784210B-27A0-4434-A257-BCE6893E030C}"/>
    <cellStyle name="Currency 5 3 2 2 2 3 4" xfId="10590" xr:uid="{94099FAA-48DA-4403-A698-C1914B36E65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4512C64D-5F64-4C19-8986-E114CD92E73D}"/>
    <cellStyle name="Currency 5 3 2 2 2 4 2 3" xfId="13148" xr:uid="{6797727B-6F18-4C9C-AFF2-D30602DE71EB}"/>
    <cellStyle name="Currency 5 3 2 2 2 4 3" xfId="5894" xr:uid="{00000000-0005-0000-0000-0000930C0000}"/>
    <cellStyle name="Currency 5 3 2 2 2 4 3 2" xfId="15220" xr:uid="{532EADDA-C2FC-460F-8ABD-6940EC7C1ACF}"/>
    <cellStyle name="Currency 5 3 2 2 2 4 4" xfId="11003" xr:uid="{F8EE0EC6-D156-4418-BFAE-A727EA15078E}"/>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A9177489-12AD-42A4-A100-A3726323591A}"/>
    <cellStyle name="Currency 5 3 2 2 2 5 2 3" xfId="13561" xr:uid="{6B81A153-DA89-445F-84F8-825D053454DD}"/>
    <cellStyle name="Currency 5 3 2 2 2 5 3" xfId="6307" xr:uid="{00000000-0005-0000-0000-0000970C0000}"/>
    <cellStyle name="Currency 5 3 2 2 2 5 3 2" xfId="15633" xr:uid="{CFAD45B9-8C86-4961-9349-93D967C188CD}"/>
    <cellStyle name="Currency 5 3 2 2 2 5 4" xfId="11416" xr:uid="{2D504E20-3806-4137-96EA-72C19EBA2C49}"/>
    <cellStyle name="Currency 5 3 2 2 2 6" xfId="2436" xr:uid="{00000000-0005-0000-0000-0000980C0000}"/>
    <cellStyle name="Currency 5 3 2 2 2 6 2" xfId="6720" xr:uid="{00000000-0005-0000-0000-0000990C0000}"/>
    <cellStyle name="Currency 5 3 2 2 2 6 2 2" xfId="16046" xr:uid="{6A895BB2-B032-449F-BC96-4E61C58FE8EA}"/>
    <cellStyle name="Currency 5 3 2 2 2 6 3" xfId="11829" xr:uid="{7B8CD70F-FA3F-4B34-94AE-1C8E4A3F275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9A3D79E5-0AF3-4644-B4E7-C754C158EC83}"/>
    <cellStyle name="Currency 5 3 2 2 2 8 3" xfId="12146" xr:uid="{5D632ABD-72F8-4EB2-804D-093618C0D4EE}"/>
    <cellStyle name="Currency 5 3 2 2 2 9" xfId="4654" xr:uid="{00000000-0005-0000-0000-00009D0C0000}"/>
    <cellStyle name="Currency 5 3 2 2 2 9 2" xfId="13980" xr:uid="{08F711AD-3C3B-446E-9153-94333C875444}"/>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FDB285E8-A0A9-4E0B-BD81-7F30CFBB6E84}"/>
    <cellStyle name="Currency 5 3 2 2 3 2 3" xfId="12321" xr:uid="{8A83D2E3-751F-4956-A2C6-3DB4926471AC}"/>
    <cellStyle name="Currency 5 3 2 2 3 3" xfId="5067" xr:uid="{00000000-0005-0000-0000-0000A10C0000}"/>
    <cellStyle name="Currency 5 3 2 2 3 3 2" xfId="14393" xr:uid="{3B880C58-EF43-4691-A155-BC5E0A7C3906}"/>
    <cellStyle name="Currency 5 3 2 2 3 4" xfId="9338" xr:uid="{E79296CA-9516-4DDA-84B2-A3B13AAA9D9D}"/>
    <cellStyle name="Currency 5 3 2 2 3 4 2" xfId="18653" xr:uid="{849E1FDD-070C-4043-84DB-2522C6A4C3F9}"/>
    <cellStyle name="Currency 5 3 2 2 3 5" xfId="10176" xr:uid="{69D1AC28-1B48-4488-BC51-A11328B0BFB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A9E2C1C0-406C-4AAA-8E24-8ACC386F1A3C}"/>
    <cellStyle name="Currency 5 3 2 2 4 2 3" xfId="12734" xr:uid="{599D0851-AA42-419E-9D08-D789A23701EC}"/>
    <cellStyle name="Currency 5 3 2 2 4 3" xfId="5480" xr:uid="{00000000-0005-0000-0000-0000A50C0000}"/>
    <cellStyle name="Currency 5 3 2 2 4 3 2" xfId="14806" xr:uid="{A547C0E5-B3DD-443F-B613-A3F6CAD2CD12}"/>
    <cellStyle name="Currency 5 3 2 2 4 4" xfId="10589" xr:uid="{660E01F8-9B25-451A-966E-3F284D8EFF74}"/>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7704FF49-23F0-42BB-8F48-058754309372}"/>
    <cellStyle name="Currency 5 3 2 2 5 2 3" xfId="13147" xr:uid="{2E69FFF0-5A75-401A-BCF8-F83ACAD1F87F}"/>
    <cellStyle name="Currency 5 3 2 2 5 3" xfId="5893" xr:uid="{00000000-0005-0000-0000-0000A90C0000}"/>
    <cellStyle name="Currency 5 3 2 2 5 3 2" xfId="15219" xr:uid="{85B8FCAF-8F37-4559-A488-E508870C550A}"/>
    <cellStyle name="Currency 5 3 2 2 5 4" xfId="11002" xr:uid="{0632754C-5C1F-45B2-AEC0-CC05E8523A54}"/>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DAF42D05-CDF6-416A-88C8-0F07F5268FD4}"/>
    <cellStyle name="Currency 5 3 2 2 6 2 3" xfId="13560" xr:uid="{F14D1F65-0702-4DBB-A5B7-AC69AEC72855}"/>
    <cellStyle name="Currency 5 3 2 2 6 3" xfId="6306" xr:uid="{00000000-0005-0000-0000-0000AD0C0000}"/>
    <cellStyle name="Currency 5 3 2 2 6 3 2" xfId="15632" xr:uid="{7337713D-48BB-4D6B-AF19-EADD1BB71ED6}"/>
    <cellStyle name="Currency 5 3 2 2 6 4" xfId="11415" xr:uid="{40461287-4750-40B0-AE92-F7BED63D6D61}"/>
    <cellStyle name="Currency 5 3 2 2 7" xfId="2435" xr:uid="{00000000-0005-0000-0000-0000AE0C0000}"/>
    <cellStyle name="Currency 5 3 2 2 7 2" xfId="6719" xr:uid="{00000000-0005-0000-0000-0000AF0C0000}"/>
    <cellStyle name="Currency 5 3 2 2 7 2 2" xfId="16045" xr:uid="{2C0E450F-F266-481A-9A69-B51209A68C12}"/>
    <cellStyle name="Currency 5 3 2 2 7 3" xfId="11828" xr:uid="{092A7A35-88E7-4DE5-8F40-3EC040000103}"/>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FA9E10F2-A461-4618-9127-E72D715AF841}"/>
    <cellStyle name="Currency 5 3 2 2 9 3" xfId="12145" xr:uid="{6232D61F-DE0E-41B3-AF3C-7F70AE11A3AE}"/>
    <cellStyle name="Currency 5 3 2 3" xfId="213" xr:uid="{00000000-0005-0000-0000-0000B30C0000}"/>
    <cellStyle name="Currency 5 3 2 3 10" xfId="9017" xr:uid="{A6213F8D-EE09-4095-B9BE-99C55DEE210F}"/>
    <cellStyle name="Currency 5 3 2 3 10 2" xfId="18341" xr:uid="{C24574BF-DA60-4CF6-83B0-93F7048DB5FE}"/>
    <cellStyle name="Currency 5 3 2 3 11" xfId="9764" xr:uid="{97B383F2-1FC1-41DF-8F56-F10CB3199455}"/>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31D8CBE5-4BA2-4B74-85C4-4374BD9FA62E}"/>
    <cellStyle name="Currency 5 3 2 3 2 2 3" xfId="12323" xr:uid="{53D88559-E82B-4FAE-B116-3D532A89D42F}"/>
    <cellStyle name="Currency 5 3 2 3 2 3" xfId="5069" xr:uid="{00000000-0005-0000-0000-0000B70C0000}"/>
    <cellStyle name="Currency 5 3 2 3 2 3 2" xfId="14395" xr:uid="{ED9C5419-BCBF-4C23-B887-8E793007469B}"/>
    <cellStyle name="Currency 5 3 2 3 2 4" xfId="9442" xr:uid="{AE48BD1F-B5DA-4007-BBEE-128FE2FE74D7}"/>
    <cellStyle name="Currency 5 3 2 3 2 4 2" xfId="18757" xr:uid="{96ADE25E-F01A-4CE8-9D35-10D23025BE6F}"/>
    <cellStyle name="Currency 5 3 2 3 2 5" xfId="10178" xr:uid="{EA9BD838-B360-429D-A102-552F0F78F6B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D71835D4-2870-4F8A-B730-AAB3F986A3AD}"/>
    <cellStyle name="Currency 5 3 2 3 3 2 3" xfId="12736" xr:uid="{B2CD19BC-E8A9-40D7-A18E-F91C2E04F8C5}"/>
    <cellStyle name="Currency 5 3 2 3 3 3" xfId="5482" xr:uid="{00000000-0005-0000-0000-0000BB0C0000}"/>
    <cellStyle name="Currency 5 3 2 3 3 3 2" xfId="14808" xr:uid="{518741F7-2480-49DA-8562-1251C0766703}"/>
    <cellStyle name="Currency 5 3 2 3 3 4" xfId="10591" xr:uid="{AB55BB6E-D2B5-487B-8FC2-1FCC2F4B22DB}"/>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AE0BF4DB-7D20-48D9-8C74-371AEA8CB54F}"/>
    <cellStyle name="Currency 5 3 2 3 4 2 3" xfId="13149" xr:uid="{3A4FAADC-CDDA-4784-B3E8-9C813F56D161}"/>
    <cellStyle name="Currency 5 3 2 3 4 3" xfId="5895" xr:uid="{00000000-0005-0000-0000-0000BF0C0000}"/>
    <cellStyle name="Currency 5 3 2 3 4 3 2" xfId="15221" xr:uid="{F457BCB3-0286-42F3-AD71-068B63CE5D31}"/>
    <cellStyle name="Currency 5 3 2 3 4 4" xfId="11004" xr:uid="{F7BBDBF4-5AC8-455F-A0FC-981E7600F18B}"/>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6E1C13B9-A7C5-44EB-B384-1DF33AF90A02}"/>
    <cellStyle name="Currency 5 3 2 3 5 2 3" xfId="13562" xr:uid="{0B965F49-598A-4710-9AF7-19BF07286108}"/>
    <cellStyle name="Currency 5 3 2 3 5 3" xfId="6308" xr:uid="{00000000-0005-0000-0000-0000C30C0000}"/>
    <cellStyle name="Currency 5 3 2 3 5 3 2" xfId="15634" xr:uid="{46E8F4FA-46B4-461B-82FD-2D5CFBFB3F2C}"/>
    <cellStyle name="Currency 5 3 2 3 5 4" xfId="11417" xr:uid="{113C2629-F232-4076-AF18-A075F115D414}"/>
    <cellStyle name="Currency 5 3 2 3 6" xfId="2437" xr:uid="{00000000-0005-0000-0000-0000C40C0000}"/>
    <cellStyle name="Currency 5 3 2 3 6 2" xfId="6721" xr:uid="{00000000-0005-0000-0000-0000C50C0000}"/>
    <cellStyle name="Currency 5 3 2 3 6 2 2" xfId="16047" xr:uid="{314673D8-91B4-4A14-8846-6798BF805A3B}"/>
    <cellStyle name="Currency 5 3 2 3 6 3" xfId="11830" xr:uid="{DDA987BB-E2FE-4660-A390-77434D56720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34CD4FAA-190A-4398-8DB6-6E852CFEDEB6}"/>
    <cellStyle name="Currency 5 3 2 3 8 3" xfId="12147" xr:uid="{5E7058C4-008A-4116-9DD6-82019CC9B65D}"/>
    <cellStyle name="Currency 5 3 2 3 9" xfId="4655" xr:uid="{00000000-0005-0000-0000-0000C90C0000}"/>
    <cellStyle name="Currency 5 3 2 3 9 2" xfId="13981" xr:uid="{B0DC2926-AB60-4759-9E4C-AC6D134ED9E1}"/>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8F456392-DD69-49DA-B3FD-C73AA19B38B5}"/>
    <cellStyle name="Currency 5 3 2 4 2 3" xfId="12320" xr:uid="{6CC2DC32-E46C-4F69-ABFB-5AB6F9309144}"/>
    <cellStyle name="Currency 5 3 2 4 3" xfId="5066" xr:uid="{00000000-0005-0000-0000-0000CD0C0000}"/>
    <cellStyle name="Currency 5 3 2 4 3 2" xfId="14392" xr:uid="{BF550DE3-BB1F-45A5-8A08-6A2EC9DE648A}"/>
    <cellStyle name="Currency 5 3 2 4 4" xfId="9235" xr:uid="{F2FD4117-6EF1-4663-964A-AB5B57E6F469}"/>
    <cellStyle name="Currency 5 3 2 4 4 2" xfId="18550" xr:uid="{D9BD9638-13F1-4D2E-837E-43B4F52C7463}"/>
    <cellStyle name="Currency 5 3 2 4 5" xfId="10175" xr:uid="{EF063AB3-72CA-4915-9566-35277702A07C}"/>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FD464E2A-DD80-43D7-A5FD-2AB9FCAB6A6D}"/>
    <cellStyle name="Currency 5 3 2 5 2 3" xfId="12733" xr:uid="{67EECD4D-121B-4DAA-98F7-AEBA92997513}"/>
    <cellStyle name="Currency 5 3 2 5 3" xfId="5479" xr:uid="{00000000-0005-0000-0000-0000D10C0000}"/>
    <cellStyle name="Currency 5 3 2 5 3 2" xfId="14805" xr:uid="{E3D59473-52CD-4886-A9B2-ACAAF5677B7C}"/>
    <cellStyle name="Currency 5 3 2 5 4" xfId="10588" xr:uid="{954B1C29-7B60-4E13-9F3E-97216D314C3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3BDF20A0-0B07-4F22-89EF-DD0837739CA5}"/>
    <cellStyle name="Currency 5 3 2 6 2 3" xfId="13146" xr:uid="{AB5E69A9-2291-4FF4-A776-805DFF6B4477}"/>
    <cellStyle name="Currency 5 3 2 6 3" xfId="5892" xr:uid="{00000000-0005-0000-0000-0000D50C0000}"/>
    <cellStyle name="Currency 5 3 2 6 3 2" xfId="15218" xr:uid="{86B1A0A0-1D09-4B95-923F-A8C7C1333774}"/>
    <cellStyle name="Currency 5 3 2 6 4" xfId="11001" xr:uid="{7186766B-45A0-44FE-825F-68E6EAD4379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8B16FAA7-1C8C-4DC0-97A0-BF8607B2F9BC}"/>
    <cellStyle name="Currency 5 3 2 7 2 3" xfId="13559" xr:uid="{383AA4E2-4B5B-4072-8736-F013DAB49974}"/>
    <cellStyle name="Currency 5 3 2 7 3" xfId="6305" xr:uid="{00000000-0005-0000-0000-0000D90C0000}"/>
    <cellStyle name="Currency 5 3 2 7 3 2" xfId="15631" xr:uid="{304E23D8-D292-40B8-9E08-48F95F3BC361}"/>
    <cellStyle name="Currency 5 3 2 7 4" xfId="11414" xr:uid="{C86A286E-7486-4591-92F2-BBEA6AB6DBA9}"/>
    <cellStyle name="Currency 5 3 2 8" xfId="2434" xr:uid="{00000000-0005-0000-0000-0000DA0C0000}"/>
    <cellStyle name="Currency 5 3 2 8 2" xfId="6718" xr:uid="{00000000-0005-0000-0000-0000DB0C0000}"/>
    <cellStyle name="Currency 5 3 2 8 2 2" xfId="16044" xr:uid="{B5420DDE-9752-42F4-B54B-17760BB3AD5A}"/>
    <cellStyle name="Currency 5 3 2 8 3" xfId="11827" xr:uid="{20F59EA2-A430-403F-86AF-5E8A3BE70364}"/>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00258D43-E4E0-4511-B197-97625D92F278}"/>
    <cellStyle name="Currency 5 3 3 11" xfId="8882" xr:uid="{A86B3ED4-B552-42F3-9E77-C6763F86EEE6}"/>
    <cellStyle name="Currency 5 3 3 11 2" xfId="18206" xr:uid="{C397E43F-9D2F-4E0A-8E20-BAB8DE9780CD}"/>
    <cellStyle name="Currency 5 3 3 12" xfId="9765" xr:uid="{7BCEDF04-6151-498E-BE86-E1BA4C8D7365}"/>
    <cellStyle name="Currency 5 3 3 2" xfId="215" xr:uid="{00000000-0005-0000-0000-0000DF0C0000}"/>
    <cellStyle name="Currency 5 3 3 2 10" xfId="9089" xr:uid="{7CFB8DCC-02AE-4CC5-8E10-3D33399ECECE}"/>
    <cellStyle name="Currency 5 3 3 2 10 2" xfId="18413" xr:uid="{6FB41998-ED56-4D66-8046-5F8BF6557A73}"/>
    <cellStyle name="Currency 5 3 3 2 11" xfId="9766" xr:uid="{64977F25-F066-4C71-9506-616ED1FB880B}"/>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0FBE4200-E17C-4575-A440-287AFC81BD7E}"/>
    <cellStyle name="Currency 5 3 3 2 2 2 3" xfId="12325" xr:uid="{D39BDAEF-A2E7-4367-993C-9131CE66B197}"/>
    <cellStyle name="Currency 5 3 3 2 2 3" xfId="5071" xr:uid="{00000000-0005-0000-0000-0000E30C0000}"/>
    <cellStyle name="Currency 5 3 3 2 2 3 2" xfId="14397" xr:uid="{B48D24A4-B839-4B51-BE51-7FC8CCA6D70A}"/>
    <cellStyle name="Currency 5 3 3 2 2 4" xfId="9514" xr:uid="{9A504F43-6423-4200-B7AF-F17B65B2005C}"/>
    <cellStyle name="Currency 5 3 3 2 2 4 2" xfId="18829" xr:uid="{4D0394DB-2994-4AC8-9731-7BD32F3833B0}"/>
    <cellStyle name="Currency 5 3 3 2 2 5" xfId="10180" xr:uid="{932581B0-268D-4D86-A28F-A0E359C61D98}"/>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CF63F344-548A-45D0-A3DA-77F4E4524395}"/>
    <cellStyle name="Currency 5 3 3 2 3 2 3" xfId="12738" xr:uid="{110B37D0-8CE3-4C0D-90FD-A187ECB164FC}"/>
    <cellStyle name="Currency 5 3 3 2 3 3" xfId="5484" xr:uid="{00000000-0005-0000-0000-0000E70C0000}"/>
    <cellStyle name="Currency 5 3 3 2 3 3 2" xfId="14810" xr:uid="{AEAA9F95-CDC8-4AA1-96B6-903862AC27D0}"/>
    <cellStyle name="Currency 5 3 3 2 3 4" xfId="10593" xr:uid="{3BD2E581-29B0-4424-968C-B387305AE79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42B98453-D4BC-41EA-AA6A-144F8BF0986A}"/>
    <cellStyle name="Currency 5 3 3 2 4 2 3" xfId="13151" xr:uid="{B7B82AC3-6446-4FFA-9DCD-AC8DE909E9A1}"/>
    <cellStyle name="Currency 5 3 3 2 4 3" xfId="5897" xr:uid="{00000000-0005-0000-0000-0000EB0C0000}"/>
    <cellStyle name="Currency 5 3 3 2 4 3 2" xfId="15223" xr:uid="{94DBE942-F4A1-4905-9D1B-F5F77DEB0230}"/>
    <cellStyle name="Currency 5 3 3 2 4 4" xfId="11006" xr:uid="{A960E15D-D199-4BCF-A2A6-B62B11063D84}"/>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25A375AB-5584-44A9-A21E-ED23715B9AE4}"/>
    <cellStyle name="Currency 5 3 3 2 5 2 3" xfId="13564" xr:uid="{CFA304A3-F3FB-4B76-9C0F-4B847132F061}"/>
    <cellStyle name="Currency 5 3 3 2 5 3" xfId="6310" xr:uid="{00000000-0005-0000-0000-0000EF0C0000}"/>
    <cellStyle name="Currency 5 3 3 2 5 3 2" xfId="15636" xr:uid="{A66CF660-F051-46C1-BE51-234D4F520EB0}"/>
    <cellStyle name="Currency 5 3 3 2 5 4" xfId="11419" xr:uid="{572D0069-07C7-4D6D-BFCD-68984E38EB89}"/>
    <cellStyle name="Currency 5 3 3 2 6" xfId="2439" xr:uid="{00000000-0005-0000-0000-0000F00C0000}"/>
    <cellStyle name="Currency 5 3 3 2 6 2" xfId="6723" xr:uid="{00000000-0005-0000-0000-0000F10C0000}"/>
    <cellStyle name="Currency 5 3 3 2 6 2 2" xfId="16049" xr:uid="{125728A1-7C82-4EF2-894B-EC287DE18357}"/>
    <cellStyle name="Currency 5 3 3 2 6 3" xfId="11832" xr:uid="{DCCE5C52-9FEC-4E10-8A57-169B1D58F6A8}"/>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392952F0-2878-4C8C-86B2-F9C17A47177D}"/>
    <cellStyle name="Currency 5 3 3 2 8 3" xfId="12149" xr:uid="{602AA3C8-1F7C-4A01-AA07-6482BC92C118}"/>
    <cellStyle name="Currency 5 3 3 2 9" xfId="4657" xr:uid="{00000000-0005-0000-0000-0000F50C0000}"/>
    <cellStyle name="Currency 5 3 3 2 9 2" xfId="13983" xr:uid="{E2EFE84D-D1FE-4EAD-A972-39E46755E30B}"/>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0A926D1E-0922-4267-87D5-D6326A601444}"/>
    <cellStyle name="Currency 5 3 3 3 2 3" xfId="12324" xr:uid="{86812B91-D692-420C-84F9-2C7D27E3ACC0}"/>
    <cellStyle name="Currency 5 3 3 3 3" xfId="5070" xr:uid="{00000000-0005-0000-0000-0000F90C0000}"/>
    <cellStyle name="Currency 5 3 3 3 3 2" xfId="14396" xr:uid="{EADCD6DD-0440-4EB5-8FE7-E869E3E6AA43}"/>
    <cellStyle name="Currency 5 3 3 3 4" xfId="9307" xr:uid="{3F0512A0-B779-46E4-A963-62E327C6AC5F}"/>
    <cellStyle name="Currency 5 3 3 3 4 2" xfId="18622" xr:uid="{C45A7D03-833D-4B93-911B-6370B9522A9B}"/>
    <cellStyle name="Currency 5 3 3 3 5" xfId="10179" xr:uid="{48CF2BFC-19A0-4850-A827-961707A50D9A}"/>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6945B562-B856-4913-B245-DEB4C264E05E}"/>
    <cellStyle name="Currency 5 3 3 4 2 3" xfId="12737" xr:uid="{08523EE8-0166-4338-A914-7581373504CE}"/>
    <cellStyle name="Currency 5 3 3 4 3" xfId="5483" xr:uid="{00000000-0005-0000-0000-0000FD0C0000}"/>
    <cellStyle name="Currency 5 3 3 4 3 2" xfId="14809" xr:uid="{447BD163-CEE5-41F5-A844-B468314ADF1E}"/>
    <cellStyle name="Currency 5 3 3 4 4" xfId="10592" xr:uid="{98B96B91-EE6B-44C0-998A-45ABD670ED8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45FD2076-ACB6-42F6-8D4A-541008ADA750}"/>
    <cellStyle name="Currency 5 3 3 5 2 3" xfId="13150" xr:uid="{D274D683-FF1A-46D2-BD32-3CAD9300F6AF}"/>
    <cellStyle name="Currency 5 3 3 5 3" xfId="5896" xr:uid="{00000000-0005-0000-0000-0000010D0000}"/>
    <cellStyle name="Currency 5 3 3 5 3 2" xfId="15222" xr:uid="{09434DE9-E6F9-4CD1-832C-B70E95E516E8}"/>
    <cellStyle name="Currency 5 3 3 5 4" xfId="11005" xr:uid="{28C30865-125A-4C02-92E9-A685BAB75906}"/>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3F16BDD2-5AF3-449F-BCB1-CC15B1D6964C}"/>
    <cellStyle name="Currency 5 3 3 6 2 3" xfId="13563" xr:uid="{EAB4D328-5DC0-4A99-A5FC-3D3EBE7D7C81}"/>
    <cellStyle name="Currency 5 3 3 6 3" xfId="6309" xr:uid="{00000000-0005-0000-0000-0000050D0000}"/>
    <cellStyle name="Currency 5 3 3 6 3 2" xfId="15635" xr:uid="{AB6DFD78-5C89-417A-983F-20E1B89535CB}"/>
    <cellStyle name="Currency 5 3 3 6 4" xfId="11418" xr:uid="{1DB42C3F-9F07-46A7-8003-20A5DB6B3659}"/>
    <cellStyle name="Currency 5 3 3 7" xfId="2438" xr:uid="{00000000-0005-0000-0000-0000060D0000}"/>
    <cellStyle name="Currency 5 3 3 7 2" xfId="6722" xr:uid="{00000000-0005-0000-0000-0000070D0000}"/>
    <cellStyle name="Currency 5 3 3 7 2 2" xfId="16048" xr:uid="{98568DBA-C6F6-48F3-8261-1D5FA2A9F5DC}"/>
    <cellStyle name="Currency 5 3 3 7 3" xfId="11831" xr:uid="{BBC3E950-BCBC-4981-9CDF-10E940155EB9}"/>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99BF3E33-B348-49BE-AC35-C1327B6477CC}"/>
    <cellStyle name="Currency 5 3 3 9 3" xfId="12148" xr:uid="{C5F1D793-FF1D-4038-AF4B-394FA2DCE760}"/>
    <cellStyle name="Currency 5 3 4" xfId="216" xr:uid="{00000000-0005-0000-0000-00000B0D0000}"/>
    <cellStyle name="Currency 5 3 4 10" xfId="8986" xr:uid="{4F6CFA4A-F10A-4043-AD92-C0A3F7F06459}"/>
    <cellStyle name="Currency 5 3 4 10 2" xfId="18310" xr:uid="{99DB0BAC-7004-42BE-9B05-A869D85A3FF2}"/>
    <cellStyle name="Currency 5 3 4 11" xfId="9767" xr:uid="{881541B7-1A34-4D1A-8396-4C36CD664937}"/>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3ECDDA2C-29A5-4ECC-AB90-6A6F1A336FAC}"/>
    <cellStyle name="Currency 5 3 4 2 2 3" xfId="12326" xr:uid="{F2C4EF49-8F95-4D1F-80D5-E22B767A96B2}"/>
    <cellStyle name="Currency 5 3 4 2 3" xfId="5072" xr:uid="{00000000-0005-0000-0000-00000F0D0000}"/>
    <cellStyle name="Currency 5 3 4 2 3 2" xfId="14398" xr:uid="{011AE0C2-CD00-473E-A6A6-9D2BF477590E}"/>
    <cellStyle name="Currency 5 3 4 2 4" xfId="9411" xr:uid="{2729DEB6-408B-463E-B468-91D932C31FD7}"/>
    <cellStyle name="Currency 5 3 4 2 4 2" xfId="18726" xr:uid="{BD09125B-F35A-47CB-ACB8-DA277C9562DC}"/>
    <cellStyle name="Currency 5 3 4 2 5" xfId="10181" xr:uid="{18737C53-BC81-4290-B7B8-FFA7C05E75B6}"/>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B39609E9-8545-4316-83FD-56651842D93D}"/>
    <cellStyle name="Currency 5 3 4 3 2 3" xfId="12739" xr:uid="{F2CAEFB9-4270-48F8-8D3E-DBDD34E5C193}"/>
    <cellStyle name="Currency 5 3 4 3 3" xfId="5485" xr:uid="{00000000-0005-0000-0000-0000130D0000}"/>
    <cellStyle name="Currency 5 3 4 3 3 2" xfId="14811" xr:uid="{0FF3ACA0-5823-4FD1-95F8-A5A798D543E4}"/>
    <cellStyle name="Currency 5 3 4 3 4" xfId="10594" xr:uid="{5FE83834-1F3A-40FC-A804-F0411B17E2B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1FE63268-0245-42CA-9640-807B24829C31}"/>
    <cellStyle name="Currency 5 3 4 4 2 3" xfId="13152" xr:uid="{6003D237-4331-44F6-81BF-1F5BC5CF78E7}"/>
    <cellStyle name="Currency 5 3 4 4 3" xfId="5898" xr:uid="{00000000-0005-0000-0000-0000170D0000}"/>
    <cellStyle name="Currency 5 3 4 4 3 2" xfId="15224" xr:uid="{BB0A8609-E07D-4C53-9485-9FCA3CB32599}"/>
    <cellStyle name="Currency 5 3 4 4 4" xfId="11007" xr:uid="{D8B7E0A5-B1AC-4136-82AC-4FFF57E53D54}"/>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789FB369-01ED-4741-A4AD-500E2650FA5E}"/>
    <cellStyle name="Currency 5 3 4 5 2 3" xfId="13565" xr:uid="{297218AD-7B16-4079-B67C-C0CB22FC21F8}"/>
    <cellStyle name="Currency 5 3 4 5 3" xfId="6311" xr:uid="{00000000-0005-0000-0000-00001B0D0000}"/>
    <cellStyle name="Currency 5 3 4 5 3 2" xfId="15637" xr:uid="{6168E461-F05C-450D-940D-D4263EC40651}"/>
    <cellStyle name="Currency 5 3 4 5 4" xfId="11420" xr:uid="{343A4490-1E26-48AD-8A98-A727D4014F47}"/>
    <cellStyle name="Currency 5 3 4 6" xfId="2440" xr:uid="{00000000-0005-0000-0000-00001C0D0000}"/>
    <cellStyle name="Currency 5 3 4 6 2" xfId="6724" xr:uid="{00000000-0005-0000-0000-00001D0D0000}"/>
    <cellStyle name="Currency 5 3 4 6 2 2" xfId="16050" xr:uid="{85FAD469-22E6-46D1-A1CB-F2DE6E18F098}"/>
    <cellStyle name="Currency 5 3 4 6 3" xfId="11833" xr:uid="{5A8E7A0B-1CD0-4464-993A-C69760FA02E3}"/>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A85B7339-4A09-4724-B53A-0A4923FCEDAF}"/>
    <cellStyle name="Currency 5 3 4 8 3" xfId="12150" xr:uid="{DDA9462B-DADD-49E5-A1D4-7F38C0227726}"/>
    <cellStyle name="Currency 5 3 4 9" xfId="4658" xr:uid="{00000000-0005-0000-0000-0000210D0000}"/>
    <cellStyle name="Currency 5 3 4 9 2" xfId="13984" xr:uid="{55305F19-4E0C-4F12-BEEB-B9EE19030CFF}"/>
    <cellStyle name="Currency 5 3 5" xfId="217" xr:uid="{00000000-0005-0000-0000-0000220D0000}"/>
    <cellStyle name="Currency 5 3 5 10" xfId="9203" xr:uid="{6167CBBD-227C-4457-B6B6-18EF5C089771}"/>
    <cellStyle name="Currency 5 3 5 10 2" xfId="18519" xr:uid="{11E88211-53F3-43CF-A481-D9D0D39513E5}"/>
    <cellStyle name="Currency 5 3 5 11" xfId="9768" xr:uid="{E6E8CF0B-C361-4DAA-BD47-ACFE68BDF655}"/>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CFDD290C-8B65-4F1D-A888-6206AC8F4854}"/>
    <cellStyle name="Currency 5 3 5 2 2 3" xfId="12327" xr:uid="{F8519E37-B979-485B-8EC5-238608054CF7}"/>
    <cellStyle name="Currency 5 3 5 2 3" xfId="5073" xr:uid="{00000000-0005-0000-0000-0000260D0000}"/>
    <cellStyle name="Currency 5 3 5 2 3 2" xfId="14399" xr:uid="{0E497007-65B6-4262-84B3-BACEF34A14EA}"/>
    <cellStyle name="Currency 5 3 5 2 4" xfId="9600" xr:uid="{650A4058-48FE-4F3E-8845-8F52DF332026}"/>
    <cellStyle name="Currency 5 3 5 2 4 2" xfId="18904" xr:uid="{6DECF2DC-F5B6-4999-B2B8-A5FEAFD628FF}"/>
    <cellStyle name="Currency 5 3 5 2 5" xfId="10182" xr:uid="{FBC54206-839B-4096-B7D4-0F5B8AA7FDC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11DB3256-AB8F-4363-B20D-5FDA11FDA683}"/>
    <cellStyle name="Currency 5 3 5 3 2 3" xfId="12740" xr:uid="{3F2FE35A-A885-4B2E-AED2-19823498D85E}"/>
    <cellStyle name="Currency 5 3 5 3 3" xfId="5486" xr:uid="{00000000-0005-0000-0000-00002A0D0000}"/>
    <cellStyle name="Currency 5 3 5 3 3 2" xfId="14812" xr:uid="{980893F6-6EEB-4938-BBC0-DCFD4678EFB2}"/>
    <cellStyle name="Currency 5 3 5 3 4" xfId="10595" xr:uid="{3520BE85-FDFD-4D97-A003-0AC6F9AAEB8A}"/>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BC3B86FB-87A6-490A-A928-BCFC1960A240}"/>
    <cellStyle name="Currency 5 3 5 4 2 3" xfId="13153" xr:uid="{E446974D-7221-422D-8521-CC376490F0AE}"/>
    <cellStyle name="Currency 5 3 5 4 3" xfId="5899" xr:uid="{00000000-0005-0000-0000-00002E0D0000}"/>
    <cellStyle name="Currency 5 3 5 4 3 2" xfId="15225" xr:uid="{289016B9-8328-46A5-9F02-9D1786153B99}"/>
    <cellStyle name="Currency 5 3 5 4 4" xfId="11008" xr:uid="{DED8B23C-2014-490A-97F9-E0B430548C2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19C0882A-81EC-4A4D-BF50-C18B974689E8}"/>
    <cellStyle name="Currency 5 3 5 5 2 3" xfId="13566" xr:uid="{8BDE8402-DCAA-43D3-9B5F-C26012011D9F}"/>
    <cellStyle name="Currency 5 3 5 5 3" xfId="6312" xr:uid="{00000000-0005-0000-0000-0000320D0000}"/>
    <cellStyle name="Currency 5 3 5 5 3 2" xfId="15638" xr:uid="{F143F123-6BDA-4D08-9E4F-AAD6BB5154D6}"/>
    <cellStyle name="Currency 5 3 5 5 4" xfId="11421" xr:uid="{61352B6C-D0E9-4757-8753-20DBE89B6AA7}"/>
    <cellStyle name="Currency 5 3 5 6" xfId="2441" xr:uid="{00000000-0005-0000-0000-0000330D0000}"/>
    <cellStyle name="Currency 5 3 5 6 2" xfId="6725" xr:uid="{00000000-0005-0000-0000-0000340D0000}"/>
    <cellStyle name="Currency 5 3 5 6 2 2" xfId="16051" xr:uid="{739C050C-EE53-4EDA-97A3-75EEA79E750C}"/>
    <cellStyle name="Currency 5 3 5 6 3" xfId="11834" xr:uid="{D3CC8AB9-EFCC-41C2-A8D2-CF6C34F1D707}"/>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8583651A-ADC6-49E0-9D9D-AEA0B9D73DAD}"/>
    <cellStyle name="Currency 5 3 5 8 3" xfId="12151" xr:uid="{95B09527-A2AB-4177-82B4-47FA05D9A88A}"/>
    <cellStyle name="Currency 5 3 5 9" xfId="4659" xr:uid="{00000000-0005-0000-0000-0000380D0000}"/>
    <cellStyle name="Currency 5 3 5 9 2" xfId="13985" xr:uid="{AF6231EB-3251-4666-A4AB-311C03952617}"/>
    <cellStyle name="Currency 5 3 6" xfId="9585" xr:uid="{F259418A-5AC0-4C4E-A98C-07B5BEE6D673}"/>
    <cellStyle name="Currency 5 3 7" xfId="8779" xr:uid="{856D4C12-E347-4E8F-9200-2EC71AC3E0CB}"/>
    <cellStyle name="Currency 5 3 7 2" xfId="18103" xr:uid="{B13203F3-9CCE-496C-B0AF-07228E17DE6E}"/>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DE8EF5F4-0167-4286-A063-0FD451C18A78}"/>
    <cellStyle name="Currency 5 5 11" xfId="8850" xr:uid="{8F129173-F323-478F-8B06-1E2599EB26C1}"/>
    <cellStyle name="Currency 5 5 11 2" xfId="18174" xr:uid="{8BA46349-8B6F-4A9C-B317-1AFDC9A1AAC5}"/>
    <cellStyle name="Currency 5 5 12" xfId="9769" xr:uid="{0E92EF20-DF48-4EC5-92C7-3ADA8C503C03}"/>
    <cellStyle name="Currency 5 5 2" xfId="220" xr:uid="{00000000-0005-0000-0000-00003D0D0000}"/>
    <cellStyle name="Currency 5 5 2 10" xfId="9057" xr:uid="{90E61E49-0971-4EC1-90D8-E015846E4FB2}"/>
    <cellStyle name="Currency 5 5 2 10 2" xfId="18381" xr:uid="{094EB69C-1753-4971-930D-370C26E7DA4C}"/>
    <cellStyle name="Currency 5 5 2 11" xfId="9770" xr:uid="{4A9D28AE-DED9-4D58-84A3-1B87F62AA686}"/>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4AC34B37-5F1E-4738-9297-347E51CAE838}"/>
    <cellStyle name="Currency 5 5 2 2 2 3" xfId="12329" xr:uid="{0331094F-8483-4375-9BB4-BCB2EEB186E5}"/>
    <cellStyle name="Currency 5 5 2 2 3" xfId="5075" xr:uid="{00000000-0005-0000-0000-0000410D0000}"/>
    <cellStyle name="Currency 5 5 2 2 3 2" xfId="14401" xr:uid="{A026F451-3201-473A-A02E-49B2A1FA1B55}"/>
    <cellStyle name="Currency 5 5 2 2 4" xfId="9482" xr:uid="{ECEE3E7C-42CD-4A2D-A90F-D54FFBA7E41F}"/>
    <cellStyle name="Currency 5 5 2 2 4 2" xfId="18797" xr:uid="{C49F2A41-22B6-4E24-984F-254E522141D4}"/>
    <cellStyle name="Currency 5 5 2 2 5" xfId="10184" xr:uid="{1EB05248-6307-457C-9572-931AAE1721B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13DA8CBA-CEAC-427D-9A79-56BEE86A8C5F}"/>
    <cellStyle name="Currency 5 5 2 3 2 3" xfId="12742" xr:uid="{1B82331C-B01D-4056-96A4-5F96E51B9B9D}"/>
    <cellStyle name="Currency 5 5 2 3 3" xfId="5488" xr:uid="{00000000-0005-0000-0000-0000450D0000}"/>
    <cellStyle name="Currency 5 5 2 3 3 2" xfId="14814" xr:uid="{2F55B9AE-D786-4B9C-A445-BC2EE69FB3BB}"/>
    <cellStyle name="Currency 5 5 2 3 4" xfId="10597" xr:uid="{7B6FDFA2-86A0-485B-A209-5D290CA2C03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4F92C6A5-0A82-4D37-9961-D5C59F4E3BB6}"/>
    <cellStyle name="Currency 5 5 2 4 2 3" xfId="13155" xr:uid="{AD9B5A5E-0CEF-4048-AB9B-1DD583C425C0}"/>
    <cellStyle name="Currency 5 5 2 4 3" xfId="5901" xr:uid="{00000000-0005-0000-0000-0000490D0000}"/>
    <cellStyle name="Currency 5 5 2 4 3 2" xfId="15227" xr:uid="{93BAA495-545E-489F-8970-D8888D33ACD7}"/>
    <cellStyle name="Currency 5 5 2 4 4" xfId="11010" xr:uid="{30C4E881-CE94-4573-AAA7-B4960C31DC56}"/>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FB2D9CAB-9221-4716-8AED-5BEDD9048A31}"/>
    <cellStyle name="Currency 5 5 2 5 2 3" xfId="13568" xr:uid="{E7323B12-E6D3-4030-8102-7C2FB7E8ACE8}"/>
    <cellStyle name="Currency 5 5 2 5 3" xfId="6314" xr:uid="{00000000-0005-0000-0000-00004D0D0000}"/>
    <cellStyle name="Currency 5 5 2 5 3 2" xfId="15640" xr:uid="{C5B4B2E5-1B11-4AC4-A68D-8E930227E041}"/>
    <cellStyle name="Currency 5 5 2 5 4" xfId="11423" xr:uid="{F3D5FA2A-0893-4DAE-802E-D7EA70CE646D}"/>
    <cellStyle name="Currency 5 5 2 6" xfId="2443" xr:uid="{00000000-0005-0000-0000-00004E0D0000}"/>
    <cellStyle name="Currency 5 5 2 6 2" xfId="6727" xr:uid="{00000000-0005-0000-0000-00004F0D0000}"/>
    <cellStyle name="Currency 5 5 2 6 2 2" xfId="16053" xr:uid="{3343EE5C-479A-4A38-B2DB-0EB364C1494A}"/>
    <cellStyle name="Currency 5 5 2 6 3" xfId="11836" xr:uid="{13D46584-B897-444F-A57D-C1142E180E6F}"/>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C832B934-E60A-4E9E-93B2-1B045AB13F19}"/>
    <cellStyle name="Currency 5 5 2 8 3" xfId="12153" xr:uid="{905C6FAB-2584-441E-B5E9-A685CAEFBC66}"/>
    <cellStyle name="Currency 5 5 2 9" xfId="4661" xr:uid="{00000000-0005-0000-0000-0000530D0000}"/>
    <cellStyle name="Currency 5 5 2 9 2" xfId="13987" xr:uid="{673951DF-EB7C-4331-8557-3827742D89A7}"/>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67232EA7-81D1-4CDD-A13D-74C701B03A98}"/>
    <cellStyle name="Currency 5 5 3 2 3" xfId="12328" xr:uid="{35F52634-4763-47CE-90DC-65A8EBE480C3}"/>
    <cellStyle name="Currency 5 5 3 3" xfId="5074" xr:uid="{00000000-0005-0000-0000-0000570D0000}"/>
    <cellStyle name="Currency 5 5 3 3 2" xfId="14400" xr:uid="{7623F46A-00DB-4284-A42D-DF708073A856}"/>
    <cellStyle name="Currency 5 5 3 4" xfId="9275" xr:uid="{54783F20-34E5-4A58-80AE-EC7CC69A89C9}"/>
    <cellStyle name="Currency 5 5 3 4 2" xfId="18590" xr:uid="{8CBD2E59-74CF-40A0-B7C2-98F825A3AD9C}"/>
    <cellStyle name="Currency 5 5 3 5" xfId="10183" xr:uid="{0EA2D54D-9D2C-4602-9125-738668AEAE57}"/>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14F048B9-94D4-4738-BBE6-375965D5C061}"/>
    <cellStyle name="Currency 5 5 4 2 3" xfId="12741" xr:uid="{611C05F9-1A94-4DF1-A6EA-03C55DE95A94}"/>
    <cellStyle name="Currency 5 5 4 3" xfId="5487" xr:uid="{00000000-0005-0000-0000-00005B0D0000}"/>
    <cellStyle name="Currency 5 5 4 3 2" xfId="14813" xr:uid="{4582A2EB-5187-46DA-8A77-24013CD5A423}"/>
    <cellStyle name="Currency 5 5 4 4" xfId="10596" xr:uid="{268329D4-3384-4D56-8403-70EF8807F2AE}"/>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90478FA3-117C-4F6E-8787-6A251E4B3E87}"/>
    <cellStyle name="Currency 5 5 5 2 3" xfId="13154" xr:uid="{3280D4C5-078F-4E24-B503-B5C7E408DA4D}"/>
    <cellStyle name="Currency 5 5 5 3" xfId="5900" xr:uid="{00000000-0005-0000-0000-00005F0D0000}"/>
    <cellStyle name="Currency 5 5 5 3 2" xfId="15226" xr:uid="{E2D9A29A-19D3-48AA-B983-F093FE9D17B4}"/>
    <cellStyle name="Currency 5 5 5 4" xfId="11009" xr:uid="{ECE4E8A7-7412-47B1-BE18-2E3DC42099DA}"/>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4180345B-F2CC-4C05-B9C7-E2F9295EBD7B}"/>
    <cellStyle name="Currency 5 5 6 2 3" xfId="13567" xr:uid="{947F1D4B-F9D4-4E45-9D76-44D3F040D4D9}"/>
    <cellStyle name="Currency 5 5 6 3" xfId="6313" xr:uid="{00000000-0005-0000-0000-0000630D0000}"/>
    <cellStyle name="Currency 5 5 6 3 2" xfId="15639" xr:uid="{83800DD2-F231-4169-B22B-886E20BF707B}"/>
    <cellStyle name="Currency 5 5 6 4" xfId="11422" xr:uid="{AB0278B9-F559-4E85-ABB8-8158733E92B2}"/>
    <cellStyle name="Currency 5 5 7" xfId="2442" xr:uid="{00000000-0005-0000-0000-0000640D0000}"/>
    <cellStyle name="Currency 5 5 7 2" xfId="6726" xr:uid="{00000000-0005-0000-0000-0000650D0000}"/>
    <cellStyle name="Currency 5 5 7 2 2" xfId="16052" xr:uid="{043741CB-02E9-42D8-A178-CB8D881854AA}"/>
    <cellStyle name="Currency 5 5 7 3" xfId="11835" xr:uid="{70E69018-86A9-48DD-8CCB-8FADBCA670F3}"/>
    <cellStyle name="Currency 5 5 8" xfId="2739" xr:uid="{00000000-0005-0000-0000-0000660D0000}"/>
    <cellStyle name="Currency 5 5 9" xfId="2820" xr:uid="{00000000-0005-0000-0000-0000670D0000}"/>
    <cellStyle name="Currency 5 5 9 2" xfId="7043" xr:uid="{00000000-0005-0000-0000-0000680D0000}"/>
    <cellStyle name="Currency 5 5 9 2 2" xfId="16369" xr:uid="{18E4F8E4-4DD3-4B5C-9C7A-77777F1D152C}"/>
    <cellStyle name="Currency 5 5 9 3" xfId="12152" xr:uid="{8404323A-B156-4238-A784-20A68C29C3C7}"/>
    <cellStyle name="Currency 5 6" xfId="221" xr:uid="{00000000-0005-0000-0000-0000690D0000}"/>
    <cellStyle name="Currency 5 6 10" xfId="8966" xr:uid="{EC95BD1E-EAA8-4043-BDA7-06F3BBDBC3D5}"/>
    <cellStyle name="Currency 5 6 10 2" xfId="18290" xr:uid="{2ABF977D-7011-4134-9C80-5F19E9FCDD24}"/>
    <cellStyle name="Currency 5 6 11" xfId="9771" xr:uid="{C21AC43B-6057-43F9-9F2C-3D7251A4A0E6}"/>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8E70606C-8CDF-4F7D-8247-B1DA67916438}"/>
    <cellStyle name="Currency 5 6 2 2 3" xfId="12330" xr:uid="{FD8AC54F-40F0-4D4F-AC7C-EA1CB26FF74E}"/>
    <cellStyle name="Currency 5 6 2 3" xfId="5076" xr:uid="{00000000-0005-0000-0000-00006D0D0000}"/>
    <cellStyle name="Currency 5 6 2 3 2" xfId="14402" xr:uid="{BDB5F8D0-062F-4944-8E32-65C9C446B823}"/>
    <cellStyle name="Currency 5 6 2 4" xfId="9391" xr:uid="{8CBF3F74-51EC-4402-B96A-0759E6537FC7}"/>
    <cellStyle name="Currency 5 6 2 4 2" xfId="18706" xr:uid="{C5295EAD-5838-4C0F-9183-BD8B1A443251}"/>
    <cellStyle name="Currency 5 6 2 5" xfId="10185" xr:uid="{E7558DF2-EE54-45C0-8FE4-0D44A0C76B21}"/>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4538F6AC-38B1-4EB4-9290-0DF72D24010D}"/>
    <cellStyle name="Currency 5 6 3 2 3" xfId="12743" xr:uid="{8325583F-3472-41AF-8956-A459F3350048}"/>
    <cellStyle name="Currency 5 6 3 3" xfId="5489" xr:uid="{00000000-0005-0000-0000-0000710D0000}"/>
    <cellStyle name="Currency 5 6 3 3 2" xfId="14815" xr:uid="{3261CBE9-7E0E-4746-ABDA-02116BD7C106}"/>
    <cellStyle name="Currency 5 6 3 4" xfId="10598" xr:uid="{D47A55BD-DFC2-4639-A2E0-D843F07BF71F}"/>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21E3B098-C589-4BAD-BF2C-701927F35CB2}"/>
    <cellStyle name="Currency 5 6 4 2 3" xfId="13156" xr:uid="{D3E3463D-0B8E-4A22-ACAF-8A7D3DAC4770}"/>
    <cellStyle name="Currency 5 6 4 3" xfId="5902" xr:uid="{00000000-0005-0000-0000-0000750D0000}"/>
    <cellStyle name="Currency 5 6 4 3 2" xfId="15228" xr:uid="{4FF826EE-9D1E-4928-983D-3345790AC9BF}"/>
    <cellStyle name="Currency 5 6 4 4" xfId="11011" xr:uid="{61DFE93C-5E02-4294-877C-5AB1C87C07FD}"/>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EAE24BA0-9EFD-48BC-8776-EF5BB01DE479}"/>
    <cellStyle name="Currency 5 6 5 2 3" xfId="13569" xr:uid="{8A07B84A-A7FE-4F68-8AD3-5A9BAB7CF909}"/>
    <cellStyle name="Currency 5 6 5 3" xfId="6315" xr:uid="{00000000-0005-0000-0000-0000790D0000}"/>
    <cellStyle name="Currency 5 6 5 3 2" xfId="15641" xr:uid="{30A7EFCD-1D35-452D-937A-7F315FBBC625}"/>
    <cellStyle name="Currency 5 6 5 4" xfId="11424" xr:uid="{6416228E-D8CB-45C9-B8CD-E3DD29AA56CA}"/>
    <cellStyle name="Currency 5 6 6" xfId="2444" xr:uid="{00000000-0005-0000-0000-00007A0D0000}"/>
    <cellStyle name="Currency 5 6 6 2" xfId="6728" xr:uid="{00000000-0005-0000-0000-00007B0D0000}"/>
    <cellStyle name="Currency 5 6 6 2 2" xfId="16054" xr:uid="{38D92441-98E7-4C2C-AB16-5B7852948498}"/>
    <cellStyle name="Currency 5 6 6 3" xfId="11837" xr:uid="{5A85684B-9C82-4054-A47F-31134399F176}"/>
    <cellStyle name="Currency 5 6 7" xfId="2741" xr:uid="{00000000-0005-0000-0000-00007C0D0000}"/>
    <cellStyle name="Currency 5 6 8" xfId="2822" xr:uid="{00000000-0005-0000-0000-00007D0D0000}"/>
    <cellStyle name="Currency 5 6 8 2" xfId="7045" xr:uid="{00000000-0005-0000-0000-00007E0D0000}"/>
    <cellStyle name="Currency 5 6 8 2 2" xfId="16371" xr:uid="{FC6A6910-1A36-4787-97EF-47A93F16A007}"/>
    <cellStyle name="Currency 5 6 8 3" xfId="12154" xr:uid="{EB523E82-F835-44BC-96A1-65F35B06FD3E}"/>
    <cellStyle name="Currency 5 6 9" xfId="4662" xr:uid="{00000000-0005-0000-0000-00007F0D0000}"/>
    <cellStyle name="Currency 5 6 9 2" xfId="13988" xr:uid="{3580B4F6-A455-4AA4-A786-FC19238F4E79}"/>
    <cellStyle name="Currency 5 7" xfId="222" xr:uid="{00000000-0005-0000-0000-0000800D0000}"/>
    <cellStyle name="Currency 5 7 10" xfId="9169" xr:uid="{7A886DE7-136A-429E-90E2-A7C712D111D8}"/>
    <cellStyle name="Currency 5 7 10 2" xfId="18487" xr:uid="{8AAC2FBA-63CB-4914-8B39-B2700DACA1EF}"/>
    <cellStyle name="Currency 5 7 11" xfId="9772" xr:uid="{48F127D4-1B9B-444C-912F-2DD64A094354}"/>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C16B213D-9A73-4A74-9CF8-8ECD690985A6}"/>
    <cellStyle name="Currency 5 7 2 2 3" xfId="12331" xr:uid="{441654E8-F363-45D0-B722-A53A37D36878}"/>
    <cellStyle name="Currency 5 7 2 3" xfId="5077" xr:uid="{00000000-0005-0000-0000-0000840D0000}"/>
    <cellStyle name="Currency 5 7 2 3 2" xfId="14403" xr:uid="{02674424-2458-46E6-836F-5E8AF0145A76}"/>
    <cellStyle name="Currency 5 7 2 4" xfId="9601" xr:uid="{DC93A830-0AF1-4EC4-B764-C728922F3FEF}"/>
    <cellStyle name="Currency 5 7 2 4 2" xfId="18905" xr:uid="{D8737F15-83A9-40C7-9F2D-7DBA49C36673}"/>
    <cellStyle name="Currency 5 7 2 5" xfId="10186" xr:uid="{246E0556-F098-4180-8DC6-9043596192F4}"/>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B6362712-7723-47FB-ABDE-4C322DC39FF6}"/>
    <cellStyle name="Currency 5 7 3 2 3" xfId="12744" xr:uid="{C1A2AC57-6B65-4CF8-BDDD-CC82F13C495B}"/>
    <cellStyle name="Currency 5 7 3 3" xfId="5490" xr:uid="{00000000-0005-0000-0000-0000880D0000}"/>
    <cellStyle name="Currency 5 7 3 3 2" xfId="14816" xr:uid="{258A63FF-1CE3-4DD3-B41C-7B9E617ACD88}"/>
    <cellStyle name="Currency 5 7 3 4" xfId="10599" xr:uid="{22552C19-94CD-455D-9BE1-BA7BF50B90F5}"/>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20F733D8-FDD2-4117-B29A-64E2F3919578}"/>
    <cellStyle name="Currency 5 7 4 2 3" xfId="13157" xr:uid="{CB6A3BF4-AFAD-4567-9722-D6D27AA86E2A}"/>
    <cellStyle name="Currency 5 7 4 3" xfId="5903" xr:uid="{00000000-0005-0000-0000-00008C0D0000}"/>
    <cellStyle name="Currency 5 7 4 3 2" xfId="15229" xr:uid="{3EC5F3E0-3C48-4B45-A67F-A4CABFA797B0}"/>
    <cellStyle name="Currency 5 7 4 4" xfId="11012" xr:uid="{23B5D890-BB0F-4044-83F0-B0B8CDBB0A2F}"/>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3719CB13-1225-423E-903C-D6131B367904}"/>
    <cellStyle name="Currency 5 7 5 2 3" xfId="13570" xr:uid="{9D98891F-D091-434A-A23B-8D3E2053116E}"/>
    <cellStyle name="Currency 5 7 5 3" xfId="6316" xr:uid="{00000000-0005-0000-0000-0000900D0000}"/>
    <cellStyle name="Currency 5 7 5 3 2" xfId="15642" xr:uid="{6304602C-431E-4B58-B7A4-24C607CF056A}"/>
    <cellStyle name="Currency 5 7 5 4" xfId="11425" xr:uid="{E87B47C6-A98A-4A87-A013-3C374F43CBEC}"/>
    <cellStyle name="Currency 5 7 6" xfId="2445" xr:uid="{00000000-0005-0000-0000-0000910D0000}"/>
    <cellStyle name="Currency 5 7 6 2" xfId="6729" xr:uid="{00000000-0005-0000-0000-0000920D0000}"/>
    <cellStyle name="Currency 5 7 6 2 2" xfId="16055" xr:uid="{1D4A8BDB-1A50-4936-A859-2A9605E40112}"/>
    <cellStyle name="Currency 5 7 6 3" xfId="11838" xr:uid="{2AECA06C-06FA-404A-9CD0-1A77C752E4C2}"/>
    <cellStyle name="Currency 5 7 7" xfId="2742" xr:uid="{00000000-0005-0000-0000-0000930D0000}"/>
    <cellStyle name="Currency 5 7 8" xfId="2823" xr:uid="{00000000-0005-0000-0000-0000940D0000}"/>
    <cellStyle name="Currency 5 7 8 2" xfId="7046" xr:uid="{00000000-0005-0000-0000-0000950D0000}"/>
    <cellStyle name="Currency 5 7 8 2 2" xfId="16372" xr:uid="{CBB325A1-3D09-4492-BB90-5C2755A1DB3D}"/>
    <cellStyle name="Currency 5 7 8 3" xfId="12155" xr:uid="{DAF16ED2-437E-4673-851C-60ECB5F96AED}"/>
    <cellStyle name="Currency 5 7 9" xfId="4663" xr:uid="{00000000-0005-0000-0000-0000960D0000}"/>
    <cellStyle name="Currency 5 7 9 2" xfId="13989" xr:uid="{58661B9C-19A4-4B7E-9E68-89F649C4C6D6}"/>
    <cellStyle name="Currency 5 8" xfId="721" xr:uid="{00000000-0005-0000-0000-0000970D0000}"/>
    <cellStyle name="Currency 5 9" xfId="8747" xr:uid="{CCFF1C6E-BA46-44B7-A8DD-B170160D04FF}"/>
    <cellStyle name="Currency 5 9 2" xfId="18071" xr:uid="{D1778804-8CA8-4D05-B366-3333FB78C7D3}"/>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1459A1BF-36F1-4009-844D-2B95A7F72632}"/>
    <cellStyle name="Normal 12 10 3" xfId="11839" xr:uid="{660259D2-6F90-41A4-B57C-F06DDEF8C656}"/>
    <cellStyle name="Normal 12 11" xfId="4664" xr:uid="{00000000-0005-0000-0000-0000CC0D0000}"/>
    <cellStyle name="Normal 12 11 2" xfId="13990" xr:uid="{AD8CE281-28E9-45E7-9D1F-02012B291EFC}"/>
    <cellStyle name="Normal 12 12" xfId="8770" xr:uid="{16E7F001-A88D-4413-825E-78352A31064A}"/>
    <cellStyle name="Normal 12 12 2" xfId="18094" xr:uid="{761D69A5-CE27-4DDC-B46A-8DD7D13EF564}"/>
    <cellStyle name="Normal 12 13" xfId="9773" xr:uid="{3538720B-E589-4F37-A7A0-400CF035F4B3}"/>
    <cellStyle name="Normal 12 2" xfId="260" xr:uid="{00000000-0005-0000-0000-0000CD0D0000}"/>
    <cellStyle name="Normal 12 2 10" xfId="8811" xr:uid="{C610EFA7-DF28-475D-A7AA-61B6675A083B}"/>
    <cellStyle name="Normal 12 2 10 2" xfId="18135" xr:uid="{B57D9227-5597-41EB-AFE2-FF8DDF8AA3C3}"/>
    <cellStyle name="Normal 12 2 11" xfId="9774" xr:uid="{A3F7D580-5249-4C89-8D01-FCC57910FF30}"/>
    <cellStyle name="Normal 12 2 2" xfId="261" xr:uid="{00000000-0005-0000-0000-0000CE0D0000}"/>
    <cellStyle name="Normal 12 2 2 10" xfId="9775" xr:uid="{0A586A1F-199F-4247-A3AE-D82202C126F9}"/>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581307FD-5CB1-4211-B046-B5E0422AE0EF}"/>
    <cellStyle name="Normal 12 2 2 2 2 2 3" xfId="12335" xr:uid="{9ED29A42-C7E2-46CC-AA97-0A552126F9DA}"/>
    <cellStyle name="Normal 12 2 2 2 2 3" xfId="5081" xr:uid="{00000000-0005-0000-0000-0000D30D0000}"/>
    <cellStyle name="Normal 12 2 2 2 2 3 2" xfId="14407" xr:uid="{E0480A05-4114-4F7F-87ED-F92350BB5238}"/>
    <cellStyle name="Normal 12 2 2 2 2 4" xfId="9546" xr:uid="{609DE280-4DA3-4355-9F1C-9E01708347EA}"/>
    <cellStyle name="Normal 12 2 2 2 2 4 2" xfId="18861" xr:uid="{CA3CDE6A-F473-4F54-85FF-2E414FD276F0}"/>
    <cellStyle name="Normal 12 2 2 2 2 5" xfId="10190" xr:uid="{65537F3F-D892-4753-8F40-707E67E776E8}"/>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D3D39E34-8759-44F1-9DFD-D84EE1B7BF44}"/>
    <cellStyle name="Normal 12 2 2 2 3 2 3" xfId="12748" xr:uid="{996E7C59-00AD-4515-9D1F-1E4602F60B94}"/>
    <cellStyle name="Normal 12 2 2 2 3 3" xfId="5494" xr:uid="{00000000-0005-0000-0000-0000D70D0000}"/>
    <cellStyle name="Normal 12 2 2 2 3 3 2" xfId="14820" xr:uid="{413B32C3-51C7-44C9-A4B3-CC8BF276E149}"/>
    <cellStyle name="Normal 12 2 2 2 3 4" xfId="10603" xr:uid="{0C2FF369-F1AC-45F0-99DB-533BFA35BEF8}"/>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BE760C60-AC89-4477-A3AA-D6184D6191E3}"/>
    <cellStyle name="Normal 12 2 2 2 4 2 3" xfId="13161" xr:uid="{A46E4F06-3B3A-406E-832D-687F16959A63}"/>
    <cellStyle name="Normal 12 2 2 2 4 3" xfId="5907" xr:uid="{00000000-0005-0000-0000-0000DB0D0000}"/>
    <cellStyle name="Normal 12 2 2 2 4 3 2" xfId="15233" xr:uid="{7707D6CC-D628-416D-A768-B527BFB18B73}"/>
    <cellStyle name="Normal 12 2 2 2 4 4" xfId="11016" xr:uid="{7A3CD894-AF7E-4687-9718-3EEB8BC71BC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531E35D4-8714-401C-8E9F-59F67D65627A}"/>
    <cellStyle name="Normal 12 2 2 2 5 2 3" xfId="13574" xr:uid="{8DA3089F-643F-4659-9C45-2AD18F71B33E}"/>
    <cellStyle name="Normal 12 2 2 2 5 3" xfId="6320" xr:uid="{00000000-0005-0000-0000-0000DF0D0000}"/>
    <cellStyle name="Normal 12 2 2 2 5 3 2" xfId="15646" xr:uid="{C6975D89-BFC4-4EAF-B5F1-1B942CF539CC}"/>
    <cellStyle name="Normal 12 2 2 2 5 4" xfId="11429" xr:uid="{18A543C6-7470-4545-ABFC-2C927F02F294}"/>
    <cellStyle name="Normal 12 2 2 2 6" xfId="2450" xr:uid="{00000000-0005-0000-0000-0000E00D0000}"/>
    <cellStyle name="Normal 12 2 2 2 6 2" xfId="6733" xr:uid="{00000000-0005-0000-0000-0000E10D0000}"/>
    <cellStyle name="Normal 12 2 2 2 6 2 2" xfId="16059" xr:uid="{F29D450B-2862-4EED-A4FB-FD6A5B205BCB}"/>
    <cellStyle name="Normal 12 2 2 2 6 3" xfId="11842" xr:uid="{7BB746F3-0FDA-44F0-A5B3-6D310ED6593A}"/>
    <cellStyle name="Normal 12 2 2 2 7" xfId="4667" xr:uid="{00000000-0005-0000-0000-0000E20D0000}"/>
    <cellStyle name="Normal 12 2 2 2 7 2" xfId="13993" xr:uid="{E6A2DB76-BD0B-4AA7-9F58-2762517378DB}"/>
    <cellStyle name="Normal 12 2 2 2 8" xfId="9121" xr:uid="{527C15BB-BE4D-46AB-9317-CC8E6838C91D}"/>
    <cellStyle name="Normal 12 2 2 2 8 2" xfId="18445" xr:uid="{35A5C0CC-C353-428F-8CBB-CBC02A6E94AE}"/>
    <cellStyle name="Normal 12 2 2 2 9" xfId="9776" xr:uid="{8B194597-36A6-423D-BBB5-A9C010A6C0CF}"/>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82220358-C150-42E0-AA44-3EDB59206CC7}"/>
    <cellStyle name="Normal 12 2 2 3 2 3" xfId="12334" xr:uid="{194873B2-3158-4607-9CB0-F5D75C09497C}"/>
    <cellStyle name="Normal 12 2 2 3 3" xfId="5080" xr:uid="{00000000-0005-0000-0000-0000E60D0000}"/>
    <cellStyle name="Normal 12 2 2 3 3 2" xfId="14406" xr:uid="{62476901-ECA5-4B4C-ADA9-7A52AB06B4A1}"/>
    <cellStyle name="Normal 12 2 2 3 4" xfId="9339" xr:uid="{F3F800C1-92DF-4F1F-A561-C3F3C7F8BAD1}"/>
    <cellStyle name="Normal 12 2 2 3 4 2" xfId="18654" xr:uid="{808062C4-5451-4DB6-B9FA-1C9C2070F8DB}"/>
    <cellStyle name="Normal 12 2 2 3 5" xfId="10189" xr:uid="{4C42B6CF-9959-46F5-9FF6-9B50DACE19CA}"/>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6AD80344-3AC4-43CD-832E-9A6D5F528786}"/>
    <cellStyle name="Normal 12 2 2 4 2 3" xfId="12747" xr:uid="{7536F479-F371-4F6D-8475-F4BF291C4C89}"/>
    <cellStyle name="Normal 12 2 2 4 3" xfId="5493" xr:uid="{00000000-0005-0000-0000-0000EA0D0000}"/>
    <cellStyle name="Normal 12 2 2 4 3 2" xfId="14819" xr:uid="{F4DBEEBB-8FD0-45AC-BFA7-AC6198C7E7D8}"/>
    <cellStyle name="Normal 12 2 2 4 4" xfId="10602" xr:uid="{A9E0F402-BDFB-4525-A433-4FF26DC318FB}"/>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9824F9A1-A9D2-4D36-BBA0-93C800F951AC}"/>
    <cellStyle name="Normal 12 2 2 5 2 3" xfId="13160" xr:uid="{9E3B1B75-AF99-412F-9F10-242A1409FA06}"/>
    <cellStyle name="Normal 12 2 2 5 3" xfId="5906" xr:uid="{00000000-0005-0000-0000-0000EE0D0000}"/>
    <cellStyle name="Normal 12 2 2 5 3 2" xfId="15232" xr:uid="{D24DC7AB-915C-4B3E-B9B4-49FBCC59DEA8}"/>
    <cellStyle name="Normal 12 2 2 5 4" xfId="11015" xr:uid="{04D90C6D-D887-4E0B-87C7-C1E030FFE27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ACE8C0F5-602C-41CB-87F3-96D0D8AA2E8B}"/>
    <cellStyle name="Normal 12 2 2 6 2 3" xfId="13573" xr:uid="{B2498597-8544-4658-B653-10335CD19DBD}"/>
    <cellStyle name="Normal 12 2 2 6 3" xfId="6319" xr:uid="{00000000-0005-0000-0000-0000F20D0000}"/>
    <cellStyle name="Normal 12 2 2 6 3 2" xfId="15645" xr:uid="{6DF8E283-FE79-498C-B2CA-8D6695EBFA7D}"/>
    <cellStyle name="Normal 12 2 2 6 4" xfId="11428" xr:uid="{65002FDA-9154-4C9A-A3F5-21279E59823F}"/>
    <cellStyle name="Normal 12 2 2 7" xfId="2449" xr:uid="{00000000-0005-0000-0000-0000F30D0000}"/>
    <cellStyle name="Normal 12 2 2 7 2" xfId="6732" xr:uid="{00000000-0005-0000-0000-0000F40D0000}"/>
    <cellStyle name="Normal 12 2 2 7 2 2" xfId="16058" xr:uid="{155107BA-C4AD-4B91-841E-D18A91F80591}"/>
    <cellStyle name="Normal 12 2 2 7 3" xfId="11841" xr:uid="{A6B86C7D-DD01-468D-9DC5-BCF4B4325748}"/>
    <cellStyle name="Normal 12 2 2 8" xfId="4666" xr:uid="{00000000-0005-0000-0000-0000F50D0000}"/>
    <cellStyle name="Normal 12 2 2 8 2" xfId="13992" xr:uid="{48213422-E521-4638-8E00-7DE2EE0C010B}"/>
    <cellStyle name="Normal 12 2 2 9" xfId="8914" xr:uid="{85903DBC-FA0A-4A9D-9FB4-BA36A4B6F510}"/>
    <cellStyle name="Normal 12 2 2 9 2" xfId="18238" xr:uid="{A7C6CB7F-0C63-47DD-9CF9-3A9EB6645A0B}"/>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62BE39F3-EFBE-4DB0-9612-6778E45A36B9}"/>
    <cellStyle name="Normal 12 2 3 2 2 3" xfId="12336" xr:uid="{2BFD1550-54E9-416C-B2D8-301C18E8A921}"/>
    <cellStyle name="Normal 12 2 3 2 3" xfId="5082" xr:uid="{00000000-0005-0000-0000-0000FA0D0000}"/>
    <cellStyle name="Normal 12 2 3 2 3 2" xfId="14408" xr:uid="{0388D0BE-DF29-4120-B9CF-5F7D9FD0353C}"/>
    <cellStyle name="Normal 12 2 3 2 4" xfId="9443" xr:uid="{61F0A971-1285-4215-8170-49D07520551A}"/>
    <cellStyle name="Normal 12 2 3 2 4 2" xfId="18758" xr:uid="{449675DA-ADC6-48C5-934B-BAE83A94B5C2}"/>
    <cellStyle name="Normal 12 2 3 2 5" xfId="10191" xr:uid="{AD731152-F7F4-45AA-A81E-EE2BFF451CC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0A9B267C-534E-448A-90C9-330454A59906}"/>
    <cellStyle name="Normal 12 2 3 3 2 3" xfId="12749" xr:uid="{45C0FE2A-B437-4339-8C0C-EA489D0B6514}"/>
    <cellStyle name="Normal 12 2 3 3 3" xfId="5495" xr:uid="{00000000-0005-0000-0000-0000FE0D0000}"/>
    <cellStyle name="Normal 12 2 3 3 3 2" xfId="14821" xr:uid="{96AF7853-A306-4520-8D44-98FCA6B2A22E}"/>
    <cellStyle name="Normal 12 2 3 3 4" xfId="10604" xr:uid="{9F39E7E5-C3D8-48B6-8832-9D7632480BF2}"/>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751A2B2C-9844-4537-A6DB-8963480C7CDF}"/>
    <cellStyle name="Normal 12 2 3 4 2 3" xfId="13162" xr:uid="{6A50C9FF-9CB2-4D98-9D58-7A8D9EA0D2B9}"/>
    <cellStyle name="Normal 12 2 3 4 3" xfId="5908" xr:uid="{00000000-0005-0000-0000-0000020E0000}"/>
    <cellStyle name="Normal 12 2 3 4 3 2" xfId="15234" xr:uid="{4C336AC4-6091-43D3-81A9-45F277EE72D6}"/>
    <cellStyle name="Normal 12 2 3 4 4" xfId="11017" xr:uid="{A8721361-ADB6-4844-9DCB-E19E3BA580F8}"/>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88EE3BBA-844C-447D-BF52-AEE39ECF73B3}"/>
    <cellStyle name="Normal 12 2 3 5 2 3" xfId="13575" xr:uid="{EE55C839-E2C0-4FF6-A6EE-6233D0B0C880}"/>
    <cellStyle name="Normal 12 2 3 5 3" xfId="6321" xr:uid="{00000000-0005-0000-0000-0000060E0000}"/>
    <cellStyle name="Normal 12 2 3 5 3 2" xfId="15647" xr:uid="{1940A9C9-FFCC-4990-9056-AEFC151DFCF9}"/>
    <cellStyle name="Normal 12 2 3 5 4" xfId="11430" xr:uid="{AEDB8A1E-ED19-429E-BB38-BFFA15ED5C97}"/>
    <cellStyle name="Normal 12 2 3 6" xfId="2451" xr:uid="{00000000-0005-0000-0000-0000070E0000}"/>
    <cellStyle name="Normal 12 2 3 6 2" xfId="6734" xr:uid="{00000000-0005-0000-0000-0000080E0000}"/>
    <cellStyle name="Normal 12 2 3 6 2 2" xfId="16060" xr:uid="{D52E079F-7B50-41A3-A248-FF4C095F8911}"/>
    <cellStyle name="Normal 12 2 3 6 3" xfId="11843" xr:uid="{F28B1AC2-27DD-4FD9-955A-AB9C921DD7ED}"/>
    <cellStyle name="Normal 12 2 3 7" xfId="4668" xr:uid="{00000000-0005-0000-0000-0000090E0000}"/>
    <cellStyle name="Normal 12 2 3 7 2" xfId="13994" xr:uid="{0053ACDB-7805-4432-950E-547897695AB1}"/>
    <cellStyle name="Normal 12 2 3 8" xfId="9018" xr:uid="{C3F41DC6-3A80-4145-A68D-169ABB54B6D0}"/>
    <cellStyle name="Normal 12 2 3 8 2" xfId="18342" xr:uid="{9C7B1505-A279-43BF-8E44-858C17000642}"/>
    <cellStyle name="Normal 12 2 3 9" xfId="9777" xr:uid="{62346D4E-E338-4180-91E6-B9E3C07EDD96}"/>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FF52C8B6-0F27-4864-942F-970AF2D80722}"/>
    <cellStyle name="Normal 12 2 4 2 3" xfId="12333" xr:uid="{8FC7775D-185D-4165-B87A-3277902B0490}"/>
    <cellStyle name="Normal 12 2 4 3" xfId="5079" xr:uid="{00000000-0005-0000-0000-00000D0E0000}"/>
    <cellStyle name="Normal 12 2 4 3 2" xfId="14405" xr:uid="{A408014A-F0DE-4E29-915F-5132C108BA44}"/>
    <cellStyle name="Normal 12 2 4 4" xfId="9236" xr:uid="{C3D0196D-4BB3-4870-9762-A3CF40E5B45B}"/>
    <cellStyle name="Normal 12 2 4 4 2" xfId="18551" xr:uid="{A9C37474-5E13-4B09-8221-02A72E1E80B7}"/>
    <cellStyle name="Normal 12 2 4 5" xfId="10188" xr:uid="{C1F4F0B2-A991-4EB3-BF16-AC73A3699750}"/>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767BC994-B837-4C0A-A4D4-A1BF64F9C079}"/>
    <cellStyle name="Normal 12 2 5 2 3" xfId="12746" xr:uid="{2172B617-C1A4-41B2-A28F-ED4F8CCB07DC}"/>
    <cellStyle name="Normal 12 2 5 3" xfId="5492" xr:uid="{00000000-0005-0000-0000-0000110E0000}"/>
    <cellStyle name="Normal 12 2 5 3 2" xfId="14818" xr:uid="{1B3386AC-5704-4B35-8860-6701B9C65498}"/>
    <cellStyle name="Normal 12 2 5 4" xfId="10601" xr:uid="{E1B4D5D0-8551-45DE-9A6C-25E01BEAF9ED}"/>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40A49BCC-639F-4B85-A4E7-0F7707FA8F3A}"/>
    <cellStyle name="Normal 12 2 6 2 3" xfId="13159" xr:uid="{6BDD674D-A1B7-4701-88A4-B0175955FC64}"/>
    <cellStyle name="Normal 12 2 6 3" xfId="5905" xr:uid="{00000000-0005-0000-0000-0000150E0000}"/>
    <cellStyle name="Normal 12 2 6 3 2" xfId="15231" xr:uid="{132F82CC-C112-4578-8E56-C9420D651E18}"/>
    <cellStyle name="Normal 12 2 6 4" xfId="11014" xr:uid="{FB0986F4-F346-4B40-B7A2-40F68B3042BD}"/>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A0FD0F39-1B40-47A3-8A56-CE1E398468A6}"/>
    <cellStyle name="Normal 12 2 7 2 3" xfId="13572" xr:uid="{7C69A100-CDC4-4BCF-ABE0-5A4726D179A0}"/>
    <cellStyle name="Normal 12 2 7 3" xfId="6318" xr:uid="{00000000-0005-0000-0000-0000190E0000}"/>
    <cellStyle name="Normal 12 2 7 3 2" xfId="15644" xr:uid="{57734108-CEB0-4DA7-A307-E5E7C1AEE7C2}"/>
    <cellStyle name="Normal 12 2 7 4" xfId="11427" xr:uid="{C4A0568A-E405-4020-969E-197575E41795}"/>
    <cellStyle name="Normal 12 2 8" xfId="2448" xr:uid="{00000000-0005-0000-0000-00001A0E0000}"/>
    <cellStyle name="Normal 12 2 8 2" xfId="6731" xr:uid="{00000000-0005-0000-0000-00001B0E0000}"/>
    <cellStyle name="Normal 12 2 8 2 2" xfId="16057" xr:uid="{834CEDE7-48E5-425C-8862-E738807F28F5}"/>
    <cellStyle name="Normal 12 2 8 3" xfId="11840" xr:uid="{1AE396C7-E232-4547-8B11-F14FCD3E5D03}"/>
    <cellStyle name="Normal 12 2 9" xfId="4665" xr:uid="{00000000-0005-0000-0000-00001C0E0000}"/>
    <cellStyle name="Normal 12 2 9 2" xfId="13991" xr:uid="{4E93A640-10D5-4F3A-8E4E-9CD2FAA49E40}"/>
    <cellStyle name="Normal 12 3" xfId="264" xr:uid="{00000000-0005-0000-0000-00001D0E0000}"/>
    <cellStyle name="Normal 12 3 10" xfId="9778" xr:uid="{04B979AC-C7A0-40E0-B7F4-64708CD2DCA1}"/>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2F00511D-88A0-4321-B6CE-D7112B642CA1}"/>
    <cellStyle name="Normal 12 3 2 2 2 3" xfId="12338" xr:uid="{7C69EB55-BFBE-4A30-92AE-AD83E220F8C7}"/>
    <cellStyle name="Normal 12 3 2 2 3" xfId="5084" xr:uid="{00000000-0005-0000-0000-0000220E0000}"/>
    <cellStyle name="Normal 12 3 2 2 3 2" xfId="14410" xr:uid="{0D5612C5-827C-4877-8E50-9F3506064AE7}"/>
    <cellStyle name="Normal 12 3 2 2 4" xfId="9505" xr:uid="{B127619B-367D-40AD-851E-01DDBB2DCD13}"/>
    <cellStyle name="Normal 12 3 2 2 4 2" xfId="18820" xr:uid="{4B651A52-1CE2-48B7-816C-621661340B34}"/>
    <cellStyle name="Normal 12 3 2 2 5" xfId="10193" xr:uid="{8A9949AD-F89F-425F-B5CF-89B591367B17}"/>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B3B31ED9-0116-48CB-970E-E60575C5A61C}"/>
    <cellStyle name="Normal 12 3 2 3 2 3" xfId="12751" xr:uid="{385FE3E0-0947-4769-8A1D-7B431281C6AB}"/>
    <cellStyle name="Normal 12 3 2 3 3" xfId="5497" xr:uid="{00000000-0005-0000-0000-0000260E0000}"/>
    <cellStyle name="Normal 12 3 2 3 3 2" xfId="14823" xr:uid="{D178BACE-359F-4017-8DF5-037833CC423B}"/>
    <cellStyle name="Normal 12 3 2 3 4" xfId="10606" xr:uid="{94A5D206-CD9A-4CBE-9F74-AF26A72A3556}"/>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92F9DFF8-93AF-4616-A638-61BFD195197F}"/>
    <cellStyle name="Normal 12 3 2 4 2 3" xfId="13164" xr:uid="{62B970B9-5226-47EA-AA2E-7555B1AEA7FF}"/>
    <cellStyle name="Normal 12 3 2 4 3" xfId="5910" xr:uid="{00000000-0005-0000-0000-00002A0E0000}"/>
    <cellStyle name="Normal 12 3 2 4 3 2" xfId="15236" xr:uid="{ED404E8E-6592-4C02-AACD-99814F2A73B1}"/>
    <cellStyle name="Normal 12 3 2 4 4" xfId="11019" xr:uid="{49B06BA5-0231-4D29-AA80-218C940A4DE9}"/>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69FB0255-E263-4005-9951-1F0CA45FE248}"/>
    <cellStyle name="Normal 12 3 2 5 2 3" xfId="13577" xr:uid="{D4EB911E-EAA1-4F0D-859A-26D8386C5E34}"/>
    <cellStyle name="Normal 12 3 2 5 3" xfId="6323" xr:uid="{00000000-0005-0000-0000-00002E0E0000}"/>
    <cellStyle name="Normal 12 3 2 5 3 2" xfId="15649" xr:uid="{8D747D53-3723-4848-8721-C9027A8614FF}"/>
    <cellStyle name="Normal 12 3 2 5 4" xfId="11432" xr:uid="{FE80F7BE-E016-4521-812A-71DC6E98B470}"/>
    <cellStyle name="Normal 12 3 2 6" xfId="2453" xr:uid="{00000000-0005-0000-0000-00002F0E0000}"/>
    <cellStyle name="Normal 12 3 2 6 2" xfId="6736" xr:uid="{00000000-0005-0000-0000-0000300E0000}"/>
    <cellStyle name="Normal 12 3 2 6 2 2" xfId="16062" xr:uid="{8E1F7F31-9720-4963-9D8D-651C48A08DE1}"/>
    <cellStyle name="Normal 12 3 2 6 3" xfId="11845" xr:uid="{E9D1D820-0437-47C2-BF1F-DEE15AE605F3}"/>
    <cellStyle name="Normal 12 3 2 7" xfId="4670" xr:uid="{00000000-0005-0000-0000-0000310E0000}"/>
    <cellStyle name="Normal 12 3 2 7 2" xfId="13996" xr:uid="{1E9B0450-5073-45E5-8BAB-3DABD97A7182}"/>
    <cellStyle name="Normal 12 3 2 8" xfId="9080" xr:uid="{403F3083-4A9F-4295-B676-C31241B8936E}"/>
    <cellStyle name="Normal 12 3 2 8 2" xfId="18404" xr:uid="{9F13D024-BD1C-4FB2-B5D0-304DB79534EC}"/>
    <cellStyle name="Normal 12 3 2 9" xfId="9779" xr:uid="{592A2F06-B625-4C2B-90B8-245525A852F2}"/>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B4DC756E-8435-4A1C-B13A-E47D56EC3B11}"/>
    <cellStyle name="Normal 12 3 3 2 3" xfId="12337" xr:uid="{9072DF88-297C-489F-A60D-50C997FE3517}"/>
    <cellStyle name="Normal 12 3 3 3" xfId="5083" xr:uid="{00000000-0005-0000-0000-0000350E0000}"/>
    <cellStyle name="Normal 12 3 3 3 2" xfId="14409" xr:uid="{3DAFAD58-F1D4-4D2A-9F76-42C2AC78796B}"/>
    <cellStyle name="Normal 12 3 3 4" xfId="9298" xr:uid="{A6F9D711-F86A-406D-B160-91678C261745}"/>
    <cellStyle name="Normal 12 3 3 4 2" xfId="18613" xr:uid="{182FF768-5870-4A76-8762-8B691A4AC048}"/>
    <cellStyle name="Normal 12 3 3 5" xfId="10192" xr:uid="{36B2A0F1-2378-4AB0-AB8D-14132AEA1F65}"/>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3E2040E7-E8E7-4CC0-8F79-BFD4DC8BE73E}"/>
    <cellStyle name="Normal 12 3 4 2 3" xfId="12750" xr:uid="{FDA07726-4EB8-411A-9541-D0E5F78D242B}"/>
    <cellStyle name="Normal 12 3 4 3" xfId="5496" xr:uid="{00000000-0005-0000-0000-0000390E0000}"/>
    <cellStyle name="Normal 12 3 4 3 2" xfId="14822" xr:uid="{4D22CC0C-0B26-4523-8396-B2A4B28EE349}"/>
    <cellStyle name="Normal 12 3 4 4" xfId="10605" xr:uid="{0A02A26F-0905-40E8-A6A1-7C3374BB91C2}"/>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101DFD30-5559-4243-8CAF-648A1929A023}"/>
    <cellStyle name="Normal 12 3 5 2 3" xfId="13163" xr:uid="{25C92F92-B19F-4586-9E3A-964E884D4CC4}"/>
    <cellStyle name="Normal 12 3 5 3" xfId="5909" xr:uid="{00000000-0005-0000-0000-00003D0E0000}"/>
    <cellStyle name="Normal 12 3 5 3 2" xfId="15235" xr:uid="{BDAAC39E-3C09-4FE2-9EA0-752913AD56E0}"/>
    <cellStyle name="Normal 12 3 5 4" xfId="11018" xr:uid="{5EB120E6-982D-439D-9EC7-F766DA14C84F}"/>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A0BECE30-E54C-4A0C-85CF-1EC1868165D6}"/>
    <cellStyle name="Normal 12 3 6 2 3" xfId="13576" xr:uid="{744F850F-1FF4-45E3-9B53-0A16069291AD}"/>
    <cellStyle name="Normal 12 3 6 3" xfId="6322" xr:uid="{00000000-0005-0000-0000-0000410E0000}"/>
    <cellStyle name="Normal 12 3 6 3 2" xfId="15648" xr:uid="{7F330112-223F-4AB2-AAB6-1AAA5DD97F6C}"/>
    <cellStyle name="Normal 12 3 6 4" xfId="11431" xr:uid="{181303C2-86E0-41B2-AD1E-C41F240F32B8}"/>
    <cellStyle name="Normal 12 3 7" xfId="2452" xr:uid="{00000000-0005-0000-0000-0000420E0000}"/>
    <cellStyle name="Normal 12 3 7 2" xfId="6735" xr:uid="{00000000-0005-0000-0000-0000430E0000}"/>
    <cellStyle name="Normal 12 3 7 2 2" xfId="16061" xr:uid="{32DAC06A-F970-4AF4-A411-2764532E454C}"/>
    <cellStyle name="Normal 12 3 7 3" xfId="11844" xr:uid="{FE885522-2627-4445-90B0-EF5C898245F6}"/>
    <cellStyle name="Normal 12 3 8" xfId="4669" xr:uid="{00000000-0005-0000-0000-0000440E0000}"/>
    <cellStyle name="Normal 12 3 8 2" xfId="13995" xr:uid="{C832B89C-8668-4101-B7F5-A334B7E1A33C}"/>
    <cellStyle name="Normal 12 3 9" xfId="8873" xr:uid="{72AE7E6C-F254-4BFC-80A7-F73848FA4F21}"/>
    <cellStyle name="Normal 12 3 9 2" xfId="18197" xr:uid="{DEDEBD6E-02B9-415F-8FFA-5876AC4FC463}"/>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894B2FD-8628-4F90-B715-433B3785F251}"/>
    <cellStyle name="Normal 12 4 2 2 3" xfId="12339" xr:uid="{5519A629-4B3D-48D9-A41C-109F84E87367}"/>
    <cellStyle name="Normal 12 4 2 3" xfId="5085" xr:uid="{00000000-0005-0000-0000-0000490E0000}"/>
    <cellStyle name="Normal 12 4 2 3 2" xfId="14411" xr:uid="{2E9678F5-5063-4DF2-ACC3-75D05E549671}"/>
    <cellStyle name="Normal 12 4 2 4" xfId="9402" xr:uid="{F40C9AB7-F4D0-4A65-BBAA-FF5409160FE5}"/>
    <cellStyle name="Normal 12 4 2 4 2" xfId="18717" xr:uid="{DCFB6C90-22AC-4359-8ED6-5175614F9885}"/>
    <cellStyle name="Normal 12 4 2 5" xfId="10194" xr:uid="{BE3CE245-12B1-451D-9BBA-B4B4F478D7CD}"/>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EB7DC517-7E9B-4878-A1BC-9F53C8F9BA9D}"/>
    <cellStyle name="Normal 12 4 3 2 3" xfId="12752" xr:uid="{F8C51232-6BD2-444B-89FF-878B4C228CA4}"/>
    <cellStyle name="Normal 12 4 3 3" xfId="5498" xr:uid="{00000000-0005-0000-0000-00004D0E0000}"/>
    <cellStyle name="Normal 12 4 3 3 2" xfId="14824" xr:uid="{52DF1D17-8F0A-4C7F-916E-1B248B5AB47F}"/>
    <cellStyle name="Normal 12 4 3 4" xfId="10607" xr:uid="{45CE10B8-9AE5-425C-97F0-C5F0E7DD515A}"/>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7AAD558A-5B8C-45D6-8111-FDB36509836F}"/>
    <cellStyle name="Normal 12 4 4 2 3" xfId="13165" xr:uid="{3E5D75AD-225A-4E2F-A6CE-79BB18EDCA50}"/>
    <cellStyle name="Normal 12 4 4 3" xfId="5911" xr:uid="{00000000-0005-0000-0000-0000510E0000}"/>
    <cellStyle name="Normal 12 4 4 3 2" xfId="15237" xr:uid="{647893B5-ADB2-4009-871C-82BB84022B4D}"/>
    <cellStyle name="Normal 12 4 4 4" xfId="11020" xr:uid="{D0A2B425-1358-4C3A-9C85-2AE8C8DF28E8}"/>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FB5073E7-7D89-4A0D-B7FF-7DB11CEA8711}"/>
    <cellStyle name="Normal 12 4 5 2 3" xfId="13578" xr:uid="{24A95550-9596-45CC-966C-3C469B268981}"/>
    <cellStyle name="Normal 12 4 5 3" xfId="6324" xr:uid="{00000000-0005-0000-0000-0000550E0000}"/>
    <cellStyle name="Normal 12 4 5 3 2" xfId="15650" xr:uid="{2259377D-B101-4378-815A-8139AD2BF41B}"/>
    <cellStyle name="Normal 12 4 5 4" xfId="11433" xr:uid="{D45F522E-8212-4B90-9AED-EE12CDD11677}"/>
    <cellStyle name="Normal 12 4 6" xfId="2454" xr:uid="{00000000-0005-0000-0000-0000560E0000}"/>
    <cellStyle name="Normal 12 4 6 2" xfId="6737" xr:uid="{00000000-0005-0000-0000-0000570E0000}"/>
    <cellStyle name="Normal 12 4 6 2 2" xfId="16063" xr:uid="{1834BD26-64B6-4632-AE5E-FE6F18DB7B26}"/>
    <cellStyle name="Normal 12 4 6 3" xfId="11846" xr:uid="{A10E571C-F380-41AD-82CB-9DFF58710E88}"/>
    <cellStyle name="Normal 12 4 7" xfId="4671" xr:uid="{00000000-0005-0000-0000-0000580E0000}"/>
    <cellStyle name="Normal 12 4 7 2" xfId="13997" xr:uid="{0B9AAAD7-8147-4517-A3B8-B90C62F86796}"/>
    <cellStyle name="Normal 12 4 8" xfId="8977" xr:uid="{5BFFE5F3-99F6-4DA1-A3EF-BF749B3B7ACB}"/>
    <cellStyle name="Normal 12 4 8 2" xfId="18301" xr:uid="{D529828C-33AA-40D6-A81F-F78AE174E304}"/>
    <cellStyle name="Normal 12 4 9" xfId="9780" xr:uid="{C62F6E3E-B3C2-4D0B-8D54-A6E36C2993FC}"/>
    <cellStyle name="Normal 12 5" xfId="267" xr:uid="{00000000-0005-0000-0000-0000590E0000}"/>
    <cellStyle name="Normal 12 5 2" xfId="9579" xr:uid="{43940F87-8803-4E34-B3E0-736FAF89CA32}"/>
    <cellStyle name="Normal 12 5 2 2" xfId="18894" xr:uid="{DB8904B5-27FD-4B52-BD9D-0EB70D76163A}"/>
    <cellStyle name="Normal 12 5 3" xfId="9586" xr:uid="{72B01073-C2DA-4DF8-9E0D-6932F6AF67FF}"/>
    <cellStyle name="Normal 12 5 4" xfId="9156" xr:uid="{4BCB05AE-5738-4A10-9D4D-B3A4CD16FD2C}"/>
    <cellStyle name="Normal 12 5 4 2" xfId="18478" xr:uid="{FE4E7B06-6A70-4985-9879-8C96E6D47C58}"/>
    <cellStyle name="Normal 12 6" xfId="760" xr:uid="{00000000-0005-0000-0000-00005A0E0000}"/>
    <cellStyle name="Normal 12 6 2" xfId="3001" xr:uid="{00000000-0005-0000-0000-00005B0E0000}"/>
    <cellStyle name="Normal 12 6 2 2" xfId="7223" xr:uid="{00000000-0005-0000-0000-00005C0E0000}"/>
    <cellStyle name="Normal 12 6 2 2 2" xfId="16549" xr:uid="{6894777C-5DA2-4225-8F2A-C9714DE262F8}"/>
    <cellStyle name="Normal 12 6 2 3" xfId="12332" xr:uid="{D7C832E3-FA1C-40AA-B4A4-FFA2464B5CDF}"/>
    <cellStyle name="Normal 12 6 3" xfId="5078" xr:uid="{00000000-0005-0000-0000-00005D0E0000}"/>
    <cellStyle name="Normal 12 6 3 2" xfId="14404" xr:uid="{596FCE25-9E63-4F01-BADA-2AC8C5D027A5}"/>
    <cellStyle name="Normal 12 6 4" xfId="9194" xr:uid="{92D32932-3865-4F6F-A551-9A99EC116A43}"/>
    <cellStyle name="Normal 12 6 4 2" xfId="18510" xr:uid="{6735FDF4-4731-4EA7-9A6F-5F76FD682209}"/>
    <cellStyle name="Normal 12 6 5" xfId="10187" xr:uid="{4783E5CC-8FD0-4D61-B8C7-2D6856BA2033}"/>
    <cellStyle name="Normal 12 7" xfId="1183" xr:uid="{00000000-0005-0000-0000-00005E0E0000}"/>
    <cellStyle name="Normal 12 7 2" xfId="3414" xr:uid="{00000000-0005-0000-0000-00005F0E0000}"/>
    <cellStyle name="Normal 12 7 2 2" xfId="7636" xr:uid="{00000000-0005-0000-0000-0000600E0000}"/>
    <cellStyle name="Normal 12 7 2 2 2" xfId="16962" xr:uid="{0C4B12EA-68F8-40B3-81BD-23B24F94207E}"/>
    <cellStyle name="Normal 12 7 2 3" xfId="12745" xr:uid="{B2C4C891-75B2-4E0B-B8E7-D10E5852D9A6}"/>
    <cellStyle name="Normal 12 7 3" xfId="5491" xr:uid="{00000000-0005-0000-0000-0000610E0000}"/>
    <cellStyle name="Normal 12 7 3 2" xfId="14817" xr:uid="{24E4F7FB-8005-469A-9A46-5BD52647F459}"/>
    <cellStyle name="Normal 12 7 4" xfId="10600" xr:uid="{2B1825CC-1A4C-4601-B03E-E8EA43109EF2}"/>
    <cellStyle name="Normal 12 8" xfId="1597" xr:uid="{00000000-0005-0000-0000-0000620E0000}"/>
    <cellStyle name="Normal 12 8 2" xfId="3827" xr:uid="{00000000-0005-0000-0000-0000630E0000}"/>
    <cellStyle name="Normal 12 8 2 2" xfId="8049" xr:uid="{00000000-0005-0000-0000-0000640E0000}"/>
    <cellStyle name="Normal 12 8 2 2 2" xfId="17375" xr:uid="{CD0DAC20-D964-4BA5-84A2-8206AD332815}"/>
    <cellStyle name="Normal 12 8 2 3" xfId="13158" xr:uid="{7327ACCC-F46F-453C-B13F-548B90A23FAC}"/>
    <cellStyle name="Normal 12 8 3" xfId="5904" xr:uid="{00000000-0005-0000-0000-0000650E0000}"/>
    <cellStyle name="Normal 12 8 3 2" xfId="15230" xr:uid="{0782B37E-97F2-43AB-AE59-6B11C068BF00}"/>
    <cellStyle name="Normal 12 8 4" xfId="11013" xr:uid="{2BA28C03-6D89-497A-9408-21D9DBA4F794}"/>
    <cellStyle name="Normal 12 9" xfId="2011" xr:uid="{00000000-0005-0000-0000-0000660E0000}"/>
    <cellStyle name="Normal 12 9 2" xfId="4240" xr:uid="{00000000-0005-0000-0000-0000670E0000}"/>
    <cellStyle name="Normal 12 9 2 2" xfId="8462" xr:uid="{00000000-0005-0000-0000-0000680E0000}"/>
    <cellStyle name="Normal 12 9 2 2 2" xfId="17788" xr:uid="{650C8505-EBB6-4AAD-840F-31874B3A151E}"/>
    <cellStyle name="Normal 12 9 2 3" xfId="13571" xr:uid="{4DD83C91-89D6-44DA-941E-F2DBD866C357}"/>
    <cellStyle name="Normal 12 9 3" xfId="6317" xr:uid="{00000000-0005-0000-0000-0000690E0000}"/>
    <cellStyle name="Normal 12 9 3 2" xfId="15643" xr:uid="{40364628-773A-4C82-91A8-E1347826F835}"/>
    <cellStyle name="Normal 12 9 4" xfId="11426" xr:uid="{FFEB4CC9-7EE6-49B4-93D6-3981A94E888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C5102321-F697-40F6-A25A-02DC208280E1}"/>
    <cellStyle name="Normal 14 2 2 3" xfId="12340" xr:uid="{1C14BE11-9F3A-4564-9057-4DEEE0C52062}"/>
    <cellStyle name="Normal 14 2 3" xfId="5086" xr:uid="{00000000-0005-0000-0000-0000700E0000}"/>
    <cellStyle name="Normal 14 2 3 2" xfId="14412" xr:uid="{329ACDD7-B4C9-40B4-8894-1A67864CB51F}"/>
    <cellStyle name="Normal 14 2 4" xfId="9371" xr:uid="{E1AFB5B4-F468-480A-B09F-3374B2F03BDA}"/>
    <cellStyle name="Normal 14 2 4 2" xfId="18686" xr:uid="{63B90D18-8578-47A5-8FBF-31D858978F90}"/>
    <cellStyle name="Normal 14 2 5" xfId="10195" xr:uid="{C70B6FD1-027E-46BE-8440-D26E2326F83A}"/>
    <cellStyle name="Normal 14 3" xfId="1191" xr:uid="{00000000-0005-0000-0000-0000710E0000}"/>
    <cellStyle name="Normal 14 3 2" xfId="3422" xr:uid="{00000000-0005-0000-0000-0000720E0000}"/>
    <cellStyle name="Normal 14 3 2 2" xfId="7644" xr:uid="{00000000-0005-0000-0000-0000730E0000}"/>
    <cellStyle name="Normal 14 3 2 2 2" xfId="16970" xr:uid="{620342F5-5455-455C-9829-8515B51124AD}"/>
    <cellStyle name="Normal 14 3 2 3" xfId="12753" xr:uid="{FCC9D06A-E1B4-45A7-91EB-5358E4A4169F}"/>
    <cellStyle name="Normal 14 3 3" xfId="5499" xr:uid="{00000000-0005-0000-0000-0000740E0000}"/>
    <cellStyle name="Normal 14 3 3 2" xfId="14825" xr:uid="{E07813B6-C604-4FD4-97F5-0CF25C361744}"/>
    <cellStyle name="Normal 14 3 4" xfId="10608" xr:uid="{B6DB9606-0AA7-429A-A537-46BC61022764}"/>
    <cellStyle name="Normal 14 4" xfId="1605" xr:uid="{00000000-0005-0000-0000-0000750E0000}"/>
    <cellStyle name="Normal 14 4 2" xfId="3835" xr:uid="{00000000-0005-0000-0000-0000760E0000}"/>
    <cellStyle name="Normal 14 4 2 2" xfId="8057" xr:uid="{00000000-0005-0000-0000-0000770E0000}"/>
    <cellStyle name="Normal 14 4 2 2 2" xfId="17383" xr:uid="{D189BA77-A926-42A8-A4D2-47871AA756E7}"/>
    <cellStyle name="Normal 14 4 2 3" xfId="13166" xr:uid="{B9108D4A-05A4-4F3B-8B3D-D708EB1A4E2A}"/>
    <cellStyle name="Normal 14 4 3" xfId="5912" xr:uid="{00000000-0005-0000-0000-0000780E0000}"/>
    <cellStyle name="Normal 14 4 3 2" xfId="15238" xr:uid="{914C506E-5AC7-49BF-9629-E96BA9485602}"/>
    <cellStyle name="Normal 14 4 4" xfId="11021" xr:uid="{CDF203B8-B051-4F80-AD1C-E9E6E8CF26EE}"/>
    <cellStyle name="Normal 14 5" xfId="2019" xr:uid="{00000000-0005-0000-0000-0000790E0000}"/>
    <cellStyle name="Normal 14 5 2" xfId="4248" xr:uid="{00000000-0005-0000-0000-00007A0E0000}"/>
    <cellStyle name="Normal 14 5 2 2" xfId="8470" xr:uid="{00000000-0005-0000-0000-00007B0E0000}"/>
    <cellStyle name="Normal 14 5 2 2 2" xfId="17796" xr:uid="{03F20C28-3EAF-4F5F-8577-0912EAB5A48F}"/>
    <cellStyle name="Normal 14 5 2 3" xfId="13579" xr:uid="{1C4719B0-2BE0-447F-8531-BCB59170F8AC}"/>
    <cellStyle name="Normal 14 5 3" xfId="6325" xr:uid="{00000000-0005-0000-0000-00007C0E0000}"/>
    <cellStyle name="Normal 14 5 3 2" xfId="15651" xr:uid="{D144460B-1AD4-4A64-9546-BA2DD17A1CBA}"/>
    <cellStyle name="Normal 14 5 4" xfId="11434" xr:uid="{1F26D13F-E163-47D1-B40B-6D5A0B6A00D7}"/>
    <cellStyle name="Normal 14 6" xfId="2455" xr:uid="{00000000-0005-0000-0000-00007D0E0000}"/>
    <cellStyle name="Normal 14 6 2" xfId="6738" xr:uid="{00000000-0005-0000-0000-00007E0E0000}"/>
    <cellStyle name="Normal 14 6 2 2" xfId="16064" xr:uid="{FDB9A375-66FA-40D6-BB96-9556E5D63F69}"/>
    <cellStyle name="Normal 14 6 3" xfId="11847" xr:uid="{36F6095E-E39E-4F9D-87C6-354E7989FA01}"/>
    <cellStyle name="Normal 14 7" xfId="4672" xr:uid="{00000000-0005-0000-0000-00007F0E0000}"/>
    <cellStyle name="Normal 14 7 2" xfId="13998" xr:uid="{A42DF984-080F-4CF8-B991-A2FC09B8F337}"/>
    <cellStyle name="Normal 14 8" xfId="8946" xr:uid="{DD997A1C-6669-41AA-8AC1-78121AFC796C}"/>
    <cellStyle name="Normal 14 8 2" xfId="18270" xr:uid="{D42DE790-582D-42C2-AD98-32F5816894F3}"/>
    <cellStyle name="Normal 14 9" xfId="9781" xr:uid="{18887CF8-6026-4897-AD14-45FC4D6AA127}"/>
    <cellStyle name="Normal 15" xfId="4496" xr:uid="{00000000-0005-0000-0000-0000800E0000}"/>
    <cellStyle name="Normal 15 2" xfId="9578" xr:uid="{99513E76-E7E2-49D8-ADC5-F882C61FFC79}"/>
    <cellStyle name="Normal 15 2 2" xfId="18893" xr:uid="{4A5C0640-15E3-4D20-9FDF-F28584F994D2}"/>
    <cellStyle name="Normal 15 3" xfId="9155" xr:uid="{47700DD8-A88A-4CB4-BFAD-BA75A2D4FC8E}"/>
    <cellStyle name="Normal 15 3 2" xfId="18477" xr:uid="{2178C164-9F5E-4224-AB44-129636DBBCD0}"/>
    <cellStyle name="Normal 15 4" xfId="13824" xr:uid="{F6137820-1786-472E-ABF8-357389559525}"/>
    <cellStyle name="Normal 16" xfId="4500" xr:uid="{00000000-0005-0000-0000-0000810E0000}"/>
    <cellStyle name="Normal 16 2" xfId="8715" xr:uid="{00000000-0005-0000-0000-0000820E0000}"/>
    <cellStyle name="Normal 16 2 2" xfId="18041" xr:uid="{1A190292-FE48-45D2-9861-29E25B88E47D}"/>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8ABA5DF2-EE5D-4A98-B2F0-233AAC1B5C07}"/>
    <cellStyle name="Normal 16 3 2 2 2 2 3" xfId="18057" xr:uid="{A5BA1886-3B3D-4070-B5DE-47B712BA2248}"/>
    <cellStyle name="Normal 16 3 2 2 2 3" xfId="18054" xr:uid="{33E6DA8C-89AF-4244-9C3C-B1D7DC8EB942}"/>
    <cellStyle name="Normal 16 3 2 2 3" xfId="18050" xr:uid="{7C72231A-C977-4B0E-8DFF-AB1ABF4485EE}"/>
    <cellStyle name="Normal 16 3 2 3" xfId="18047" xr:uid="{D4432CE2-C8BD-45B7-B2EC-B417088091E6}"/>
    <cellStyle name="Normal 16 3 3" xfId="18044" xr:uid="{19DA3A7D-7404-4FC8-9BF7-F1F283476603}"/>
    <cellStyle name="Normal 16 4" xfId="9612" xr:uid="{8729F6E8-3534-4DAE-B0B2-B2AF3CDCD313}"/>
    <cellStyle name="Normal 16 5" xfId="13827" xr:uid="{DBDFD956-59B4-4FDC-8289-07B763579789}"/>
    <cellStyle name="Normal 17" xfId="8728" xr:uid="{3FF0972C-833B-4475-99D8-1A6907499E71}"/>
    <cellStyle name="Normal 17 2" xfId="9157" xr:uid="{6C872296-5E17-4821-9139-E52AD113B06C}"/>
    <cellStyle name="Normal 17 3" xfId="9154" xr:uid="{DC3FF210-EC1F-47CE-8CCE-F8F5460671B1}"/>
    <cellStyle name="Normal 17 4" xfId="18053" xr:uid="{7DB4870F-0ABC-4C83-98D2-23BAECF79BB1}"/>
    <cellStyle name="Normal 18" xfId="9153" xr:uid="{EF04732C-9519-4C21-BD73-A108E18EA17F}"/>
    <cellStyle name="Normal 19" xfId="8739" xr:uid="{D907EBA7-1F94-4726-9ABB-7E7835FFF57E}"/>
    <cellStyle name="Normal 19 2" xfId="18063" xr:uid="{FFD02A5A-770F-4843-92DC-67CF8853BC2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16B9FFC1-8137-42BD-90BF-D94A5286CBF5}"/>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2DF1BC73-43D9-4B42-9B40-25513C82E009}"/>
    <cellStyle name="Normal 2 4 2 10 2 3" xfId="13580" xr:uid="{D70C3E7A-88AE-4309-95DC-1FF30EDEFE41}"/>
    <cellStyle name="Normal 2 4 2 10 3" xfId="6326" xr:uid="{00000000-0005-0000-0000-0000910E0000}"/>
    <cellStyle name="Normal 2 4 2 10 3 2" xfId="15652" xr:uid="{5C7EB66F-8BA3-4251-AFA1-FAA661853508}"/>
    <cellStyle name="Normal 2 4 2 10 4" xfId="11435" xr:uid="{1D77B207-2806-4BB3-8A6D-9C53E2C52DC9}"/>
    <cellStyle name="Normal 2 4 2 11" xfId="2456" xr:uid="{00000000-0005-0000-0000-0000920E0000}"/>
    <cellStyle name="Normal 2 4 2 11 2" xfId="6739" xr:uid="{00000000-0005-0000-0000-0000930E0000}"/>
    <cellStyle name="Normal 2 4 2 11 2 2" xfId="16065" xr:uid="{CF620C36-33B4-4D03-B679-C507A0456EDE}"/>
    <cellStyle name="Normal 2 4 2 11 3" xfId="11848" xr:uid="{E26E3E22-66DF-4579-BB98-5C25924AA0FC}"/>
    <cellStyle name="Normal 2 4 2 12" xfId="4673" xr:uid="{00000000-0005-0000-0000-0000940E0000}"/>
    <cellStyle name="Normal 2 4 2 12 2" xfId="13999" xr:uid="{3E5AC671-F2DF-4ACB-BCC9-6ABB4653953A}"/>
    <cellStyle name="Normal 2 4 2 13" xfId="8757" xr:uid="{563A76DD-F7DD-49F0-A61E-0419F4C31301}"/>
    <cellStyle name="Normal 2 4 2 13 2" xfId="18081" xr:uid="{A45B93DB-3E27-4737-B955-61F42780A271}"/>
    <cellStyle name="Normal 2 4 2 14" xfId="9782" xr:uid="{9F7DCC32-3EA6-47B3-8C58-58F12A8D532C}"/>
    <cellStyle name="Normal 2 4 2 2" xfId="280" xr:uid="{00000000-0005-0000-0000-0000950E0000}"/>
    <cellStyle name="Normal 2 4 2 3" xfId="281" xr:uid="{00000000-0005-0000-0000-0000960E0000}"/>
    <cellStyle name="Normal 2 4 2 3 10" xfId="4674" xr:uid="{00000000-0005-0000-0000-0000970E0000}"/>
    <cellStyle name="Normal 2 4 2 3 10 2" xfId="14000" xr:uid="{4DAAA388-23F4-47F9-A52F-F9D4D7DEA398}"/>
    <cellStyle name="Normal 2 4 2 3 11" xfId="8788" xr:uid="{EAD3D227-C8EF-4F54-8D24-EE1EA1F017BB}"/>
    <cellStyle name="Normal 2 4 2 3 11 2" xfId="18112" xr:uid="{E2D9443C-A4E6-4E98-8F01-78A0DE95B264}"/>
    <cellStyle name="Normal 2 4 2 3 12" xfId="9783" xr:uid="{9A1241F6-DA0B-40D6-8381-4725FC632676}"/>
    <cellStyle name="Normal 2 4 2 3 2" xfId="282" xr:uid="{00000000-0005-0000-0000-0000980E0000}"/>
    <cellStyle name="Normal 2 4 2 3 2 10" xfId="8813" xr:uid="{C03AE35D-2438-4E07-AE9C-6D04EC6DA2B7}"/>
    <cellStyle name="Normal 2 4 2 3 2 10 2" xfId="18137" xr:uid="{754AF289-6B2D-4EFB-B2CC-136766C9D210}"/>
    <cellStyle name="Normal 2 4 2 3 2 11" xfId="9784" xr:uid="{9596A85E-150F-4CC2-AE1A-70F059EC8764}"/>
    <cellStyle name="Normal 2 4 2 3 2 2" xfId="283" xr:uid="{00000000-0005-0000-0000-0000990E0000}"/>
    <cellStyle name="Normal 2 4 2 3 2 2 10" xfId="9785" xr:uid="{2968723F-03CE-439E-AE39-D39B7404B2F9}"/>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540A21F4-A1BF-4CFD-8263-75F9EC08DD79}"/>
    <cellStyle name="Normal 2 4 2 3 2 2 2 2 2 3" xfId="12345" xr:uid="{7D8962E1-4768-48FB-9ADD-67B677537B05}"/>
    <cellStyle name="Normal 2 4 2 3 2 2 2 2 3" xfId="5091" xr:uid="{00000000-0005-0000-0000-00009E0E0000}"/>
    <cellStyle name="Normal 2 4 2 3 2 2 2 2 3 2" xfId="14417" xr:uid="{2E728F03-71EB-48C2-8BA2-9FFE63DA1ED0}"/>
    <cellStyle name="Normal 2 4 2 3 2 2 2 2 4" xfId="9548" xr:uid="{29E7289E-B3F4-4F63-9B9C-B531B0E50CEB}"/>
    <cellStyle name="Normal 2 4 2 3 2 2 2 2 4 2" xfId="18863" xr:uid="{F7787EC5-1C35-41F2-97D6-0784591403E3}"/>
    <cellStyle name="Normal 2 4 2 3 2 2 2 2 5" xfId="10200" xr:uid="{2B450AE5-F5BA-4C4B-BDA2-CC0C931D23F5}"/>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8348A13D-21AA-462B-9362-009EDBF34031}"/>
    <cellStyle name="Normal 2 4 2 3 2 2 2 3 2 3" xfId="12758" xr:uid="{A66B4AA7-F466-427B-A81A-18386C78EED0}"/>
    <cellStyle name="Normal 2 4 2 3 2 2 2 3 3" xfId="5504" xr:uid="{00000000-0005-0000-0000-0000A20E0000}"/>
    <cellStyle name="Normal 2 4 2 3 2 2 2 3 3 2" xfId="14830" xr:uid="{8316FA51-937E-40BB-ADF7-3CD7A9F25AD9}"/>
    <cellStyle name="Normal 2 4 2 3 2 2 2 3 4" xfId="10613" xr:uid="{B6EFC616-5FD7-4FB7-8D79-90B2A1B7696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394B74F5-3FB6-491F-9396-8C14CFA5F8DB}"/>
    <cellStyle name="Normal 2 4 2 3 2 2 2 4 2 3" xfId="13171" xr:uid="{22174F9C-B3D3-4A2E-8DC2-41BBB8588798}"/>
    <cellStyle name="Normal 2 4 2 3 2 2 2 4 3" xfId="5917" xr:uid="{00000000-0005-0000-0000-0000A60E0000}"/>
    <cellStyle name="Normal 2 4 2 3 2 2 2 4 3 2" xfId="15243" xr:uid="{BDEC65C9-EE3A-4565-99E1-EDDF690F3B82}"/>
    <cellStyle name="Normal 2 4 2 3 2 2 2 4 4" xfId="11026" xr:uid="{519F3210-00A9-44B0-9A5C-3E0E09EA527F}"/>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C80501BF-ACF5-409D-A271-3FCE5A9A67B7}"/>
    <cellStyle name="Normal 2 4 2 3 2 2 2 5 2 3" xfId="13584" xr:uid="{48AD8C7E-E8DD-40FF-95D7-7E5A4597F325}"/>
    <cellStyle name="Normal 2 4 2 3 2 2 2 5 3" xfId="6330" xr:uid="{00000000-0005-0000-0000-0000AA0E0000}"/>
    <cellStyle name="Normal 2 4 2 3 2 2 2 5 3 2" xfId="15656" xr:uid="{1D21D526-60F7-4823-9C42-6FB90322208E}"/>
    <cellStyle name="Normal 2 4 2 3 2 2 2 5 4" xfId="11439" xr:uid="{A9D93ABB-8B6B-49D0-BBA0-378CC4C82671}"/>
    <cellStyle name="Normal 2 4 2 3 2 2 2 6" xfId="2460" xr:uid="{00000000-0005-0000-0000-0000AB0E0000}"/>
    <cellStyle name="Normal 2 4 2 3 2 2 2 6 2" xfId="6743" xr:uid="{00000000-0005-0000-0000-0000AC0E0000}"/>
    <cellStyle name="Normal 2 4 2 3 2 2 2 6 2 2" xfId="16069" xr:uid="{FE461437-E519-4791-918D-E8BFD984BC2F}"/>
    <cellStyle name="Normal 2 4 2 3 2 2 2 6 3" xfId="11852" xr:uid="{6B930934-5CA0-4C76-9418-3F44D245D2AE}"/>
    <cellStyle name="Normal 2 4 2 3 2 2 2 7" xfId="4677" xr:uid="{00000000-0005-0000-0000-0000AD0E0000}"/>
    <cellStyle name="Normal 2 4 2 3 2 2 2 7 2" xfId="14003" xr:uid="{264607DF-F60D-453E-895F-D470D19621F6}"/>
    <cellStyle name="Normal 2 4 2 3 2 2 2 8" xfId="9123" xr:uid="{9F0183A9-880D-46D9-BB7D-5696E4723F5F}"/>
    <cellStyle name="Normal 2 4 2 3 2 2 2 8 2" xfId="18447" xr:uid="{BADA26B3-AD70-480D-B241-8F5A6F448AC6}"/>
    <cellStyle name="Normal 2 4 2 3 2 2 2 9" xfId="9786" xr:uid="{884435A9-962B-4B28-9D04-B67787775BB9}"/>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E753B27B-9788-4868-8718-A2B0A25D7539}"/>
    <cellStyle name="Normal 2 4 2 3 2 2 3 2 3" xfId="12344" xr:uid="{329C27C4-2538-4573-AAD0-1CB160E1B609}"/>
    <cellStyle name="Normal 2 4 2 3 2 2 3 3" xfId="5090" xr:uid="{00000000-0005-0000-0000-0000B10E0000}"/>
    <cellStyle name="Normal 2 4 2 3 2 2 3 3 2" xfId="14416" xr:uid="{ED0753E3-9C5B-4AEE-88FB-C13A8D5413AE}"/>
    <cellStyle name="Normal 2 4 2 3 2 2 3 4" xfId="9341" xr:uid="{4F113FF5-050D-47D1-A7D5-F829C93D993D}"/>
    <cellStyle name="Normal 2 4 2 3 2 2 3 4 2" xfId="18656" xr:uid="{43C9E335-A4A0-4CA3-9DA5-9E7193073784}"/>
    <cellStyle name="Normal 2 4 2 3 2 2 3 5" xfId="10199" xr:uid="{6B5CFBE0-1B24-412E-A347-116EB8259441}"/>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BAA52A59-D175-43B4-AF10-59CC4483D6F4}"/>
    <cellStyle name="Normal 2 4 2 3 2 2 4 2 3" xfId="12757" xr:uid="{F71ECB8B-9E53-4C04-886E-EA3919EC7159}"/>
    <cellStyle name="Normal 2 4 2 3 2 2 4 3" xfId="5503" xr:uid="{00000000-0005-0000-0000-0000B50E0000}"/>
    <cellStyle name="Normal 2 4 2 3 2 2 4 3 2" xfId="14829" xr:uid="{6978D771-9644-4A8D-A737-C18AA8C98F30}"/>
    <cellStyle name="Normal 2 4 2 3 2 2 4 4" xfId="10612" xr:uid="{C036F7A5-EE3C-4D02-AECE-0F32F5BF1D6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7F303D3B-98BF-4550-AB33-4BAF35F8D225}"/>
    <cellStyle name="Normal 2 4 2 3 2 2 5 2 3" xfId="13170" xr:uid="{C835732A-3A7D-4C64-A9B2-7EC56206C5A2}"/>
    <cellStyle name="Normal 2 4 2 3 2 2 5 3" xfId="5916" xr:uid="{00000000-0005-0000-0000-0000B90E0000}"/>
    <cellStyle name="Normal 2 4 2 3 2 2 5 3 2" xfId="15242" xr:uid="{03F5168C-D1A0-4CB3-8ADB-74E32849B8E6}"/>
    <cellStyle name="Normal 2 4 2 3 2 2 5 4" xfId="11025" xr:uid="{2417538B-F56E-444F-A270-183174D4A81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06E8F2BD-60F6-46FB-B6D3-CBF4134646D8}"/>
    <cellStyle name="Normal 2 4 2 3 2 2 6 2 3" xfId="13583" xr:uid="{EBF3FC29-5053-4AD9-ACAC-F3B54781B806}"/>
    <cellStyle name="Normal 2 4 2 3 2 2 6 3" xfId="6329" xr:uid="{00000000-0005-0000-0000-0000BD0E0000}"/>
    <cellStyle name="Normal 2 4 2 3 2 2 6 3 2" xfId="15655" xr:uid="{828395EC-EC67-44DD-852D-C3106A51EE99}"/>
    <cellStyle name="Normal 2 4 2 3 2 2 6 4" xfId="11438" xr:uid="{FF217618-015F-4F80-871A-DE2FACAD3092}"/>
    <cellStyle name="Normal 2 4 2 3 2 2 7" xfId="2459" xr:uid="{00000000-0005-0000-0000-0000BE0E0000}"/>
    <cellStyle name="Normal 2 4 2 3 2 2 7 2" xfId="6742" xr:uid="{00000000-0005-0000-0000-0000BF0E0000}"/>
    <cellStyle name="Normal 2 4 2 3 2 2 7 2 2" xfId="16068" xr:uid="{B24393EA-9D63-462B-A71D-C3EC6708A288}"/>
    <cellStyle name="Normal 2 4 2 3 2 2 7 3" xfId="11851" xr:uid="{5AD121BA-4046-434F-B679-AEF271AFAF45}"/>
    <cellStyle name="Normal 2 4 2 3 2 2 8" xfId="4676" xr:uid="{00000000-0005-0000-0000-0000C00E0000}"/>
    <cellStyle name="Normal 2 4 2 3 2 2 8 2" xfId="14002" xr:uid="{7A857817-9ED7-4E13-90EF-E7C41A1E9BEC}"/>
    <cellStyle name="Normal 2 4 2 3 2 2 9" xfId="8916" xr:uid="{1EF18CC7-44BB-43EB-8DB6-D193CEF128C1}"/>
    <cellStyle name="Normal 2 4 2 3 2 2 9 2" xfId="18240" xr:uid="{5E56680E-0093-4D95-9B8F-CAA42BC8782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DA01A711-330D-4883-B7C1-47D0476B70BB}"/>
    <cellStyle name="Normal 2 4 2 3 2 3 2 2 3" xfId="12346" xr:uid="{523CEE7F-16A5-4CCF-87D2-5ED394287521}"/>
    <cellStyle name="Normal 2 4 2 3 2 3 2 3" xfId="5092" xr:uid="{00000000-0005-0000-0000-0000C50E0000}"/>
    <cellStyle name="Normal 2 4 2 3 2 3 2 3 2" xfId="14418" xr:uid="{0EC150A2-F2A1-439F-AFA2-D61E1F0C4F15}"/>
    <cellStyle name="Normal 2 4 2 3 2 3 2 4" xfId="9445" xr:uid="{67F9E33C-8554-469D-8D7A-1147F632F3B0}"/>
    <cellStyle name="Normal 2 4 2 3 2 3 2 4 2" xfId="18760" xr:uid="{A8F74062-97CD-4F47-9B25-AF932815AEEE}"/>
    <cellStyle name="Normal 2 4 2 3 2 3 2 5" xfId="10201" xr:uid="{868CCC9E-D56B-42DA-A154-10591526342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81CB6A02-E886-408A-BA56-D86F13BA61A3}"/>
    <cellStyle name="Normal 2 4 2 3 2 3 3 2 3" xfId="12759" xr:uid="{055B8756-8030-490A-997E-C9BD02AD322B}"/>
    <cellStyle name="Normal 2 4 2 3 2 3 3 3" xfId="5505" xr:uid="{00000000-0005-0000-0000-0000C90E0000}"/>
    <cellStyle name="Normal 2 4 2 3 2 3 3 3 2" xfId="14831" xr:uid="{C02C4299-CEB2-437B-A767-39A3838DDB4C}"/>
    <cellStyle name="Normal 2 4 2 3 2 3 3 4" xfId="10614" xr:uid="{48103BCA-7377-451E-A7BF-1D25F4BEAED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D7F785E-F2CF-45E9-AA73-DF79F2B446B3}"/>
    <cellStyle name="Normal 2 4 2 3 2 3 4 2 3" xfId="13172" xr:uid="{71BB4C3D-7FEE-4CB0-A297-557E0524AF94}"/>
    <cellStyle name="Normal 2 4 2 3 2 3 4 3" xfId="5918" xr:uid="{00000000-0005-0000-0000-0000CD0E0000}"/>
    <cellStyle name="Normal 2 4 2 3 2 3 4 3 2" xfId="15244" xr:uid="{FD02C48B-5F93-49D2-A0E4-756ED1A6B240}"/>
    <cellStyle name="Normal 2 4 2 3 2 3 4 4" xfId="11027" xr:uid="{54EA51E3-422A-4808-A183-27F85FE61A8E}"/>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5E7888D6-1B22-4291-BFD1-95298573E308}"/>
    <cellStyle name="Normal 2 4 2 3 2 3 5 2 3" xfId="13585" xr:uid="{04D9EEA9-2A7F-459A-8800-76A42A8D75D1}"/>
    <cellStyle name="Normal 2 4 2 3 2 3 5 3" xfId="6331" xr:uid="{00000000-0005-0000-0000-0000D10E0000}"/>
    <cellStyle name="Normal 2 4 2 3 2 3 5 3 2" xfId="15657" xr:uid="{D9F20214-E2BF-4902-AC6B-2E74DC6975E1}"/>
    <cellStyle name="Normal 2 4 2 3 2 3 5 4" xfId="11440" xr:uid="{416717D2-33F9-4DC3-B624-AC8887DABEA2}"/>
    <cellStyle name="Normal 2 4 2 3 2 3 6" xfId="2461" xr:uid="{00000000-0005-0000-0000-0000D20E0000}"/>
    <cellStyle name="Normal 2 4 2 3 2 3 6 2" xfId="6744" xr:uid="{00000000-0005-0000-0000-0000D30E0000}"/>
    <cellStyle name="Normal 2 4 2 3 2 3 6 2 2" xfId="16070" xr:uid="{B2CD3FD4-A850-469B-A167-A17ACE833232}"/>
    <cellStyle name="Normal 2 4 2 3 2 3 6 3" xfId="11853" xr:uid="{2B5AF446-AF4B-4306-BB86-4A7121145BFF}"/>
    <cellStyle name="Normal 2 4 2 3 2 3 7" xfId="4678" xr:uid="{00000000-0005-0000-0000-0000D40E0000}"/>
    <cellStyle name="Normal 2 4 2 3 2 3 7 2" xfId="14004" xr:uid="{9D300230-4591-4269-A4D2-88D6EF586AF9}"/>
    <cellStyle name="Normal 2 4 2 3 2 3 8" xfId="9020" xr:uid="{5718F785-8E2C-4B45-91D1-4597173D90A6}"/>
    <cellStyle name="Normal 2 4 2 3 2 3 8 2" xfId="18344" xr:uid="{B4E0070D-D59E-4BA4-B541-1919D7F85BAF}"/>
    <cellStyle name="Normal 2 4 2 3 2 3 9" xfId="9787" xr:uid="{650D39CF-1498-43D1-8569-3713168CB76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31531293-6D6F-485B-ABFD-550B75F582EA}"/>
    <cellStyle name="Normal 2 4 2 3 2 4 2 3" xfId="12343" xr:uid="{71D02B9D-AA81-4330-8FFF-CD2447838F79}"/>
    <cellStyle name="Normal 2 4 2 3 2 4 3" xfId="5089" xr:uid="{00000000-0005-0000-0000-0000D80E0000}"/>
    <cellStyle name="Normal 2 4 2 3 2 4 3 2" xfId="14415" xr:uid="{9C2590E8-AC9A-436A-B386-38F894E1E936}"/>
    <cellStyle name="Normal 2 4 2 3 2 4 4" xfId="9238" xr:uid="{BC6E5A3D-C256-46E9-A109-D643C24AA206}"/>
    <cellStyle name="Normal 2 4 2 3 2 4 4 2" xfId="18553" xr:uid="{A9698DA7-6B16-4D41-8945-E2903EE53165}"/>
    <cellStyle name="Normal 2 4 2 3 2 4 5" xfId="10198" xr:uid="{CA57586C-9E52-44E3-8E7B-6EC3B245CC12}"/>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99F85C47-54E4-4721-AE02-73DD5BAF3945}"/>
    <cellStyle name="Normal 2 4 2 3 2 5 2 3" xfId="12756" xr:uid="{89064180-553E-45D6-AB0A-8410D96661F3}"/>
    <cellStyle name="Normal 2 4 2 3 2 5 3" xfId="5502" xr:uid="{00000000-0005-0000-0000-0000DC0E0000}"/>
    <cellStyle name="Normal 2 4 2 3 2 5 3 2" xfId="14828" xr:uid="{A80EEDA0-21CA-4259-87C0-43DB58AFD4AC}"/>
    <cellStyle name="Normal 2 4 2 3 2 5 4" xfId="10611" xr:uid="{80AD43AA-54C9-416E-B35B-21075562E99E}"/>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B80041B4-B36D-4C9E-816D-A852EE16801F}"/>
    <cellStyle name="Normal 2 4 2 3 2 6 2 3" xfId="13169" xr:uid="{0C1539B4-A59C-4F5C-B0D8-6B9EDD5588E2}"/>
    <cellStyle name="Normal 2 4 2 3 2 6 3" xfId="5915" xr:uid="{00000000-0005-0000-0000-0000E00E0000}"/>
    <cellStyle name="Normal 2 4 2 3 2 6 3 2" xfId="15241" xr:uid="{6DF1B6EE-CCE4-4D07-BF4A-204C7EDB65A6}"/>
    <cellStyle name="Normal 2 4 2 3 2 6 4" xfId="11024" xr:uid="{AE7832E2-9E25-496A-8748-A9DC66FC3A52}"/>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6099C135-462D-486E-B816-999D388B342D}"/>
    <cellStyle name="Normal 2 4 2 3 2 7 2 3" xfId="13582" xr:uid="{A955A342-2FE4-4BC7-BA47-5FEDA81AF758}"/>
    <cellStyle name="Normal 2 4 2 3 2 7 3" xfId="6328" xr:uid="{00000000-0005-0000-0000-0000E40E0000}"/>
    <cellStyle name="Normal 2 4 2 3 2 7 3 2" xfId="15654" xr:uid="{7752F953-E683-4EAA-A099-313ACAF4D96C}"/>
    <cellStyle name="Normal 2 4 2 3 2 7 4" xfId="11437" xr:uid="{3C7038BC-4501-407F-9BE1-DC792A26EDDD}"/>
    <cellStyle name="Normal 2 4 2 3 2 8" xfId="2458" xr:uid="{00000000-0005-0000-0000-0000E50E0000}"/>
    <cellStyle name="Normal 2 4 2 3 2 8 2" xfId="6741" xr:uid="{00000000-0005-0000-0000-0000E60E0000}"/>
    <cellStyle name="Normal 2 4 2 3 2 8 2 2" xfId="16067" xr:uid="{CDDD66E8-AB76-4F12-9584-7ED66DC7C372}"/>
    <cellStyle name="Normal 2 4 2 3 2 8 3" xfId="11850" xr:uid="{4E2090ED-E9D4-4BBD-BCFF-4387A62E1E81}"/>
    <cellStyle name="Normal 2 4 2 3 2 9" xfId="4675" xr:uid="{00000000-0005-0000-0000-0000E70E0000}"/>
    <cellStyle name="Normal 2 4 2 3 2 9 2" xfId="14001" xr:uid="{383A6B74-14EA-400D-B0C7-1A6FBE017375}"/>
    <cellStyle name="Normal 2 4 2 3 3" xfId="286" xr:uid="{00000000-0005-0000-0000-0000E80E0000}"/>
    <cellStyle name="Normal 2 4 2 3 3 10" xfId="9788" xr:uid="{DB716DAB-CD9D-48FE-B0CF-03FCED7FF08F}"/>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4D64A584-2A07-41C6-976A-728B4583D9DF}"/>
    <cellStyle name="Normal 2 4 2 3 3 2 2 2 3" xfId="12348" xr:uid="{4233FC09-FED5-48B4-9B08-5E3D998ACD1B}"/>
    <cellStyle name="Normal 2 4 2 3 3 2 2 3" xfId="5094" xr:uid="{00000000-0005-0000-0000-0000ED0E0000}"/>
    <cellStyle name="Normal 2 4 2 3 3 2 2 3 2" xfId="14420" xr:uid="{9B8E2413-A1CE-4E58-80F0-06738EB86F85}"/>
    <cellStyle name="Normal 2 4 2 3 3 2 2 4" xfId="9523" xr:uid="{49BCB42B-3FEB-4D87-8E20-52FE775F87DD}"/>
    <cellStyle name="Normal 2 4 2 3 3 2 2 4 2" xfId="18838" xr:uid="{B5B784C5-5287-4F8B-AB8D-020AD0626D32}"/>
    <cellStyle name="Normal 2 4 2 3 3 2 2 5" xfId="10203" xr:uid="{A6894DB3-4A32-405F-94F1-0A71DEB9F8F1}"/>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E39CF5C0-4BE9-4054-A76C-D5AB62750A27}"/>
    <cellStyle name="Normal 2 4 2 3 3 2 3 2 3" xfId="12761" xr:uid="{98627710-6D31-44B0-BD0D-970D625BC154}"/>
    <cellStyle name="Normal 2 4 2 3 3 2 3 3" xfId="5507" xr:uid="{00000000-0005-0000-0000-0000F10E0000}"/>
    <cellStyle name="Normal 2 4 2 3 3 2 3 3 2" xfId="14833" xr:uid="{C6CDEDE8-02F7-4033-A27E-857DE9A5ECB5}"/>
    <cellStyle name="Normal 2 4 2 3 3 2 3 4" xfId="10616" xr:uid="{164FBCA8-53BA-4379-8B6F-E06292DB2506}"/>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F245DB0A-F7B1-4D0B-9E9B-7FB533CF7206}"/>
    <cellStyle name="Normal 2 4 2 3 3 2 4 2 3" xfId="13174" xr:uid="{0077E66A-77BC-4490-97FA-09C1011E27CA}"/>
    <cellStyle name="Normal 2 4 2 3 3 2 4 3" xfId="5920" xr:uid="{00000000-0005-0000-0000-0000F50E0000}"/>
    <cellStyle name="Normal 2 4 2 3 3 2 4 3 2" xfId="15246" xr:uid="{A6861FBD-3C32-46A4-AB79-EAAE4E241B02}"/>
    <cellStyle name="Normal 2 4 2 3 3 2 4 4" xfId="11029" xr:uid="{D897E331-BD26-4C16-BAB9-53BADEE4693B}"/>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B9B97815-0440-4AF5-B28C-70D8617B6159}"/>
    <cellStyle name="Normal 2 4 2 3 3 2 5 2 3" xfId="13587" xr:uid="{F000302D-BAFD-49F5-B39C-3573B00603E7}"/>
    <cellStyle name="Normal 2 4 2 3 3 2 5 3" xfId="6333" xr:uid="{00000000-0005-0000-0000-0000F90E0000}"/>
    <cellStyle name="Normal 2 4 2 3 3 2 5 3 2" xfId="15659" xr:uid="{9D60B5DA-4EE4-48F9-B6AA-22C89DF8FE64}"/>
    <cellStyle name="Normal 2 4 2 3 3 2 5 4" xfId="11442" xr:uid="{B3BE0E3C-2FEB-4E5A-B316-A681CA6EA2B9}"/>
    <cellStyle name="Normal 2 4 2 3 3 2 6" xfId="2463" xr:uid="{00000000-0005-0000-0000-0000FA0E0000}"/>
    <cellStyle name="Normal 2 4 2 3 3 2 6 2" xfId="6746" xr:uid="{00000000-0005-0000-0000-0000FB0E0000}"/>
    <cellStyle name="Normal 2 4 2 3 3 2 6 2 2" xfId="16072" xr:uid="{7A5F1C62-743D-4DCA-BC99-15467AE15D11}"/>
    <cellStyle name="Normal 2 4 2 3 3 2 6 3" xfId="11855" xr:uid="{DF759481-408B-4E56-882A-AC8ACD1E66AF}"/>
    <cellStyle name="Normal 2 4 2 3 3 2 7" xfId="4680" xr:uid="{00000000-0005-0000-0000-0000FC0E0000}"/>
    <cellStyle name="Normal 2 4 2 3 3 2 7 2" xfId="14006" xr:uid="{07F10391-0A22-4FF7-A614-C5E43DAA16F3}"/>
    <cellStyle name="Normal 2 4 2 3 3 2 8" xfId="9098" xr:uid="{15335B31-FFDD-479D-88EC-FAB83DC4E6EC}"/>
    <cellStyle name="Normal 2 4 2 3 3 2 8 2" xfId="18422" xr:uid="{49284CFE-A96D-460F-8FC8-73DE29A829A5}"/>
    <cellStyle name="Normal 2 4 2 3 3 2 9" xfId="9789" xr:uid="{60A7BD47-9B9C-480D-ADB4-DCFE44028BDB}"/>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F575DB99-A10F-44FC-824A-9470C8794ABC}"/>
    <cellStyle name="Normal 2 4 2 3 3 3 2 3" xfId="12347" xr:uid="{13ED74B5-A35B-415F-B9FE-8C01BB672D30}"/>
    <cellStyle name="Normal 2 4 2 3 3 3 3" xfId="5093" xr:uid="{00000000-0005-0000-0000-0000000F0000}"/>
    <cellStyle name="Normal 2 4 2 3 3 3 3 2" xfId="14419" xr:uid="{FB98D432-17EE-4FCA-A3FB-0F7A6A88267C}"/>
    <cellStyle name="Normal 2 4 2 3 3 3 4" xfId="9316" xr:uid="{C8C83D09-5A3A-4C90-8A04-9D7CD8C85B11}"/>
    <cellStyle name="Normal 2 4 2 3 3 3 4 2" xfId="18631" xr:uid="{08663C1E-2642-429D-97AC-5F9CA1D9F4B5}"/>
    <cellStyle name="Normal 2 4 2 3 3 3 5" xfId="10202" xr:uid="{4A37EBE7-22F2-4098-8B72-73EA0980D6C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9B9FDC42-3F36-4BD3-AC37-D91AF7AD58FC}"/>
    <cellStyle name="Normal 2 4 2 3 3 4 2 3" xfId="12760" xr:uid="{263BF2A1-9637-4EF9-BFA6-9F5248C59C9A}"/>
    <cellStyle name="Normal 2 4 2 3 3 4 3" xfId="5506" xr:uid="{00000000-0005-0000-0000-0000040F0000}"/>
    <cellStyle name="Normal 2 4 2 3 3 4 3 2" xfId="14832" xr:uid="{319B8003-6A1E-4CFB-8B17-7F3E1EC08B62}"/>
    <cellStyle name="Normal 2 4 2 3 3 4 4" xfId="10615" xr:uid="{642B52DD-E99E-43F7-A930-4C23ECBFEFDE}"/>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CFBBD6DE-A5F0-4E36-AC95-1DF90BEAC645}"/>
    <cellStyle name="Normal 2 4 2 3 3 5 2 3" xfId="13173" xr:uid="{41A0FBD3-9007-41BB-9E2E-67A491084B64}"/>
    <cellStyle name="Normal 2 4 2 3 3 5 3" xfId="5919" xr:uid="{00000000-0005-0000-0000-0000080F0000}"/>
    <cellStyle name="Normal 2 4 2 3 3 5 3 2" xfId="15245" xr:uid="{4A399539-F9CE-4416-827B-6E73DAB99915}"/>
    <cellStyle name="Normal 2 4 2 3 3 5 4" xfId="11028" xr:uid="{3B053328-30A1-4897-8B88-87875908BE24}"/>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4F825B70-B7FC-4CD3-9E68-3932A75FAD9F}"/>
    <cellStyle name="Normal 2 4 2 3 3 6 2 3" xfId="13586" xr:uid="{5524CDA6-18D1-4CDD-840B-25E06569F12B}"/>
    <cellStyle name="Normal 2 4 2 3 3 6 3" xfId="6332" xr:uid="{00000000-0005-0000-0000-00000C0F0000}"/>
    <cellStyle name="Normal 2 4 2 3 3 6 3 2" xfId="15658" xr:uid="{80A99FDE-B252-4F67-83AA-3D3AAD540E7A}"/>
    <cellStyle name="Normal 2 4 2 3 3 6 4" xfId="11441" xr:uid="{E3DE9A7B-ADBF-4A19-BF3B-6B2733FB5FF6}"/>
    <cellStyle name="Normal 2 4 2 3 3 7" xfId="2462" xr:uid="{00000000-0005-0000-0000-00000D0F0000}"/>
    <cellStyle name="Normal 2 4 2 3 3 7 2" xfId="6745" xr:uid="{00000000-0005-0000-0000-00000E0F0000}"/>
    <cellStyle name="Normal 2 4 2 3 3 7 2 2" xfId="16071" xr:uid="{4B5DE66F-8F37-4056-A053-FA0BB3F8BE35}"/>
    <cellStyle name="Normal 2 4 2 3 3 7 3" xfId="11854" xr:uid="{72EE7438-11BA-480A-9BAA-34126C031BB9}"/>
    <cellStyle name="Normal 2 4 2 3 3 8" xfId="4679" xr:uid="{00000000-0005-0000-0000-00000F0F0000}"/>
    <cellStyle name="Normal 2 4 2 3 3 8 2" xfId="14005" xr:uid="{CC6E33B2-25B2-42E7-AA95-FA28ED0D169B}"/>
    <cellStyle name="Normal 2 4 2 3 3 9" xfId="8891" xr:uid="{D2DF60A1-A34B-4A3F-B29E-E581EFBA8360}"/>
    <cellStyle name="Normal 2 4 2 3 3 9 2" xfId="18215" xr:uid="{78AA1958-7DDF-4234-9218-FD244A79DFB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A799FFEB-539D-45EE-9C73-161D59E7AC72}"/>
    <cellStyle name="Normal 2 4 2 3 4 2 2 3" xfId="12349" xr:uid="{0E49584D-764E-484C-8C67-6CBCABE23963}"/>
    <cellStyle name="Normal 2 4 2 3 4 2 3" xfId="5095" xr:uid="{00000000-0005-0000-0000-0000140F0000}"/>
    <cellStyle name="Normal 2 4 2 3 4 2 3 2" xfId="14421" xr:uid="{6E873DE8-6A4D-4A19-9011-8128A7ABED6C}"/>
    <cellStyle name="Normal 2 4 2 3 4 2 4" xfId="9420" xr:uid="{49E252B3-99BC-416A-A0CB-FE2641ECFDE3}"/>
    <cellStyle name="Normal 2 4 2 3 4 2 4 2" xfId="18735" xr:uid="{AD5FAEF9-FF07-4113-B846-63A006604649}"/>
    <cellStyle name="Normal 2 4 2 3 4 2 5" xfId="10204" xr:uid="{55CEA68F-EDDC-4A59-8B8D-9C3562C33FD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A00C1CBF-7959-4446-B871-6A35E21565A0}"/>
    <cellStyle name="Normal 2 4 2 3 4 3 2 3" xfId="12762" xr:uid="{962C51ED-48E6-4016-BD5F-1CD6A4905ABB}"/>
    <cellStyle name="Normal 2 4 2 3 4 3 3" xfId="5508" xr:uid="{00000000-0005-0000-0000-0000180F0000}"/>
    <cellStyle name="Normal 2 4 2 3 4 3 3 2" xfId="14834" xr:uid="{F5948CD0-78E6-46FD-986A-36E9AF375781}"/>
    <cellStyle name="Normal 2 4 2 3 4 3 4" xfId="10617" xr:uid="{A06BEB79-6CCA-4331-8962-53A7C497F7B5}"/>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AF2B8EF3-39BA-442C-9118-531F3576A836}"/>
    <cellStyle name="Normal 2 4 2 3 4 4 2 3" xfId="13175" xr:uid="{D4952B25-CDA3-408E-AE24-CDEF44FEF8C1}"/>
    <cellStyle name="Normal 2 4 2 3 4 4 3" xfId="5921" xr:uid="{00000000-0005-0000-0000-00001C0F0000}"/>
    <cellStyle name="Normal 2 4 2 3 4 4 3 2" xfId="15247" xr:uid="{3A37A26E-899D-4DB6-A4F6-3C8EDF9C7E78}"/>
    <cellStyle name="Normal 2 4 2 3 4 4 4" xfId="11030" xr:uid="{5A3B609A-938A-4225-85D2-7847872EFB22}"/>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1841322B-B30E-49A0-8546-42E583D668D3}"/>
    <cellStyle name="Normal 2 4 2 3 4 5 2 3" xfId="13588" xr:uid="{0E2BBF10-00D4-4B05-8030-6D47FA578424}"/>
    <cellStyle name="Normal 2 4 2 3 4 5 3" xfId="6334" xr:uid="{00000000-0005-0000-0000-0000200F0000}"/>
    <cellStyle name="Normal 2 4 2 3 4 5 3 2" xfId="15660" xr:uid="{48A13DDC-ADD4-4118-B639-8BC00BFE64AD}"/>
    <cellStyle name="Normal 2 4 2 3 4 5 4" xfId="11443" xr:uid="{E7394B3A-3FDE-4AA7-B26A-3D2070A45AB1}"/>
    <cellStyle name="Normal 2 4 2 3 4 6" xfId="2464" xr:uid="{00000000-0005-0000-0000-0000210F0000}"/>
    <cellStyle name="Normal 2 4 2 3 4 6 2" xfId="6747" xr:uid="{00000000-0005-0000-0000-0000220F0000}"/>
    <cellStyle name="Normal 2 4 2 3 4 6 2 2" xfId="16073" xr:uid="{400F6FF0-A3DD-4BA0-A291-AFB4A16CACA0}"/>
    <cellStyle name="Normal 2 4 2 3 4 6 3" xfId="11856" xr:uid="{9D38E42B-DEEE-457A-BE29-7CB5D0B1E72B}"/>
    <cellStyle name="Normal 2 4 2 3 4 7" xfId="4681" xr:uid="{00000000-0005-0000-0000-0000230F0000}"/>
    <cellStyle name="Normal 2 4 2 3 4 7 2" xfId="14007" xr:uid="{DE257203-FDB2-4F1C-A393-1D40E0794633}"/>
    <cellStyle name="Normal 2 4 2 3 4 8" xfId="8995" xr:uid="{EEE25A27-4C18-4948-8341-FF27707A7A86}"/>
    <cellStyle name="Normal 2 4 2 3 4 8 2" xfId="18319" xr:uid="{95E9CA28-F0E2-463D-8E7E-DDECF254EAE9}"/>
    <cellStyle name="Normal 2 4 2 3 4 9" xfId="9790" xr:uid="{1E17789C-36EE-407B-90E4-DB8EA5F0423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61E9C67E-B357-4706-8C59-09BC9F8F74FA}"/>
    <cellStyle name="Normal 2 4 2 3 5 2 3" xfId="12342" xr:uid="{EBD6B10D-F16D-4A6B-BE7F-2D4469952F96}"/>
    <cellStyle name="Normal 2 4 2 3 5 3" xfId="5088" xr:uid="{00000000-0005-0000-0000-0000270F0000}"/>
    <cellStyle name="Normal 2 4 2 3 5 3 2" xfId="14414" xr:uid="{5D00AB9B-F038-407F-813E-8B803844777F}"/>
    <cellStyle name="Normal 2 4 2 3 5 4" xfId="9212" xr:uid="{39F1BF9F-C79C-4226-B2D8-665EAA6F3686}"/>
    <cellStyle name="Normal 2 4 2 3 5 4 2" xfId="18528" xr:uid="{841E0D6E-EC0E-4AC6-8EE5-768373EF48CC}"/>
    <cellStyle name="Normal 2 4 2 3 5 5" xfId="10197" xr:uid="{D28DE613-B2A9-4B12-8BE4-38407B6AA9D3}"/>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EF130FCF-0835-4194-A8B3-7B6A551DA4C1}"/>
    <cellStyle name="Normal 2 4 2 3 6 2 3" xfId="12755" xr:uid="{239D99F6-3E7E-44C2-8CCF-CD2F80346263}"/>
    <cellStyle name="Normal 2 4 2 3 6 3" xfId="5501" xr:uid="{00000000-0005-0000-0000-00002B0F0000}"/>
    <cellStyle name="Normal 2 4 2 3 6 3 2" xfId="14827" xr:uid="{03A5886E-8921-4A94-917D-90E960BEC515}"/>
    <cellStyle name="Normal 2 4 2 3 6 4" xfId="10610" xr:uid="{C85D4D8C-DF0D-4F1F-AF70-1AE8CD143C9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6CCCA9BB-60D5-4E3B-B6A5-5C78DD39DFC0}"/>
    <cellStyle name="Normal 2 4 2 3 7 2 3" xfId="13168" xr:uid="{D4EF243D-CB49-4BB4-A8D8-2DBAE190301D}"/>
    <cellStyle name="Normal 2 4 2 3 7 3" xfId="5914" xr:uid="{00000000-0005-0000-0000-00002F0F0000}"/>
    <cellStyle name="Normal 2 4 2 3 7 3 2" xfId="15240" xr:uid="{C23D3B16-B06D-46F5-8FE3-688EB82EA9A9}"/>
    <cellStyle name="Normal 2 4 2 3 7 4" xfId="11023" xr:uid="{B5F7A02F-A4FB-45FE-88A0-9FF4901BE7C5}"/>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1FD3E6BB-8168-4469-A104-6AF37206327A}"/>
    <cellStyle name="Normal 2 4 2 3 8 2 3" xfId="13581" xr:uid="{EEA35FF8-9676-4DB0-AD5A-344FA1EDF63A}"/>
    <cellStyle name="Normal 2 4 2 3 8 3" xfId="6327" xr:uid="{00000000-0005-0000-0000-0000330F0000}"/>
    <cellStyle name="Normal 2 4 2 3 8 3 2" xfId="15653" xr:uid="{44384D9A-82E2-442D-901A-589282761DC8}"/>
    <cellStyle name="Normal 2 4 2 3 8 4" xfId="11436" xr:uid="{B8086394-8005-4D58-BCD0-90EB4FEF3BD4}"/>
    <cellStyle name="Normal 2 4 2 3 9" xfId="2457" xr:uid="{00000000-0005-0000-0000-0000340F0000}"/>
    <cellStyle name="Normal 2 4 2 3 9 2" xfId="6740" xr:uid="{00000000-0005-0000-0000-0000350F0000}"/>
    <cellStyle name="Normal 2 4 2 3 9 2 2" xfId="16066" xr:uid="{E4145C39-6063-4FBE-AE96-798387B49CA4}"/>
    <cellStyle name="Normal 2 4 2 3 9 3" xfId="11849" xr:uid="{95D28A24-C121-4D9F-97E6-13A3BEEC7C7C}"/>
    <cellStyle name="Normal 2 4 2 4" xfId="289" xr:uid="{00000000-0005-0000-0000-0000360F0000}"/>
    <cellStyle name="Normal 2 4 2 4 10" xfId="8812" xr:uid="{C2E08BA7-2068-4F74-AFE2-E0AED0B82FE2}"/>
    <cellStyle name="Normal 2 4 2 4 10 2" xfId="18136" xr:uid="{AAAEE022-198F-4826-A08C-97563A1F4C77}"/>
    <cellStyle name="Normal 2 4 2 4 11" xfId="9791" xr:uid="{7D8B5DA7-33BF-4C45-8BE7-DAA6EE998891}"/>
    <cellStyle name="Normal 2 4 2 4 2" xfId="290" xr:uid="{00000000-0005-0000-0000-0000370F0000}"/>
    <cellStyle name="Normal 2 4 2 4 2 10" xfId="9792" xr:uid="{74B01754-9AF5-40C2-B88D-2F28F53598CD}"/>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CD3D9E0B-AF00-4A51-A84E-24960B6BD5F8}"/>
    <cellStyle name="Normal 2 4 2 4 2 2 2 2 3" xfId="12352" xr:uid="{83057FEB-BE88-42DA-87F2-6232922DBD58}"/>
    <cellStyle name="Normal 2 4 2 4 2 2 2 3" xfId="5098" xr:uid="{00000000-0005-0000-0000-00003C0F0000}"/>
    <cellStyle name="Normal 2 4 2 4 2 2 2 3 2" xfId="14424" xr:uid="{67B0DC26-0164-49F8-B9BA-174904DCE2CD}"/>
    <cellStyle name="Normal 2 4 2 4 2 2 2 4" xfId="9547" xr:uid="{F8909421-8B16-4168-8B85-A5523C430C3C}"/>
    <cellStyle name="Normal 2 4 2 4 2 2 2 4 2" xfId="18862" xr:uid="{FEA18BD5-5C7E-4C3E-8FA1-FD87B1EA71D0}"/>
    <cellStyle name="Normal 2 4 2 4 2 2 2 5" xfId="10207" xr:uid="{B4C88B56-01AF-4C07-9952-317F52ABAD88}"/>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144729FC-14A2-498E-A3BA-CEB4E6BD4290}"/>
    <cellStyle name="Normal 2 4 2 4 2 2 3 2 3" xfId="12765" xr:uid="{BC61E8BB-8AA0-47F1-B7AB-24CCFE128553}"/>
    <cellStyle name="Normal 2 4 2 4 2 2 3 3" xfId="5511" xr:uid="{00000000-0005-0000-0000-0000400F0000}"/>
    <cellStyle name="Normal 2 4 2 4 2 2 3 3 2" xfId="14837" xr:uid="{D18ABA74-F8A9-46A2-A0BB-47FD88FEA8FB}"/>
    <cellStyle name="Normal 2 4 2 4 2 2 3 4" xfId="10620" xr:uid="{6CD56E7D-5077-4A98-A069-2C3C737EF50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8ACA2BD1-DAC8-4B34-8AC7-96BA39A8773D}"/>
    <cellStyle name="Normal 2 4 2 4 2 2 4 2 3" xfId="13178" xr:uid="{45775CFD-17D6-4CAF-AC28-EBC58C91568D}"/>
    <cellStyle name="Normal 2 4 2 4 2 2 4 3" xfId="5924" xr:uid="{00000000-0005-0000-0000-0000440F0000}"/>
    <cellStyle name="Normal 2 4 2 4 2 2 4 3 2" xfId="15250" xr:uid="{1A8BCABB-6F92-4D2C-BC91-5D25D552EA0F}"/>
    <cellStyle name="Normal 2 4 2 4 2 2 4 4" xfId="11033" xr:uid="{C0B90D3F-D259-419E-A2DF-C2B203255D0F}"/>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DE0EE2CD-F6D1-4A53-9A4F-8E6123CD3088}"/>
    <cellStyle name="Normal 2 4 2 4 2 2 5 2 3" xfId="13591" xr:uid="{65D9F283-1331-4540-9238-7554346DC1EC}"/>
    <cellStyle name="Normal 2 4 2 4 2 2 5 3" xfId="6337" xr:uid="{00000000-0005-0000-0000-0000480F0000}"/>
    <cellStyle name="Normal 2 4 2 4 2 2 5 3 2" xfId="15663" xr:uid="{29525885-43BF-4B7E-B335-24F1DB4A00B1}"/>
    <cellStyle name="Normal 2 4 2 4 2 2 5 4" xfId="11446" xr:uid="{BA738F48-69E3-4103-B1FD-32ED2BFBAB29}"/>
    <cellStyle name="Normal 2 4 2 4 2 2 6" xfId="2467" xr:uid="{00000000-0005-0000-0000-0000490F0000}"/>
    <cellStyle name="Normal 2 4 2 4 2 2 6 2" xfId="6750" xr:uid="{00000000-0005-0000-0000-00004A0F0000}"/>
    <cellStyle name="Normal 2 4 2 4 2 2 6 2 2" xfId="16076" xr:uid="{08FFA36C-FB2D-453C-96DF-F12CFB51BBC5}"/>
    <cellStyle name="Normal 2 4 2 4 2 2 6 3" xfId="11859" xr:uid="{74D90835-F1A6-4BEA-AD6D-E8BEE5150B29}"/>
    <cellStyle name="Normal 2 4 2 4 2 2 7" xfId="4684" xr:uid="{00000000-0005-0000-0000-00004B0F0000}"/>
    <cellStyle name="Normal 2 4 2 4 2 2 7 2" xfId="14010" xr:uid="{E0BD03F0-C4F8-490C-AC8F-482F958EC893}"/>
    <cellStyle name="Normal 2 4 2 4 2 2 8" xfId="9122" xr:uid="{861CB008-611F-4F3F-9D09-5BCA5A4CB255}"/>
    <cellStyle name="Normal 2 4 2 4 2 2 8 2" xfId="18446" xr:uid="{0BE97F5B-A642-40E6-9F30-58A1D680DC43}"/>
    <cellStyle name="Normal 2 4 2 4 2 2 9" xfId="9793" xr:uid="{10C250E7-03B4-4B85-B5D5-FC403A120C7C}"/>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80917B79-A5F5-4CC4-8D1F-744002772CCE}"/>
    <cellStyle name="Normal 2 4 2 4 2 3 2 3" xfId="12351" xr:uid="{AAEE10AE-EDB0-428F-A32C-D2D07DDA565D}"/>
    <cellStyle name="Normal 2 4 2 4 2 3 3" xfId="5097" xr:uid="{00000000-0005-0000-0000-00004F0F0000}"/>
    <cellStyle name="Normal 2 4 2 4 2 3 3 2" xfId="14423" xr:uid="{87EA9D43-FE68-454C-9321-8659B4671553}"/>
    <cellStyle name="Normal 2 4 2 4 2 3 4" xfId="9340" xr:uid="{2D1F2F91-F6E8-42AC-98D0-B8667E0ECE37}"/>
    <cellStyle name="Normal 2 4 2 4 2 3 4 2" xfId="18655" xr:uid="{D8DF6D11-3315-411F-A600-DC4C0402F7FE}"/>
    <cellStyle name="Normal 2 4 2 4 2 3 5" xfId="10206" xr:uid="{D7201803-B489-4ACA-808F-B678FBAD426C}"/>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4AE4B986-4C38-427C-BC16-73AF1C3CAA0D}"/>
    <cellStyle name="Normal 2 4 2 4 2 4 2 3" xfId="12764" xr:uid="{BF6F2B51-48E5-4587-A860-DE38EA70EA0D}"/>
    <cellStyle name="Normal 2 4 2 4 2 4 3" xfId="5510" xr:uid="{00000000-0005-0000-0000-0000530F0000}"/>
    <cellStyle name="Normal 2 4 2 4 2 4 3 2" xfId="14836" xr:uid="{E2935575-BE24-4DF6-9BFD-509C223179FA}"/>
    <cellStyle name="Normal 2 4 2 4 2 4 4" xfId="10619" xr:uid="{9F216822-11FF-4DEC-9A49-B0F16ACAEBD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2F0ABAEC-CAE3-40C7-8CDA-92577A3EF2A7}"/>
    <cellStyle name="Normal 2 4 2 4 2 5 2 3" xfId="13177" xr:uid="{72F14E14-253D-4C05-93EC-13457A256026}"/>
    <cellStyle name="Normal 2 4 2 4 2 5 3" xfId="5923" xr:uid="{00000000-0005-0000-0000-0000570F0000}"/>
    <cellStyle name="Normal 2 4 2 4 2 5 3 2" xfId="15249" xr:uid="{F2C2CCED-E3A1-418D-95A7-1F85539D3D06}"/>
    <cellStyle name="Normal 2 4 2 4 2 5 4" xfId="11032" xr:uid="{45045167-084A-4F8D-A3E5-F05DBDE0FFC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7CA3C9EC-EB66-404B-B113-CA869C7D3802}"/>
    <cellStyle name="Normal 2 4 2 4 2 6 2 3" xfId="13590" xr:uid="{0839F92A-EB6F-4F4D-8F7F-B56E62E8DAFC}"/>
    <cellStyle name="Normal 2 4 2 4 2 6 3" xfId="6336" xr:uid="{00000000-0005-0000-0000-00005B0F0000}"/>
    <cellStyle name="Normal 2 4 2 4 2 6 3 2" xfId="15662" xr:uid="{333AA605-B00E-4230-BC5C-FA865A633B37}"/>
    <cellStyle name="Normal 2 4 2 4 2 6 4" xfId="11445" xr:uid="{C8380E4A-5B75-4F7C-894D-731C27545EFF}"/>
    <cellStyle name="Normal 2 4 2 4 2 7" xfId="2466" xr:uid="{00000000-0005-0000-0000-00005C0F0000}"/>
    <cellStyle name="Normal 2 4 2 4 2 7 2" xfId="6749" xr:uid="{00000000-0005-0000-0000-00005D0F0000}"/>
    <cellStyle name="Normal 2 4 2 4 2 7 2 2" xfId="16075" xr:uid="{D0C2E379-56FA-4BDA-93CE-8FD223964E1C}"/>
    <cellStyle name="Normal 2 4 2 4 2 7 3" xfId="11858" xr:uid="{615F389F-584A-42CA-9CC2-631C970B1731}"/>
    <cellStyle name="Normal 2 4 2 4 2 8" xfId="4683" xr:uid="{00000000-0005-0000-0000-00005E0F0000}"/>
    <cellStyle name="Normal 2 4 2 4 2 8 2" xfId="14009" xr:uid="{2B915387-27FD-4BDB-A54D-761A69ACACD9}"/>
    <cellStyle name="Normal 2 4 2 4 2 9" xfId="8915" xr:uid="{2BEB15AA-2AFA-47D4-AC0E-63DAF2CFE119}"/>
    <cellStyle name="Normal 2 4 2 4 2 9 2" xfId="18239" xr:uid="{B540FFC3-F9A1-4BB4-9021-65F2D754DE37}"/>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F5DA342C-722D-44B8-8339-88F1D2996F10}"/>
    <cellStyle name="Normal 2 4 2 4 3 2 2 3" xfId="12353" xr:uid="{8FF865E3-DE2F-40A1-8A6A-6B4479E5C3EF}"/>
    <cellStyle name="Normal 2 4 2 4 3 2 3" xfId="5099" xr:uid="{00000000-0005-0000-0000-0000630F0000}"/>
    <cellStyle name="Normal 2 4 2 4 3 2 3 2" xfId="14425" xr:uid="{2A7622F5-3666-4AB2-B181-59086AAB2ED5}"/>
    <cellStyle name="Normal 2 4 2 4 3 2 4" xfId="9444" xr:uid="{807939DF-E7C0-4015-A3D8-AE9E56020172}"/>
    <cellStyle name="Normal 2 4 2 4 3 2 4 2" xfId="18759" xr:uid="{F59ABE8F-93F8-4C7D-8969-44902ECCAF39}"/>
    <cellStyle name="Normal 2 4 2 4 3 2 5" xfId="10208" xr:uid="{E14F210F-92A8-4337-B576-32DF3E4A5E4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A80142D9-1710-4C4D-9F0C-642A8F5B3773}"/>
    <cellStyle name="Normal 2 4 2 4 3 3 2 3" xfId="12766" xr:uid="{8F8067A0-3013-4CE2-B60D-63A0B456D3E6}"/>
    <cellStyle name="Normal 2 4 2 4 3 3 3" xfId="5512" xr:uid="{00000000-0005-0000-0000-0000670F0000}"/>
    <cellStyle name="Normal 2 4 2 4 3 3 3 2" xfId="14838" xr:uid="{63D5E44F-8AEC-4B59-A2CE-4298972BD4F1}"/>
    <cellStyle name="Normal 2 4 2 4 3 3 4" xfId="10621" xr:uid="{FBA3E7DC-A1BB-4207-870E-E8109708A6F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BFF9A786-07AA-4EDE-83AA-6F9A930F32BB}"/>
    <cellStyle name="Normal 2 4 2 4 3 4 2 3" xfId="13179" xr:uid="{25BE23D3-1B89-40B7-8F13-6AE5EA1AA96F}"/>
    <cellStyle name="Normal 2 4 2 4 3 4 3" xfId="5925" xr:uid="{00000000-0005-0000-0000-00006B0F0000}"/>
    <cellStyle name="Normal 2 4 2 4 3 4 3 2" xfId="15251" xr:uid="{A87B336C-6A05-46D0-80D5-CDF02538BEC7}"/>
    <cellStyle name="Normal 2 4 2 4 3 4 4" xfId="11034" xr:uid="{DBAEBD39-37F4-4D52-BEB3-2B7D8918CE84}"/>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3EC71C8C-D37B-4CD6-A859-35228EF4EEAB}"/>
    <cellStyle name="Normal 2 4 2 4 3 5 2 3" xfId="13592" xr:uid="{BF6DCF75-8052-41B1-B50D-9F0EE0FE239D}"/>
    <cellStyle name="Normal 2 4 2 4 3 5 3" xfId="6338" xr:uid="{00000000-0005-0000-0000-00006F0F0000}"/>
    <cellStyle name="Normal 2 4 2 4 3 5 3 2" xfId="15664" xr:uid="{452D803A-AEE3-421B-B84E-EB80C0451600}"/>
    <cellStyle name="Normal 2 4 2 4 3 5 4" xfId="11447" xr:uid="{8E297A54-F007-4272-936F-2F4AB8D7AB09}"/>
    <cellStyle name="Normal 2 4 2 4 3 6" xfId="2468" xr:uid="{00000000-0005-0000-0000-0000700F0000}"/>
    <cellStyle name="Normal 2 4 2 4 3 6 2" xfId="6751" xr:uid="{00000000-0005-0000-0000-0000710F0000}"/>
    <cellStyle name="Normal 2 4 2 4 3 6 2 2" xfId="16077" xr:uid="{03281EE7-8997-444A-9B6E-891D3DBDB085}"/>
    <cellStyle name="Normal 2 4 2 4 3 6 3" xfId="11860" xr:uid="{06A9F692-2B7C-4649-A81B-23F3E9A4E7F3}"/>
    <cellStyle name="Normal 2 4 2 4 3 7" xfId="4685" xr:uid="{00000000-0005-0000-0000-0000720F0000}"/>
    <cellStyle name="Normal 2 4 2 4 3 7 2" xfId="14011" xr:uid="{573A804B-432E-4079-87BF-B8C064E28BC4}"/>
    <cellStyle name="Normal 2 4 2 4 3 8" xfId="9019" xr:uid="{1F22810F-FF7D-4FF4-861A-F2BA8F253428}"/>
    <cellStyle name="Normal 2 4 2 4 3 8 2" xfId="18343" xr:uid="{AC25C8DB-6CF4-4DE6-A51B-6893E6E72AF5}"/>
    <cellStyle name="Normal 2 4 2 4 3 9" xfId="9794" xr:uid="{B0324D37-77C0-412A-87A2-3CE3F53B5DBB}"/>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090270B6-8E72-4CD6-8285-334FFF8E1A41}"/>
    <cellStyle name="Normal 2 4 2 4 4 2 3" xfId="12350" xr:uid="{B2D1FC53-3F2D-4BC5-B837-D641022D4690}"/>
    <cellStyle name="Normal 2 4 2 4 4 3" xfId="5096" xr:uid="{00000000-0005-0000-0000-0000760F0000}"/>
    <cellStyle name="Normal 2 4 2 4 4 3 2" xfId="14422" xr:uid="{64CB6C62-80F8-46CB-9E39-3F0902AA2B1B}"/>
    <cellStyle name="Normal 2 4 2 4 4 4" xfId="9237" xr:uid="{FF4B133D-A40B-4895-9E3D-E727B18E66C8}"/>
    <cellStyle name="Normal 2 4 2 4 4 4 2" xfId="18552" xr:uid="{080B4E36-AF10-4A83-B9CB-B992B411E6B3}"/>
    <cellStyle name="Normal 2 4 2 4 4 5" xfId="10205" xr:uid="{A995B891-7D1F-4FD5-B8BE-C470308CB4B3}"/>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EF42302F-FB80-481D-BCDC-886F0CACEAA8}"/>
    <cellStyle name="Normal 2 4 2 4 5 2 3" xfId="12763" xr:uid="{901E7356-F91E-4631-95CA-DE10C0FEA8FF}"/>
    <cellStyle name="Normal 2 4 2 4 5 3" xfId="5509" xr:uid="{00000000-0005-0000-0000-00007A0F0000}"/>
    <cellStyle name="Normal 2 4 2 4 5 3 2" xfId="14835" xr:uid="{C0BB16A0-844A-47D4-A0E8-877C6CE39681}"/>
    <cellStyle name="Normal 2 4 2 4 5 4" xfId="10618" xr:uid="{D1958D2C-CDA0-4E1C-B56F-E2BF356234B3}"/>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6E02F1B2-EF6F-4371-875C-846FD28F73D6}"/>
    <cellStyle name="Normal 2 4 2 4 6 2 3" xfId="13176" xr:uid="{2D4DF67D-EDBA-433B-BED8-7AE2D79B1974}"/>
    <cellStyle name="Normal 2 4 2 4 6 3" xfId="5922" xr:uid="{00000000-0005-0000-0000-00007E0F0000}"/>
    <cellStyle name="Normal 2 4 2 4 6 3 2" xfId="15248" xr:uid="{7CB5F5A4-D144-4141-99CF-B07CB9F63DA7}"/>
    <cellStyle name="Normal 2 4 2 4 6 4" xfId="11031" xr:uid="{76A662CB-CB88-4042-A39F-81617B5EA5D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9D91424B-7E78-4F31-A80F-7601A55B1C8A}"/>
    <cellStyle name="Normal 2 4 2 4 7 2 3" xfId="13589" xr:uid="{6EE0429C-2652-4F5A-AB18-43A3FF49D4B4}"/>
    <cellStyle name="Normal 2 4 2 4 7 3" xfId="6335" xr:uid="{00000000-0005-0000-0000-0000820F0000}"/>
    <cellStyle name="Normal 2 4 2 4 7 3 2" xfId="15661" xr:uid="{6D94B2DD-5BBE-4856-BE05-14B08E6ABB83}"/>
    <cellStyle name="Normal 2 4 2 4 7 4" xfId="11444" xr:uid="{53812AE5-EC42-4ED6-92D6-D428CE8F7A84}"/>
    <cellStyle name="Normal 2 4 2 4 8" xfId="2465" xr:uid="{00000000-0005-0000-0000-0000830F0000}"/>
    <cellStyle name="Normal 2 4 2 4 8 2" xfId="6748" xr:uid="{00000000-0005-0000-0000-0000840F0000}"/>
    <cellStyle name="Normal 2 4 2 4 8 2 2" xfId="16074" xr:uid="{ACC90432-A048-4138-A361-64860EA23904}"/>
    <cellStyle name="Normal 2 4 2 4 8 3" xfId="11857" xr:uid="{5B5D4A12-365D-4FD9-889C-9CB108A0BC54}"/>
    <cellStyle name="Normal 2 4 2 4 9" xfId="4682" xr:uid="{00000000-0005-0000-0000-0000850F0000}"/>
    <cellStyle name="Normal 2 4 2 4 9 2" xfId="14008" xr:uid="{547C1D83-54E9-4276-8194-D7116A0CF6B9}"/>
    <cellStyle name="Normal 2 4 2 5" xfId="293" xr:uid="{00000000-0005-0000-0000-0000860F0000}"/>
    <cellStyle name="Normal 2 4 2 5 10" xfId="9795" xr:uid="{B7905181-86D3-4EC1-A6C3-CAD1969BFBE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46ED52CA-33F3-4DA4-A197-DD024297F6F4}"/>
    <cellStyle name="Normal 2 4 2 5 2 2 2 3" xfId="12355" xr:uid="{0A31FF46-7D06-4C63-9EAB-DF757C75FFF7}"/>
    <cellStyle name="Normal 2 4 2 5 2 2 3" xfId="5101" xr:uid="{00000000-0005-0000-0000-00008B0F0000}"/>
    <cellStyle name="Normal 2 4 2 5 2 2 3 2" xfId="14427" xr:uid="{2F478B99-277A-43E5-BEE6-088F686C2087}"/>
    <cellStyle name="Normal 2 4 2 5 2 2 4" xfId="9492" xr:uid="{07DC9204-2F52-408E-80EE-617A106DD9FD}"/>
    <cellStyle name="Normal 2 4 2 5 2 2 4 2" xfId="18807" xr:uid="{5904AC92-0444-4E04-87E8-B98A584A9168}"/>
    <cellStyle name="Normal 2 4 2 5 2 2 5" xfId="10210" xr:uid="{7136F734-52D1-481C-A808-E4462328598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B9FE7F19-3096-4B65-9460-1894DB073E3F}"/>
    <cellStyle name="Normal 2 4 2 5 2 3 2 3" xfId="12768" xr:uid="{3CEFDB0C-0800-43EF-AF28-0FFD94BD5BED}"/>
    <cellStyle name="Normal 2 4 2 5 2 3 3" xfId="5514" xr:uid="{00000000-0005-0000-0000-00008F0F0000}"/>
    <cellStyle name="Normal 2 4 2 5 2 3 3 2" xfId="14840" xr:uid="{0333C1C8-F7E6-406D-B6AB-AD5B3B817369}"/>
    <cellStyle name="Normal 2 4 2 5 2 3 4" xfId="10623" xr:uid="{529D5D68-0C3E-44F3-AA9C-946EF9DD446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F9C9CD89-8FA1-4F56-A98F-7BEE8C64ADF1}"/>
    <cellStyle name="Normal 2 4 2 5 2 4 2 3" xfId="13181" xr:uid="{28C9DF3A-6630-4FC3-A827-33A43AD86DB1}"/>
    <cellStyle name="Normal 2 4 2 5 2 4 3" xfId="5927" xr:uid="{00000000-0005-0000-0000-0000930F0000}"/>
    <cellStyle name="Normal 2 4 2 5 2 4 3 2" xfId="15253" xr:uid="{4E72F76B-65E3-4C01-9417-FB8836A5FD50}"/>
    <cellStyle name="Normal 2 4 2 5 2 4 4" xfId="11036" xr:uid="{24A08D49-32C7-4352-9246-CF7F23FB36B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96B2C858-7BFB-414D-A9CE-BBE7E0AEA1E8}"/>
    <cellStyle name="Normal 2 4 2 5 2 5 2 3" xfId="13594" xr:uid="{CFA723A4-09E1-4986-A018-3ECF65E08A5D}"/>
    <cellStyle name="Normal 2 4 2 5 2 5 3" xfId="6340" xr:uid="{00000000-0005-0000-0000-0000970F0000}"/>
    <cellStyle name="Normal 2 4 2 5 2 5 3 2" xfId="15666" xr:uid="{D3A1D0E5-DD72-4332-BCE4-DD1C7F4BDF89}"/>
    <cellStyle name="Normal 2 4 2 5 2 5 4" xfId="11449" xr:uid="{81B79929-280C-4F1C-A24C-D99C8AAFF7D0}"/>
    <cellStyle name="Normal 2 4 2 5 2 6" xfId="2470" xr:uid="{00000000-0005-0000-0000-0000980F0000}"/>
    <cellStyle name="Normal 2 4 2 5 2 6 2" xfId="6753" xr:uid="{00000000-0005-0000-0000-0000990F0000}"/>
    <cellStyle name="Normal 2 4 2 5 2 6 2 2" xfId="16079" xr:uid="{57CE87F1-1AB4-4AB3-94AA-5BEE44B9B47E}"/>
    <cellStyle name="Normal 2 4 2 5 2 6 3" xfId="11862" xr:uid="{164F9993-947A-49ED-882F-5044610A7C7E}"/>
    <cellStyle name="Normal 2 4 2 5 2 7" xfId="4687" xr:uid="{00000000-0005-0000-0000-00009A0F0000}"/>
    <cellStyle name="Normal 2 4 2 5 2 7 2" xfId="14013" xr:uid="{9037654C-10CD-4EC0-9809-8BDF58E19247}"/>
    <cellStyle name="Normal 2 4 2 5 2 8" xfId="9067" xr:uid="{89D5CB5A-ADE0-44B8-BC1E-FDE984B579C9}"/>
    <cellStyle name="Normal 2 4 2 5 2 8 2" xfId="18391" xr:uid="{762ED842-5652-40CD-A30A-D0C73C698AD3}"/>
    <cellStyle name="Normal 2 4 2 5 2 9" xfId="9796" xr:uid="{F88C1A02-901B-45AD-A141-6E1AA5E96F86}"/>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DDE2BCA3-232E-4337-BFC2-B7C144E153AC}"/>
    <cellStyle name="Normal 2 4 2 5 3 2 3" xfId="12354" xr:uid="{7EDC56BA-7747-4DB3-B6E5-925A623D147D}"/>
    <cellStyle name="Normal 2 4 2 5 3 3" xfId="5100" xr:uid="{00000000-0005-0000-0000-00009E0F0000}"/>
    <cellStyle name="Normal 2 4 2 5 3 3 2" xfId="14426" xr:uid="{1C941106-54DC-4F6A-8C0A-CB7B8A37FEF0}"/>
    <cellStyle name="Normal 2 4 2 5 3 4" xfId="9285" xr:uid="{5DA39FB9-904E-46D3-8E24-58BF2F19DA5B}"/>
    <cellStyle name="Normal 2 4 2 5 3 4 2" xfId="18600" xr:uid="{EE762C66-6B2A-44EB-8D6F-2A149DDCCB6C}"/>
    <cellStyle name="Normal 2 4 2 5 3 5" xfId="10209" xr:uid="{030EECFB-9917-43DD-86C8-D8A3B4E11228}"/>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9F2BFF38-C62E-4E73-83FA-A26303F8F569}"/>
    <cellStyle name="Normal 2 4 2 5 4 2 3" xfId="12767" xr:uid="{7DDB634C-B473-4592-835E-36CB500C1F37}"/>
    <cellStyle name="Normal 2 4 2 5 4 3" xfId="5513" xr:uid="{00000000-0005-0000-0000-0000A20F0000}"/>
    <cellStyle name="Normal 2 4 2 5 4 3 2" xfId="14839" xr:uid="{22BA469C-A6C5-4FEC-BA79-D024DFB783BD}"/>
    <cellStyle name="Normal 2 4 2 5 4 4" xfId="10622" xr:uid="{8416E84F-AE85-445A-B1C8-7229EB5F8817}"/>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75205EC2-6972-4D22-AC18-F8604F4C52A2}"/>
    <cellStyle name="Normal 2 4 2 5 5 2 3" xfId="13180" xr:uid="{88FCABE7-E23B-499E-A28D-AA0F62E0447B}"/>
    <cellStyle name="Normal 2 4 2 5 5 3" xfId="5926" xr:uid="{00000000-0005-0000-0000-0000A60F0000}"/>
    <cellStyle name="Normal 2 4 2 5 5 3 2" xfId="15252" xr:uid="{64FAC322-8B8F-4094-8AB7-684BE218D6D8}"/>
    <cellStyle name="Normal 2 4 2 5 5 4" xfId="11035" xr:uid="{29791C5F-520A-4A2E-B5B5-80D6399F8AF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A530620D-1093-41CB-9C8C-A3AA314EDF0E}"/>
    <cellStyle name="Normal 2 4 2 5 6 2 3" xfId="13593" xr:uid="{93380AA0-C8DF-4B80-BB22-65D908F32DAE}"/>
    <cellStyle name="Normal 2 4 2 5 6 3" xfId="6339" xr:uid="{00000000-0005-0000-0000-0000AA0F0000}"/>
    <cellStyle name="Normal 2 4 2 5 6 3 2" xfId="15665" xr:uid="{4FD9D001-2D7E-43D5-8281-77B62C5CC403}"/>
    <cellStyle name="Normal 2 4 2 5 6 4" xfId="11448" xr:uid="{BDF364FD-41DD-4376-84D0-A2385A6FBF4E}"/>
    <cellStyle name="Normal 2 4 2 5 7" xfId="2469" xr:uid="{00000000-0005-0000-0000-0000AB0F0000}"/>
    <cellStyle name="Normal 2 4 2 5 7 2" xfId="6752" xr:uid="{00000000-0005-0000-0000-0000AC0F0000}"/>
    <cellStyle name="Normal 2 4 2 5 7 2 2" xfId="16078" xr:uid="{444EF667-BDD0-410A-BDFD-031942E8D7D0}"/>
    <cellStyle name="Normal 2 4 2 5 7 3" xfId="11861" xr:uid="{04A9D899-B710-4CF5-9047-FF9CBFD5D799}"/>
    <cellStyle name="Normal 2 4 2 5 8" xfId="4686" xr:uid="{00000000-0005-0000-0000-0000AD0F0000}"/>
    <cellStyle name="Normal 2 4 2 5 8 2" xfId="14012" xr:uid="{C26AC340-F6A3-4DB5-B8AE-82AE47889555}"/>
    <cellStyle name="Normal 2 4 2 5 9" xfId="8860" xr:uid="{5FAFEFC0-3249-464B-9F12-2B1DA137C588}"/>
    <cellStyle name="Normal 2 4 2 5 9 2" xfId="18184" xr:uid="{357FB342-A82D-4574-AD2B-C600E40E2F26}"/>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7C9819B4-B489-472C-A276-A49462D25F0E}"/>
    <cellStyle name="Normal 2 4 2 6 2 2 3" xfId="12356" xr:uid="{81AE38D2-9638-43BB-ACE3-4EE11F08BE24}"/>
    <cellStyle name="Normal 2 4 2 6 2 3" xfId="5102" xr:uid="{00000000-0005-0000-0000-0000B20F0000}"/>
    <cellStyle name="Normal 2 4 2 6 2 3 2" xfId="14428" xr:uid="{9066DE25-96D5-4958-A021-0DC24085FFF0}"/>
    <cellStyle name="Normal 2 4 2 6 2 4" xfId="9401" xr:uid="{C89DD342-23DD-474B-84C5-F9DED42F169B}"/>
    <cellStyle name="Normal 2 4 2 6 2 4 2" xfId="18716" xr:uid="{2898C016-ECFD-4892-A97B-5732C58D84A9}"/>
    <cellStyle name="Normal 2 4 2 6 2 5" xfId="10211" xr:uid="{03BF728F-26CE-4E49-99DA-1B5814731F5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33EBE218-83E6-4DD9-B56D-B638D7BBA81D}"/>
    <cellStyle name="Normal 2 4 2 6 3 2 3" xfId="12769" xr:uid="{00DDBF5E-ECCC-4854-88AB-FAD2399484DD}"/>
    <cellStyle name="Normal 2 4 2 6 3 3" xfId="5515" xr:uid="{00000000-0005-0000-0000-0000B60F0000}"/>
    <cellStyle name="Normal 2 4 2 6 3 3 2" xfId="14841" xr:uid="{2E728690-F7E3-4903-AA8A-B4D18155C5EE}"/>
    <cellStyle name="Normal 2 4 2 6 3 4" xfId="10624" xr:uid="{A7D1E569-9FDB-4E14-9630-49F6E19899B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1445084C-AD15-415F-8763-0AAC6E74635E}"/>
    <cellStyle name="Normal 2 4 2 6 4 2 3" xfId="13182" xr:uid="{06A21A69-E186-4CA2-A001-988A781B7447}"/>
    <cellStyle name="Normal 2 4 2 6 4 3" xfId="5928" xr:uid="{00000000-0005-0000-0000-0000BA0F0000}"/>
    <cellStyle name="Normal 2 4 2 6 4 3 2" xfId="15254" xr:uid="{6863A820-A1B0-4BB4-A1C1-D21E8C517DEC}"/>
    <cellStyle name="Normal 2 4 2 6 4 4" xfId="11037" xr:uid="{6865C248-042B-47ED-9CA6-C6AD7F23B95F}"/>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57E4DAD4-8AE7-40B5-BDB9-46F54FB82675}"/>
    <cellStyle name="Normal 2 4 2 6 5 2 3" xfId="13595" xr:uid="{D12201AA-287F-48EE-ABE2-B20C5DF653DC}"/>
    <cellStyle name="Normal 2 4 2 6 5 3" xfId="6341" xr:uid="{00000000-0005-0000-0000-0000BE0F0000}"/>
    <cellStyle name="Normal 2 4 2 6 5 3 2" xfId="15667" xr:uid="{9AB16637-6A0D-437A-90F0-96392FFE0C0D}"/>
    <cellStyle name="Normal 2 4 2 6 5 4" xfId="11450" xr:uid="{FC3075FA-9A83-47BD-81C3-9B31F919FBE6}"/>
    <cellStyle name="Normal 2 4 2 6 6" xfId="2471" xr:uid="{00000000-0005-0000-0000-0000BF0F0000}"/>
    <cellStyle name="Normal 2 4 2 6 6 2" xfId="6754" xr:uid="{00000000-0005-0000-0000-0000C00F0000}"/>
    <cellStyle name="Normal 2 4 2 6 6 2 2" xfId="16080" xr:uid="{2FBDBEF3-171A-4EF4-90DB-62E987DC8DDA}"/>
    <cellStyle name="Normal 2 4 2 6 6 3" xfId="11863" xr:uid="{9E3D9422-95EB-4DAA-83E1-E1C9A2ABA119}"/>
    <cellStyle name="Normal 2 4 2 6 7" xfId="4688" xr:uid="{00000000-0005-0000-0000-0000C10F0000}"/>
    <cellStyle name="Normal 2 4 2 6 7 2" xfId="14014" xr:uid="{1B7876B0-F654-4B8B-8AF7-E5A301D6F333}"/>
    <cellStyle name="Normal 2 4 2 6 8" xfId="8976" xr:uid="{6DEAFF8C-68CB-4364-A161-479509F453AE}"/>
    <cellStyle name="Normal 2 4 2 6 8 2" xfId="18300" xr:uid="{EE68173A-42F4-4D4D-80A6-40A7ADFA0C83}"/>
    <cellStyle name="Normal 2 4 2 6 9" xfId="9797" xr:uid="{6F96D455-AC06-47D6-8D4D-ACD244DBC938}"/>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2BC1D1CF-E9C0-4E38-9565-13A6A284E249}"/>
    <cellStyle name="Normal 2 4 2 7 2 3" xfId="12341" xr:uid="{88B33051-13CD-42C0-B6BF-23DC42412292}"/>
    <cellStyle name="Normal 2 4 2 7 3" xfId="5087" xr:uid="{00000000-0005-0000-0000-0000C50F0000}"/>
    <cellStyle name="Normal 2 4 2 7 3 2" xfId="14413" xr:uid="{37A3100D-C1C6-4861-993C-772306E01BB9}"/>
    <cellStyle name="Normal 2 4 2 7 4" xfId="9179" xr:uid="{D1C44CED-398E-43B3-AFA3-1E7DC60C5D92}"/>
    <cellStyle name="Normal 2 4 2 7 4 2" xfId="18497" xr:uid="{B9DC4156-D237-415C-9FF3-CDC2C3D0BBFB}"/>
    <cellStyle name="Normal 2 4 2 7 5" xfId="10196" xr:uid="{B9E50410-94D4-4A05-9758-5BA5883906BC}"/>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14B496C3-A2DC-455A-A584-88B8C4A21C96}"/>
    <cellStyle name="Normal 2 4 2 8 2 3" xfId="12754" xr:uid="{B9A4FCC9-FAAF-45FD-8438-5106E4B7CA18}"/>
    <cellStyle name="Normal 2 4 2 8 3" xfId="5500" xr:uid="{00000000-0005-0000-0000-0000C90F0000}"/>
    <cellStyle name="Normal 2 4 2 8 3 2" xfId="14826" xr:uid="{AE6CDF11-4177-4D18-A285-17C920AA0F2A}"/>
    <cellStyle name="Normal 2 4 2 8 4" xfId="10609" xr:uid="{B1653475-67FB-42DC-BF18-866134D2D846}"/>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8B2CDD7F-EEB1-4DAC-B24C-E5C672A3434C}"/>
    <cellStyle name="Normal 2 4 2 9 2 3" xfId="13167" xr:uid="{20BBD4D4-DD65-43B6-AB89-714E69E4224E}"/>
    <cellStyle name="Normal 2 4 2 9 3" xfId="5913" xr:uid="{00000000-0005-0000-0000-0000CD0F0000}"/>
    <cellStyle name="Normal 2 4 2 9 3 2" xfId="15239" xr:uid="{C56177E8-8BEF-4952-8651-3027D68518AD}"/>
    <cellStyle name="Normal 2 4 2 9 4" xfId="11022" xr:uid="{A4B83CD2-258E-4016-90AE-12441B8719F5}"/>
    <cellStyle name="Normal 2 4 3" xfId="296" xr:uid="{00000000-0005-0000-0000-0000CE0F0000}"/>
    <cellStyle name="Normal 2 4 3 10" xfId="9798" xr:uid="{F95A213F-8866-4ECF-8240-3ECED11B4F76}"/>
    <cellStyle name="Normal 2 4 3 2" xfId="297" xr:uid="{00000000-0005-0000-0000-0000CF0F0000}"/>
    <cellStyle name="Normal 2 4 3 3" xfId="298" xr:uid="{00000000-0005-0000-0000-0000D00F0000}"/>
    <cellStyle name="Normal 2 4 3 3 10" xfId="8814" xr:uid="{F78EFD99-FCC5-4915-ACA3-DFC3FC0D45A5}"/>
    <cellStyle name="Normal 2 4 3 3 10 2" xfId="18138" xr:uid="{C3315889-D2FE-4B05-8B41-3066234F46D6}"/>
    <cellStyle name="Normal 2 4 3 3 11" xfId="9799" xr:uid="{896CC951-BEE4-4BC9-87CE-83608FCF0263}"/>
    <cellStyle name="Normal 2 4 3 3 2" xfId="299" xr:uid="{00000000-0005-0000-0000-0000D10F0000}"/>
    <cellStyle name="Normal 2 4 3 3 2 10" xfId="9800" xr:uid="{3BDAFDC2-B9C8-4795-9545-3AA3F93FC75F}"/>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560E610A-A0B5-456F-95CE-812DF4DC03D5}"/>
    <cellStyle name="Normal 2 4 3 3 2 2 2 2 3" xfId="12360" xr:uid="{1FA624F7-0DCD-4572-9B0C-2336AA26AA68}"/>
    <cellStyle name="Normal 2 4 3 3 2 2 2 3" xfId="5106" xr:uid="{00000000-0005-0000-0000-0000D60F0000}"/>
    <cellStyle name="Normal 2 4 3 3 2 2 2 3 2" xfId="14432" xr:uid="{0A11295A-5E37-45D5-8A0E-92DD0A64E22F}"/>
    <cellStyle name="Normal 2 4 3 3 2 2 2 4" xfId="9549" xr:uid="{EA88B7BC-E37D-4688-A768-0D7FE5EF9F42}"/>
    <cellStyle name="Normal 2 4 3 3 2 2 2 4 2" xfId="18864" xr:uid="{74525782-F9EA-4522-B163-93F6DE6C1865}"/>
    <cellStyle name="Normal 2 4 3 3 2 2 2 5" xfId="10215" xr:uid="{A98E09AC-2375-4F31-98A9-A848CBF3DD6B}"/>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186A1131-0948-489E-99EE-244B92DF896B}"/>
    <cellStyle name="Normal 2 4 3 3 2 2 3 2 3" xfId="12773" xr:uid="{1E6CDA6E-40AB-449B-B56B-9CCA590CF2E7}"/>
    <cellStyle name="Normal 2 4 3 3 2 2 3 3" xfId="5519" xr:uid="{00000000-0005-0000-0000-0000DA0F0000}"/>
    <cellStyle name="Normal 2 4 3 3 2 2 3 3 2" xfId="14845" xr:uid="{505A2C56-560C-4568-A71A-4737B653197D}"/>
    <cellStyle name="Normal 2 4 3 3 2 2 3 4" xfId="10628" xr:uid="{763A97A7-990C-4FC8-9585-B9458830BE52}"/>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1ECC03D5-77CC-4502-83C4-982294E112A1}"/>
    <cellStyle name="Normal 2 4 3 3 2 2 4 2 3" xfId="13186" xr:uid="{B3D67034-7CE1-4F4B-B4F6-E85BFAB46BB0}"/>
    <cellStyle name="Normal 2 4 3 3 2 2 4 3" xfId="5932" xr:uid="{00000000-0005-0000-0000-0000DE0F0000}"/>
    <cellStyle name="Normal 2 4 3 3 2 2 4 3 2" xfId="15258" xr:uid="{C2355E53-DCC4-4775-874C-8DA1FAD56733}"/>
    <cellStyle name="Normal 2 4 3 3 2 2 4 4" xfId="11041" xr:uid="{966F7DB5-9E04-4926-9A13-460F83DEE80C}"/>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7D16BDBF-3229-44EC-8B66-F66122BF151C}"/>
    <cellStyle name="Normal 2 4 3 3 2 2 5 2 3" xfId="13599" xr:uid="{22F7C2DF-056B-457C-8A58-B2E051E74F0C}"/>
    <cellStyle name="Normal 2 4 3 3 2 2 5 3" xfId="6345" xr:uid="{00000000-0005-0000-0000-0000E20F0000}"/>
    <cellStyle name="Normal 2 4 3 3 2 2 5 3 2" xfId="15671" xr:uid="{25DA08DA-B465-4612-9D2C-C5B6B9E7CB6F}"/>
    <cellStyle name="Normal 2 4 3 3 2 2 5 4" xfId="11454" xr:uid="{CB3FB336-60FD-4BDD-8150-8D794CFAD5EC}"/>
    <cellStyle name="Normal 2 4 3 3 2 2 6" xfId="2475" xr:uid="{00000000-0005-0000-0000-0000E30F0000}"/>
    <cellStyle name="Normal 2 4 3 3 2 2 6 2" xfId="6758" xr:uid="{00000000-0005-0000-0000-0000E40F0000}"/>
    <cellStyle name="Normal 2 4 3 3 2 2 6 2 2" xfId="16084" xr:uid="{1D82770B-3634-4613-A9F9-FF5650E27637}"/>
    <cellStyle name="Normal 2 4 3 3 2 2 6 3" xfId="11867" xr:uid="{8171B14C-54EA-45C7-A572-EB4F8D8909B4}"/>
    <cellStyle name="Normal 2 4 3 3 2 2 7" xfId="4692" xr:uid="{00000000-0005-0000-0000-0000E50F0000}"/>
    <cellStyle name="Normal 2 4 3 3 2 2 7 2" xfId="14018" xr:uid="{DC1A4FDD-6E1A-4E56-91A1-9B243F2135C8}"/>
    <cellStyle name="Normal 2 4 3 3 2 2 8" xfId="9124" xr:uid="{1FF2B195-09C8-4D7B-A363-E8AF809A669B}"/>
    <cellStyle name="Normal 2 4 3 3 2 2 8 2" xfId="18448" xr:uid="{2A79423F-778E-49A4-9D18-951ED1253558}"/>
    <cellStyle name="Normal 2 4 3 3 2 2 9" xfId="9801" xr:uid="{027A9FA1-6712-4955-8991-3077E907F20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9F927CC3-E1BE-4CBB-B981-3A7C05C44893}"/>
    <cellStyle name="Normal 2 4 3 3 2 3 2 3" xfId="12359" xr:uid="{4844ADE3-92F1-439B-BE09-913F57E16F99}"/>
    <cellStyle name="Normal 2 4 3 3 2 3 3" xfId="5105" xr:uid="{00000000-0005-0000-0000-0000E90F0000}"/>
    <cellStyle name="Normal 2 4 3 3 2 3 3 2" xfId="14431" xr:uid="{4AD8660E-60F8-46FC-828A-D1AE2E4179F3}"/>
    <cellStyle name="Normal 2 4 3 3 2 3 4" xfId="9342" xr:uid="{41454CF9-47C1-4E8A-868A-8F39341308EB}"/>
    <cellStyle name="Normal 2 4 3 3 2 3 4 2" xfId="18657" xr:uid="{8A21555D-28CA-430E-AFDC-713DA869413A}"/>
    <cellStyle name="Normal 2 4 3 3 2 3 5" xfId="10214" xr:uid="{FA3D87DD-A727-4558-BA6A-DCEF273C138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6EA361B6-2A88-44B0-8E65-25667940AC7E}"/>
    <cellStyle name="Normal 2 4 3 3 2 4 2 3" xfId="12772" xr:uid="{F568C176-7ABC-49DB-9A08-BDDEC115839B}"/>
    <cellStyle name="Normal 2 4 3 3 2 4 3" xfId="5518" xr:uid="{00000000-0005-0000-0000-0000ED0F0000}"/>
    <cellStyle name="Normal 2 4 3 3 2 4 3 2" xfId="14844" xr:uid="{33F4800B-F1D5-4712-B9B5-CA04B3470A97}"/>
    <cellStyle name="Normal 2 4 3 3 2 4 4" xfId="10627" xr:uid="{2361887E-46DA-4E82-9504-1AAAE90D3D8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687D6C38-3190-4C6A-A047-64D1379856DC}"/>
    <cellStyle name="Normal 2 4 3 3 2 5 2 3" xfId="13185" xr:uid="{96F8C51D-1B5A-4EA9-8418-96D72BAC78A7}"/>
    <cellStyle name="Normal 2 4 3 3 2 5 3" xfId="5931" xr:uid="{00000000-0005-0000-0000-0000F10F0000}"/>
    <cellStyle name="Normal 2 4 3 3 2 5 3 2" xfId="15257" xr:uid="{74F71E44-62F3-4449-8E37-8337E05D1F27}"/>
    <cellStyle name="Normal 2 4 3 3 2 5 4" xfId="11040" xr:uid="{B53DC1E8-71B0-4623-B4BF-B733BE6F9942}"/>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6DE3C105-37E4-4078-B8EC-F8E4539FD98E}"/>
    <cellStyle name="Normal 2 4 3 3 2 6 2 3" xfId="13598" xr:uid="{14459C78-F7EB-4515-8B67-7843376E4F4B}"/>
    <cellStyle name="Normal 2 4 3 3 2 6 3" xfId="6344" xr:uid="{00000000-0005-0000-0000-0000F50F0000}"/>
    <cellStyle name="Normal 2 4 3 3 2 6 3 2" xfId="15670" xr:uid="{A51B09B4-A854-4F1D-9778-1978AAD8889D}"/>
    <cellStyle name="Normal 2 4 3 3 2 6 4" xfId="11453" xr:uid="{52AEA87A-410A-49B7-A056-48C51929887F}"/>
    <cellStyle name="Normal 2 4 3 3 2 7" xfId="2474" xr:uid="{00000000-0005-0000-0000-0000F60F0000}"/>
    <cellStyle name="Normal 2 4 3 3 2 7 2" xfId="6757" xr:uid="{00000000-0005-0000-0000-0000F70F0000}"/>
    <cellStyle name="Normal 2 4 3 3 2 7 2 2" xfId="16083" xr:uid="{8E965B52-CB79-4FF1-BB02-1D7DD586420A}"/>
    <cellStyle name="Normal 2 4 3 3 2 7 3" xfId="11866" xr:uid="{5ADBA48A-09F7-475C-8E1D-4B25B8F12F7B}"/>
    <cellStyle name="Normal 2 4 3 3 2 8" xfId="4691" xr:uid="{00000000-0005-0000-0000-0000F80F0000}"/>
    <cellStyle name="Normal 2 4 3 3 2 8 2" xfId="14017" xr:uid="{F1005197-B740-4B1E-A114-FA37FD9DA555}"/>
    <cellStyle name="Normal 2 4 3 3 2 9" xfId="8917" xr:uid="{1E22693C-F4B1-4678-80B0-65CF6DC31586}"/>
    <cellStyle name="Normal 2 4 3 3 2 9 2" xfId="18241" xr:uid="{54BD8831-A2D8-48AE-9037-45CCE986112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E7777056-293B-4222-851D-291A6512EC09}"/>
    <cellStyle name="Normal 2 4 3 3 3 2 2 3" xfId="12361" xr:uid="{AC286B76-C565-4575-99D8-6B400F4FD9E0}"/>
    <cellStyle name="Normal 2 4 3 3 3 2 3" xfId="5107" xr:uid="{00000000-0005-0000-0000-0000FD0F0000}"/>
    <cellStyle name="Normal 2 4 3 3 3 2 3 2" xfId="14433" xr:uid="{DF58EC22-13E4-4DB6-9CB3-C4FB94C1E0B6}"/>
    <cellStyle name="Normal 2 4 3 3 3 2 4" xfId="9446" xr:uid="{7ACDBBC8-943F-41CF-9832-96F56BCB3985}"/>
    <cellStyle name="Normal 2 4 3 3 3 2 4 2" xfId="18761" xr:uid="{EB45FAD5-7BE2-4F77-9C66-6AC728B012DB}"/>
    <cellStyle name="Normal 2 4 3 3 3 2 5" xfId="10216" xr:uid="{E3F1C2DB-5EC8-4ACD-858C-5CAA6A385B5C}"/>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8F904FF6-C5FD-4BF6-9B1D-AE8DE96E78A8}"/>
    <cellStyle name="Normal 2 4 3 3 3 3 2 3" xfId="12774" xr:uid="{5EDA052F-A8D7-4B6E-A5A3-BC28F0EF7260}"/>
    <cellStyle name="Normal 2 4 3 3 3 3 3" xfId="5520" xr:uid="{00000000-0005-0000-0000-000001100000}"/>
    <cellStyle name="Normal 2 4 3 3 3 3 3 2" xfId="14846" xr:uid="{417D03A4-7AF5-491C-BBBD-C771D4F6074D}"/>
    <cellStyle name="Normal 2 4 3 3 3 3 4" xfId="10629" xr:uid="{5CB00070-4FDC-490D-8173-8191798B535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0AC418CB-6E5E-4397-A7AA-FD32647DD3D1}"/>
    <cellStyle name="Normal 2 4 3 3 3 4 2 3" xfId="13187" xr:uid="{A68FC5FD-42BB-4297-9D29-934B2ABFF498}"/>
    <cellStyle name="Normal 2 4 3 3 3 4 3" xfId="5933" xr:uid="{00000000-0005-0000-0000-000005100000}"/>
    <cellStyle name="Normal 2 4 3 3 3 4 3 2" xfId="15259" xr:uid="{5A83F596-0984-4CF2-9C8A-8D8DD3E47024}"/>
    <cellStyle name="Normal 2 4 3 3 3 4 4" xfId="11042" xr:uid="{9821EE2C-6A97-4594-8934-EA5D6F4406EC}"/>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48A055CC-FD56-4C14-92AE-61C8FE884317}"/>
    <cellStyle name="Normal 2 4 3 3 3 5 2 3" xfId="13600" xr:uid="{B273AD4C-5E98-4B2A-963E-BC6BAF818E70}"/>
    <cellStyle name="Normal 2 4 3 3 3 5 3" xfId="6346" xr:uid="{00000000-0005-0000-0000-000009100000}"/>
    <cellStyle name="Normal 2 4 3 3 3 5 3 2" xfId="15672" xr:uid="{E64C7F16-287E-4CA1-929F-93F6D96CCC6B}"/>
    <cellStyle name="Normal 2 4 3 3 3 5 4" xfId="11455" xr:uid="{B3CDF896-0165-4D27-9FF8-B056FDCC50BB}"/>
    <cellStyle name="Normal 2 4 3 3 3 6" xfId="2476" xr:uid="{00000000-0005-0000-0000-00000A100000}"/>
    <cellStyle name="Normal 2 4 3 3 3 6 2" xfId="6759" xr:uid="{00000000-0005-0000-0000-00000B100000}"/>
    <cellStyle name="Normal 2 4 3 3 3 6 2 2" xfId="16085" xr:uid="{8432E4A1-6C57-4A3E-8D28-0E5C6F2E6E7D}"/>
    <cellStyle name="Normal 2 4 3 3 3 6 3" xfId="11868" xr:uid="{4E5F2DAB-1D8C-4FDC-A888-BD23DF127AC1}"/>
    <cellStyle name="Normal 2 4 3 3 3 7" xfId="4693" xr:uid="{00000000-0005-0000-0000-00000C100000}"/>
    <cellStyle name="Normal 2 4 3 3 3 7 2" xfId="14019" xr:uid="{ABF99036-89F7-4D94-A953-A22AE8BFCF4F}"/>
    <cellStyle name="Normal 2 4 3 3 3 8" xfId="9021" xr:uid="{4EC0F035-DC07-4262-9C58-7142AC357944}"/>
    <cellStyle name="Normal 2 4 3 3 3 8 2" xfId="18345" xr:uid="{5CAC56FA-FDE7-4D5E-B3DF-3CB2F2B9D823}"/>
    <cellStyle name="Normal 2 4 3 3 3 9" xfId="9802" xr:uid="{6CAF8E90-4410-4D0E-AD4C-AA8C1F066F13}"/>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79CC9AFC-28FD-43D1-86DB-48ED19D8E5CB}"/>
    <cellStyle name="Normal 2 4 3 3 4 2 3" xfId="12358" xr:uid="{6684C18E-A827-4A16-9F6B-97AA8D1F9322}"/>
    <cellStyle name="Normal 2 4 3 3 4 3" xfId="5104" xr:uid="{00000000-0005-0000-0000-000010100000}"/>
    <cellStyle name="Normal 2 4 3 3 4 3 2" xfId="14430" xr:uid="{A9497DAA-18E9-41AB-9F36-0CA5FC022BF4}"/>
    <cellStyle name="Normal 2 4 3 3 4 4" xfId="9239" xr:uid="{3DCBA9AF-C63D-4CA9-81B6-AC7CB7B67292}"/>
    <cellStyle name="Normal 2 4 3 3 4 4 2" xfId="18554" xr:uid="{08E7F976-1D72-42B4-8420-8D7F647F118C}"/>
    <cellStyle name="Normal 2 4 3 3 4 5" xfId="10213" xr:uid="{D3622344-6397-4429-BCAC-2170D481D6F7}"/>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AEC1D1E6-25B6-4F0C-B83F-95EC114039A6}"/>
    <cellStyle name="Normal 2 4 3 3 5 2 3" xfId="12771" xr:uid="{FE9ABC38-2933-4724-BA59-AD0A42F34DED}"/>
    <cellStyle name="Normal 2 4 3 3 5 3" xfId="5517" xr:uid="{00000000-0005-0000-0000-000014100000}"/>
    <cellStyle name="Normal 2 4 3 3 5 3 2" xfId="14843" xr:uid="{4CC4EB7A-AC66-4A20-901A-A47A3FF1FD29}"/>
    <cellStyle name="Normal 2 4 3 3 5 4" xfId="10626" xr:uid="{A0135101-9EE9-4BEE-8716-BE8CAF9EA2D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C5FA312D-B6AB-4496-95AE-14709E2CD40C}"/>
    <cellStyle name="Normal 2 4 3 3 6 2 3" xfId="13184" xr:uid="{79F647E4-446C-4069-B903-871AB9A3EC48}"/>
    <cellStyle name="Normal 2 4 3 3 6 3" xfId="5930" xr:uid="{00000000-0005-0000-0000-000018100000}"/>
    <cellStyle name="Normal 2 4 3 3 6 3 2" xfId="15256" xr:uid="{4B458677-B770-4D38-9D9F-DA7F0CC181E7}"/>
    <cellStyle name="Normal 2 4 3 3 6 4" xfId="11039" xr:uid="{7A903262-33B5-443F-8CB9-F4DABFC1125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4D9F2A32-AA4A-46B7-9918-2C59AE1495BC}"/>
    <cellStyle name="Normal 2 4 3 3 7 2 3" xfId="13597" xr:uid="{7661039F-3DA1-4AAA-A2E5-AD6F55EBA668}"/>
    <cellStyle name="Normal 2 4 3 3 7 3" xfId="6343" xr:uid="{00000000-0005-0000-0000-00001C100000}"/>
    <cellStyle name="Normal 2 4 3 3 7 3 2" xfId="15669" xr:uid="{53FD6B99-B0DF-43ED-AA12-D9487033EF14}"/>
    <cellStyle name="Normal 2 4 3 3 7 4" xfId="11452" xr:uid="{28CB8D10-6EF6-47BA-9B45-A99C29424473}"/>
    <cellStyle name="Normal 2 4 3 3 8" xfId="2473" xr:uid="{00000000-0005-0000-0000-00001D100000}"/>
    <cellStyle name="Normal 2 4 3 3 8 2" xfId="6756" xr:uid="{00000000-0005-0000-0000-00001E100000}"/>
    <cellStyle name="Normal 2 4 3 3 8 2 2" xfId="16082" xr:uid="{B368A856-0505-4848-8E8A-305B1FCFAE9D}"/>
    <cellStyle name="Normal 2 4 3 3 8 3" xfId="11865" xr:uid="{6E884F02-610F-459C-92EC-66DF822E5F6C}"/>
    <cellStyle name="Normal 2 4 3 3 9" xfId="4690" xr:uid="{00000000-0005-0000-0000-00001F100000}"/>
    <cellStyle name="Normal 2 4 3 3 9 2" xfId="14016" xr:uid="{7D8F1F5E-3B8C-46B1-8A76-8C18A7B3091E}"/>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DDC909E0-C1A4-4FB5-A7DD-20704E9E546A}"/>
    <cellStyle name="Normal 2 4 3 4 2 3" xfId="12357" xr:uid="{999FA59C-2AA9-4896-8AC5-8B4D13B0A874}"/>
    <cellStyle name="Normal 2 4 3 4 3" xfId="5103" xr:uid="{00000000-0005-0000-0000-000023100000}"/>
    <cellStyle name="Normal 2 4 3 4 3 2" xfId="14429" xr:uid="{2CCCE9B0-7440-4684-B046-BE0817415800}"/>
    <cellStyle name="Normal 2 4 3 4 4" xfId="9605" xr:uid="{31B075F0-6828-4EC6-AC77-4B4B0626A722}"/>
    <cellStyle name="Normal 2 4 3 4 4 2" xfId="18906" xr:uid="{0721B07F-1256-4668-9C5C-5AFD50113F66}"/>
    <cellStyle name="Normal 2 4 3 4 5" xfId="10212" xr:uid="{E7108D8C-DB84-4E5A-9DF4-9C5A5FB94167}"/>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2E20AE73-9753-4B7B-A2BF-B561217653E5}"/>
    <cellStyle name="Normal 2 4 3 5 2 3" xfId="12770" xr:uid="{A44D0790-57FC-4FE3-B64B-AD0F2F0D08A1}"/>
    <cellStyle name="Normal 2 4 3 5 3" xfId="5516" xr:uid="{00000000-0005-0000-0000-000027100000}"/>
    <cellStyle name="Normal 2 4 3 5 3 2" xfId="14842" xr:uid="{52AC2FF9-E444-4AB3-9053-57D1E52ED945}"/>
    <cellStyle name="Normal 2 4 3 5 4" xfId="10625" xr:uid="{1EE2AE80-F7FE-4653-9A2A-F6DC24364A98}"/>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50AA9515-1323-434B-8FCB-D65DD5788DAD}"/>
    <cellStyle name="Normal 2 4 3 6 2 3" xfId="13183" xr:uid="{4EF37D05-0A17-4E19-A900-9E624BA63641}"/>
    <cellStyle name="Normal 2 4 3 6 3" xfId="5929" xr:uid="{00000000-0005-0000-0000-00002B100000}"/>
    <cellStyle name="Normal 2 4 3 6 3 2" xfId="15255" xr:uid="{B2D66F07-D296-4D01-AA75-FA3F43C7A7AB}"/>
    <cellStyle name="Normal 2 4 3 6 4" xfId="11038" xr:uid="{64B77D2E-2671-461D-8384-766C4864FA47}"/>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25C4E6D8-9559-47DD-8392-BC71E1D4584D}"/>
    <cellStyle name="Normal 2 4 3 7 2 3" xfId="13596" xr:uid="{519B2863-7360-4A9E-9D22-065A72DF91F3}"/>
    <cellStyle name="Normal 2 4 3 7 3" xfId="6342" xr:uid="{00000000-0005-0000-0000-00002F100000}"/>
    <cellStyle name="Normal 2 4 3 7 3 2" xfId="15668" xr:uid="{24EDEF63-DACE-4932-828E-C37E36E484C7}"/>
    <cellStyle name="Normal 2 4 3 7 4" xfId="11451" xr:uid="{D98ADBD9-0E1B-45AA-9D89-7C30B1AB5A24}"/>
    <cellStyle name="Normal 2 4 3 8" xfId="2472" xr:uid="{00000000-0005-0000-0000-000030100000}"/>
    <cellStyle name="Normal 2 4 3 8 2" xfId="6755" xr:uid="{00000000-0005-0000-0000-000031100000}"/>
    <cellStyle name="Normal 2 4 3 8 2 2" xfId="16081" xr:uid="{89D0698D-568D-4A04-B4E9-09F90F177230}"/>
    <cellStyle name="Normal 2 4 3 8 3" xfId="11864" xr:uid="{7F4D376B-8515-4E9B-B02C-98D468B0F029}"/>
    <cellStyle name="Normal 2 4 3 9" xfId="4689" xr:uid="{00000000-0005-0000-0000-000032100000}"/>
    <cellStyle name="Normal 2 4 3 9 2" xfId="14015" xr:uid="{9852CA19-E3B6-4041-86B4-08EAAB335A4C}"/>
    <cellStyle name="Normal 2 4 4" xfId="302" xr:uid="{00000000-0005-0000-0000-000033100000}"/>
    <cellStyle name="Normal 2 4 5" xfId="303" xr:uid="{00000000-0005-0000-0000-000034100000}"/>
    <cellStyle name="Normal 2 4 5 10" xfId="4694" xr:uid="{00000000-0005-0000-0000-000035100000}"/>
    <cellStyle name="Normal 2 4 5 10 2" xfId="14020" xr:uid="{05110864-D082-4457-8809-E68F9624EE34}"/>
    <cellStyle name="Normal 2 4 5 11" xfId="8780" xr:uid="{7650B30D-5C17-47F0-B17B-A5E27258C29E}"/>
    <cellStyle name="Normal 2 4 5 11 2" xfId="18104" xr:uid="{3F3EB6FB-10C9-4FDD-8EAB-673F94E4F0E3}"/>
    <cellStyle name="Normal 2 4 5 12" xfId="9803" xr:uid="{C751F4EF-B9AA-4F1D-A915-2B397614E12F}"/>
    <cellStyle name="Normal 2 4 5 2" xfId="304" xr:uid="{00000000-0005-0000-0000-000036100000}"/>
    <cellStyle name="Normal 2 4 5 2 10" xfId="8815" xr:uid="{40A5EFE5-2EC9-4F25-B9EC-CAF9321E00F7}"/>
    <cellStyle name="Normal 2 4 5 2 10 2" xfId="18139" xr:uid="{E353A484-91D2-4E55-BF49-6CD216C7A179}"/>
    <cellStyle name="Normal 2 4 5 2 11" xfId="9804" xr:uid="{ECAE9AE6-92B4-453F-BA17-BBFAC3D3728A}"/>
    <cellStyle name="Normal 2 4 5 2 2" xfId="305" xr:uid="{00000000-0005-0000-0000-000037100000}"/>
    <cellStyle name="Normal 2 4 5 2 2 10" xfId="9805" xr:uid="{D7ABD824-4C8F-47D2-A184-C6D32EA84339}"/>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18E58863-2776-4966-9812-0689F1F21A20}"/>
    <cellStyle name="Normal 2 4 5 2 2 2 2 2 3" xfId="12365" xr:uid="{D3C73A83-856C-40C3-9B22-7F463BC46A0F}"/>
    <cellStyle name="Normal 2 4 5 2 2 2 2 3" xfId="5111" xr:uid="{00000000-0005-0000-0000-00003C100000}"/>
    <cellStyle name="Normal 2 4 5 2 2 2 2 3 2" xfId="14437" xr:uid="{626BA55B-1EF6-4A6B-978D-ED0602CE8C1C}"/>
    <cellStyle name="Normal 2 4 5 2 2 2 2 4" xfId="9550" xr:uid="{8A7671EC-AB7E-4F51-9B1B-FE1F0FDC42A9}"/>
    <cellStyle name="Normal 2 4 5 2 2 2 2 4 2" xfId="18865" xr:uid="{3FFC349E-D342-4CEE-9790-8F2CA59AA37E}"/>
    <cellStyle name="Normal 2 4 5 2 2 2 2 5" xfId="10220" xr:uid="{5E88051C-6797-461D-9165-828A0944A206}"/>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CD0DD430-348D-4A5C-8D7D-8A7C7673121B}"/>
    <cellStyle name="Normal 2 4 5 2 2 2 3 2 3" xfId="12778" xr:uid="{42C3AF2B-64D1-47A7-815C-E97AEB1A162A}"/>
    <cellStyle name="Normal 2 4 5 2 2 2 3 3" xfId="5524" xr:uid="{00000000-0005-0000-0000-000040100000}"/>
    <cellStyle name="Normal 2 4 5 2 2 2 3 3 2" xfId="14850" xr:uid="{A07547C2-E52E-4B8E-84F7-0D3316213F2F}"/>
    <cellStyle name="Normal 2 4 5 2 2 2 3 4" xfId="10633" xr:uid="{2CB14148-5F25-47B4-AD5E-43C691A48D9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2D229295-315B-4E90-8376-EFD2658AA858}"/>
    <cellStyle name="Normal 2 4 5 2 2 2 4 2 3" xfId="13191" xr:uid="{8333CBDE-4E73-48E4-885F-FC6283789AF8}"/>
    <cellStyle name="Normal 2 4 5 2 2 2 4 3" xfId="5937" xr:uid="{00000000-0005-0000-0000-000044100000}"/>
    <cellStyle name="Normal 2 4 5 2 2 2 4 3 2" xfId="15263" xr:uid="{1D99ED8D-E4A3-4097-8828-A43D0377E63C}"/>
    <cellStyle name="Normal 2 4 5 2 2 2 4 4" xfId="11046" xr:uid="{3431A9E7-7E35-4D57-AEE2-0EAB07BB6B57}"/>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C9A16CFC-8C92-4B4C-8A50-154F33967E42}"/>
    <cellStyle name="Normal 2 4 5 2 2 2 5 2 3" xfId="13604" xr:uid="{85A57000-3FB9-46D5-B197-5302A1133DD8}"/>
    <cellStyle name="Normal 2 4 5 2 2 2 5 3" xfId="6350" xr:uid="{00000000-0005-0000-0000-000048100000}"/>
    <cellStyle name="Normal 2 4 5 2 2 2 5 3 2" xfId="15676" xr:uid="{EE2095EB-E2B1-40DF-B65A-918EEF73E5B6}"/>
    <cellStyle name="Normal 2 4 5 2 2 2 5 4" xfId="11459" xr:uid="{9463BEB2-044B-427E-B08A-C54226727FA6}"/>
    <cellStyle name="Normal 2 4 5 2 2 2 6" xfId="2480" xr:uid="{00000000-0005-0000-0000-000049100000}"/>
    <cellStyle name="Normal 2 4 5 2 2 2 6 2" xfId="6763" xr:uid="{00000000-0005-0000-0000-00004A100000}"/>
    <cellStyle name="Normal 2 4 5 2 2 2 6 2 2" xfId="16089" xr:uid="{971DDEDC-0A7D-4704-B001-99CEB00BF674}"/>
    <cellStyle name="Normal 2 4 5 2 2 2 6 3" xfId="11872" xr:uid="{A4994B61-264A-4451-B23C-9A7DCCD5F337}"/>
    <cellStyle name="Normal 2 4 5 2 2 2 7" xfId="4697" xr:uid="{00000000-0005-0000-0000-00004B100000}"/>
    <cellStyle name="Normal 2 4 5 2 2 2 7 2" xfId="14023" xr:uid="{357443CD-8D51-4118-A3C4-25DF64DC8368}"/>
    <cellStyle name="Normal 2 4 5 2 2 2 8" xfId="9125" xr:uid="{AE6B93A1-5C0B-49F1-AF15-6FC3FAFFE3B2}"/>
    <cellStyle name="Normal 2 4 5 2 2 2 8 2" xfId="18449" xr:uid="{72F451AC-B821-4E78-ADFE-07303345BAB5}"/>
    <cellStyle name="Normal 2 4 5 2 2 2 9" xfId="9806" xr:uid="{D5F6BC1C-67CE-4111-AEDB-DBBB31A1AD2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D0658321-D2F4-4994-B58E-D496622E2BEB}"/>
    <cellStyle name="Normal 2 4 5 2 2 3 2 3" xfId="12364" xr:uid="{ED51E2CE-4577-4B8E-BA5F-1CBDCEFCE329}"/>
    <cellStyle name="Normal 2 4 5 2 2 3 3" xfId="5110" xr:uid="{00000000-0005-0000-0000-00004F100000}"/>
    <cellStyle name="Normal 2 4 5 2 2 3 3 2" xfId="14436" xr:uid="{35771ACF-6BC7-436F-ACF4-DB47D3111A83}"/>
    <cellStyle name="Normal 2 4 5 2 2 3 4" xfId="9343" xr:uid="{FC4CD386-4202-45E2-8021-2A85CACF4E8B}"/>
    <cellStyle name="Normal 2 4 5 2 2 3 4 2" xfId="18658" xr:uid="{D043C529-9D88-411E-89D4-328D268E81DE}"/>
    <cellStyle name="Normal 2 4 5 2 2 3 5" xfId="10219" xr:uid="{E56728D8-C6A8-46FA-B225-5D1AFE2D47F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970B17F3-17CC-4728-BC25-8D4E53FB08D0}"/>
    <cellStyle name="Normal 2 4 5 2 2 4 2 3" xfId="12777" xr:uid="{DF95790B-5F0C-4453-88DC-9AAFC4B4B943}"/>
    <cellStyle name="Normal 2 4 5 2 2 4 3" xfId="5523" xr:uid="{00000000-0005-0000-0000-000053100000}"/>
    <cellStyle name="Normal 2 4 5 2 2 4 3 2" xfId="14849" xr:uid="{9E1E05B2-2A4D-4856-BF32-C91BC4C2FF78}"/>
    <cellStyle name="Normal 2 4 5 2 2 4 4" xfId="10632" xr:uid="{A3BF8EFA-1D17-4451-8AA2-3F8FFF9AF69E}"/>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8A3E2A34-21F4-4392-A004-786D84E008A9}"/>
    <cellStyle name="Normal 2 4 5 2 2 5 2 3" xfId="13190" xr:uid="{46D99C40-4134-4A79-88DB-8CAB59B8EA34}"/>
    <cellStyle name="Normal 2 4 5 2 2 5 3" xfId="5936" xr:uid="{00000000-0005-0000-0000-000057100000}"/>
    <cellStyle name="Normal 2 4 5 2 2 5 3 2" xfId="15262" xr:uid="{71700166-8FB3-4044-B4F1-26B6A4D45422}"/>
    <cellStyle name="Normal 2 4 5 2 2 5 4" xfId="11045" xr:uid="{F7FD13D6-33ED-4403-9816-ADAAAD52D574}"/>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D3656B16-73FB-45CD-BB9A-DFE8724E34C6}"/>
    <cellStyle name="Normal 2 4 5 2 2 6 2 3" xfId="13603" xr:uid="{812F3898-1A29-4FDE-9093-173340CB2E25}"/>
    <cellStyle name="Normal 2 4 5 2 2 6 3" xfId="6349" xr:uid="{00000000-0005-0000-0000-00005B100000}"/>
    <cellStyle name="Normal 2 4 5 2 2 6 3 2" xfId="15675" xr:uid="{E5A2D64D-D8AC-4FF3-8DF4-6D6687F42553}"/>
    <cellStyle name="Normal 2 4 5 2 2 6 4" xfId="11458" xr:uid="{E6DB680B-9524-4BFD-B0BC-794B5354D509}"/>
    <cellStyle name="Normal 2 4 5 2 2 7" xfId="2479" xr:uid="{00000000-0005-0000-0000-00005C100000}"/>
    <cellStyle name="Normal 2 4 5 2 2 7 2" xfId="6762" xr:uid="{00000000-0005-0000-0000-00005D100000}"/>
    <cellStyle name="Normal 2 4 5 2 2 7 2 2" xfId="16088" xr:uid="{41526E03-1C4A-4C50-B3FA-DE1FD974233E}"/>
    <cellStyle name="Normal 2 4 5 2 2 7 3" xfId="11871" xr:uid="{C2489F14-D536-4F14-8A6F-225DF6AC2091}"/>
    <cellStyle name="Normal 2 4 5 2 2 8" xfId="4696" xr:uid="{00000000-0005-0000-0000-00005E100000}"/>
    <cellStyle name="Normal 2 4 5 2 2 8 2" xfId="14022" xr:uid="{2D6BFD3A-D870-4B6F-90E8-EFDB1FE20CD5}"/>
    <cellStyle name="Normal 2 4 5 2 2 9" xfId="8918" xr:uid="{C191AFB9-5B9B-45BF-8589-0BB68E370D0F}"/>
    <cellStyle name="Normal 2 4 5 2 2 9 2" xfId="18242" xr:uid="{BDBA4284-8D10-467F-AD38-40D2FF0E000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9534366B-A295-4FCD-98F9-F756A7E8E0B0}"/>
    <cellStyle name="Normal 2 4 5 2 3 2 2 3" xfId="12366" xr:uid="{8EADCD4E-40A1-43EF-B52B-A79EA890A3D0}"/>
    <cellStyle name="Normal 2 4 5 2 3 2 3" xfId="5112" xr:uid="{00000000-0005-0000-0000-000063100000}"/>
    <cellStyle name="Normal 2 4 5 2 3 2 3 2" xfId="14438" xr:uid="{DF4C4EF9-6F65-4941-9B78-4735C65CDEB7}"/>
    <cellStyle name="Normal 2 4 5 2 3 2 4" xfId="9447" xr:uid="{5DAE67B2-15F6-4C7F-9310-B9C816D42F72}"/>
    <cellStyle name="Normal 2 4 5 2 3 2 4 2" xfId="18762" xr:uid="{3732919A-8D00-4DE3-BAFE-299743C14A42}"/>
    <cellStyle name="Normal 2 4 5 2 3 2 5" xfId="10221" xr:uid="{C7E0DAEE-EBA6-4393-8E52-36855EF8619F}"/>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854D0756-07C2-4C4D-A891-8F4885B075A1}"/>
    <cellStyle name="Normal 2 4 5 2 3 3 2 3" xfId="12779" xr:uid="{02191869-4B89-4C6E-9DD1-90E8481D7B20}"/>
    <cellStyle name="Normal 2 4 5 2 3 3 3" xfId="5525" xr:uid="{00000000-0005-0000-0000-000067100000}"/>
    <cellStyle name="Normal 2 4 5 2 3 3 3 2" xfId="14851" xr:uid="{8EA1C8D8-04D2-406F-A5BF-0C7F667C3431}"/>
    <cellStyle name="Normal 2 4 5 2 3 3 4" xfId="10634" xr:uid="{6AC61A22-A757-4ED8-A2DF-FFFEC7865352}"/>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52672578-96BA-4F02-977F-E5AF7720BCAE}"/>
    <cellStyle name="Normal 2 4 5 2 3 4 2 3" xfId="13192" xr:uid="{C4716656-9E27-4E93-B250-08733C19696D}"/>
    <cellStyle name="Normal 2 4 5 2 3 4 3" xfId="5938" xr:uid="{00000000-0005-0000-0000-00006B100000}"/>
    <cellStyle name="Normal 2 4 5 2 3 4 3 2" xfId="15264" xr:uid="{2EC5A5DA-3ED5-4C9F-8DDB-262D47F9C3FD}"/>
    <cellStyle name="Normal 2 4 5 2 3 4 4" xfId="11047" xr:uid="{CC42DF02-3B01-4511-8DF6-C55BB187124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8784393A-F3C9-4D5E-ABD2-C141A78D0729}"/>
    <cellStyle name="Normal 2 4 5 2 3 5 2 3" xfId="13605" xr:uid="{F66954F7-04CC-4312-9752-1743CE8C9948}"/>
    <cellStyle name="Normal 2 4 5 2 3 5 3" xfId="6351" xr:uid="{00000000-0005-0000-0000-00006F100000}"/>
    <cellStyle name="Normal 2 4 5 2 3 5 3 2" xfId="15677" xr:uid="{12D42C20-A26D-4999-8F3A-987154300858}"/>
    <cellStyle name="Normal 2 4 5 2 3 5 4" xfId="11460" xr:uid="{02883158-71E6-4B9C-BF15-4D86D9A02E75}"/>
    <cellStyle name="Normal 2 4 5 2 3 6" xfId="2481" xr:uid="{00000000-0005-0000-0000-000070100000}"/>
    <cellStyle name="Normal 2 4 5 2 3 6 2" xfId="6764" xr:uid="{00000000-0005-0000-0000-000071100000}"/>
    <cellStyle name="Normal 2 4 5 2 3 6 2 2" xfId="16090" xr:uid="{970332E2-073C-4BF6-8C9F-444A23D02F69}"/>
    <cellStyle name="Normal 2 4 5 2 3 6 3" xfId="11873" xr:uid="{53052E40-5809-4237-BF0F-674D50F30F19}"/>
    <cellStyle name="Normal 2 4 5 2 3 7" xfId="4698" xr:uid="{00000000-0005-0000-0000-000072100000}"/>
    <cellStyle name="Normal 2 4 5 2 3 7 2" xfId="14024" xr:uid="{26164821-8E3B-4C5C-9600-52FD4A8E2611}"/>
    <cellStyle name="Normal 2 4 5 2 3 8" xfId="9022" xr:uid="{B979F5DF-A88B-437D-B1B4-B92D08856DC7}"/>
    <cellStyle name="Normal 2 4 5 2 3 8 2" xfId="18346" xr:uid="{4C4E0F7A-4B89-4F0C-8E03-12742A7A0D2F}"/>
    <cellStyle name="Normal 2 4 5 2 3 9" xfId="9807" xr:uid="{9A0DD273-8642-45DE-A1C5-25669D1D650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DD4E28F9-B4B2-4F6A-AEAC-D587C2076748}"/>
    <cellStyle name="Normal 2 4 5 2 4 2 3" xfId="12363" xr:uid="{5B14B484-04B3-47B7-BD22-78FF05D1D0D0}"/>
    <cellStyle name="Normal 2 4 5 2 4 3" xfId="5109" xr:uid="{00000000-0005-0000-0000-000076100000}"/>
    <cellStyle name="Normal 2 4 5 2 4 3 2" xfId="14435" xr:uid="{4C44C65A-4784-4FE1-9368-9F36AF118739}"/>
    <cellStyle name="Normal 2 4 5 2 4 4" xfId="9240" xr:uid="{16FBE981-4867-4157-8C0D-9C1339DB5B3F}"/>
    <cellStyle name="Normal 2 4 5 2 4 4 2" xfId="18555" xr:uid="{106C6F1D-1827-4A27-A046-C5CD1395F8B4}"/>
    <cellStyle name="Normal 2 4 5 2 4 5" xfId="10218" xr:uid="{7BD385AB-C06D-4FF2-A8A0-4EDD1E83BCD7}"/>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316CEC04-0210-4BBC-BA6F-0F16D7DC2E7D}"/>
    <cellStyle name="Normal 2 4 5 2 5 2 3" xfId="12776" xr:uid="{8246B76F-07ED-49B7-AB1F-0E162457DF69}"/>
    <cellStyle name="Normal 2 4 5 2 5 3" xfId="5522" xr:uid="{00000000-0005-0000-0000-00007A100000}"/>
    <cellStyle name="Normal 2 4 5 2 5 3 2" xfId="14848" xr:uid="{A039B637-7669-4426-8A4E-4A019D18F85C}"/>
    <cellStyle name="Normal 2 4 5 2 5 4" xfId="10631" xr:uid="{3C8097AF-4CDC-4DF6-9B11-937D32C97C83}"/>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716863AB-4655-481A-8218-34857CD1C971}"/>
    <cellStyle name="Normal 2 4 5 2 6 2 3" xfId="13189" xr:uid="{4CF130DD-B73B-47EC-863C-81AF1A47DDE5}"/>
    <cellStyle name="Normal 2 4 5 2 6 3" xfId="5935" xr:uid="{00000000-0005-0000-0000-00007E100000}"/>
    <cellStyle name="Normal 2 4 5 2 6 3 2" xfId="15261" xr:uid="{6D41F18A-482D-4F6D-A98A-6418CA33D6A7}"/>
    <cellStyle name="Normal 2 4 5 2 6 4" xfId="11044" xr:uid="{68B25548-2254-4CDD-9650-12E47351850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C0EE9166-000F-449D-9AEB-C27960AFBD30}"/>
    <cellStyle name="Normal 2 4 5 2 7 2 3" xfId="13602" xr:uid="{589B10E1-625B-4F29-A7E3-56315CCAC5B9}"/>
    <cellStyle name="Normal 2 4 5 2 7 3" xfId="6348" xr:uid="{00000000-0005-0000-0000-000082100000}"/>
    <cellStyle name="Normal 2 4 5 2 7 3 2" xfId="15674" xr:uid="{418F08D4-9760-4DC0-9221-79363A5538D1}"/>
    <cellStyle name="Normal 2 4 5 2 7 4" xfId="11457" xr:uid="{0BC2F4A8-9528-4C6F-905C-03385AA9476E}"/>
    <cellStyle name="Normal 2 4 5 2 8" xfId="2478" xr:uid="{00000000-0005-0000-0000-000083100000}"/>
    <cellStyle name="Normal 2 4 5 2 8 2" xfId="6761" xr:uid="{00000000-0005-0000-0000-000084100000}"/>
    <cellStyle name="Normal 2 4 5 2 8 2 2" xfId="16087" xr:uid="{0E63BDAF-2230-456C-A865-3BA4E7A42152}"/>
    <cellStyle name="Normal 2 4 5 2 8 3" xfId="11870" xr:uid="{8C5959D1-3BC9-4567-89E9-075E6509908F}"/>
    <cellStyle name="Normal 2 4 5 2 9" xfId="4695" xr:uid="{00000000-0005-0000-0000-000085100000}"/>
    <cellStyle name="Normal 2 4 5 2 9 2" xfId="14021" xr:uid="{81AA6ADD-8657-44BE-B29E-F9E779DA5532}"/>
    <cellStyle name="Normal 2 4 5 3" xfId="308" xr:uid="{00000000-0005-0000-0000-000086100000}"/>
    <cellStyle name="Normal 2 4 5 3 10" xfId="9808" xr:uid="{EF1E32F2-A11D-42D6-9984-506C0B29F43A}"/>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22EC2AD8-12C8-4414-A4D2-80132E3555BC}"/>
    <cellStyle name="Normal 2 4 5 3 2 2 2 3" xfId="12368" xr:uid="{01D7BE56-EA18-47C2-8052-BA5A6F44AA7A}"/>
    <cellStyle name="Normal 2 4 5 3 2 2 3" xfId="5114" xr:uid="{00000000-0005-0000-0000-00008B100000}"/>
    <cellStyle name="Normal 2 4 5 3 2 2 3 2" xfId="14440" xr:uid="{E37C7D1A-2449-40FC-BE13-62EC03D8FFF6}"/>
    <cellStyle name="Normal 2 4 5 3 2 2 4" xfId="9515" xr:uid="{A1D6949C-773D-44DB-B26F-4DD01D24FF00}"/>
    <cellStyle name="Normal 2 4 5 3 2 2 4 2" xfId="18830" xr:uid="{37BD3A0E-19C5-4D81-8942-E8B5A60E9886}"/>
    <cellStyle name="Normal 2 4 5 3 2 2 5" xfId="10223" xr:uid="{05355C30-7957-4074-9203-53DFC5A9984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FD3D0048-B760-4E65-8AD6-3C47C149471D}"/>
    <cellStyle name="Normal 2 4 5 3 2 3 2 3" xfId="12781" xr:uid="{F3CB74F1-7E86-4325-ABC4-65D9E1FC26CF}"/>
    <cellStyle name="Normal 2 4 5 3 2 3 3" xfId="5527" xr:uid="{00000000-0005-0000-0000-00008F100000}"/>
    <cellStyle name="Normal 2 4 5 3 2 3 3 2" xfId="14853" xr:uid="{8A884024-1EE9-4241-AD82-951FA127281C}"/>
    <cellStyle name="Normal 2 4 5 3 2 3 4" xfId="10636" xr:uid="{0A40F7A9-EFD4-4CE9-9321-CAE5F1CD7E74}"/>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564CB1C8-2533-4083-92DC-2FB82D8F1669}"/>
    <cellStyle name="Normal 2 4 5 3 2 4 2 3" xfId="13194" xr:uid="{5E8D374B-7DF7-4F5C-91AF-CB47A501AB77}"/>
    <cellStyle name="Normal 2 4 5 3 2 4 3" xfId="5940" xr:uid="{00000000-0005-0000-0000-000093100000}"/>
    <cellStyle name="Normal 2 4 5 3 2 4 3 2" xfId="15266" xr:uid="{2F8FBE89-89A1-499F-9922-4D2EE85F15A6}"/>
    <cellStyle name="Normal 2 4 5 3 2 4 4" xfId="11049" xr:uid="{1AD1CC09-B954-4954-8FFD-B32D66371E11}"/>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CB7A65C2-F8C4-41B8-8652-63D652DF381E}"/>
    <cellStyle name="Normal 2 4 5 3 2 5 2 3" xfId="13607" xr:uid="{D9573759-C8B5-4E70-9FB7-CFE367BBCAEA}"/>
    <cellStyle name="Normal 2 4 5 3 2 5 3" xfId="6353" xr:uid="{00000000-0005-0000-0000-000097100000}"/>
    <cellStyle name="Normal 2 4 5 3 2 5 3 2" xfId="15679" xr:uid="{1AC4A5E7-EB42-4A7A-9144-2425F79D4501}"/>
    <cellStyle name="Normal 2 4 5 3 2 5 4" xfId="11462" xr:uid="{79C26D2D-461F-4D9A-935E-DBB3703467CF}"/>
    <cellStyle name="Normal 2 4 5 3 2 6" xfId="2483" xr:uid="{00000000-0005-0000-0000-000098100000}"/>
    <cellStyle name="Normal 2 4 5 3 2 6 2" xfId="6766" xr:uid="{00000000-0005-0000-0000-000099100000}"/>
    <cellStyle name="Normal 2 4 5 3 2 6 2 2" xfId="16092" xr:uid="{0BED87D6-7377-4087-A440-05759F5717AA}"/>
    <cellStyle name="Normal 2 4 5 3 2 6 3" xfId="11875" xr:uid="{DE715CF8-2F1D-439C-9215-D71BA38263F9}"/>
    <cellStyle name="Normal 2 4 5 3 2 7" xfId="4700" xr:uid="{00000000-0005-0000-0000-00009A100000}"/>
    <cellStyle name="Normal 2 4 5 3 2 7 2" xfId="14026" xr:uid="{620669B5-6391-43BD-BB0D-6E1BAF464091}"/>
    <cellStyle name="Normal 2 4 5 3 2 8" xfId="9090" xr:uid="{4B64C5F8-5AC3-43D3-B94A-46850BBF79A5}"/>
    <cellStyle name="Normal 2 4 5 3 2 8 2" xfId="18414" xr:uid="{F37151BB-F034-4810-9105-23EDC7C5FF93}"/>
    <cellStyle name="Normal 2 4 5 3 2 9" xfId="9809" xr:uid="{82003626-17AB-49A1-AC53-EF1835B6C7A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3A9811E3-A2F7-4A5E-A527-B6464DA75ED4}"/>
    <cellStyle name="Normal 2 4 5 3 3 2 3" xfId="12367" xr:uid="{88F4164C-0C1E-400C-AF8F-89C3873010DE}"/>
    <cellStyle name="Normal 2 4 5 3 3 3" xfId="5113" xr:uid="{00000000-0005-0000-0000-00009E100000}"/>
    <cellStyle name="Normal 2 4 5 3 3 3 2" xfId="14439" xr:uid="{FC789059-C8CC-4B21-A64F-ECAA7184BDE1}"/>
    <cellStyle name="Normal 2 4 5 3 3 4" xfId="9308" xr:uid="{40198FFA-4C90-42BE-90C8-42459F1A2A1C}"/>
    <cellStyle name="Normal 2 4 5 3 3 4 2" xfId="18623" xr:uid="{EA954515-4E9C-481D-A9DE-B716B83816ED}"/>
    <cellStyle name="Normal 2 4 5 3 3 5" xfId="10222" xr:uid="{E32F4998-B391-46B9-90DC-C044F507D79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995B7271-0C1F-4092-AAC4-F37269E4EB77}"/>
    <cellStyle name="Normal 2 4 5 3 4 2 3" xfId="12780" xr:uid="{5757BDFF-DF44-40CC-BC69-B337C572E00B}"/>
    <cellStyle name="Normal 2 4 5 3 4 3" xfId="5526" xr:uid="{00000000-0005-0000-0000-0000A2100000}"/>
    <cellStyle name="Normal 2 4 5 3 4 3 2" xfId="14852" xr:uid="{656D965A-4077-4D24-9C01-04A0DCE197FC}"/>
    <cellStyle name="Normal 2 4 5 3 4 4" xfId="10635" xr:uid="{3C2F8A51-252D-4C22-A26A-5E422EBA2BB5}"/>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6EABC34B-49A8-4380-B7CA-E3749074DCB6}"/>
    <cellStyle name="Normal 2 4 5 3 5 2 3" xfId="13193" xr:uid="{F16BF83E-FC4F-4044-A835-34BA624EFE50}"/>
    <cellStyle name="Normal 2 4 5 3 5 3" xfId="5939" xr:uid="{00000000-0005-0000-0000-0000A6100000}"/>
    <cellStyle name="Normal 2 4 5 3 5 3 2" xfId="15265" xr:uid="{34DABCEE-AEE3-4BDE-AA57-41DD225E05C5}"/>
    <cellStyle name="Normal 2 4 5 3 5 4" xfId="11048" xr:uid="{F56CCCA5-9D67-421E-94D5-29890BA1EFAB}"/>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FBBAF951-EF3C-4F12-959A-6F3662CC951E}"/>
    <cellStyle name="Normal 2 4 5 3 6 2 3" xfId="13606" xr:uid="{0B0B2756-30B2-4437-A571-C384B512C7A7}"/>
    <cellStyle name="Normal 2 4 5 3 6 3" xfId="6352" xr:uid="{00000000-0005-0000-0000-0000AA100000}"/>
    <cellStyle name="Normal 2 4 5 3 6 3 2" xfId="15678" xr:uid="{42FC50F3-1C78-4378-B706-166581236B25}"/>
    <cellStyle name="Normal 2 4 5 3 6 4" xfId="11461" xr:uid="{251B41EF-99DD-4530-974C-2D4C94C71775}"/>
    <cellStyle name="Normal 2 4 5 3 7" xfId="2482" xr:uid="{00000000-0005-0000-0000-0000AB100000}"/>
    <cellStyle name="Normal 2 4 5 3 7 2" xfId="6765" xr:uid="{00000000-0005-0000-0000-0000AC100000}"/>
    <cellStyle name="Normal 2 4 5 3 7 2 2" xfId="16091" xr:uid="{7B7154DE-C7DF-41FA-B4BA-F912BC23C81A}"/>
    <cellStyle name="Normal 2 4 5 3 7 3" xfId="11874" xr:uid="{DA505611-FDE6-4234-98B8-74B41EB96BA9}"/>
    <cellStyle name="Normal 2 4 5 3 8" xfId="4699" xr:uid="{00000000-0005-0000-0000-0000AD100000}"/>
    <cellStyle name="Normal 2 4 5 3 8 2" xfId="14025" xr:uid="{5DFE3403-BE85-4C20-866F-6526EC1195CA}"/>
    <cellStyle name="Normal 2 4 5 3 9" xfId="8883" xr:uid="{0A470B75-873E-4D74-A257-113E3E343E18}"/>
    <cellStyle name="Normal 2 4 5 3 9 2" xfId="18207" xr:uid="{A888A3C2-12B3-4470-8A9A-9D4619446C12}"/>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BF6F5D0F-62EB-439E-A880-8CC75D3C217F}"/>
    <cellStyle name="Normal 2 4 5 4 2 2 3" xfId="12369" xr:uid="{EFA1052B-611D-45D7-99B1-0ABA75BFA82A}"/>
    <cellStyle name="Normal 2 4 5 4 2 3" xfId="5115" xr:uid="{00000000-0005-0000-0000-0000B2100000}"/>
    <cellStyle name="Normal 2 4 5 4 2 3 2" xfId="14441" xr:uid="{1FE87495-F059-4F87-BE90-7293350A6E71}"/>
    <cellStyle name="Normal 2 4 5 4 2 4" xfId="9412" xr:uid="{0ECAC303-3EA0-4623-AA0F-854157CA32E5}"/>
    <cellStyle name="Normal 2 4 5 4 2 4 2" xfId="18727" xr:uid="{BA258F9A-317C-4BD1-9297-829A50C220CD}"/>
    <cellStyle name="Normal 2 4 5 4 2 5" xfId="10224" xr:uid="{869CD1EF-857D-4E94-A2F8-4D75D373743F}"/>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2C5316BF-F464-42D5-8245-B52482858057}"/>
    <cellStyle name="Normal 2 4 5 4 3 2 3" xfId="12782" xr:uid="{B9358DB7-6FC1-4185-B9FA-5FD3660426C4}"/>
    <cellStyle name="Normal 2 4 5 4 3 3" xfId="5528" xr:uid="{00000000-0005-0000-0000-0000B6100000}"/>
    <cellStyle name="Normal 2 4 5 4 3 3 2" xfId="14854" xr:uid="{FB9510F9-305E-4ED6-9A7B-4E8B79B0B0C3}"/>
    <cellStyle name="Normal 2 4 5 4 3 4" xfId="10637" xr:uid="{8C1F9923-0CA6-4074-90CD-3E3D2D8AC95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B0E102ED-3B3F-4E38-8F30-B7A3A69293C7}"/>
    <cellStyle name="Normal 2 4 5 4 4 2 3" xfId="13195" xr:uid="{DA7030E2-7240-4447-8522-86922F2C30F9}"/>
    <cellStyle name="Normal 2 4 5 4 4 3" xfId="5941" xr:uid="{00000000-0005-0000-0000-0000BA100000}"/>
    <cellStyle name="Normal 2 4 5 4 4 3 2" xfId="15267" xr:uid="{B5FF12B2-FBA1-46FE-99B2-1B256F64EA71}"/>
    <cellStyle name="Normal 2 4 5 4 4 4" xfId="11050" xr:uid="{A708F6A4-9AE1-4A72-875D-585428A01467}"/>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B408A862-4B14-441D-989D-59BD63F7DF69}"/>
    <cellStyle name="Normal 2 4 5 4 5 2 3" xfId="13608" xr:uid="{AE92BB5D-7C0E-4C1D-9DC7-815837531D9F}"/>
    <cellStyle name="Normal 2 4 5 4 5 3" xfId="6354" xr:uid="{00000000-0005-0000-0000-0000BE100000}"/>
    <cellStyle name="Normal 2 4 5 4 5 3 2" xfId="15680" xr:uid="{C4BAF4CF-E661-4F4D-8ADD-F9EC6C893CFE}"/>
    <cellStyle name="Normal 2 4 5 4 5 4" xfId="11463" xr:uid="{3F6EBBAA-AC09-4D28-891F-68075BB8F56E}"/>
    <cellStyle name="Normal 2 4 5 4 6" xfId="2484" xr:uid="{00000000-0005-0000-0000-0000BF100000}"/>
    <cellStyle name="Normal 2 4 5 4 6 2" xfId="6767" xr:uid="{00000000-0005-0000-0000-0000C0100000}"/>
    <cellStyle name="Normal 2 4 5 4 6 2 2" xfId="16093" xr:uid="{FD56E885-288F-49BE-AAC2-F54194832EE6}"/>
    <cellStyle name="Normal 2 4 5 4 6 3" xfId="11876" xr:uid="{E6618A40-6248-4B2C-A931-DFE6D890453C}"/>
    <cellStyle name="Normal 2 4 5 4 7" xfId="4701" xr:uid="{00000000-0005-0000-0000-0000C1100000}"/>
    <cellStyle name="Normal 2 4 5 4 7 2" xfId="14027" xr:uid="{05401F6E-E343-42F2-BFFF-EF22193F24BE}"/>
    <cellStyle name="Normal 2 4 5 4 8" xfId="8987" xr:uid="{8DC2C01A-3078-41AD-BCFB-AA1CA8EE9C0A}"/>
    <cellStyle name="Normal 2 4 5 4 8 2" xfId="18311" xr:uid="{96890661-E50B-4598-B338-39F9F2595EE0}"/>
    <cellStyle name="Normal 2 4 5 4 9" xfId="9810" xr:uid="{2D9C7D91-C325-4788-9C54-1735E263A436}"/>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7E0170E3-7545-4286-9123-F3EE74232F95}"/>
    <cellStyle name="Normal 2 4 5 5 2 3" xfId="12362" xr:uid="{D0C9CEA7-2374-492A-A9BB-9BAC8E6421BC}"/>
    <cellStyle name="Normal 2 4 5 5 3" xfId="5108" xr:uid="{00000000-0005-0000-0000-0000C5100000}"/>
    <cellStyle name="Normal 2 4 5 5 3 2" xfId="14434" xr:uid="{AD367153-E2A2-4A84-8BBE-ABC841F91EC2}"/>
    <cellStyle name="Normal 2 4 5 5 4" xfId="9204" xr:uid="{BE34B337-03EE-47D8-9E35-2EE6FAB30236}"/>
    <cellStyle name="Normal 2 4 5 5 4 2" xfId="18520" xr:uid="{94742559-0B4C-4F82-8A22-CFEF9B5E93DF}"/>
    <cellStyle name="Normal 2 4 5 5 5" xfId="10217" xr:uid="{21AB17B9-3C58-430B-BCE2-AD487EB8459A}"/>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F44276D3-33B7-4D10-9C0F-3671E92CB5B4}"/>
    <cellStyle name="Normal 2 4 5 6 2 3" xfId="12775" xr:uid="{5CDAD323-846A-4CC8-A8F5-E1A28099D03C}"/>
    <cellStyle name="Normal 2 4 5 6 3" xfId="5521" xr:uid="{00000000-0005-0000-0000-0000C9100000}"/>
    <cellStyle name="Normal 2 4 5 6 3 2" xfId="14847" xr:uid="{170D62EB-35FA-43B1-8B6B-26C2F8CFA791}"/>
    <cellStyle name="Normal 2 4 5 6 4" xfId="10630" xr:uid="{84FDA473-5C9A-49B3-9863-051286EB32A8}"/>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14CD9209-9B59-4BF3-BF9D-A840C16D871D}"/>
    <cellStyle name="Normal 2 4 5 7 2 3" xfId="13188" xr:uid="{49ED4E81-6AC7-41F3-AC9A-74DD56B2EBF9}"/>
    <cellStyle name="Normal 2 4 5 7 3" xfId="5934" xr:uid="{00000000-0005-0000-0000-0000CD100000}"/>
    <cellStyle name="Normal 2 4 5 7 3 2" xfId="15260" xr:uid="{92DEBE79-3ABC-409D-AEE3-67DD5CAF098A}"/>
    <cellStyle name="Normal 2 4 5 7 4" xfId="11043" xr:uid="{8CEE53BF-0F7B-400B-8149-641F2EA2DE90}"/>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519E7099-131E-4C02-8B9E-0606B34E2890}"/>
    <cellStyle name="Normal 2 4 5 8 2 3" xfId="13601" xr:uid="{F63D4205-287A-47FF-965F-356B568B9CFE}"/>
    <cellStyle name="Normal 2 4 5 8 3" xfId="6347" xr:uid="{00000000-0005-0000-0000-0000D1100000}"/>
    <cellStyle name="Normal 2 4 5 8 3 2" xfId="15673" xr:uid="{D3687BFB-9309-4628-9A04-2D1D1E2D0C59}"/>
    <cellStyle name="Normal 2 4 5 8 4" xfId="11456" xr:uid="{9FF9FBCC-7D66-491E-B991-33636F59B319}"/>
    <cellStyle name="Normal 2 4 5 9" xfId="2477" xr:uid="{00000000-0005-0000-0000-0000D2100000}"/>
    <cellStyle name="Normal 2 4 5 9 2" xfId="6760" xr:uid="{00000000-0005-0000-0000-0000D3100000}"/>
    <cellStyle name="Normal 2 4 5 9 2 2" xfId="16086" xr:uid="{C47B8E45-4B20-4C3F-8B96-518842565DED}"/>
    <cellStyle name="Normal 2 4 5 9 3" xfId="11869" xr:uid="{BB9398DE-2614-41CC-BF38-B4F578B77717}"/>
    <cellStyle name="Normal 2 4 6" xfId="311" xr:uid="{00000000-0005-0000-0000-0000D4100000}"/>
    <cellStyle name="Normal 2 4 7" xfId="312" xr:uid="{00000000-0005-0000-0000-0000D5100000}"/>
    <cellStyle name="Normal 2 4 7 10" xfId="9811" xr:uid="{FFEA2F8F-D792-4162-A337-83BA75FAE963}"/>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EFEE4995-687D-4926-A39E-7426D9C4EE96}"/>
    <cellStyle name="Normal 2 4 7 2 2 2 3" xfId="12371" xr:uid="{B26219F7-D51F-4406-BA52-D76FA24CE690}"/>
    <cellStyle name="Normal 2 4 7 2 2 3" xfId="5117" xr:uid="{00000000-0005-0000-0000-0000DA100000}"/>
    <cellStyle name="Normal 2 4 7 2 2 3 2" xfId="14443" xr:uid="{21EB90E6-CED6-46F0-BCB6-B3D407677642}"/>
    <cellStyle name="Normal 2 4 7 2 2 4" xfId="9483" xr:uid="{3D7EFF6F-050D-4214-91CB-DF2673F23584}"/>
    <cellStyle name="Normal 2 4 7 2 2 4 2" xfId="18798" xr:uid="{21B7A1BA-60C9-44D5-9BB8-7A5CDCBC518B}"/>
    <cellStyle name="Normal 2 4 7 2 2 5" xfId="10226" xr:uid="{F3442EB2-B7F9-4CA4-9DDE-1872E210B0A5}"/>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AB493DFA-6FDB-4D0E-BD1F-DDDE3BAADB82}"/>
    <cellStyle name="Normal 2 4 7 2 3 2 3" xfId="12784" xr:uid="{B2652228-2FDB-4970-85E6-C022AE678286}"/>
    <cellStyle name="Normal 2 4 7 2 3 3" xfId="5530" xr:uid="{00000000-0005-0000-0000-0000DE100000}"/>
    <cellStyle name="Normal 2 4 7 2 3 3 2" xfId="14856" xr:uid="{65EDFD22-F2F7-40B2-AC10-4456FD6D2203}"/>
    <cellStyle name="Normal 2 4 7 2 3 4" xfId="10639" xr:uid="{F2BC0208-D6CA-41C9-AFC6-F56A5B71673D}"/>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4A1ACF6E-F1AC-4097-91C0-402A9FC4E21C}"/>
    <cellStyle name="Normal 2 4 7 2 4 2 3" xfId="13197" xr:uid="{EAEE5CD9-DABC-44ED-9154-A0AAB43DAD2C}"/>
    <cellStyle name="Normal 2 4 7 2 4 3" xfId="5943" xr:uid="{00000000-0005-0000-0000-0000E2100000}"/>
    <cellStyle name="Normal 2 4 7 2 4 3 2" xfId="15269" xr:uid="{C6AADBC4-DD1E-4C1C-83A6-051D6EEB01F2}"/>
    <cellStyle name="Normal 2 4 7 2 4 4" xfId="11052" xr:uid="{8D9C72CC-8A98-4FBB-BE9A-42BF3680A468}"/>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09244D41-86CF-446A-963C-B7D8FC650290}"/>
    <cellStyle name="Normal 2 4 7 2 5 2 3" xfId="13610" xr:uid="{4F4EC0D4-C8CA-43BF-951C-7A6D8D71B576}"/>
    <cellStyle name="Normal 2 4 7 2 5 3" xfId="6356" xr:uid="{00000000-0005-0000-0000-0000E6100000}"/>
    <cellStyle name="Normal 2 4 7 2 5 3 2" xfId="15682" xr:uid="{3E13EFFD-2E5F-4350-BF4E-691DA9DCF2A5}"/>
    <cellStyle name="Normal 2 4 7 2 5 4" xfId="11465" xr:uid="{134991FB-5BA3-493C-A4A1-BC48B8D25B6B}"/>
    <cellStyle name="Normal 2 4 7 2 6" xfId="2486" xr:uid="{00000000-0005-0000-0000-0000E7100000}"/>
    <cellStyle name="Normal 2 4 7 2 6 2" xfId="6769" xr:uid="{00000000-0005-0000-0000-0000E8100000}"/>
    <cellStyle name="Normal 2 4 7 2 6 2 2" xfId="16095" xr:uid="{0AC0CA08-5227-4AF4-B71B-144591A6B8F9}"/>
    <cellStyle name="Normal 2 4 7 2 6 3" xfId="11878" xr:uid="{C88BF140-9F53-4254-BB21-193DE1A5A926}"/>
    <cellStyle name="Normal 2 4 7 2 7" xfId="4703" xr:uid="{00000000-0005-0000-0000-0000E9100000}"/>
    <cellStyle name="Normal 2 4 7 2 7 2" xfId="14029" xr:uid="{98CC92E4-B230-4F95-85E6-5278F95B6D79}"/>
    <cellStyle name="Normal 2 4 7 2 8" xfId="9058" xr:uid="{FCEC438E-EF6A-4A00-BFE3-0DA309169A82}"/>
    <cellStyle name="Normal 2 4 7 2 8 2" xfId="18382" xr:uid="{7AAD49C5-7AA6-4A7E-A2C6-85655FECD915}"/>
    <cellStyle name="Normal 2 4 7 2 9" xfId="9812" xr:uid="{08D448DB-E175-496E-96E3-E6C400FDB21F}"/>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F336A790-C741-4514-A210-865E00AD4842}"/>
    <cellStyle name="Normal 2 4 7 3 2 3" xfId="12370" xr:uid="{7E81ABB7-3ABD-4E54-AA9B-9BC413CEBFB6}"/>
    <cellStyle name="Normal 2 4 7 3 3" xfId="5116" xr:uid="{00000000-0005-0000-0000-0000ED100000}"/>
    <cellStyle name="Normal 2 4 7 3 3 2" xfId="14442" xr:uid="{8A2CF04E-2452-43D9-84DA-A60348BF1F6D}"/>
    <cellStyle name="Normal 2 4 7 3 4" xfId="9276" xr:uid="{90A81E61-1719-41E4-8673-7681E805C2E0}"/>
    <cellStyle name="Normal 2 4 7 3 4 2" xfId="18591" xr:uid="{435F65CB-EE72-40D5-ADD9-3EFE549CFC7B}"/>
    <cellStyle name="Normal 2 4 7 3 5" xfId="10225" xr:uid="{378C9450-0552-4C31-9509-D72574468E34}"/>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26FA54B2-41A9-434A-94DB-C4EBE8485102}"/>
    <cellStyle name="Normal 2 4 7 4 2 3" xfId="12783" xr:uid="{F81DBC6F-09A9-41ED-B382-1EBAE60D155D}"/>
    <cellStyle name="Normal 2 4 7 4 3" xfId="5529" xr:uid="{00000000-0005-0000-0000-0000F1100000}"/>
    <cellStyle name="Normal 2 4 7 4 3 2" xfId="14855" xr:uid="{BA9F371D-4EDD-4444-A67C-4BDF23E2CD20}"/>
    <cellStyle name="Normal 2 4 7 4 4" xfId="10638" xr:uid="{A13466E3-E6A3-43B7-B89A-10F9AE0CFDD2}"/>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91CC5F08-3E28-449C-BE4C-DE67ACF5E2BB}"/>
    <cellStyle name="Normal 2 4 7 5 2 3" xfId="13196" xr:uid="{9D67D8DF-094C-4471-8F47-82F97EBE0F2C}"/>
    <cellStyle name="Normal 2 4 7 5 3" xfId="5942" xr:uid="{00000000-0005-0000-0000-0000F5100000}"/>
    <cellStyle name="Normal 2 4 7 5 3 2" xfId="15268" xr:uid="{394FEC87-F000-4DA5-BE41-965274D4DC6E}"/>
    <cellStyle name="Normal 2 4 7 5 4" xfId="11051" xr:uid="{A792A5DA-E4F2-4E1D-B26F-6C5F1F3742B4}"/>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2831EA5F-97D6-4ADB-B077-DF647BA3D022}"/>
    <cellStyle name="Normal 2 4 7 6 2 3" xfId="13609" xr:uid="{980A7154-FB56-4252-94D0-29B6CBCCD9DF}"/>
    <cellStyle name="Normal 2 4 7 6 3" xfId="6355" xr:uid="{00000000-0005-0000-0000-0000F9100000}"/>
    <cellStyle name="Normal 2 4 7 6 3 2" xfId="15681" xr:uid="{9CDF00AB-64C4-40CE-8EB4-4DABA24F94F4}"/>
    <cellStyle name="Normal 2 4 7 6 4" xfId="11464" xr:uid="{808F57DC-CBBA-4A52-9DD6-2E8C5F05113F}"/>
    <cellStyle name="Normal 2 4 7 7" xfId="2485" xr:uid="{00000000-0005-0000-0000-0000FA100000}"/>
    <cellStyle name="Normal 2 4 7 7 2" xfId="6768" xr:uid="{00000000-0005-0000-0000-0000FB100000}"/>
    <cellStyle name="Normal 2 4 7 7 2 2" xfId="16094" xr:uid="{D78AF16D-4FF3-402D-9F58-1BEB41121037}"/>
    <cellStyle name="Normal 2 4 7 7 3" xfId="11877" xr:uid="{92B22306-865A-495A-A4C8-7444866ED7BA}"/>
    <cellStyle name="Normal 2 4 7 8" xfId="4702" xr:uid="{00000000-0005-0000-0000-0000FC100000}"/>
    <cellStyle name="Normal 2 4 7 8 2" xfId="14028" xr:uid="{69815AE3-AA4E-401B-9BCF-12F8F64C5C33}"/>
    <cellStyle name="Normal 2 4 7 9" xfId="8851" xr:uid="{6946A6C1-9296-4D8F-B36F-8F7964FD7AC6}"/>
    <cellStyle name="Normal 2 4 7 9 2" xfId="18175" xr:uid="{980F8559-2358-4DAB-89AB-A0BF45B7DFB3}"/>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45ADC453-25ED-4EBE-870F-6806B665B3BD}"/>
    <cellStyle name="Normal 2 4 8 2 2 3" xfId="12372" xr:uid="{000F734D-1A07-460A-BCBD-054BCF326E38}"/>
    <cellStyle name="Normal 2 4 8 2 3" xfId="5118" xr:uid="{00000000-0005-0000-0000-000001110000}"/>
    <cellStyle name="Normal 2 4 8 2 3 2" xfId="14444" xr:uid="{06A01C1E-0D96-43CF-BF73-C4B3B4C3F6CB}"/>
    <cellStyle name="Normal 2 4 8 2 4" xfId="9392" xr:uid="{812B973E-E5C9-43CD-85B0-C8CA30BD9BF3}"/>
    <cellStyle name="Normal 2 4 8 2 4 2" xfId="18707" xr:uid="{6073A2BC-B263-46A8-9BBC-21E3B235E55E}"/>
    <cellStyle name="Normal 2 4 8 2 5" xfId="10227" xr:uid="{3509DD68-4F84-4421-A09D-F04288CDEBC4}"/>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BD0897C9-6D84-4056-8B2C-3AF17ADA01CE}"/>
    <cellStyle name="Normal 2 4 8 3 2 3" xfId="12785" xr:uid="{D04E5190-2FA2-4E4E-A861-A0ACB22B9005}"/>
    <cellStyle name="Normal 2 4 8 3 3" xfId="5531" xr:uid="{00000000-0005-0000-0000-000005110000}"/>
    <cellStyle name="Normal 2 4 8 3 3 2" xfId="14857" xr:uid="{EEF068D0-1C87-4C68-B4A6-D4B49740CDC8}"/>
    <cellStyle name="Normal 2 4 8 3 4" xfId="10640" xr:uid="{4D829115-BA8C-4D4F-B032-EA99DF7F6B6E}"/>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134A963E-8482-4BE8-A019-7527DE3FD108}"/>
    <cellStyle name="Normal 2 4 8 4 2 3" xfId="13198" xr:uid="{D0B4F6E3-C669-4F53-81C4-8E74B53E25FD}"/>
    <cellStyle name="Normal 2 4 8 4 3" xfId="5944" xr:uid="{00000000-0005-0000-0000-000009110000}"/>
    <cellStyle name="Normal 2 4 8 4 3 2" xfId="15270" xr:uid="{2F5022AF-7CD9-4BD2-AD21-D8FB7ACFFBD9}"/>
    <cellStyle name="Normal 2 4 8 4 4" xfId="11053" xr:uid="{FD35788E-869E-48F0-8864-0D11F17CC806}"/>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6DE892FB-F82D-4A26-81E2-96AFCAC7BD6D}"/>
    <cellStyle name="Normal 2 4 8 5 2 3" xfId="13611" xr:uid="{546A886B-C2B3-456D-A2C1-641393864FF8}"/>
    <cellStyle name="Normal 2 4 8 5 3" xfId="6357" xr:uid="{00000000-0005-0000-0000-00000D110000}"/>
    <cellStyle name="Normal 2 4 8 5 3 2" xfId="15683" xr:uid="{7E858470-F5E4-4C6C-876A-18ACB7D174D7}"/>
    <cellStyle name="Normal 2 4 8 5 4" xfId="11466" xr:uid="{531B2F7C-781C-418E-8D1D-3BE64B1D8696}"/>
    <cellStyle name="Normal 2 4 8 6" xfId="2487" xr:uid="{00000000-0005-0000-0000-00000E110000}"/>
    <cellStyle name="Normal 2 4 8 6 2" xfId="6770" xr:uid="{00000000-0005-0000-0000-00000F110000}"/>
    <cellStyle name="Normal 2 4 8 6 2 2" xfId="16096" xr:uid="{3C85BC54-0F06-4A21-AA40-CD105A31D213}"/>
    <cellStyle name="Normal 2 4 8 6 3" xfId="11879" xr:uid="{4D81DB20-42A9-4121-B6F1-7D4AD657A20A}"/>
    <cellStyle name="Normal 2 4 8 7" xfId="4704" xr:uid="{00000000-0005-0000-0000-000010110000}"/>
    <cellStyle name="Normal 2 4 8 7 2" xfId="14030" xr:uid="{075C4660-2331-43D0-ABFB-BEAB15941C58}"/>
    <cellStyle name="Normal 2 4 8 8" xfId="8967" xr:uid="{32AC97CD-D3FD-4AE1-A8B2-07BEA9D5DE52}"/>
    <cellStyle name="Normal 2 4 8 8 2" xfId="18291" xr:uid="{DC669294-A203-45B4-BD49-A3F9D3B3662F}"/>
    <cellStyle name="Normal 2 4 8 9" xfId="9813" xr:uid="{9347FDDD-3252-49BE-8D90-8F26D1ECBFC6}"/>
    <cellStyle name="Normal 2 4 9" xfId="9170" xr:uid="{5569C060-E090-4551-A44D-517EC3FD1834}"/>
    <cellStyle name="Normal 2 4 9 2" xfId="18488" xr:uid="{783C9EA5-B1EF-49E9-BA37-CEE9D30E53B5}"/>
    <cellStyle name="Normal 2 5" xfId="315" xr:uid="{00000000-0005-0000-0000-000011110000}"/>
    <cellStyle name="Normal 2 5 10" xfId="4705" xr:uid="{00000000-0005-0000-0000-000012110000}"/>
    <cellStyle name="Normal 2 5 10 2" xfId="14031" xr:uid="{4BACF9C5-AECF-4599-8598-7CABD87AA770}"/>
    <cellStyle name="Normal 2 5 11" xfId="9814" xr:uid="{80ADB64A-65AB-409F-8A40-DC607D705BA8}"/>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0C43DEE0-1A3F-4E29-9C14-24B4BCACC239}"/>
    <cellStyle name="Normal 2 5 4 11" xfId="9815" xr:uid="{2E334D4B-8FBD-4B01-936F-8528A65AF0EC}"/>
    <cellStyle name="Normal 2 5 4 2" xfId="319" xr:uid="{00000000-0005-0000-0000-000016110000}"/>
    <cellStyle name="Normal 2 5 4 2 10" xfId="9816" xr:uid="{DCD522A5-713E-4220-B0AD-A2D21A1E4464}"/>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87C15D41-E7E9-48DB-B83F-47A8D7ED5D3F}"/>
    <cellStyle name="Normal 2 5 4 2 2 2 2 3" xfId="12376" xr:uid="{CC3F3690-6F01-43D0-9304-F9B288095C8D}"/>
    <cellStyle name="Normal 2 5 4 2 2 2 3" xfId="5122" xr:uid="{00000000-0005-0000-0000-00001B110000}"/>
    <cellStyle name="Normal 2 5 4 2 2 2 3 2" xfId="14448" xr:uid="{95EBC267-8FB7-4E4A-83AE-D4C55E1A68C3}"/>
    <cellStyle name="Normal 2 5 4 2 2 2 4" xfId="9551" xr:uid="{392D7741-6781-4EA5-9C28-040053C1B05B}"/>
    <cellStyle name="Normal 2 5 4 2 2 2 4 2" xfId="18866" xr:uid="{A7963E75-5B55-44B4-A3D5-081D21205CDB}"/>
    <cellStyle name="Normal 2 5 4 2 2 2 5" xfId="10231" xr:uid="{FD636C48-05AC-44CA-A665-0C6817C3521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2D8F4071-FC40-47AF-8BEC-2DD4BF4E7547}"/>
    <cellStyle name="Normal 2 5 4 2 2 3 2 3" xfId="12789" xr:uid="{FBD51F89-EDC2-4E82-8A45-62A77DC71B17}"/>
    <cellStyle name="Normal 2 5 4 2 2 3 3" xfId="5535" xr:uid="{00000000-0005-0000-0000-00001F110000}"/>
    <cellStyle name="Normal 2 5 4 2 2 3 3 2" xfId="14861" xr:uid="{DDCC71DE-3B60-42D3-9A04-477F148E4551}"/>
    <cellStyle name="Normal 2 5 4 2 2 3 4" xfId="10644" xr:uid="{7125CD1F-B630-4C5F-8D15-BD21535A6FF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573212B4-884E-41CC-B33E-B520A606FE5E}"/>
    <cellStyle name="Normal 2 5 4 2 2 4 2 3" xfId="13202" xr:uid="{1D28369C-E872-4428-A152-C95656431F90}"/>
    <cellStyle name="Normal 2 5 4 2 2 4 3" xfId="5948" xr:uid="{00000000-0005-0000-0000-000023110000}"/>
    <cellStyle name="Normal 2 5 4 2 2 4 3 2" xfId="15274" xr:uid="{02B16930-1EFF-4326-9085-F25762CB1482}"/>
    <cellStyle name="Normal 2 5 4 2 2 4 4" xfId="11057" xr:uid="{3F7A89AB-5F4D-417D-A3EB-AB4B40AF1B96}"/>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621B0E83-62DB-4629-868A-2370FF161559}"/>
    <cellStyle name="Normal 2 5 4 2 2 5 2 3" xfId="13615" xr:uid="{2511B57A-DA83-4D0A-BD23-73068A940E4F}"/>
    <cellStyle name="Normal 2 5 4 2 2 5 3" xfId="6361" xr:uid="{00000000-0005-0000-0000-000027110000}"/>
    <cellStyle name="Normal 2 5 4 2 2 5 3 2" xfId="15687" xr:uid="{D969A30A-EAF6-4409-8DF1-D82F5D7AC832}"/>
    <cellStyle name="Normal 2 5 4 2 2 5 4" xfId="11470" xr:uid="{48A55B27-6149-4B8C-97DF-58F962D17B6C}"/>
    <cellStyle name="Normal 2 5 4 2 2 6" xfId="2491" xr:uid="{00000000-0005-0000-0000-000028110000}"/>
    <cellStyle name="Normal 2 5 4 2 2 6 2" xfId="6774" xr:uid="{00000000-0005-0000-0000-000029110000}"/>
    <cellStyle name="Normal 2 5 4 2 2 6 2 2" xfId="16100" xr:uid="{5B22A698-AB88-42AB-8A9C-9C4ACDDAB928}"/>
    <cellStyle name="Normal 2 5 4 2 2 6 3" xfId="11883" xr:uid="{8E35D1DE-2BEC-4D91-B439-3150A2420A78}"/>
    <cellStyle name="Normal 2 5 4 2 2 7" xfId="4708" xr:uid="{00000000-0005-0000-0000-00002A110000}"/>
    <cellStyle name="Normal 2 5 4 2 2 7 2" xfId="14034" xr:uid="{D6816D35-EE51-4436-A0B7-F0616FF8C373}"/>
    <cellStyle name="Normal 2 5 4 2 2 8" xfId="9126" xr:uid="{C2CF4AFD-4082-4555-941B-6E9759C32D63}"/>
    <cellStyle name="Normal 2 5 4 2 2 8 2" xfId="18450" xr:uid="{13E0BEA4-E983-49FD-907A-8124519F696B}"/>
    <cellStyle name="Normal 2 5 4 2 2 9" xfId="9817" xr:uid="{B98B90F2-191A-464C-9E12-8D39DE9878E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97E4BD7F-39A9-4BE8-96C8-730F0F73875A}"/>
    <cellStyle name="Normal 2 5 4 2 3 2 3" xfId="12375" xr:uid="{5B6657E9-766F-4152-9CA6-387F3A7E9E66}"/>
    <cellStyle name="Normal 2 5 4 2 3 3" xfId="5121" xr:uid="{00000000-0005-0000-0000-00002E110000}"/>
    <cellStyle name="Normal 2 5 4 2 3 3 2" xfId="14447" xr:uid="{260987AE-B41F-480C-9AB3-4225F605EE15}"/>
    <cellStyle name="Normal 2 5 4 2 3 4" xfId="9344" xr:uid="{207B8A34-09D9-4349-A9C7-5A5A998C6B6F}"/>
    <cellStyle name="Normal 2 5 4 2 3 4 2" xfId="18659" xr:uid="{DBBD2C8C-47E8-427F-9D37-CB3BF45E2489}"/>
    <cellStyle name="Normal 2 5 4 2 3 5" xfId="10230" xr:uid="{BA38E42A-CBCA-4995-8ECC-E438BF348ECE}"/>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A309D253-0464-411C-9FAE-339D52E8DA45}"/>
    <cellStyle name="Normal 2 5 4 2 4 2 3" xfId="12788" xr:uid="{0F8717BD-A1DC-4AB7-B33E-8D2CF3587429}"/>
    <cellStyle name="Normal 2 5 4 2 4 3" xfId="5534" xr:uid="{00000000-0005-0000-0000-000032110000}"/>
    <cellStyle name="Normal 2 5 4 2 4 3 2" xfId="14860" xr:uid="{6043B25C-9094-4837-9517-4A91436AEC5E}"/>
    <cellStyle name="Normal 2 5 4 2 4 4" xfId="10643" xr:uid="{CF3DD5B3-343B-4FDF-8465-F4B3C63C681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1CFDF416-E936-4590-B19D-9F82A6238315}"/>
    <cellStyle name="Normal 2 5 4 2 5 2 3" xfId="13201" xr:uid="{1A4640FF-9E00-4507-ABEA-9E51E54FFFA7}"/>
    <cellStyle name="Normal 2 5 4 2 5 3" xfId="5947" xr:uid="{00000000-0005-0000-0000-000036110000}"/>
    <cellStyle name="Normal 2 5 4 2 5 3 2" xfId="15273" xr:uid="{3BBFAEA1-9C3D-451B-A856-22486439400F}"/>
    <cellStyle name="Normal 2 5 4 2 5 4" xfId="11056" xr:uid="{7D3E63FF-C895-4FFA-B10C-A4098C83A30E}"/>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338F1D50-2DF4-4176-B70E-721AF8FB5CD4}"/>
    <cellStyle name="Normal 2 5 4 2 6 2 3" xfId="13614" xr:uid="{2596C7F2-E355-491B-AA0D-8473EB879DB1}"/>
    <cellStyle name="Normal 2 5 4 2 6 3" xfId="6360" xr:uid="{00000000-0005-0000-0000-00003A110000}"/>
    <cellStyle name="Normal 2 5 4 2 6 3 2" xfId="15686" xr:uid="{69B3E6FB-E19A-47D7-AA29-8767729FEEA8}"/>
    <cellStyle name="Normal 2 5 4 2 6 4" xfId="11469" xr:uid="{98CD74EE-6687-490F-AB97-ACF83B0CAD7B}"/>
    <cellStyle name="Normal 2 5 4 2 7" xfId="2490" xr:uid="{00000000-0005-0000-0000-00003B110000}"/>
    <cellStyle name="Normal 2 5 4 2 7 2" xfId="6773" xr:uid="{00000000-0005-0000-0000-00003C110000}"/>
    <cellStyle name="Normal 2 5 4 2 7 2 2" xfId="16099" xr:uid="{25321014-2DE5-4E8A-9C6D-64B9501C37CE}"/>
    <cellStyle name="Normal 2 5 4 2 7 3" xfId="11882" xr:uid="{C91336E3-A7AD-4E15-97BD-D21CB96DABF7}"/>
    <cellStyle name="Normal 2 5 4 2 8" xfId="4707" xr:uid="{00000000-0005-0000-0000-00003D110000}"/>
    <cellStyle name="Normal 2 5 4 2 8 2" xfId="14033" xr:uid="{3E30A5E4-742B-4D65-90E3-F0CC77A82FA1}"/>
    <cellStyle name="Normal 2 5 4 2 9" xfId="8919" xr:uid="{2A8C96F6-0F22-4271-BCA3-7E5B2E35A54F}"/>
    <cellStyle name="Normal 2 5 4 2 9 2" xfId="18243" xr:uid="{C9B1219D-DE49-485E-8179-DE56AD4DB672}"/>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8A6EBC30-6545-4F43-A5D5-182B4ED77242}"/>
    <cellStyle name="Normal 2 5 4 3 2 2 3" xfId="12377" xr:uid="{52C1BFE3-7E18-4CF4-B358-71A99966A41B}"/>
    <cellStyle name="Normal 2 5 4 3 2 3" xfId="5123" xr:uid="{00000000-0005-0000-0000-000042110000}"/>
    <cellStyle name="Normal 2 5 4 3 2 3 2" xfId="14449" xr:uid="{BD7A7296-1BF9-4747-A2F6-C834D31D5487}"/>
    <cellStyle name="Normal 2 5 4 3 2 4" xfId="9448" xr:uid="{0C1738F2-697E-4430-8A3F-E67747B3EDB0}"/>
    <cellStyle name="Normal 2 5 4 3 2 4 2" xfId="18763" xr:uid="{24840F35-7B7D-4910-99D1-F85E8516135A}"/>
    <cellStyle name="Normal 2 5 4 3 2 5" xfId="10232" xr:uid="{D2048183-2250-4867-88B3-618563BB5829}"/>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7B5744F2-FC99-40E9-A349-43FE06384255}"/>
    <cellStyle name="Normal 2 5 4 3 3 2 3" xfId="12790" xr:uid="{834C62EF-D0A8-427D-9F92-3B81145AE782}"/>
    <cellStyle name="Normal 2 5 4 3 3 3" xfId="5536" xr:uid="{00000000-0005-0000-0000-000046110000}"/>
    <cellStyle name="Normal 2 5 4 3 3 3 2" xfId="14862" xr:uid="{027F5DBA-BB1A-46E0-96AF-CACBED13A345}"/>
    <cellStyle name="Normal 2 5 4 3 3 4" xfId="10645" xr:uid="{3D5DCECD-C157-4B36-87F5-2A8E4CDBB2C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0EF0F936-0A5C-4280-95A6-B39DE2178C3C}"/>
    <cellStyle name="Normal 2 5 4 3 4 2 3" xfId="13203" xr:uid="{3FCE60D8-7E77-4AB1-A33A-9C25E0E5823E}"/>
    <cellStyle name="Normal 2 5 4 3 4 3" xfId="5949" xr:uid="{00000000-0005-0000-0000-00004A110000}"/>
    <cellStyle name="Normal 2 5 4 3 4 3 2" xfId="15275" xr:uid="{836EC4F9-C488-4E65-9168-BD6CDFE50D13}"/>
    <cellStyle name="Normal 2 5 4 3 4 4" xfId="11058" xr:uid="{258615BF-A69E-4321-9B57-27071F8A4320}"/>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18E79B7E-12FC-43AE-91A2-AA9DF69BA4C4}"/>
    <cellStyle name="Normal 2 5 4 3 5 2 3" xfId="13616" xr:uid="{39086F1C-5FB6-4D2D-9398-AB919046A079}"/>
    <cellStyle name="Normal 2 5 4 3 5 3" xfId="6362" xr:uid="{00000000-0005-0000-0000-00004E110000}"/>
    <cellStyle name="Normal 2 5 4 3 5 3 2" xfId="15688" xr:uid="{F8AA54F9-251D-4F98-9463-BCCC2988632A}"/>
    <cellStyle name="Normal 2 5 4 3 5 4" xfId="11471" xr:uid="{A7A44E84-A383-47D9-8C0F-3294A7499798}"/>
    <cellStyle name="Normal 2 5 4 3 6" xfId="2492" xr:uid="{00000000-0005-0000-0000-00004F110000}"/>
    <cellStyle name="Normal 2 5 4 3 6 2" xfId="6775" xr:uid="{00000000-0005-0000-0000-000050110000}"/>
    <cellStyle name="Normal 2 5 4 3 6 2 2" xfId="16101" xr:uid="{8D6576D3-1ED3-4DFB-8E25-7C02B1990A1E}"/>
    <cellStyle name="Normal 2 5 4 3 6 3" xfId="11884" xr:uid="{2A6917AF-6CAC-49BA-B5C9-CA86F6E9B5A0}"/>
    <cellStyle name="Normal 2 5 4 3 7" xfId="4709" xr:uid="{00000000-0005-0000-0000-000051110000}"/>
    <cellStyle name="Normal 2 5 4 3 7 2" xfId="14035" xr:uid="{270DEAEE-5622-4F6E-BD8E-8CF0655389B6}"/>
    <cellStyle name="Normal 2 5 4 3 8" xfId="9023" xr:uid="{9B869639-3DD4-4511-AD70-D5125D34938F}"/>
    <cellStyle name="Normal 2 5 4 3 8 2" xfId="18347" xr:uid="{C0BA6102-F803-44C9-93FC-78DCCB99F885}"/>
    <cellStyle name="Normal 2 5 4 3 9" xfId="9818" xr:uid="{9CEF76B8-3BEE-41DF-9A1D-AC9B361C969C}"/>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9891023E-A6AE-4B46-8814-DBEF070027D1}"/>
    <cellStyle name="Normal 2 5 4 4 2 3" xfId="12374" xr:uid="{F23FFC8A-86B8-401C-8DB5-DEBF595E89E3}"/>
    <cellStyle name="Normal 2 5 4 4 3" xfId="5120" xr:uid="{00000000-0005-0000-0000-000055110000}"/>
    <cellStyle name="Normal 2 5 4 4 3 2" xfId="14446" xr:uid="{544D1D26-FB45-49E4-972D-548E0B8F1E1D}"/>
    <cellStyle name="Normal 2 5 4 4 4" xfId="9241" xr:uid="{2BD2F05F-E4C9-46B4-B3C9-F0D081C1F38F}"/>
    <cellStyle name="Normal 2 5 4 4 4 2" xfId="18556" xr:uid="{344B26CA-B430-4D68-9C9C-E3C734D9EDAC}"/>
    <cellStyle name="Normal 2 5 4 4 5" xfId="10229" xr:uid="{61A3A48D-2BB7-4AAB-B923-4D58666C19FE}"/>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D15924CE-1172-450A-95B1-770A66DD8C7C}"/>
    <cellStyle name="Normal 2 5 4 5 2 3" xfId="12787" xr:uid="{9DF7A343-7E17-4B79-8FB0-63FFE63A6667}"/>
    <cellStyle name="Normal 2 5 4 5 3" xfId="5533" xr:uid="{00000000-0005-0000-0000-000059110000}"/>
    <cellStyle name="Normal 2 5 4 5 3 2" xfId="14859" xr:uid="{ECBC5FB3-29F0-4CB2-A27D-BCF7772C3095}"/>
    <cellStyle name="Normal 2 5 4 5 4" xfId="10642" xr:uid="{8A01E98D-3814-4F35-BC3B-A5080D580B3B}"/>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06082A2C-B0A5-4DBC-8A42-9A494DB9D4EF}"/>
    <cellStyle name="Normal 2 5 4 6 2 3" xfId="13200" xr:uid="{E548AB7A-5CE8-4AC3-BD53-BFA2D166B5A5}"/>
    <cellStyle name="Normal 2 5 4 6 3" xfId="5946" xr:uid="{00000000-0005-0000-0000-00005D110000}"/>
    <cellStyle name="Normal 2 5 4 6 3 2" xfId="15272" xr:uid="{A409947A-560A-4434-8F8B-CD7340E59C40}"/>
    <cellStyle name="Normal 2 5 4 6 4" xfId="11055" xr:uid="{50CB3ED9-D073-4E58-9DAA-A00CA36D75A3}"/>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1A22B75D-FE9C-4C4E-BC58-97C853B1FAD6}"/>
    <cellStyle name="Normal 2 5 4 7 2 3" xfId="13613" xr:uid="{A2281007-545F-463A-AFE8-7026B556CF07}"/>
    <cellStyle name="Normal 2 5 4 7 3" xfId="6359" xr:uid="{00000000-0005-0000-0000-000061110000}"/>
    <cellStyle name="Normal 2 5 4 7 3 2" xfId="15685" xr:uid="{C9BA4C0B-EBD3-4252-9FB0-6CA1EC6FA8D0}"/>
    <cellStyle name="Normal 2 5 4 7 4" xfId="11468" xr:uid="{2916084E-110D-43E4-B102-FB1FF317889A}"/>
    <cellStyle name="Normal 2 5 4 8" xfId="2489" xr:uid="{00000000-0005-0000-0000-000062110000}"/>
    <cellStyle name="Normal 2 5 4 8 2" xfId="6772" xr:uid="{00000000-0005-0000-0000-000063110000}"/>
    <cellStyle name="Normal 2 5 4 8 2 2" xfId="16098" xr:uid="{08E436E0-9B8D-4EB5-995B-F0F5501046AA}"/>
    <cellStyle name="Normal 2 5 4 8 3" xfId="11881" xr:uid="{792B7B83-D803-47FC-9AF6-5191F18E8FC4}"/>
    <cellStyle name="Normal 2 5 4 9" xfId="4706" xr:uid="{00000000-0005-0000-0000-000064110000}"/>
    <cellStyle name="Normal 2 5 4 9 2" xfId="14032" xr:uid="{1D425016-CAC2-475C-8479-306265D254BA}"/>
    <cellStyle name="Normal 2 5 5" xfId="803" xr:uid="{00000000-0005-0000-0000-000065110000}"/>
    <cellStyle name="Normal 2 5 5 2" xfId="3042" xr:uid="{00000000-0005-0000-0000-000066110000}"/>
    <cellStyle name="Normal 2 5 5 2 2" xfId="7264" xr:uid="{00000000-0005-0000-0000-000067110000}"/>
    <cellStyle name="Normal 2 5 5 2 2 2" xfId="16590" xr:uid="{315BD473-9C0E-414F-9BD7-840A19FAAD1F}"/>
    <cellStyle name="Normal 2 5 5 2 3" xfId="12373" xr:uid="{4C399C64-3817-4B1E-96A9-4C3569D83293}"/>
    <cellStyle name="Normal 2 5 5 3" xfId="5119" xr:uid="{00000000-0005-0000-0000-000068110000}"/>
    <cellStyle name="Normal 2 5 5 3 2" xfId="14445" xr:uid="{C9C76615-7471-479F-87FF-8B6F9550BDF4}"/>
    <cellStyle name="Normal 2 5 5 4" xfId="9606" xr:uid="{3AE4D77A-44EE-40C2-9F71-05FBDE2746B2}"/>
    <cellStyle name="Normal 2 5 5 4 2" xfId="18907" xr:uid="{98B443DA-D82E-4380-8E25-CBB8E0CF084C}"/>
    <cellStyle name="Normal 2 5 5 5" xfId="10228" xr:uid="{912B5EE9-F61C-4462-A1E3-C5130020AB38}"/>
    <cellStyle name="Normal 2 5 6" xfId="1225" xr:uid="{00000000-0005-0000-0000-000069110000}"/>
    <cellStyle name="Normal 2 5 6 2" xfId="3455" xr:uid="{00000000-0005-0000-0000-00006A110000}"/>
    <cellStyle name="Normal 2 5 6 2 2" xfId="7677" xr:uid="{00000000-0005-0000-0000-00006B110000}"/>
    <cellStyle name="Normal 2 5 6 2 2 2" xfId="17003" xr:uid="{AE170F41-DE7C-48CD-8647-0DF2D8D45C1C}"/>
    <cellStyle name="Normal 2 5 6 2 3" xfId="12786" xr:uid="{CDCDB3FA-DBFE-4B52-BDA6-376B645C2567}"/>
    <cellStyle name="Normal 2 5 6 3" xfId="5532" xr:uid="{00000000-0005-0000-0000-00006C110000}"/>
    <cellStyle name="Normal 2 5 6 3 2" xfId="14858" xr:uid="{AAEE00EE-354C-4FAF-91FC-5CDF0881EBF1}"/>
    <cellStyle name="Normal 2 5 6 4" xfId="10641" xr:uid="{12AEDD40-0F9E-4136-8208-E07EBCF73F48}"/>
    <cellStyle name="Normal 2 5 7" xfId="1638" xr:uid="{00000000-0005-0000-0000-00006D110000}"/>
    <cellStyle name="Normal 2 5 7 2" xfId="3868" xr:uid="{00000000-0005-0000-0000-00006E110000}"/>
    <cellStyle name="Normal 2 5 7 2 2" xfId="8090" xr:uid="{00000000-0005-0000-0000-00006F110000}"/>
    <cellStyle name="Normal 2 5 7 2 2 2" xfId="17416" xr:uid="{DBACD3EA-72B9-4CDF-9344-AF142395E62C}"/>
    <cellStyle name="Normal 2 5 7 2 3" xfId="13199" xr:uid="{FAAA3E74-81B3-4D83-BB80-7A1A286B9D1B}"/>
    <cellStyle name="Normal 2 5 7 3" xfId="5945" xr:uid="{00000000-0005-0000-0000-000070110000}"/>
    <cellStyle name="Normal 2 5 7 3 2" xfId="15271" xr:uid="{55F3791C-A560-49E2-8927-C5CBCCA92235}"/>
    <cellStyle name="Normal 2 5 7 4" xfId="11054" xr:uid="{2E999307-BCC1-41AB-AB27-F4C6B442C2C7}"/>
    <cellStyle name="Normal 2 5 8" xfId="2052" xr:uid="{00000000-0005-0000-0000-000071110000}"/>
    <cellStyle name="Normal 2 5 8 2" xfId="4281" xr:uid="{00000000-0005-0000-0000-000072110000}"/>
    <cellStyle name="Normal 2 5 8 2 2" xfId="8503" xr:uid="{00000000-0005-0000-0000-000073110000}"/>
    <cellStyle name="Normal 2 5 8 2 2 2" xfId="17829" xr:uid="{4391D29D-EDEC-4427-8379-57134CB174C1}"/>
    <cellStyle name="Normal 2 5 8 2 3" xfId="13612" xr:uid="{D47C0E90-2E62-4BBE-B454-6EA3681AE676}"/>
    <cellStyle name="Normal 2 5 8 3" xfId="6358" xr:uid="{00000000-0005-0000-0000-000074110000}"/>
    <cellStyle name="Normal 2 5 8 3 2" xfId="15684" xr:uid="{7202BBA1-3E51-43D4-A85B-1B67BBFD394A}"/>
    <cellStyle name="Normal 2 5 8 4" xfId="11467" xr:uid="{774C7092-419D-4E42-8F64-5C1F19E0EAF1}"/>
    <cellStyle name="Normal 2 5 9" xfId="2488" xr:uid="{00000000-0005-0000-0000-000075110000}"/>
    <cellStyle name="Normal 2 5 9 2" xfId="6771" xr:uid="{00000000-0005-0000-0000-000076110000}"/>
    <cellStyle name="Normal 2 5 9 2 2" xfId="16097" xr:uid="{6A4CC109-157D-4544-A82B-DCB0791E6164}"/>
    <cellStyle name="Normal 2 5 9 3" xfId="11880" xr:uid="{59CFB9C1-DADB-4809-A49D-5EC417ECA7BD}"/>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BCB8AE87-2491-4D1B-A4AA-20FE7ED06021}"/>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4A5DA100-5375-4B98-91CD-00B2BA7FB6FD}"/>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E716F989-7056-4DA6-934E-7C45880BA3F7}"/>
    <cellStyle name="Normal 3 2 3 11" xfId="9820" xr:uid="{23FFEF1E-06F3-42A1-8530-DFA9712C44D4}"/>
    <cellStyle name="Normal 3 2 3 2" xfId="327" xr:uid="{00000000-0005-0000-0000-00007F110000}"/>
    <cellStyle name="Normal 3 2 3 2 10" xfId="9821" xr:uid="{32CAD9C6-3C5D-4D56-AADC-E1AE79A20C1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2B7313EE-C95A-4EDC-A2D7-F32FDCC6284F}"/>
    <cellStyle name="Normal 3 2 3 2 2 2 2 3" xfId="12381" xr:uid="{EEEF8F49-D90E-431D-934A-575BE63D8FF5}"/>
    <cellStyle name="Normal 3 2 3 2 2 2 3" xfId="5127" xr:uid="{00000000-0005-0000-0000-000084110000}"/>
    <cellStyle name="Normal 3 2 3 2 2 2 3 2" xfId="14453" xr:uid="{47DF2875-1A95-48A7-A168-7E7B1A70A2D6}"/>
    <cellStyle name="Normal 3 2 3 2 2 2 4" xfId="9552" xr:uid="{54198C1B-8B77-4C07-BFED-28C4D4E00A0C}"/>
    <cellStyle name="Normal 3 2 3 2 2 2 4 2" xfId="18867" xr:uid="{70E2CCE0-170F-473F-9CAD-0965068D1BB1}"/>
    <cellStyle name="Normal 3 2 3 2 2 2 5" xfId="10236" xr:uid="{FB28A729-980C-4D6A-9446-96B296DB37C2}"/>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A0AD3F42-82E7-4506-A18E-C6B4E2FBE985}"/>
    <cellStyle name="Normal 3 2 3 2 2 3 2 3" xfId="12794" xr:uid="{C0624A30-023B-4A7C-9B7E-ECEE7710D10F}"/>
    <cellStyle name="Normal 3 2 3 2 2 3 3" xfId="5540" xr:uid="{00000000-0005-0000-0000-000088110000}"/>
    <cellStyle name="Normal 3 2 3 2 2 3 3 2" xfId="14866" xr:uid="{78FE86FC-F1C6-4C77-985A-BEEAC97B6EC5}"/>
    <cellStyle name="Normal 3 2 3 2 2 3 4" xfId="10649" xr:uid="{3FCC4B99-52E2-4BB2-B0A1-F3A039D3EC4F}"/>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85C25A40-61AC-4B0F-8904-EFC6D2B4DD2D}"/>
    <cellStyle name="Normal 3 2 3 2 2 4 2 3" xfId="13207" xr:uid="{CD71F6DD-B00C-468E-B1B1-F7D0EE24C28F}"/>
    <cellStyle name="Normal 3 2 3 2 2 4 3" xfId="5953" xr:uid="{00000000-0005-0000-0000-00008C110000}"/>
    <cellStyle name="Normal 3 2 3 2 2 4 3 2" xfId="15279" xr:uid="{5B6F3B7D-B3C2-45A5-AC04-2F69623A70E9}"/>
    <cellStyle name="Normal 3 2 3 2 2 4 4" xfId="11062" xr:uid="{E6869FBD-7FD9-443E-BDD8-1E66DDEF349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86E2FFE9-DBBE-4A70-9F12-F128CAE03D07}"/>
    <cellStyle name="Normal 3 2 3 2 2 5 2 3" xfId="13620" xr:uid="{8C74108E-0755-489E-BF3E-D32839444DB2}"/>
    <cellStyle name="Normal 3 2 3 2 2 5 3" xfId="6366" xr:uid="{00000000-0005-0000-0000-000090110000}"/>
    <cellStyle name="Normal 3 2 3 2 2 5 3 2" xfId="15692" xr:uid="{DBED2CCC-E811-4A12-B4C3-91B590557B8C}"/>
    <cellStyle name="Normal 3 2 3 2 2 5 4" xfId="11475" xr:uid="{D7C4A5B3-ED6F-431D-8EAF-401B35086457}"/>
    <cellStyle name="Normal 3 2 3 2 2 6" xfId="2496" xr:uid="{00000000-0005-0000-0000-000091110000}"/>
    <cellStyle name="Normal 3 2 3 2 2 6 2" xfId="6779" xr:uid="{00000000-0005-0000-0000-000092110000}"/>
    <cellStyle name="Normal 3 2 3 2 2 6 2 2" xfId="16105" xr:uid="{E8DEC2E1-2C57-47E7-A760-F53C999C0509}"/>
    <cellStyle name="Normal 3 2 3 2 2 6 3" xfId="11888" xr:uid="{3EA65509-8BF9-4BAA-8D65-B5B2A22C993E}"/>
    <cellStyle name="Normal 3 2 3 2 2 7" xfId="4713" xr:uid="{00000000-0005-0000-0000-000093110000}"/>
    <cellStyle name="Normal 3 2 3 2 2 7 2" xfId="14039" xr:uid="{189E2312-B2E3-49ED-B2C7-004BE32B58C9}"/>
    <cellStyle name="Normal 3 2 3 2 2 8" xfId="9127" xr:uid="{0583B12A-AAD6-4358-9C0C-42D6EBC3DFD8}"/>
    <cellStyle name="Normal 3 2 3 2 2 8 2" xfId="18451" xr:uid="{15E7BA61-4802-4084-95D1-D32149D9FDBB}"/>
    <cellStyle name="Normal 3 2 3 2 2 9" xfId="9822" xr:uid="{9D7DBEBF-BD92-4662-AFBD-EBFF79AED022}"/>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3DBB8B84-76F5-459B-ABB5-6E15650F66A1}"/>
    <cellStyle name="Normal 3 2 3 2 3 2 3" xfId="12380" xr:uid="{7F95E49F-7BF8-449D-AAF5-DE8CF4EC831B}"/>
    <cellStyle name="Normal 3 2 3 2 3 3" xfId="5126" xr:uid="{00000000-0005-0000-0000-000097110000}"/>
    <cellStyle name="Normal 3 2 3 2 3 3 2" xfId="14452" xr:uid="{3963FB6B-F7C1-401D-839E-CA074A294838}"/>
    <cellStyle name="Normal 3 2 3 2 3 4" xfId="9345" xr:uid="{C34A3811-3C7F-4E99-A17A-CCF74A426C86}"/>
    <cellStyle name="Normal 3 2 3 2 3 4 2" xfId="18660" xr:uid="{58A63C0E-E6EA-4805-AE26-89377F536DC5}"/>
    <cellStyle name="Normal 3 2 3 2 3 5" xfId="10235" xr:uid="{23CC78F9-BB3A-41B0-AEF5-9E749503DC0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AB43F62C-24BF-4A87-9BD7-6D32013CDA9A}"/>
    <cellStyle name="Normal 3 2 3 2 4 2 3" xfId="12793" xr:uid="{BF7B3C59-7D3F-4286-A4AF-51ADB201EFD2}"/>
    <cellStyle name="Normal 3 2 3 2 4 3" xfId="5539" xr:uid="{00000000-0005-0000-0000-00009B110000}"/>
    <cellStyle name="Normal 3 2 3 2 4 3 2" xfId="14865" xr:uid="{83E302D0-DA05-4BE9-8DA5-B7D0821A9374}"/>
    <cellStyle name="Normal 3 2 3 2 4 4" xfId="10648" xr:uid="{32C9F48E-34BD-4776-BD44-B7CBAFDBA3BF}"/>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3A5C37AE-B47F-4E69-B05A-614040837E11}"/>
    <cellStyle name="Normal 3 2 3 2 5 2 3" xfId="13206" xr:uid="{209595D4-7C64-4550-82C3-F6D78EBF8FA5}"/>
    <cellStyle name="Normal 3 2 3 2 5 3" xfId="5952" xr:uid="{00000000-0005-0000-0000-00009F110000}"/>
    <cellStyle name="Normal 3 2 3 2 5 3 2" xfId="15278" xr:uid="{488CF9D5-62BD-42C4-91FC-DBBD7053D0DB}"/>
    <cellStyle name="Normal 3 2 3 2 5 4" xfId="11061" xr:uid="{FA66195C-964B-4EAF-8240-B04AA3B963A8}"/>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E56BCC90-75CC-4BD5-A798-51B514B3D981}"/>
    <cellStyle name="Normal 3 2 3 2 6 2 3" xfId="13619" xr:uid="{231ECEF7-AF77-40F8-B884-0BA0A6075C2B}"/>
    <cellStyle name="Normal 3 2 3 2 6 3" xfId="6365" xr:uid="{00000000-0005-0000-0000-0000A3110000}"/>
    <cellStyle name="Normal 3 2 3 2 6 3 2" xfId="15691" xr:uid="{52B5C0A2-9903-4EB0-BB1B-5AE52AB9C939}"/>
    <cellStyle name="Normal 3 2 3 2 6 4" xfId="11474" xr:uid="{009FE1EF-91DC-4C75-A83C-F8F915808815}"/>
    <cellStyle name="Normal 3 2 3 2 7" xfId="2495" xr:uid="{00000000-0005-0000-0000-0000A4110000}"/>
    <cellStyle name="Normal 3 2 3 2 7 2" xfId="6778" xr:uid="{00000000-0005-0000-0000-0000A5110000}"/>
    <cellStyle name="Normal 3 2 3 2 7 2 2" xfId="16104" xr:uid="{162C5A54-912E-4A66-A471-75D713943D10}"/>
    <cellStyle name="Normal 3 2 3 2 7 3" xfId="11887" xr:uid="{562E8CD5-96B7-43DE-9336-66228A783C95}"/>
    <cellStyle name="Normal 3 2 3 2 8" xfId="4712" xr:uid="{00000000-0005-0000-0000-0000A6110000}"/>
    <cellStyle name="Normal 3 2 3 2 8 2" xfId="14038" xr:uid="{79C3A0A0-3BC6-46F2-9D30-3966EC8FFD9A}"/>
    <cellStyle name="Normal 3 2 3 2 9" xfId="8920" xr:uid="{D9E0825A-068A-435C-BDBE-2C0571A11FAF}"/>
    <cellStyle name="Normal 3 2 3 2 9 2" xfId="18244" xr:uid="{060EE58E-9944-4F0E-8A1E-DC4A14795D77}"/>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C52620F3-37F8-43D8-BA07-388356DBA480}"/>
    <cellStyle name="Normal 3 2 3 3 2 2 3" xfId="12382" xr:uid="{285EBD47-5093-4631-BA83-69F4CE77E2CE}"/>
    <cellStyle name="Normal 3 2 3 3 2 3" xfId="5128" xr:uid="{00000000-0005-0000-0000-0000AB110000}"/>
    <cellStyle name="Normal 3 2 3 3 2 3 2" xfId="14454" xr:uid="{6DFD9A49-6A2A-4404-8F8D-AF9DB6B64C6C}"/>
    <cellStyle name="Normal 3 2 3 3 2 4" xfId="9449" xr:uid="{7F58A2DC-DF16-44D1-8D09-04DD41EF4468}"/>
    <cellStyle name="Normal 3 2 3 3 2 4 2" xfId="18764" xr:uid="{160D2CC0-C10C-485E-AAFB-E5CD4637D390}"/>
    <cellStyle name="Normal 3 2 3 3 2 5" xfId="10237" xr:uid="{A2448F39-5D7A-4081-8055-1EA8BB12C5D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7538AD2E-8DEE-46E5-B7F6-B71CFCDEFA56}"/>
    <cellStyle name="Normal 3 2 3 3 3 2 3" xfId="12795" xr:uid="{C7F164AC-04A3-4FF9-9887-2225D735DFC7}"/>
    <cellStyle name="Normal 3 2 3 3 3 3" xfId="5541" xr:uid="{00000000-0005-0000-0000-0000AF110000}"/>
    <cellStyle name="Normal 3 2 3 3 3 3 2" xfId="14867" xr:uid="{7C793B50-F33B-4943-B105-A7D1EB4F99A9}"/>
    <cellStyle name="Normal 3 2 3 3 3 4" xfId="10650" xr:uid="{592A5623-4E25-408C-BD19-04A07B2C84C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4AA1F789-1FC5-4B27-918C-6F654A985AAF}"/>
    <cellStyle name="Normal 3 2 3 3 4 2 3" xfId="13208" xr:uid="{DB794CDD-AC8E-44C7-8AB5-F8FA92270129}"/>
    <cellStyle name="Normal 3 2 3 3 4 3" xfId="5954" xr:uid="{00000000-0005-0000-0000-0000B3110000}"/>
    <cellStyle name="Normal 3 2 3 3 4 3 2" xfId="15280" xr:uid="{F6784B19-A325-4F1F-814C-022BFD5562B6}"/>
    <cellStyle name="Normal 3 2 3 3 4 4" xfId="11063" xr:uid="{3E741B30-43CB-4CEF-BBE6-FFF94CE03E7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E32CDBFB-7217-4575-83CC-3EA9564E94CD}"/>
    <cellStyle name="Normal 3 2 3 3 5 2 3" xfId="13621" xr:uid="{67AAD63C-2C66-49C4-8164-F2442ECD7804}"/>
    <cellStyle name="Normal 3 2 3 3 5 3" xfId="6367" xr:uid="{00000000-0005-0000-0000-0000B7110000}"/>
    <cellStyle name="Normal 3 2 3 3 5 3 2" xfId="15693" xr:uid="{EAA789C2-3C6D-4D5E-8BC0-E06B2AB7941E}"/>
    <cellStyle name="Normal 3 2 3 3 5 4" xfId="11476" xr:uid="{E9A028BE-5A75-4415-8E8C-F1737CACD771}"/>
    <cellStyle name="Normal 3 2 3 3 6" xfId="2497" xr:uid="{00000000-0005-0000-0000-0000B8110000}"/>
    <cellStyle name="Normal 3 2 3 3 6 2" xfId="6780" xr:uid="{00000000-0005-0000-0000-0000B9110000}"/>
    <cellStyle name="Normal 3 2 3 3 6 2 2" xfId="16106" xr:uid="{FFBD5579-730D-471F-AFDF-86AB81E3C297}"/>
    <cellStyle name="Normal 3 2 3 3 6 3" xfId="11889" xr:uid="{442D8064-FCC4-426B-B392-01487BCB889C}"/>
    <cellStyle name="Normal 3 2 3 3 7" xfId="4714" xr:uid="{00000000-0005-0000-0000-0000BA110000}"/>
    <cellStyle name="Normal 3 2 3 3 7 2" xfId="14040" xr:uid="{2F10ED0B-20BA-4F44-89AA-9917B80E5C1D}"/>
    <cellStyle name="Normal 3 2 3 3 8" xfId="9024" xr:uid="{AE2F680F-18A3-47B5-ADCF-6BEAD71D50CE}"/>
    <cellStyle name="Normal 3 2 3 3 8 2" xfId="18348" xr:uid="{F9663A0D-C2F2-4CEE-9018-A2B955FC36B2}"/>
    <cellStyle name="Normal 3 2 3 3 9" xfId="9823" xr:uid="{E2FAC91A-AE78-4E69-B13A-32FB17BC09F0}"/>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15E9A9DA-A295-458D-B627-CE2AD6C749AE}"/>
    <cellStyle name="Normal 3 2 3 4 2 3" xfId="12379" xr:uid="{79AC46F6-3091-4BC1-B0D8-0E4B8F63F383}"/>
    <cellStyle name="Normal 3 2 3 4 3" xfId="5125" xr:uid="{00000000-0005-0000-0000-0000BE110000}"/>
    <cellStyle name="Normal 3 2 3 4 3 2" xfId="14451" xr:uid="{4F8118BC-24AE-4455-B086-573D8A928AD7}"/>
    <cellStyle name="Normal 3 2 3 4 4" xfId="9242" xr:uid="{05AEEDFF-7EEB-40DB-B13D-145C971A771B}"/>
    <cellStyle name="Normal 3 2 3 4 4 2" xfId="18557" xr:uid="{77ABA975-F8BA-4369-AA40-D1E1221D2BB3}"/>
    <cellStyle name="Normal 3 2 3 4 5" xfId="10234" xr:uid="{140EB2FE-7F99-4C24-B326-C61017A2C579}"/>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C51C444D-6A08-4855-A4AF-588CE6B41025}"/>
    <cellStyle name="Normal 3 2 3 5 2 3" xfId="12792" xr:uid="{4384D85D-95F1-4723-99AD-55FC1411A81F}"/>
    <cellStyle name="Normal 3 2 3 5 3" xfId="5538" xr:uid="{00000000-0005-0000-0000-0000C2110000}"/>
    <cellStyle name="Normal 3 2 3 5 3 2" xfId="14864" xr:uid="{7C584EF1-1DB5-46AC-85E0-688D4CBB476F}"/>
    <cellStyle name="Normal 3 2 3 5 4" xfId="10647" xr:uid="{F2D1BD71-10BC-4873-AD4F-F55DABD5D3A1}"/>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7BB7C978-F5D3-4B99-BD63-90047ED3D445}"/>
    <cellStyle name="Normal 3 2 3 6 2 3" xfId="13205" xr:uid="{9F9BAC6F-1E2A-4A2E-B0C2-802C8A42C5A9}"/>
    <cellStyle name="Normal 3 2 3 6 3" xfId="5951" xr:uid="{00000000-0005-0000-0000-0000C6110000}"/>
    <cellStyle name="Normal 3 2 3 6 3 2" xfId="15277" xr:uid="{C919CC59-91ED-40AA-B6C9-EE3B6B1F00CE}"/>
    <cellStyle name="Normal 3 2 3 6 4" xfId="11060" xr:uid="{2F6ED803-E21B-4A5E-9DB4-8E53C03885AA}"/>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CB981AC9-101B-4CD0-B4D4-865C2FD55955}"/>
    <cellStyle name="Normal 3 2 3 7 2 3" xfId="13618" xr:uid="{4E490F47-809A-4018-B6E2-D92859E0C163}"/>
    <cellStyle name="Normal 3 2 3 7 3" xfId="6364" xr:uid="{00000000-0005-0000-0000-0000CA110000}"/>
    <cellStyle name="Normal 3 2 3 7 3 2" xfId="15690" xr:uid="{F10D819A-2DB1-469C-8E49-77350775B004}"/>
    <cellStyle name="Normal 3 2 3 7 4" xfId="11473" xr:uid="{81650E87-6805-4916-81E0-856694BFE5CD}"/>
    <cellStyle name="Normal 3 2 3 8" xfId="2494" xr:uid="{00000000-0005-0000-0000-0000CB110000}"/>
    <cellStyle name="Normal 3 2 3 8 2" xfId="6777" xr:uid="{00000000-0005-0000-0000-0000CC110000}"/>
    <cellStyle name="Normal 3 2 3 8 2 2" xfId="16103" xr:uid="{E7F868AE-E4AA-47F6-BFF4-D3676F361BC7}"/>
    <cellStyle name="Normal 3 2 3 8 3" xfId="11886" xr:uid="{E8BB20B4-8595-412F-9960-3A1A443912F9}"/>
    <cellStyle name="Normal 3 2 3 9" xfId="4711" xr:uid="{00000000-0005-0000-0000-0000CD110000}"/>
    <cellStyle name="Normal 3 2 3 9 2" xfId="14037" xr:uid="{210D9DC1-C50E-482C-92D7-8BEBD4C9904B}"/>
    <cellStyle name="Normal 3 2 4" xfId="809" xr:uid="{00000000-0005-0000-0000-0000CE110000}"/>
    <cellStyle name="Normal 3 2 4 2" xfId="3047" xr:uid="{00000000-0005-0000-0000-0000CF110000}"/>
    <cellStyle name="Normal 3 2 4 2 2" xfId="7269" xr:uid="{00000000-0005-0000-0000-0000D0110000}"/>
    <cellStyle name="Normal 3 2 4 2 2 2" xfId="16595" xr:uid="{D53D79F1-1481-4DFF-B1FB-30A63C0E7EC4}"/>
    <cellStyle name="Normal 3 2 4 2 3" xfId="12378" xr:uid="{6B8665FE-D222-4A37-AD23-8008CD5EE6E2}"/>
    <cellStyle name="Normal 3 2 4 3" xfId="5124" xr:uid="{00000000-0005-0000-0000-0000D1110000}"/>
    <cellStyle name="Normal 3 2 4 3 2" xfId="14450" xr:uid="{42899E0B-6AD4-4CBA-8F2C-B99924FB336B}"/>
    <cellStyle name="Normal 3 2 4 4" xfId="9607" xr:uid="{7D769806-7069-4B8D-8CAC-B3B91BBA8D64}"/>
    <cellStyle name="Normal 3 2 4 4 2" xfId="18908" xr:uid="{67E344D8-4CA6-4174-84A4-A623357E8903}"/>
    <cellStyle name="Normal 3 2 4 5" xfId="10233" xr:uid="{5D37287C-9A93-475B-AA84-57E77FF0B612}"/>
    <cellStyle name="Normal 3 2 5" xfId="1230" xr:uid="{00000000-0005-0000-0000-0000D2110000}"/>
    <cellStyle name="Normal 3 2 5 2" xfId="3460" xr:uid="{00000000-0005-0000-0000-0000D3110000}"/>
    <cellStyle name="Normal 3 2 5 2 2" xfId="7682" xr:uid="{00000000-0005-0000-0000-0000D4110000}"/>
    <cellStyle name="Normal 3 2 5 2 2 2" xfId="17008" xr:uid="{F996B465-7D9C-4C62-A6ED-2B3EC0087FD3}"/>
    <cellStyle name="Normal 3 2 5 2 3" xfId="12791" xr:uid="{AC5D18E4-84D8-4055-8F10-195C4A0F835D}"/>
    <cellStyle name="Normal 3 2 5 3" xfId="5537" xr:uid="{00000000-0005-0000-0000-0000D5110000}"/>
    <cellStyle name="Normal 3 2 5 3 2" xfId="14863" xr:uid="{D4041DE9-D4D4-4FF4-9FF7-579E474028BF}"/>
    <cellStyle name="Normal 3 2 5 4" xfId="10646" xr:uid="{0F9CC584-A264-4E3C-ABB0-B3C26EAAC3FC}"/>
    <cellStyle name="Normal 3 2 6" xfId="1643" xr:uid="{00000000-0005-0000-0000-0000D6110000}"/>
    <cellStyle name="Normal 3 2 6 2" xfId="3873" xr:uid="{00000000-0005-0000-0000-0000D7110000}"/>
    <cellStyle name="Normal 3 2 6 2 2" xfId="8095" xr:uid="{00000000-0005-0000-0000-0000D8110000}"/>
    <cellStyle name="Normal 3 2 6 2 2 2" xfId="17421" xr:uid="{1896D026-1E65-49DA-B811-6D798F074642}"/>
    <cellStyle name="Normal 3 2 6 2 3" xfId="13204" xr:uid="{56A7E1BC-F747-48F4-9A2E-EBB57C12DC6D}"/>
    <cellStyle name="Normal 3 2 6 3" xfId="5950" xr:uid="{00000000-0005-0000-0000-0000D9110000}"/>
    <cellStyle name="Normal 3 2 6 3 2" xfId="15276" xr:uid="{7731B99A-1CD3-4FC8-A099-3537CD13C508}"/>
    <cellStyle name="Normal 3 2 6 4" xfId="11059" xr:uid="{EB2A8136-2FA3-49ED-838C-0BC82788B240}"/>
    <cellStyle name="Normal 3 2 7" xfId="2057" xr:uid="{00000000-0005-0000-0000-0000DA110000}"/>
    <cellStyle name="Normal 3 2 7 2" xfId="4286" xr:uid="{00000000-0005-0000-0000-0000DB110000}"/>
    <cellStyle name="Normal 3 2 7 2 2" xfId="8508" xr:uid="{00000000-0005-0000-0000-0000DC110000}"/>
    <cellStyle name="Normal 3 2 7 2 2 2" xfId="17834" xr:uid="{B7D6344E-B0C4-4309-BF31-E7F5C02741E5}"/>
    <cellStyle name="Normal 3 2 7 2 3" xfId="13617" xr:uid="{7C7A8183-4AB6-42CF-BDEF-9F99A935F5E0}"/>
    <cellStyle name="Normal 3 2 7 3" xfId="6363" xr:uid="{00000000-0005-0000-0000-0000DD110000}"/>
    <cellStyle name="Normal 3 2 7 3 2" xfId="15689" xr:uid="{7F981E6D-8009-4C17-AE24-D81E9A717683}"/>
    <cellStyle name="Normal 3 2 7 4" xfId="11472" xr:uid="{DB0457BD-0366-4B53-A678-C3824B77BD84}"/>
    <cellStyle name="Normal 3 2 8" xfId="2493" xr:uid="{00000000-0005-0000-0000-0000DE110000}"/>
    <cellStyle name="Normal 3 2 8 2" xfId="6776" xr:uid="{00000000-0005-0000-0000-0000DF110000}"/>
    <cellStyle name="Normal 3 2 8 2 2" xfId="16102" xr:uid="{E50AE84C-DCDF-44D0-9B4E-C9895502BFA7}"/>
    <cellStyle name="Normal 3 2 8 3" xfId="11885" xr:uid="{D2196D5D-07CA-41F2-96BC-8ABBE998A3D7}"/>
    <cellStyle name="Normal 3 2 9" xfId="4710" xr:uid="{00000000-0005-0000-0000-0000E0110000}"/>
    <cellStyle name="Normal 3 2 9 2" xfId="14036" xr:uid="{54198FFB-8FB5-4714-B5FA-F4B75151032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23269E86-0014-4BD5-BE50-1ED1C608D54C}"/>
    <cellStyle name="Normal 4 11" xfId="9824" xr:uid="{D9EC2321-B3E8-4B3A-861F-E3B839CAE16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D34FC557-0406-4600-8634-77463F715387}"/>
    <cellStyle name="Normal 4 2 2 10 2 3" xfId="13622" xr:uid="{4503108B-CB7B-4D1A-BABA-6A06F177FB0A}"/>
    <cellStyle name="Normal 4 2 2 10 3" xfId="6368" xr:uid="{00000000-0005-0000-0000-0000ED110000}"/>
    <cellStyle name="Normal 4 2 2 10 3 2" xfId="15694" xr:uid="{1B72A221-2447-482D-A4CB-BAD1817EA78A}"/>
    <cellStyle name="Normal 4 2 2 10 4" xfId="11477" xr:uid="{421ADBF4-6E21-418F-AC5E-E08D95DE8867}"/>
    <cellStyle name="Normal 4 2 2 11" xfId="2498" xr:uid="{00000000-0005-0000-0000-0000EE110000}"/>
    <cellStyle name="Normal 4 2 2 11 2" xfId="6781" xr:uid="{00000000-0005-0000-0000-0000EF110000}"/>
    <cellStyle name="Normal 4 2 2 11 2 2" xfId="16107" xr:uid="{8AF6964F-1F7C-46E5-925F-FFD890482DF0}"/>
    <cellStyle name="Normal 4 2 2 11 3" xfId="11890" xr:uid="{DB30D611-4B9B-4253-9622-3C4CDE520076}"/>
    <cellStyle name="Normal 4 2 2 12" xfId="4716" xr:uid="{00000000-0005-0000-0000-0000F0110000}"/>
    <cellStyle name="Normal 4 2 2 12 2" xfId="14042" xr:uid="{477C4370-2C67-435D-B635-1037599DBA1D}"/>
    <cellStyle name="Normal 4 2 2 13" xfId="8752" xr:uid="{7B61EFAC-4165-4615-9A47-7AF5DAE027C9}"/>
    <cellStyle name="Normal 4 2 2 13 2" xfId="18076" xr:uid="{CDC310E2-5057-49DA-9F9F-A9033A295C95}"/>
    <cellStyle name="Normal 4 2 2 14" xfId="9825" xr:uid="{0F9CD790-C3F5-44DF-BA45-BF81F1D94444}"/>
    <cellStyle name="Normal 4 2 2 2" xfId="338" xr:uid="{00000000-0005-0000-0000-0000F1110000}"/>
    <cellStyle name="Normal 4 2 2 3" xfId="339" xr:uid="{00000000-0005-0000-0000-0000F2110000}"/>
    <cellStyle name="Normal 4 2 2 3 10" xfId="4717" xr:uid="{00000000-0005-0000-0000-0000F3110000}"/>
    <cellStyle name="Normal 4 2 2 3 10 2" xfId="14043" xr:uid="{69D23F0D-6235-49E6-9504-E8007C250EFA}"/>
    <cellStyle name="Normal 4 2 2 3 11" xfId="8784" xr:uid="{8AA3A883-811C-4C4A-AFFF-9AAED56BF228}"/>
    <cellStyle name="Normal 4 2 2 3 11 2" xfId="18108" xr:uid="{5752E0B1-D446-4C10-9DF9-CBF7D26DE7F8}"/>
    <cellStyle name="Normal 4 2 2 3 12" xfId="9826" xr:uid="{4BB4A823-379C-4944-9B04-6E4A26147853}"/>
    <cellStyle name="Normal 4 2 2 3 2" xfId="340" xr:uid="{00000000-0005-0000-0000-0000F4110000}"/>
    <cellStyle name="Normal 4 2 2 3 2 10" xfId="8819" xr:uid="{16629302-3759-4242-B07E-BB5D034B10E8}"/>
    <cellStyle name="Normal 4 2 2 3 2 10 2" xfId="18143" xr:uid="{CEE33423-7DCA-4274-91D8-3F34ADAB7D5A}"/>
    <cellStyle name="Normal 4 2 2 3 2 11" xfId="9827" xr:uid="{1EA69977-5169-469F-9850-2349309FA4B0}"/>
    <cellStyle name="Normal 4 2 2 3 2 2" xfId="341" xr:uid="{00000000-0005-0000-0000-0000F5110000}"/>
    <cellStyle name="Normal 4 2 2 3 2 2 10" xfId="9828" xr:uid="{F8ED5CE6-B9DF-4483-82DE-D5ABEE161B82}"/>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27A0EB0B-A6EF-4E0C-BA7D-BC0F2865DF0C}"/>
    <cellStyle name="Normal 4 2 2 3 2 2 2 2 2 3" xfId="12387" xr:uid="{20DD2F1B-84BC-42CB-B427-6F174C6864C0}"/>
    <cellStyle name="Normal 4 2 2 3 2 2 2 2 3" xfId="5133" xr:uid="{00000000-0005-0000-0000-0000FA110000}"/>
    <cellStyle name="Normal 4 2 2 3 2 2 2 2 3 2" xfId="14459" xr:uid="{EBA48442-7D3A-4776-98A3-80005809B190}"/>
    <cellStyle name="Normal 4 2 2 3 2 2 2 2 4" xfId="9554" xr:uid="{BAC669EC-8948-4716-90C3-0688F03300CE}"/>
    <cellStyle name="Normal 4 2 2 3 2 2 2 2 4 2" xfId="18869" xr:uid="{DEAF6358-B51D-46AA-907F-1D95D72B9FE1}"/>
    <cellStyle name="Normal 4 2 2 3 2 2 2 2 5" xfId="10242" xr:uid="{0DEE25EC-72A6-420F-9A99-B42E7F84BB2C}"/>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B8FE3D9E-D7B1-4166-BD41-2DB16BC42B9F}"/>
    <cellStyle name="Normal 4 2 2 3 2 2 2 3 2 3" xfId="12800" xr:uid="{A6B3657E-866A-42A2-8545-28CF89435324}"/>
    <cellStyle name="Normal 4 2 2 3 2 2 2 3 3" xfId="5546" xr:uid="{00000000-0005-0000-0000-0000FE110000}"/>
    <cellStyle name="Normal 4 2 2 3 2 2 2 3 3 2" xfId="14872" xr:uid="{02CCA88A-63A1-408A-8266-5F6A5644004D}"/>
    <cellStyle name="Normal 4 2 2 3 2 2 2 3 4" xfId="10655" xr:uid="{D78CD2DC-3176-4D72-8924-8F227BF50EBD}"/>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DF8CD5DD-BEEB-4539-8B92-2A8F1194BC54}"/>
    <cellStyle name="Normal 4 2 2 3 2 2 2 4 2 3" xfId="13213" xr:uid="{E384FDE4-8B55-4057-9A3F-5FCA61E9C21D}"/>
    <cellStyle name="Normal 4 2 2 3 2 2 2 4 3" xfId="5959" xr:uid="{00000000-0005-0000-0000-000002120000}"/>
    <cellStyle name="Normal 4 2 2 3 2 2 2 4 3 2" xfId="15285" xr:uid="{9FB2199D-68CF-4568-8589-9C72F2B46BCD}"/>
    <cellStyle name="Normal 4 2 2 3 2 2 2 4 4" xfId="11068" xr:uid="{E1A88225-DA02-45B9-A8DE-1A47DADFEDC6}"/>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8C23EF40-7074-45D5-807D-1F791889BFDC}"/>
    <cellStyle name="Normal 4 2 2 3 2 2 2 5 2 3" xfId="13626" xr:uid="{F269AC52-EFF8-477E-A6DD-8BCFE4239AF0}"/>
    <cellStyle name="Normal 4 2 2 3 2 2 2 5 3" xfId="6372" xr:uid="{00000000-0005-0000-0000-000006120000}"/>
    <cellStyle name="Normal 4 2 2 3 2 2 2 5 3 2" xfId="15698" xr:uid="{500491A0-10ED-4013-9CB5-20F486DFB34E}"/>
    <cellStyle name="Normal 4 2 2 3 2 2 2 5 4" xfId="11481" xr:uid="{030F2AED-6FF8-41E6-8AE0-D7E23BCB0B48}"/>
    <cellStyle name="Normal 4 2 2 3 2 2 2 6" xfId="2502" xr:uid="{00000000-0005-0000-0000-000007120000}"/>
    <cellStyle name="Normal 4 2 2 3 2 2 2 6 2" xfId="6785" xr:uid="{00000000-0005-0000-0000-000008120000}"/>
    <cellStyle name="Normal 4 2 2 3 2 2 2 6 2 2" xfId="16111" xr:uid="{B20734DC-95FC-46C1-AD24-0BF68A6F1940}"/>
    <cellStyle name="Normal 4 2 2 3 2 2 2 6 3" xfId="11894" xr:uid="{9DD60EC7-76BC-4A89-8128-F4EF54A4E85A}"/>
    <cellStyle name="Normal 4 2 2 3 2 2 2 7" xfId="4720" xr:uid="{00000000-0005-0000-0000-000009120000}"/>
    <cellStyle name="Normal 4 2 2 3 2 2 2 7 2" xfId="14046" xr:uid="{BB64A3BC-2707-4132-A2E8-4FEBCF3C3744}"/>
    <cellStyle name="Normal 4 2 2 3 2 2 2 8" xfId="9129" xr:uid="{970F8072-C8D6-4D17-95D6-EBF431EAD262}"/>
    <cellStyle name="Normal 4 2 2 3 2 2 2 8 2" xfId="18453" xr:uid="{980FE5B2-5872-4E70-90DC-3FE5CDCF49AD}"/>
    <cellStyle name="Normal 4 2 2 3 2 2 2 9" xfId="9829" xr:uid="{582423FB-F514-4FE3-BB57-F913A48C6FE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8D0B9083-9E1E-45F8-B453-740912912CE8}"/>
    <cellStyle name="Normal 4 2 2 3 2 2 3 2 3" xfId="12386" xr:uid="{AF5240D7-9237-4D2B-A403-FCD4C82EFFBA}"/>
    <cellStyle name="Normal 4 2 2 3 2 2 3 3" xfId="5132" xr:uid="{00000000-0005-0000-0000-00000D120000}"/>
    <cellStyle name="Normal 4 2 2 3 2 2 3 3 2" xfId="14458" xr:uid="{7A427946-D6E6-44FE-A699-CFA4F8ECB1C9}"/>
    <cellStyle name="Normal 4 2 2 3 2 2 3 4" xfId="9347" xr:uid="{8C9012CB-19BB-4242-9F43-373358B13B52}"/>
    <cellStyle name="Normal 4 2 2 3 2 2 3 4 2" xfId="18662" xr:uid="{22CCA010-0FEA-4B40-814D-40EA4EFB5D6E}"/>
    <cellStyle name="Normal 4 2 2 3 2 2 3 5" xfId="10241" xr:uid="{9ECB1ADA-D58E-4869-BAC6-9FBDBD798F5F}"/>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59636076-7F79-4BB8-92C5-C9B4B16647AA}"/>
    <cellStyle name="Normal 4 2 2 3 2 2 4 2 3" xfId="12799" xr:uid="{EB840AFB-840A-47AB-AE66-B5E330B6CD96}"/>
    <cellStyle name="Normal 4 2 2 3 2 2 4 3" xfId="5545" xr:uid="{00000000-0005-0000-0000-000011120000}"/>
    <cellStyle name="Normal 4 2 2 3 2 2 4 3 2" xfId="14871" xr:uid="{70043CBF-BEB8-4D20-A470-1BC325E521A5}"/>
    <cellStyle name="Normal 4 2 2 3 2 2 4 4" xfId="10654" xr:uid="{923C6EFE-4445-4EBE-B8C5-00B0056AC278}"/>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EF5532B2-BB52-4352-8150-8A5864839987}"/>
    <cellStyle name="Normal 4 2 2 3 2 2 5 2 3" xfId="13212" xr:uid="{2B8DE044-2A81-4E04-B441-41557D646D79}"/>
    <cellStyle name="Normal 4 2 2 3 2 2 5 3" xfId="5958" xr:uid="{00000000-0005-0000-0000-000015120000}"/>
    <cellStyle name="Normal 4 2 2 3 2 2 5 3 2" xfId="15284" xr:uid="{CF5B49B3-D354-4FD9-8411-F4A7DAF0730A}"/>
    <cellStyle name="Normal 4 2 2 3 2 2 5 4" xfId="11067" xr:uid="{AC546B2A-DAC7-45B1-9F28-3074B8C26476}"/>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927CBF8B-E7B4-4A38-AB63-E5FF86B4C1C8}"/>
    <cellStyle name="Normal 4 2 2 3 2 2 6 2 3" xfId="13625" xr:uid="{8EC822CE-E428-4B79-9231-261CF5AB0583}"/>
    <cellStyle name="Normal 4 2 2 3 2 2 6 3" xfId="6371" xr:uid="{00000000-0005-0000-0000-000019120000}"/>
    <cellStyle name="Normal 4 2 2 3 2 2 6 3 2" xfId="15697" xr:uid="{5B441541-93D3-44D6-8511-CF16F2D2E8CA}"/>
    <cellStyle name="Normal 4 2 2 3 2 2 6 4" xfId="11480" xr:uid="{54EEFB3F-0072-4233-98B3-0C1A5B84E79D}"/>
    <cellStyle name="Normal 4 2 2 3 2 2 7" xfId="2501" xr:uid="{00000000-0005-0000-0000-00001A120000}"/>
    <cellStyle name="Normal 4 2 2 3 2 2 7 2" xfId="6784" xr:uid="{00000000-0005-0000-0000-00001B120000}"/>
    <cellStyle name="Normal 4 2 2 3 2 2 7 2 2" xfId="16110" xr:uid="{C298C1EE-31A2-4167-A6A8-C9DBE51AB471}"/>
    <cellStyle name="Normal 4 2 2 3 2 2 7 3" xfId="11893" xr:uid="{1D94A7F2-1099-459A-9067-4FA7D95078AB}"/>
    <cellStyle name="Normal 4 2 2 3 2 2 8" xfId="4719" xr:uid="{00000000-0005-0000-0000-00001C120000}"/>
    <cellStyle name="Normal 4 2 2 3 2 2 8 2" xfId="14045" xr:uid="{EEC5D37E-45E0-434E-AE39-C25A176B4D94}"/>
    <cellStyle name="Normal 4 2 2 3 2 2 9" xfId="8922" xr:uid="{32C9E21B-8C85-4874-B28C-82BF39BA84E2}"/>
    <cellStyle name="Normal 4 2 2 3 2 2 9 2" xfId="18246" xr:uid="{544A08D9-19BD-4267-A7D6-305B77EE8D4E}"/>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D86A7ACB-B800-4CA5-B501-B645C954F31F}"/>
    <cellStyle name="Normal 4 2 2 3 2 3 2 2 3" xfId="12388" xr:uid="{2C16D73D-FA23-4A20-8D7D-8A4894628757}"/>
    <cellStyle name="Normal 4 2 2 3 2 3 2 3" xfId="5134" xr:uid="{00000000-0005-0000-0000-000021120000}"/>
    <cellStyle name="Normal 4 2 2 3 2 3 2 3 2" xfId="14460" xr:uid="{73CE6427-468C-4171-9D59-E5D9068CB837}"/>
    <cellStyle name="Normal 4 2 2 3 2 3 2 4" xfId="9451" xr:uid="{85AA9164-95F1-48F2-907A-54AD445D074F}"/>
    <cellStyle name="Normal 4 2 2 3 2 3 2 4 2" xfId="18766" xr:uid="{E6F88BDE-31AC-4376-B2F5-40550FB67D68}"/>
    <cellStyle name="Normal 4 2 2 3 2 3 2 5" xfId="10243" xr:uid="{A6D99DEA-ABCB-431C-9965-8B2ABD7233E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A4DE2449-9DF7-40BB-A9CB-7A1C81CD16D7}"/>
    <cellStyle name="Normal 4 2 2 3 2 3 3 2 3" xfId="12801" xr:uid="{7E214134-139D-4F51-AC79-1C5BA55C077B}"/>
    <cellStyle name="Normal 4 2 2 3 2 3 3 3" xfId="5547" xr:uid="{00000000-0005-0000-0000-000025120000}"/>
    <cellStyle name="Normal 4 2 2 3 2 3 3 3 2" xfId="14873" xr:uid="{E9786133-748A-4832-93F9-DB7ECBAC39C8}"/>
    <cellStyle name="Normal 4 2 2 3 2 3 3 4" xfId="10656" xr:uid="{B960AFB5-0D7C-481C-82D3-5D91B259E51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B0A9ECA6-9FA0-49F9-AF15-8CA34D1AC017}"/>
    <cellStyle name="Normal 4 2 2 3 2 3 4 2 3" xfId="13214" xr:uid="{ADE93CBC-44AA-41F1-B56D-9C2431FC22DA}"/>
    <cellStyle name="Normal 4 2 2 3 2 3 4 3" xfId="5960" xr:uid="{00000000-0005-0000-0000-000029120000}"/>
    <cellStyle name="Normal 4 2 2 3 2 3 4 3 2" xfId="15286" xr:uid="{115EE2A7-EAF7-4CD8-B354-5EF52F94DBD7}"/>
    <cellStyle name="Normal 4 2 2 3 2 3 4 4" xfId="11069" xr:uid="{704A6C57-3545-4FCE-8148-9289396459F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84B67BE8-5621-493B-86BB-1236C7E71AAA}"/>
    <cellStyle name="Normal 4 2 2 3 2 3 5 2 3" xfId="13627" xr:uid="{3B976983-C0A7-49F5-92AC-8B11080FAE70}"/>
    <cellStyle name="Normal 4 2 2 3 2 3 5 3" xfId="6373" xr:uid="{00000000-0005-0000-0000-00002D120000}"/>
    <cellStyle name="Normal 4 2 2 3 2 3 5 3 2" xfId="15699" xr:uid="{A6B49BE0-FFEA-4A10-A5FB-0CEA1FE47081}"/>
    <cellStyle name="Normal 4 2 2 3 2 3 5 4" xfId="11482" xr:uid="{3A96206C-8DD8-4F54-9879-756DABCCC847}"/>
    <cellStyle name="Normal 4 2 2 3 2 3 6" xfId="2503" xr:uid="{00000000-0005-0000-0000-00002E120000}"/>
    <cellStyle name="Normal 4 2 2 3 2 3 6 2" xfId="6786" xr:uid="{00000000-0005-0000-0000-00002F120000}"/>
    <cellStyle name="Normal 4 2 2 3 2 3 6 2 2" xfId="16112" xr:uid="{026FF9BA-DA01-4528-8739-AFF1BACD23DC}"/>
    <cellStyle name="Normal 4 2 2 3 2 3 6 3" xfId="11895" xr:uid="{A84702C2-874A-4346-BCC2-B4F6CEB052A0}"/>
    <cellStyle name="Normal 4 2 2 3 2 3 7" xfId="4721" xr:uid="{00000000-0005-0000-0000-000030120000}"/>
    <cellStyle name="Normal 4 2 2 3 2 3 7 2" xfId="14047" xr:uid="{298AD2C6-4FEC-49B9-9DE2-8E88BA21C7A2}"/>
    <cellStyle name="Normal 4 2 2 3 2 3 8" xfId="9026" xr:uid="{319D63D3-F71C-4F99-9FD1-E3D0665567E8}"/>
    <cellStyle name="Normal 4 2 2 3 2 3 8 2" xfId="18350" xr:uid="{563B7DBC-AFDD-4AF8-B2D3-E65F09B04CC8}"/>
    <cellStyle name="Normal 4 2 2 3 2 3 9" xfId="9830" xr:uid="{6C60C123-1EB7-4F6C-8C2F-7386A8E5E1A7}"/>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3CC930AE-53EA-47F8-B8A2-1055192562DC}"/>
    <cellStyle name="Normal 4 2 2 3 2 4 2 3" xfId="12385" xr:uid="{A9C1443B-96CB-422F-A29C-F276BE895B0C}"/>
    <cellStyle name="Normal 4 2 2 3 2 4 3" xfId="5131" xr:uid="{00000000-0005-0000-0000-000034120000}"/>
    <cellStyle name="Normal 4 2 2 3 2 4 3 2" xfId="14457" xr:uid="{2004D135-8F36-472E-870D-D0D0117144CE}"/>
    <cellStyle name="Normal 4 2 2 3 2 4 4" xfId="9244" xr:uid="{98623F27-324A-40DE-AA2B-56E1FCE087EE}"/>
    <cellStyle name="Normal 4 2 2 3 2 4 4 2" xfId="18559" xr:uid="{A7E3DA0F-119F-4CA1-8FE0-B4DA73E23998}"/>
    <cellStyle name="Normal 4 2 2 3 2 4 5" xfId="10240" xr:uid="{A18EE585-F01C-41B5-9E20-0C07B6A5FF0C}"/>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C806DE9F-2618-4742-BCB1-B2E7C48FE0CA}"/>
    <cellStyle name="Normal 4 2 2 3 2 5 2 3" xfId="12798" xr:uid="{4BDC56EF-5F54-48DB-89ED-FF5FBF07B388}"/>
    <cellStyle name="Normal 4 2 2 3 2 5 3" xfId="5544" xr:uid="{00000000-0005-0000-0000-000038120000}"/>
    <cellStyle name="Normal 4 2 2 3 2 5 3 2" xfId="14870" xr:uid="{B96A5C88-2666-4819-8B7E-5EECEECBBBC9}"/>
    <cellStyle name="Normal 4 2 2 3 2 5 4" xfId="10653" xr:uid="{A5A41A62-E44C-4BD8-9B90-D2FBA26A2A8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D65F38C7-01D6-4723-BCAE-E7820AEBD60D}"/>
    <cellStyle name="Normal 4 2 2 3 2 6 2 3" xfId="13211" xr:uid="{0B4BEBD4-780D-4B6E-9DE6-9DEEECB141D4}"/>
    <cellStyle name="Normal 4 2 2 3 2 6 3" xfId="5957" xr:uid="{00000000-0005-0000-0000-00003C120000}"/>
    <cellStyle name="Normal 4 2 2 3 2 6 3 2" xfId="15283" xr:uid="{B4E38BF9-CAF9-4F94-92CC-80923B444D18}"/>
    <cellStyle name="Normal 4 2 2 3 2 6 4" xfId="11066" xr:uid="{198741C7-44F5-4B4D-9D7E-349E67B89958}"/>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3E3F6446-F2FA-4780-B43E-59EB76633796}"/>
    <cellStyle name="Normal 4 2 2 3 2 7 2 3" xfId="13624" xr:uid="{2EEB2EB1-2A3F-4667-B64E-BE56966488A0}"/>
    <cellStyle name="Normal 4 2 2 3 2 7 3" xfId="6370" xr:uid="{00000000-0005-0000-0000-000040120000}"/>
    <cellStyle name="Normal 4 2 2 3 2 7 3 2" xfId="15696" xr:uid="{4DC921CF-F9EE-44A9-97C1-FAC1C4438F81}"/>
    <cellStyle name="Normal 4 2 2 3 2 7 4" xfId="11479" xr:uid="{973CC6FA-0929-4BC3-8937-9F62F40370F1}"/>
    <cellStyle name="Normal 4 2 2 3 2 8" xfId="2500" xr:uid="{00000000-0005-0000-0000-000041120000}"/>
    <cellStyle name="Normal 4 2 2 3 2 8 2" xfId="6783" xr:uid="{00000000-0005-0000-0000-000042120000}"/>
    <cellStyle name="Normal 4 2 2 3 2 8 2 2" xfId="16109" xr:uid="{6EEBDBE8-E59F-4950-90E8-EDA8FBE43D6F}"/>
    <cellStyle name="Normal 4 2 2 3 2 8 3" xfId="11892" xr:uid="{504FC556-4578-429A-9C50-E09A620F6F53}"/>
    <cellStyle name="Normal 4 2 2 3 2 9" xfId="4718" xr:uid="{00000000-0005-0000-0000-000043120000}"/>
    <cellStyle name="Normal 4 2 2 3 2 9 2" xfId="14044" xr:uid="{54BF7F08-0EE4-4FE4-8A08-4EABF94D6AB6}"/>
    <cellStyle name="Normal 4 2 2 3 3" xfId="344" xr:uid="{00000000-0005-0000-0000-000044120000}"/>
    <cellStyle name="Normal 4 2 2 3 3 10" xfId="9831" xr:uid="{2B4AAD4F-1CD9-403D-AD4D-FD4094577D27}"/>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C1D8ED51-7BCE-4740-9CF3-6DF1E1549613}"/>
    <cellStyle name="Normal 4 2 2 3 3 2 2 2 3" xfId="12390" xr:uid="{CA2C8A4B-E94D-4D0A-BAB3-1F063C367B6F}"/>
    <cellStyle name="Normal 4 2 2 3 3 2 2 3" xfId="5136" xr:uid="{00000000-0005-0000-0000-000049120000}"/>
    <cellStyle name="Normal 4 2 2 3 3 2 2 3 2" xfId="14462" xr:uid="{B01C2711-67DA-4C6F-B4FC-F49E4C98F682}"/>
    <cellStyle name="Normal 4 2 2 3 3 2 2 4" xfId="9519" xr:uid="{FB4BBD6E-D73B-4ABD-8656-6C15D7932E02}"/>
    <cellStyle name="Normal 4 2 2 3 3 2 2 4 2" xfId="18834" xr:uid="{24B1A015-F2CB-45E7-877E-5CDEC48E27DC}"/>
    <cellStyle name="Normal 4 2 2 3 3 2 2 5" xfId="10245" xr:uid="{3D616E4F-100E-4F9C-865F-D384B2743BB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501CFE21-AB64-44B4-A757-CB1BD6515C5C}"/>
    <cellStyle name="Normal 4 2 2 3 3 2 3 2 3" xfId="12803" xr:uid="{6CE8435B-813F-46B5-8A40-1B99AF42FC2D}"/>
    <cellStyle name="Normal 4 2 2 3 3 2 3 3" xfId="5549" xr:uid="{00000000-0005-0000-0000-00004D120000}"/>
    <cellStyle name="Normal 4 2 2 3 3 2 3 3 2" xfId="14875" xr:uid="{1ADFFAC8-5A4F-48DB-8397-5AF62504147F}"/>
    <cellStyle name="Normal 4 2 2 3 3 2 3 4" xfId="10658" xr:uid="{0BD6529C-C508-4128-BBA2-C13D6818C4E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11B469F9-C903-4538-BDF1-40D5562DF90C}"/>
    <cellStyle name="Normal 4 2 2 3 3 2 4 2 3" xfId="13216" xr:uid="{8CEDF722-2C92-4EB9-8C6B-C97851E09CF0}"/>
    <cellStyle name="Normal 4 2 2 3 3 2 4 3" xfId="5962" xr:uid="{00000000-0005-0000-0000-000051120000}"/>
    <cellStyle name="Normal 4 2 2 3 3 2 4 3 2" xfId="15288" xr:uid="{BA1490D0-EBF4-4048-9090-67FFDF3B39FB}"/>
    <cellStyle name="Normal 4 2 2 3 3 2 4 4" xfId="11071" xr:uid="{534279FC-4DB2-498A-9741-44FD79883BA6}"/>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5A876297-09F5-4E6C-A369-61A57D492139}"/>
    <cellStyle name="Normal 4 2 2 3 3 2 5 2 3" xfId="13629" xr:uid="{DEAA72EC-E2C2-481F-AA13-AE62504232D3}"/>
    <cellStyle name="Normal 4 2 2 3 3 2 5 3" xfId="6375" xr:uid="{00000000-0005-0000-0000-000055120000}"/>
    <cellStyle name="Normal 4 2 2 3 3 2 5 3 2" xfId="15701" xr:uid="{2CFDB23E-676E-45B3-A23B-EAE3E499C4B6}"/>
    <cellStyle name="Normal 4 2 2 3 3 2 5 4" xfId="11484" xr:uid="{E9F513C2-2847-4234-A21D-C459BB1E97AC}"/>
    <cellStyle name="Normal 4 2 2 3 3 2 6" xfId="2505" xr:uid="{00000000-0005-0000-0000-000056120000}"/>
    <cellStyle name="Normal 4 2 2 3 3 2 6 2" xfId="6788" xr:uid="{00000000-0005-0000-0000-000057120000}"/>
    <cellStyle name="Normal 4 2 2 3 3 2 6 2 2" xfId="16114" xr:uid="{B193A157-6A6F-40F4-A44F-D0FD7DA70558}"/>
    <cellStyle name="Normal 4 2 2 3 3 2 6 3" xfId="11897" xr:uid="{1DBFE3F0-7F4D-408D-B1FF-C5B34BFFF0F2}"/>
    <cellStyle name="Normal 4 2 2 3 3 2 7" xfId="4723" xr:uid="{00000000-0005-0000-0000-000058120000}"/>
    <cellStyle name="Normal 4 2 2 3 3 2 7 2" xfId="14049" xr:uid="{11895F28-7565-4303-9DB4-88E19B8C28D3}"/>
    <cellStyle name="Normal 4 2 2 3 3 2 8" xfId="9094" xr:uid="{1333D468-E252-4686-88C1-38A56B910A8E}"/>
    <cellStyle name="Normal 4 2 2 3 3 2 8 2" xfId="18418" xr:uid="{8087AB8B-A009-423F-A3C7-8CFB9C6425D0}"/>
    <cellStyle name="Normal 4 2 2 3 3 2 9" xfId="9832" xr:uid="{4E489A6B-5261-4337-9C6C-93380478B26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35B09FAE-C861-48A3-B937-ACB2FAC19AE4}"/>
    <cellStyle name="Normal 4 2 2 3 3 3 2 3" xfId="12389" xr:uid="{AC6B3CDA-977A-44F2-BCCE-E0FB630C05F4}"/>
    <cellStyle name="Normal 4 2 2 3 3 3 3" xfId="5135" xr:uid="{00000000-0005-0000-0000-00005C120000}"/>
    <cellStyle name="Normal 4 2 2 3 3 3 3 2" xfId="14461" xr:uid="{C4B02A1B-2A5F-4F60-AD29-D7D6AA92C4C1}"/>
    <cellStyle name="Normal 4 2 2 3 3 3 4" xfId="9312" xr:uid="{0065946C-778C-4913-8F8B-68BBB1A30769}"/>
    <cellStyle name="Normal 4 2 2 3 3 3 4 2" xfId="18627" xr:uid="{6B77C8E8-554C-41B5-9FA6-CC11B01FBA57}"/>
    <cellStyle name="Normal 4 2 2 3 3 3 5" xfId="10244" xr:uid="{B79A1048-EAB0-4CE2-B8CD-3582BAD9AB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882A4905-02A5-4D59-A685-0EE3B4A35D5D}"/>
    <cellStyle name="Normal 4 2 2 3 3 4 2 3" xfId="12802" xr:uid="{5266E750-E029-4522-A41F-10162E7DFF61}"/>
    <cellStyle name="Normal 4 2 2 3 3 4 3" xfId="5548" xr:uid="{00000000-0005-0000-0000-000060120000}"/>
    <cellStyle name="Normal 4 2 2 3 3 4 3 2" xfId="14874" xr:uid="{7FED97C0-1DE9-48A6-9DC5-D9829F27B2AA}"/>
    <cellStyle name="Normal 4 2 2 3 3 4 4" xfId="10657" xr:uid="{4A3017A0-FC51-4A97-998C-F7593AB27881}"/>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700528AC-9185-452E-9188-2CD394D37A2F}"/>
    <cellStyle name="Normal 4 2 2 3 3 5 2 3" xfId="13215" xr:uid="{8D9A2089-32B1-407B-B4D5-EA3D63C973C5}"/>
    <cellStyle name="Normal 4 2 2 3 3 5 3" xfId="5961" xr:uid="{00000000-0005-0000-0000-000064120000}"/>
    <cellStyle name="Normal 4 2 2 3 3 5 3 2" xfId="15287" xr:uid="{5A262FC4-A49A-47C6-9551-BC85C41400FD}"/>
    <cellStyle name="Normal 4 2 2 3 3 5 4" xfId="11070" xr:uid="{0079D1C6-8AA5-49D5-97E9-5B3D843A0DFF}"/>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ECD7F621-5767-4770-A50A-DDF20425D3B6}"/>
    <cellStyle name="Normal 4 2 2 3 3 6 2 3" xfId="13628" xr:uid="{CA92AAE5-E859-4927-B933-10BA037CC69B}"/>
    <cellStyle name="Normal 4 2 2 3 3 6 3" xfId="6374" xr:uid="{00000000-0005-0000-0000-000068120000}"/>
    <cellStyle name="Normal 4 2 2 3 3 6 3 2" xfId="15700" xr:uid="{9334D843-C81C-4D89-A71E-67FE440FE6D7}"/>
    <cellStyle name="Normal 4 2 2 3 3 6 4" xfId="11483" xr:uid="{C8CF6A06-D969-494D-95B3-763F17B59FFA}"/>
    <cellStyle name="Normal 4 2 2 3 3 7" xfId="2504" xr:uid="{00000000-0005-0000-0000-000069120000}"/>
    <cellStyle name="Normal 4 2 2 3 3 7 2" xfId="6787" xr:uid="{00000000-0005-0000-0000-00006A120000}"/>
    <cellStyle name="Normal 4 2 2 3 3 7 2 2" xfId="16113" xr:uid="{D714A2ED-0EAA-4EB8-926D-FCD48DFDCD81}"/>
    <cellStyle name="Normal 4 2 2 3 3 7 3" xfId="11896" xr:uid="{FAB8DAF5-E5D2-4C06-988F-FB5B50C47FCB}"/>
    <cellStyle name="Normal 4 2 2 3 3 8" xfId="4722" xr:uid="{00000000-0005-0000-0000-00006B120000}"/>
    <cellStyle name="Normal 4 2 2 3 3 8 2" xfId="14048" xr:uid="{6C00813B-DF5A-443A-BF14-944FB4345B88}"/>
    <cellStyle name="Normal 4 2 2 3 3 9" xfId="8887" xr:uid="{FD79599D-FD4F-44F4-A7A6-B948A2C15DD2}"/>
    <cellStyle name="Normal 4 2 2 3 3 9 2" xfId="18211" xr:uid="{2DE60996-0C42-48DD-9365-23FDFCFFB474}"/>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4DA8FD1-331C-4CF7-B2AF-56BA2027AD81}"/>
    <cellStyle name="Normal 4 2 2 3 4 2 2 3" xfId="12391" xr:uid="{2D5AF6B3-B9E8-4B08-AC50-1A5923D6047B}"/>
    <cellStyle name="Normal 4 2 2 3 4 2 3" xfId="5137" xr:uid="{00000000-0005-0000-0000-000070120000}"/>
    <cellStyle name="Normal 4 2 2 3 4 2 3 2" xfId="14463" xr:uid="{62483BB0-78E0-4680-A33F-D4F5EC262BD8}"/>
    <cellStyle name="Normal 4 2 2 3 4 2 4" xfId="9416" xr:uid="{B0F1A5CD-0EDE-48A7-9669-6902681F696C}"/>
    <cellStyle name="Normal 4 2 2 3 4 2 4 2" xfId="18731" xr:uid="{ADADBDC6-BEB3-4A23-BA2A-339495A2EE90}"/>
    <cellStyle name="Normal 4 2 2 3 4 2 5" xfId="10246" xr:uid="{8786C6D5-5C27-4C5E-9A87-89B55A0B3A1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042FE0A0-1004-4238-A2E5-197BB2FB680E}"/>
    <cellStyle name="Normal 4 2 2 3 4 3 2 3" xfId="12804" xr:uid="{D4E918BB-0CDF-4BF3-87E3-769BDDCF8FC3}"/>
    <cellStyle name="Normal 4 2 2 3 4 3 3" xfId="5550" xr:uid="{00000000-0005-0000-0000-000074120000}"/>
    <cellStyle name="Normal 4 2 2 3 4 3 3 2" xfId="14876" xr:uid="{B991980D-BED6-486E-A7FD-3CE39B9C75F6}"/>
    <cellStyle name="Normal 4 2 2 3 4 3 4" xfId="10659" xr:uid="{9EA182FA-10DB-4ABB-A39F-34461761C8EF}"/>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29B5516F-B59E-4CB6-97FA-5ADE3429FBD3}"/>
    <cellStyle name="Normal 4 2 2 3 4 4 2 3" xfId="13217" xr:uid="{2A9962FE-4FFC-4BC7-85DB-B5CD9BD278E6}"/>
    <cellStyle name="Normal 4 2 2 3 4 4 3" xfId="5963" xr:uid="{00000000-0005-0000-0000-000078120000}"/>
    <cellStyle name="Normal 4 2 2 3 4 4 3 2" xfId="15289" xr:uid="{7354CAD2-179D-4BD0-AFF3-EBB6E85552B8}"/>
    <cellStyle name="Normal 4 2 2 3 4 4 4" xfId="11072" xr:uid="{B60844C1-9B58-40CE-BD7B-11857586E558}"/>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6D813E91-7F97-4E79-BE0F-E81338931FA0}"/>
    <cellStyle name="Normal 4 2 2 3 4 5 2 3" xfId="13630" xr:uid="{70AF6C31-7FA8-4F9F-B88D-45EAE91B9CE7}"/>
    <cellStyle name="Normal 4 2 2 3 4 5 3" xfId="6376" xr:uid="{00000000-0005-0000-0000-00007C120000}"/>
    <cellStyle name="Normal 4 2 2 3 4 5 3 2" xfId="15702" xr:uid="{E2CABC24-2590-40C2-B6B6-917A78E4FD1C}"/>
    <cellStyle name="Normal 4 2 2 3 4 5 4" xfId="11485" xr:uid="{DD72B888-B503-4C0E-8171-D6C0D5BA7891}"/>
    <cellStyle name="Normal 4 2 2 3 4 6" xfId="2506" xr:uid="{00000000-0005-0000-0000-00007D120000}"/>
    <cellStyle name="Normal 4 2 2 3 4 6 2" xfId="6789" xr:uid="{00000000-0005-0000-0000-00007E120000}"/>
    <cellStyle name="Normal 4 2 2 3 4 6 2 2" xfId="16115" xr:uid="{F1977A27-DC8C-4150-823C-17304B31B893}"/>
    <cellStyle name="Normal 4 2 2 3 4 6 3" xfId="11898" xr:uid="{8427A78C-21EE-4BC8-A44F-D4728A074CB6}"/>
    <cellStyle name="Normal 4 2 2 3 4 7" xfId="4724" xr:uid="{00000000-0005-0000-0000-00007F120000}"/>
    <cellStyle name="Normal 4 2 2 3 4 7 2" xfId="14050" xr:uid="{EBE0D192-CD49-4501-B2C4-DD6BDDEF2784}"/>
    <cellStyle name="Normal 4 2 2 3 4 8" xfId="8991" xr:uid="{84464EC3-90C2-4B18-8399-135C935528F7}"/>
    <cellStyle name="Normal 4 2 2 3 4 8 2" xfId="18315" xr:uid="{4D395EEB-0E68-41AA-8B31-F5688F67C5D0}"/>
    <cellStyle name="Normal 4 2 2 3 4 9" xfId="9833" xr:uid="{BC73439C-0244-435A-B0CC-0330EAC6FC7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32424200-EEA4-443C-B314-3D5586D05069}"/>
    <cellStyle name="Normal 4 2 2 3 5 2 3" xfId="12384" xr:uid="{5F01BE7F-61D2-484F-BFF2-84FA61FDCF77}"/>
    <cellStyle name="Normal 4 2 2 3 5 3" xfId="5130" xr:uid="{00000000-0005-0000-0000-000083120000}"/>
    <cellStyle name="Normal 4 2 2 3 5 3 2" xfId="14456" xr:uid="{9E1EDC39-98BA-4F5F-860B-EF629154FD3F}"/>
    <cellStyle name="Normal 4 2 2 3 5 4" xfId="9208" xr:uid="{7BF9CD11-B90D-42F2-928D-A8BE344C6F46}"/>
    <cellStyle name="Normal 4 2 2 3 5 4 2" xfId="18524" xr:uid="{E8842E2E-2436-4301-8422-2DCE62E7776B}"/>
    <cellStyle name="Normal 4 2 2 3 5 5" xfId="10239" xr:uid="{1D31B37B-E5E9-41CC-88A2-D816865178BD}"/>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6ED56FDA-8F85-4B1C-9636-A9602CD2A0C1}"/>
    <cellStyle name="Normal 4 2 2 3 6 2 3" xfId="12797" xr:uid="{35ECA668-C24E-4F7E-B989-D92D84F6C37B}"/>
    <cellStyle name="Normal 4 2 2 3 6 3" xfId="5543" xr:uid="{00000000-0005-0000-0000-000087120000}"/>
    <cellStyle name="Normal 4 2 2 3 6 3 2" xfId="14869" xr:uid="{12A57D65-B672-4547-995B-90A1F660FE9B}"/>
    <cellStyle name="Normal 4 2 2 3 6 4" xfId="10652" xr:uid="{D062DEF4-4649-42E7-A780-68A16D05F1A9}"/>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49A273B2-1B3C-4FE4-89BF-1976FD6E2C9F}"/>
    <cellStyle name="Normal 4 2 2 3 7 2 3" xfId="13210" xr:uid="{54100991-C50C-4D51-B70D-CDDDEDAC6E44}"/>
    <cellStyle name="Normal 4 2 2 3 7 3" xfId="5956" xr:uid="{00000000-0005-0000-0000-00008B120000}"/>
    <cellStyle name="Normal 4 2 2 3 7 3 2" xfId="15282" xr:uid="{08892CE7-5A0A-40CB-8162-33180BCDA9AB}"/>
    <cellStyle name="Normal 4 2 2 3 7 4" xfId="11065" xr:uid="{6A60690A-9695-47A5-BF06-975CB4547EC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152B97CF-71EF-4B1C-945F-15687EC61150}"/>
    <cellStyle name="Normal 4 2 2 3 8 2 3" xfId="13623" xr:uid="{ECF4340D-6AE7-4A30-BF65-6D10C25E49B2}"/>
    <cellStyle name="Normal 4 2 2 3 8 3" xfId="6369" xr:uid="{00000000-0005-0000-0000-00008F120000}"/>
    <cellStyle name="Normal 4 2 2 3 8 3 2" xfId="15695" xr:uid="{7B298091-77BD-459E-AC36-C9B457763F64}"/>
    <cellStyle name="Normal 4 2 2 3 8 4" xfId="11478" xr:uid="{B32132C5-17BE-40A6-957B-CBC097B6121B}"/>
    <cellStyle name="Normal 4 2 2 3 9" xfId="2499" xr:uid="{00000000-0005-0000-0000-000090120000}"/>
    <cellStyle name="Normal 4 2 2 3 9 2" xfId="6782" xr:uid="{00000000-0005-0000-0000-000091120000}"/>
    <cellStyle name="Normal 4 2 2 3 9 2 2" xfId="16108" xr:uid="{B7B990B5-93DE-465C-AEA6-0E8E99CD22B5}"/>
    <cellStyle name="Normal 4 2 2 3 9 3" xfId="11891" xr:uid="{D2DB73E3-E8AB-40EA-A224-5FE143F6197A}"/>
    <cellStyle name="Normal 4 2 2 4" xfId="347" xr:uid="{00000000-0005-0000-0000-000092120000}"/>
    <cellStyle name="Normal 4 2 2 4 10" xfId="8818" xr:uid="{A73977A7-52C6-4368-9F59-166E1B99BBDE}"/>
    <cellStyle name="Normal 4 2 2 4 10 2" xfId="18142" xr:uid="{4250C9F5-9F2E-4343-9BD4-2C6A369B0D9B}"/>
    <cellStyle name="Normal 4 2 2 4 11" xfId="9834" xr:uid="{75D0FAF1-24BE-4A23-9813-5A78BF356421}"/>
    <cellStyle name="Normal 4 2 2 4 2" xfId="348" xr:uid="{00000000-0005-0000-0000-000093120000}"/>
    <cellStyle name="Normal 4 2 2 4 2 10" xfId="9835" xr:uid="{31723A9E-5CDE-4BAB-9A52-7859C06DEFA6}"/>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6D1ECFDB-7211-4C87-8E15-BB69F6E59870}"/>
    <cellStyle name="Normal 4 2 2 4 2 2 2 2 3" xfId="12394" xr:uid="{1C9BF35C-3CF9-4288-9F83-34A1BF40C9F9}"/>
    <cellStyle name="Normal 4 2 2 4 2 2 2 3" xfId="5140" xr:uid="{00000000-0005-0000-0000-000098120000}"/>
    <cellStyle name="Normal 4 2 2 4 2 2 2 3 2" xfId="14466" xr:uid="{8F1F97FD-EA63-45E2-A5BB-8B06ECA867FE}"/>
    <cellStyle name="Normal 4 2 2 4 2 2 2 4" xfId="9553" xr:uid="{7FCAF883-2374-4470-BA95-AD8EB054639C}"/>
    <cellStyle name="Normal 4 2 2 4 2 2 2 4 2" xfId="18868" xr:uid="{F8501EA2-9CD8-41FE-B5B2-52C990144F85}"/>
    <cellStyle name="Normal 4 2 2 4 2 2 2 5" xfId="10249" xr:uid="{B0F3D8B2-9B20-49E3-A18F-4CE8C4B98079}"/>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B9FF79E5-AADB-4C4E-AFAD-9B674FB31294}"/>
    <cellStyle name="Normal 4 2 2 4 2 2 3 2 3" xfId="12807" xr:uid="{2D1525DA-3D4B-4F11-99DB-AD5CCBFDB873}"/>
    <cellStyle name="Normal 4 2 2 4 2 2 3 3" xfId="5553" xr:uid="{00000000-0005-0000-0000-00009C120000}"/>
    <cellStyle name="Normal 4 2 2 4 2 2 3 3 2" xfId="14879" xr:uid="{77E02EEB-D554-4B3E-87F6-F75CC856DDEA}"/>
    <cellStyle name="Normal 4 2 2 4 2 2 3 4" xfId="10662" xr:uid="{0FE17B43-F874-4F52-A1AA-2B2F469169F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09E6A0F9-8B97-484E-9503-0227F317CBC2}"/>
    <cellStyle name="Normal 4 2 2 4 2 2 4 2 3" xfId="13220" xr:uid="{4DD3123D-7C6F-4062-BAE7-29D1C407F5B8}"/>
    <cellStyle name="Normal 4 2 2 4 2 2 4 3" xfId="5966" xr:uid="{00000000-0005-0000-0000-0000A0120000}"/>
    <cellStyle name="Normal 4 2 2 4 2 2 4 3 2" xfId="15292" xr:uid="{7254B8AC-8D9D-42DC-92EB-2A797CAFADED}"/>
    <cellStyle name="Normal 4 2 2 4 2 2 4 4" xfId="11075" xr:uid="{4161D669-68A5-41F0-BD6C-755DE60759B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727A5812-9246-4ADA-83A2-03ACBFD83A74}"/>
    <cellStyle name="Normal 4 2 2 4 2 2 5 2 3" xfId="13633" xr:uid="{AF22B6F6-6373-47BB-9B53-CCA9FB2941F5}"/>
    <cellStyle name="Normal 4 2 2 4 2 2 5 3" xfId="6379" xr:uid="{00000000-0005-0000-0000-0000A4120000}"/>
    <cellStyle name="Normal 4 2 2 4 2 2 5 3 2" xfId="15705" xr:uid="{4ABE2B37-63E6-4028-B16F-73097EC131C2}"/>
    <cellStyle name="Normal 4 2 2 4 2 2 5 4" xfId="11488" xr:uid="{AE547141-F73D-45E0-A36F-04D77F9C9B06}"/>
    <cellStyle name="Normal 4 2 2 4 2 2 6" xfId="2509" xr:uid="{00000000-0005-0000-0000-0000A5120000}"/>
    <cellStyle name="Normal 4 2 2 4 2 2 6 2" xfId="6792" xr:uid="{00000000-0005-0000-0000-0000A6120000}"/>
    <cellStyle name="Normal 4 2 2 4 2 2 6 2 2" xfId="16118" xr:uid="{B7CD0DA8-65D2-469A-B582-202F931670EA}"/>
    <cellStyle name="Normal 4 2 2 4 2 2 6 3" xfId="11901" xr:uid="{39D75C5D-75CD-493D-8BF2-60C22B7BC090}"/>
    <cellStyle name="Normal 4 2 2 4 2 2 7" xfId="4727" xr:uid="{00000000-0005-0000-0000-0000A7120000}"/>
    <cellStyle name="Normal 4 2 2 4 2 2 7 2" xfId="14053" xr:uid="{4B3648A4-0CE8-40DE-8E92-7653D44014F5}"/>
    <cellStyle name="Normal 4 2 2 4 2 2 8" xfId="9128" xr:uid="{3D9AD2A4-E3D1-4BAF-8F43-BFB1FE8E222D}"/>
    <cellStyle name="Normal 4 2 2 4 2 2 8 2" xfId="18452" xr:uid="{53E4B743-C61E-4FC4-8132-4716CB7E7F73}"/>
    <cellStyle name="Normal 4 2 2 4 2 2 9" xfId="9836" xr:uid="{24F9397C-5605-4DFF-8BA9-63B672E15E51}"/>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CCF71B97-006A-44C2-86CE-B31307065504}"/>
    <cellStyle name="Normal 4 2 2 4 2 3 2 3" xfId="12393" xr:uid="{2886C2CC-337A-40DE-A43F-AF8DE74CDB38}"/>
    <cellStyle name="Normal 4 2 2 4 2 3 3" xfId="5139" xr:uid="{00000000-0005-0000-0000-0000AB120000}"/>
    <cellStyle name="Normal 4 2 2 4 2 3 3 2" xfId="14465" xr:uid="{D5C844C2-5F3E-4DCD-8EA4-33B9D3BC0497}"/>
    <cellStyle name="Normal 4 2 2 4 2 3 4" xfId="9346" xr:uid="{11110DEC-01F5-467C-B0F9-3286FF7E57CB}"/>
    <cellStyle name="Normal 4 2 2 4 2 3 4 2" xfId="18661" xr:uid="{21D3EC54-22DE-4DFC-80EB-35699DABD8A1}"/>
    <cellStyle name="Normal 4 2 2 4 2 3 5" xfId="10248" xr:uid="{17AD134F-45C1-4738-8B66-A658E4E9E3C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382C7773-FE33-4D9B-8AB6-CFCB0825FF06}"/>
    <cellStyle name="Normal 4 2 2 4 2 4 2 3" xfId="12806" xr:uid="{E392FFF6-121C-4B32-A015-8F8F43D1FAE3}"/>
    <cellStyle name="Normal 4 2 2 4 2 4 3" xfId="5552" xr:uid="{00000000-0005-0000-0000-0000AF120000}"/>
    <cellStyle name="Normal 4 2 2 4 2 4 3 2" xfId="14878" xr:uid="{F16C580F-8EFF-4512-9D95-62D6B6064D8B}"/>
    <cellStyle name="Normal 4 2 2 4 2 4 4" xfId="10661" xr:uid="{1E68C032-F54B-42B5-8A40-41C2C531F93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962F7D26-0CF0-4436-AD44-DA24DA8289C1}"/>
    <cellStyle name="Normal 4 2 2 4 2 5 2 3" xfId="13219" xr:uid="{0CD88FF4-6481-4C2A-AEFD-31E79962E513}"/>
    <cellStyle name="Normal 4 2 2 4 2 5 3" xfId="5965" xr:uid="{00000000-0005-0000-0000-0000B3120000}"/>
    <cellStyle name="Normal 4 2 2 4 2 5 3 2" xfId="15291" xr:uid="{E462E908-AC95-49DF-9E69-5BFBBF32192D}"/>
    <cellStyle name="Normal 4 2 2 4 2 5 4" xfId="11074" xr:uid="{020C4C9D-1031-4423-A2AA-D25540D8CC5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F98F114E-786A-45AB-9D2D-B2858D265645}"/>
    <cellStyle name="Normal 4 2 2 4 2 6 2 3" xfId="13632" xr:uid="{4A7B2401-31B5-4B29-AEC6-91848AC061B5}"/>
    <cellStyle name="Normal 4 2 2 4 2 6 3" xfId="6378" xr:uid="{00000000-0005-0000-0000-0000B7120000}"/>
    <cellStyle name="Normal 4 2 2 4 2 6 3 2" xfId="15704" xr:uid="{9D349796-0752-4ADB-8EE5-39323C2F0D8B}"/>
    <cellStyle name="Normal 4 2 2 4 2 6 4" xfId="11487" xr:uid="{391E724A-1C4E-4573-A5C1-CF37D6DCE08C}"/>
    <cellStyle name="Normal 4 2 2 4 2 7" xfId="2508" xr:uid="{00000000-0005-0000-0000-0000B8120000}"/>
    <cellStyle name="Normal 4 2 2 4 2 7 2" xfId="6791" xr:uid="{00000000-0005-0000-0000-0000B9120000}"/>
    <cellStyle name="Normal 4 2 2 4 2 7 2 2" xfId="16117" xr:uid="{0491F653-B8CF-4EE1-8948-8065647B5EA9}"/>
    <cellStyle name="Normal 4 2 2 4 2 7 3" xfId="11900" xr:uid="{EA822700-7D5E-43C8-AE7F-F98EDC4B31CC}"/>
    <cellStyle name="Normal 4 2 2 4 2 8" xfId="4726" xr:uid="{00000000-0005-0000-0000-0000BA120000}"/>
    <cellStyle name="Normal 4 2 2 4 2 8 2" xfId="14052" xr:uid="{DEEDC9F1-D2D2-4F72-AE6E-1BCCF0985B4D}"/>
    <cellStyle name="Normal 4 2 2 4 2 9" xfId="8921" xr:uid="{43AA3CA1-A6D2-47CC-8276-CBFAB7238AA6}"/>
    <cellStyle name="Normal 4 2 2 4 2 9 2" xfId="18245" xr:uid="{0811280D-1FF7-4068-97BE-015F1776324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8BA01287-79BF-48C2-BEBD-DD194EC9CD2E}"/>
    <cellStyle name="Normal 4 2 2 4 3 2 2 3" xfId="12395" xr:uid="{C98DD662-5163-4C50-B697-FC3CE392FA0B}"/>
    <cellStyle name="Normal 4 2 2 4 3 2 3" xfId="5141" xr:uid="{00000000-0005-0000-0000-0000BF120000}"/>
    <cellStyle name="Normal 4 2 2 4 3 2 3 2" xfId="14467" xr:uid="{35B383D8-38AB-4566-BB46-78002A906297}"/>
    <cellStyle name="Normal 4 2 2 4 3 2 4" xfId="9450" xr:uid="{0F54578A-5DA3-4B6E-9E36-71CC7CD6BFE8}"/>
    <cellStyle name="Normal 4 2 2 4 3 2 4 2" xfId="18765" xr:uid="{90DA8031-190A-404C-9AD5-1DCCB174246B}"/>
    <cellStyle name="Normal 4 2 2 4 3 2 5" xfId="10250" xr:uid="{455E4B56-AC91-40F5-B902-38B165D1262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0427B706-2C5A-469E-83DC-DA93E00BA4B8}"/>
    <cellStyle name="Normal 4 2 2 4 3 3 2 3" xfId="12808" xr:uid="{955AE346-CAF2-4E6D-A26C-6CF15F16D7C0}"/>
    <cellStyle name="Normal 4 2 2 4 3 3 3" xfId="5554" xr:uid="{00000000-0005-0000-0000-0000C3120000}"/>
    <cellStyle name="Normal 4 2 2 4 3 3 3 2" xfId="14880" xr:uid="{FD4F9510-A729-460E-AE1B-CCE5582922F1}"/>
    <cellStyle name="Normal 4 2 2 4 3 3 4" xfId="10663" xr:uid="{121977CD-9669-479D-B1C0-8C123CC7DBB2}"/>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3D5213D6-3C37-492E-B1F3-C9C181A4BEAA}"/>
    <cellStyle name="Normal 4 2 2 4 3 4 2 3" xfId="13221" xr:uid="{DDAD66D2-0627-41D4-905B-B23FF1DF2F5C}"/>
    <cellStyle name="Normal 4 2 2 4 3 4 3" xfId="5967" xr:uid="{00000000-0005-0000-0000-0000C7120000}"/>
    <cellStyle name="Normal 4 2 2 4 3 4 3 2" xfId="15293" xr:uid="{7DDE54A7-0180-4EC6-89B3-C4F7DCB84D9A}"/>
    <cellStyle name="Normal 4 2 2 4 3 4 4" xfId="11076" xr:uid="{3E5B507C-1B9D-44ED-94FC-A5D48075580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C4BEF78C-CCD3-4EE8-996A-ADFB148C5872}"/>
    <cellStyle name="Normal 4 2 2 4 3 5 2 3" xfId="13634" xr:uid="{3C8E1649-B422-4EA3-8A4B-1D95A263C408}"/>
    <cellStyle name="Normal 4 2 2 4 3 5 3" xfId="6380" xr:uid="{00000000-0005-0000-0000-0000CB120000}"/>
    <cellStyle name="Normal 4 2 2 4 3 5 3 2" xfId="15706" xr:uid="{86CE37F7-AEDC-4ADD-B0A3-CE6EAD320570}"/>
    <cellStyle name="Normal 4 2 2 4 3 5 4" xfId="11489" xr:uid="{D4C11D40-D4F9-4CA7-87EE-C28117136C82}"/>
    <cellStyle name="Normal 4 2 2 4 3 6" xfId="2510" xr:uid="{00000000-0005-0000-0000-0000CC120000}"/>
    <cellStyle name="Normal 4 2 2 4 3 6 2" xfId="6793" xr:uid="{00000000-0005-0000-0000-0000CD120000}"/>
    <cellStyle name="Normal 4 2 2 4 3 6 2 2" xfId="16119" xr:uid="{A4D4A224-726F-43B3-A521-A98CF278442D}"/>
    <cellStyle name="Normal 4 2 2 4 3 6 3" xfId="11902" xr:uid="{3186F75B-9FF8-4F74-ACDE-5CDB30BB498B}"/>
    <cellStyle name="Normal 4 2 2 4 3 7" xfId="4728" xr:uid="{00000000-0005-0000-0000-0000CE120000}"/>
    <cellStyle name="Normal 4 2 2 4 3 7 2" xfId="14054" xr:uid="{BFE28CA6-AEDA-42A3-B046-2915C50342FA}"/>
    <cellStyle name="Normal 4 2 2 4 3 8" xfId="9025" xr:uid="{436CB353-A916-4AB2-B5E2-8C1BDAEA1182}"/>
    <cellStyle name="Normal 4 2 2 4 3 8 2" xfId="18349" xr:uid="{BB423F98-98D1-40A4-9B24-73290A5A53ED}"/>
    <cellStyle name="Normal 4 2 2 4 3 9" xfId="9837" xr:uid="{754CA3F3-0AFA-4CC9-8C40-310900D0A26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C732BBC7-88C5-41C3-9F99-CDCD01567D6B}"/>
    <cellStyle name="Normal 4 2 2 4 4 2 3" xfId="12392" xr:uid="{E2C29538-3559-4AE7-9BFF-55B8870CF0B7}"/>
    <cellStyle name="Normal 4 2 2 4 4 3" xfId="5138" xr:uid="{00000000-0005-0000-0000-0000D2120000}"/>
    <cellStyle name="Normal 4 2 2 4 4 3 2" xfId="14464" xr:uid="{BD717F3F-4D55-41F9-B3F8-CCA0B5B92EA5}"/>
    <cellStyle name="Normal 4 2 2 4 4 4" xfId="9243" xr:uid="{FD46A281-F5BE-478B-950E-209D1D56FC0E}"/>
    <cellStyle name="Normal 4 2 2 4 4 4 2" xfId="18558" xr:uid="{7499817C-5C06-4108-8A63-2781FCDCDCC3}"/>
    <cellStyle name="Normal 4 2 2 4 4 5" xfId="10247" xr:uid="{7F036051-A5EB-468B-B3FA-EE231DFFB3B6}"/>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AB77ECA3-9DC2-4CAE-9F07-2F446E612C0D}"/>
    <cellStyle name="Normal 4 2 2 4 5 2 3" xfId="12805" xr:uid="{85CBAB07-E1D8-4358-80F3-78041195B2B4}"/>
    <cellStyle name="Normal 4 2 2 4 5 3" xfId="5551" xr:uid="{00000000-0005-0000-0000-0000D6120000}"/>
    <cellStyle name="Normal 4 2 2 4 5 3 2" xfId="14877" xr:uid="{A0F2CECF-07D5-44AE-A254-1E1899D17FBC}"/>
    <cellStyle name="Normal 4 2 2 4 5 4" xfId="10660" xr:uid="{E5081343-5142-43F2-90B9-A9786518265B}"/>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02424074-DC6A-4245-A1D7-EF144E9CF9B0}"/>
    <cellStyle name="Normal 4 2 2 4 6 2 3" xfId="13218" xr:uid="{CA84D812-2930-4F37-9569-47428E82C0CF}"/>
    <cellStyle name="Normal 4 2 2 4 6 3" xfId="5964" xr:uid="{00000000-0005-0000-0000-0000DA120000}"/>
    <cellStyle name="Normal 4 2 2 4 6 3 2" xfId="15290" xr:uid="{2918EACC-F50D-42AF-9568-42B15771BECF}"/>
    <cellStyle name="Normal 4 2 2 4 6 4" xfId="11073" xr:uid="{E0040884-F563-493C-BF2D-EFDBB4093ADB}"/>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978A023A-56A6-4F49-A653-9014BBCBD04A}"/>
    <cellStyle name="Normal 4 2 2 4 7 2 3" xfId="13631" xr:uid="{B64FD8B8-56F7-4E5B-982C-081CA0F26FEF}"/>
    <cellStyle name="Normal 4 2 2 4 7 3" xfId="6377" xr:uid="{00000000-0005-0000-0000-0000DE120000}"/>
    <cellStyle name="Normal 4 2 2 4 7 3 2" xfId="15703" xr:uid="{6128FCC8-80ED-4EA4-A7CD-84C28B09F773}"/>
    <cellStyle name="Normal 4 2 2 4 7 4" xfId="11486" xr:uid="{95B1D485-FA19-4D89-B66E-A0E311EE20EC}"/>
    <cellStyle name="Normal 4 2 2 4 8" xfId="2507" xr:uid="{00000000-0005-0000-0000-0000DF120000}"/>
    <cellStyle name="Normal 4 2 2 4 8 2" xfId="6790" xr:uid="{00000000-0005-0000-0000-0000E0120000}"/>
    <cellStyle name="Normal 4 2 2 4 8 2 2" xfId="16116" xr:uid="{C267F7C2-561E-42C1-9025-EB05C626FB64}"/>
    <cellStyle name="Normal 4 2 2 4 8 3" xfId="11899" xr:uid="{9ECD6541-19B8-4B82-913C-0F9ABC6E6486}"/>
    <cellStyle name="Normal 4 2 2 4 9" xfId="4725" xr:uid="{00000000-0005-0000-0000-0000E1120000}"/>
    <cellStyle name="Normal 4 2 2 4 9 2" xfId="14051" xr:uid="{270CC8D4-C50A-47FD-B1A4-DFC00A7C092C}"/>
    <cellStyle name="Normal 4 2 2 5" xfId="351" xr:uid="{00000000-0005-0000-0000-0000E2120000}"/>
    <cellStyle name="Normal 4 2 2 5 10" xfId="9838" xr:uid="{F1A4936F-E412-42F3-9DF8-611B423FC7FC}"/>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677547EB-10FC-4150-86B1-C38ADCF3765B}"/>
    <cellStyle name="Normal 4 2 2 5 2 2 2 3" xfId="12397" xr:uid="{33D6A4AE-E615-4E52-BDFE-9DF8340F8A2F}"/>
    <cellStyle name="Normal 4 2 2 5 2 2 3" xfId="5143" xr:uid="{00000000-0005-0000-0000-0000E7120000}"/>
    <cellStyle name="Normal 4 2 2 5 2 2 3 2" xfId="14469" xr:uid="{12C2B315-EE4F-45BE-B532-A9805B2C6567}"/>
    <cellStyle name="Normal 4 2 2 5 2 2 4" xfId="9487" xr:uid="{83D2756E-B983-4EA9-AB48-FF4D3E821CE4}"/>
    <cellStyle name="Normal 4 2 2 5 2 2 4 2" xfId="18802" xr:uid="{3BBEDC9B-0D85-4845-A354-D5742F029116}"/>
    <cellStyle name="Normal 4 2 2 5 2 2 5" xfId="10252" xr:uid="{1F54EA3D-7807-437B-8774-0789443C6A17}"/>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1D9F84A6-CF99-4526-978D-7971775E9269}"/>
    <cellStyle name="Normal 4 2 2 5 2 3 2 3" xfId="12810" xr:uid="{505B9E4C-D3E9-4A7D-BD41-36E311D48ABF}"/>
    <cellStyle name="Normal 4 2 2 5 2 3 3" xfId="5556" xr:uid="{00000000-0005-0000-0000-0000EB120000}"/>
    <cellStyle name="Normal 4 2 2 5 2 3 3 2" xfId="14882" xr:uid="{CE6F7D43-CB50-4D4C-988D-E6ACD44CA592}"/>
    <cellStyle name="Normal 4 2 2 5 2 3 4" xfId="10665" xr:uid="{4C25C23D-D814-4A17-86EE-BBD93CF733B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F636A4F1-8D00-4304-9219-BCB76D37E6E5}"/>
    <cellStyle name="Normal 4 2 2 5 2 4 2 3" xfId="13223" xr:uid="{DC32D71C-1A13-465D-BE2D-D7547C2A426C}"/>
    <cellStyle name="Normal 4 2 2 5 2 4 3" xfId="5969" xr:uid="{00000000-0005-0000-0000-0000EF120000}"/>
    <cellStyle name="Normal 4 2 2 5 2 4 3 2" xfId="15295" xr:uid="{B56DEA82-3967-4476-BCCB-8E86B83F8618}"/>
    <cellStyle name="Normal 4 2 2 5 2 4 4" xfId="11078" xr:uid="{ECD97166-5300-46FF-882E-73762699954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E028A789-06AB-4FFE-AB1F-BFF544D64D3C}"/>
    <cellStyle name="Normal 4 2 2 5 2 5 2 3" xfId="13636" xr:uid="{80200DDB-1659-49B5-BB14-07B7E2C86382}"/>
    <cellStyle name="Normal 4 2 2 5 2 5 3" xfId="6382" xr:uid="{00000000-0005-0000-0000-0000F3120000}"/>
    <cellStyle name="Normal 4 2 2 5 2 5 3 2" xfId="15708" xr:uid="{20B91899-A472-46FA-8563-934C5B2B2AA3}"/>
    <cellStyle name="Normal 4 2 2 5 2 5 4" xfId="11491" xr:uid="{A4367EE7-B26D-43E2-9A26-62E5B1C75393}"/>
    <cellStyle name="Normal 4 2 2 5 2 6" xfId="2512" xr:uid="{00000000-0005-0000-0000-0000F4120000}"/>
    <cellStyle name="Normal 4 2 2 5 2 6 2" xfId="6795" xr:uid="{00000000-0005-0000-0000-0000F5120000}"/>
    <cellStyle name="Normal 4 2 2 5 2 6 2 2" xfId="16121" xr:uid="{C6A4F286-7AC3-449E-8393-B38CA3C2517E}"/>
    <cellStyle name="Normal 4 2 2 5 2 6 3" xfId="11904" xr:uid="{EBE7C4F7-B56E-4794-811A-966656341C3E}"/>
    <cellStyle name="Normal 4 2 2 5 2 7" xfId="4730" xr:uid="{00000000-0005-0000-0000-0000F6120000}"/>
    <cellStyle name="Normal 4 2 2 5 2 7 2" xfId="14056" xr:uid="{B53266F2-EE2C-4E6B-BC07-B2EA17DB72AD}"/>
    <cellStyle name="Normal 4 2 2 5 2 8" xfId="9062" xr:uid="{FED54422-C2E5-44B3-AA7C-C6088F47A385}"/>
    <cellStyle name="Normal 4 2 2 5 2 8 2" xfId="18386" xr:uid="{C3984DE8-803A-4EA6-BF41-B23C60FBD49E}"/>
    <cellStyle name="Normal 4 2 2 5 2 9" xfId="9839" xr:uid="{C9F59617-3076-4878-AB2F-1410944D3533}"/>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0646D57E-DC6B-4372-95D6-B25F8B31EFD0}"/>
    <cellStyle name="Normal 4 2 2 5 3 2 3" xfId="12396" xr:uid="{2495C634-670D-4E29-B092-AE5065577949}"/>
    <cellStyle name="Normal 4 2 2 5 3 3" xfId="5142" xr:uid="{00000000-0005-0000-0000-0000FA120000}"/>
    <cellStyle name="Normal 4 2 2 5 3 3 2" xfId="14468" xr:uid="{2C120623-27BC-4E38-A792-4C51D12624E5}"/>
    <cellStyle name="Normal 4 2 2 5 3 4" xfId="9280" xr:uid="{C70B18D8-E279-4D37-82EF-3177E9FA554F}"/>
    <cellStyle name="Normal 4 2 2 5 3 4 2" xfId="18595" xr:uid="{7B86FA75-60CE-4EEA-93A0-36BC7ABEB698}"/>
    <cellStyle name="Normal 4 2 2 5 3 5" xfId="10251" xr:uid="{1D5545A0-6CE6-462A-ADE6-32B4E380AB3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3C79B2A2-27D1-41B8-8920-3596E2ACBBBB}"/>
    <cellStyle name="Normal 4 2 2 5 4 2 3" xfId="12809" xr:uid="{4492E069-FEBC-4C64-891D-D698CB4AFC59}"/>
    <cellStyle name="Normal 4 2 2 5 4 3" xfId="5555" xr:uid="{00000000-0005-0000-0000-0000FE120000}"/>
    <cellStyle name="Normal 4 2 2 5 4 3 2" xfId="14881" xr:uid="{CA8E9A56-C3B4-4FEE-AFDD-A861A47CE074}"/>
    <cellStyle name="Normal 4 2 2 5 4 4" xfId="10664" xr:uid="{FDFEF31A-975F-40D6-9749-78C2C9424CE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073D6696-CBD7-408D-83D7-0648558865D7}"/>
    <cellStyle name="Normal 4 2 2 5 5 2 3" xfId="13222" xr:uid="{69CB4C97-B509-458A-9FF1-45CE7A08727C}"/>
    <cellStyle name="Normal 4 2 2 5 5 3" xfId="5968" xr:uid="{00000000-0005-0000-0000-000002130000}"/>
    <cellStyle name="Normal 4 2 2 5 5 3 2" xfId="15294" xr:uid="{CEDF6269-AEEA-45C2-9E7F-7DB32C1022E5}"/>
    <cellStyle name="Normal 4 2 2 5 5 4" xfId="11077" xr:uid="{4B421C51-7FEE-4097-AAAD-0F775A7F32A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F83E01BB-004F-49AC-BF5A-06379592DA87}"/>
    <cellStyle name="Normal 4 2 2 5 6 2 3" xfId="13635" xr:uid="{8282C9E5-DC14-47F7-8F8D-085A131782C7}"/>
    <cellStyle name="Normal 4 2 2 5 6 3" xfId="6381" xr:uid="{00000000-0005-0000-0000-000006130000}"/>
    <cellStyle name="Normal 4 2 2 5 6 3 2" xfId="15707" xr:uid="{608A051B-E31A-46D3-B97A-9EC142E048C3}"/>
    <cellStyle name="Normal 4 2 2 5 6 4" xfId="11490" xr:uid="{6209545E-3BD7-4A5D-868F-94E28DFFB3E9}"/>
    <cellStyle name="Normal 4 2 2 5 7" xfId="2511" xr:uid="{00000000-0005-0000-0000-000007130000}"/>
    <cellStyle name="Normal 4 2 2 5 7 2" xfId="6794" xr:uid="{00000000-0005-0000-0000-000008130000}"/>
    <cellStyle name="Normal 4 2 2 5 7 2 2" xfId="16120" xr:uid="{B893077F-5C4C-4E5D-8A1C-EA271C01125C}"/>
    <cellStyle name="Normal 4 2 2 5 7 3" xfId="11903" xr:uid="{7A941884-5C64-47D0-9E47-E30B816CC992}"/>
    <cellStyle name="Normal 4 2 2 5 8" xfId="4729" xr:uid="{00000000-0005-0000-0000-000009130000}"/>
    <cellStyle name="Normal 4 2 2 5 8 2" xfId="14055" xr:uid="{5E0A16A7-2700-468C-8EE5-B971D6441DBC}"/>
    <cellStyle name="Normal 4 2 2 5 9" xfId="8855" xr:uid="{894DEE8B-A5CD-4C4E-B41D-DCEB92717109}"/>
    <cellStyle name="Normal 4 2 2 5 9 2" xfId="18179" xr:uid="{C8C65C86-8BBA-46DB-A105-632F358EDDA2}"/>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11858DC2-2CB7-4254-BE46-5397E3EB8939}"/>
    <cellStyle name="Normal 4 2 2 6 2 2 3" xfId="12398" xr:uid="{18C0918D-E6B4-4669-BC91-B18D336956BD}"/>
    <cellStyle name="Normal 4 2 2 6 2 3" xfId="5144" xr:uid="{00000000-0005-0000-0000-00000E130000}"/>
    <cellStyle name="Normal 4 2 2 6 2 3 2" xfId="14470" xr:uid="{6C7FCA7E-9538-41B6-832A-564393DA3D3D}"/>
    <cellStyle name="Normal 4 2 2 6 2 4" xfId="9396" xr:uid="{5B10E6C6-987A-4149-BB81-321A07C7666F}"/>
    <cellStyle name="Normal 4 2 2 6 2 4 2" xfId="18711" xr:uid="{7165ED98-09A2-4C69-AB32-814F75C3B426}"/>
    <cellStyle name="Normal 4 2 2 6 2 5" xfId="10253" xr:uid="{97662441-E409-49DC-A84A-C41321DA9C23}"/>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92FCF7BA-2C88-46E8-A6D2-C456773AEB43}"/>
    <cellStyle name="Normal 4 2 2 6 3 2 3" xfId="12811" xr:uid="{4AFE7080-639B-4F9D-9A56-4DF6F828EEB4}"/>
    <cellStyle name="Normal 4 2 2 6 3 3" xfId="5557" xr:uid="{00000000-0005-0000-0000-000012130000}"/>
    <cellStyle name="Normal 4 2 2 6 3 3 2" xfId="14883" xr:uid="{4565EC15-D021-452D-AD6A-2C472B1F1FD4}"/>
    <cellStyle name="Normal 4 2 2 6 3 4" xfId="10666" xr:uid="{BB65F069-B166-443F-94C5-F76B4645156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24E79467-DDF2-49FF-AC1D-3AED957EBBBC}"/>
    <cellStyle name="Normal 4 2 2 6 4 2 3" xfId="13224" xr:uid="{BF9E60A4-6028-4B73-8CE8-5F90A7944FD3}"/>
    <cellStyle name="Normal 4 2 2 6 4 3" xfId="5970" xr:uid="{00000000-0005-0000-0000-000016130000}"/>
    <cellStyle name="Normal 4 2 2 6 4 3 2" xfId="15296" xr:uid="{95B85612-1EA1-4EF5-873C-AAE761BAD930}"/>
    <cellStyle name="Normal 4 2 2 6 4 4" xfId="11079" xr:uid="{6F938F1F-4D8F-45D3-B024-B82AA9F8F936}"/>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DD46FBBD-B267-4E63-881F-9FFCAE8ED293}"/>
    <cellStyle name="Normal 4 2 2 6 5 2 3" xfId="13637" xr:uid="{D0AB69C1-2C21-4A47-A21A-D11CDB59B9A7}"/>
    <cellStyle name="Normal 4 2 2 6 5 3" xfId="6383" xr:uid="{00000000-0005-0000-0000-00001A130000}"/>
    <cellStyle name="Normal 4 2 2 6 5 3 2" xfId="15709" xr:uid="{9BA39EBC-F9C7-4E5D-80A1-4D138BAFC909}"/>
    <cellStyle name="Normal 4 2 2 6 5 4" xfId="11492" xr:uid="{95A7B9A4-C62B-436A-985F-A1D0AF016F43}"/>
    <cellStyle name="Normal 4 2 2 6 6" xfId="2513" xr:uid="{00000000-0005-0000-0000-00001B130000}"/>
    <cellStyle name="Normal 4 2 2 6 6 2" xfId="6796" xr:uid="{00000000-0005-0000-0000-00001C130000}"/>
    <cellStyle name="Normal 4 2 2 6 6 2 2" xfId="16122" xr:uid="{E7EA21C3-5C89-4E07-8F16-DC99BF9D656D}"/>
    <cellStyle name="Normal 4 2 2 6 6 3" xfId="11905" xr:uid="{545210E9-5178-498C-8240-F83456B15C55}"/>
    <cellStyle name="Normal 4 2 2 6 7" xfId="4731" xr:uid="{00000000-0005-0000-0000-00001D130000}"/>
    <cellStyle name="Normal 4 2 2 6 7 2" xfId="14057" xr:uid="{D6534062-6E2B-461E-B40A-C83998549A7D}"/>
    <cellStyle name="Normal 4 2 2 6 8" xfId="8971" xr:uid="{7BBA3CD4-2D32-439A-A2D5-9F7EB5E5A47E}"/>
    <cellStyle name="Normal 4 2 2 6 8 2" xfId="18295" xr:uid="{270827E4-248D-42CA-89F6-3BFE86B56C16}"/>
    <cellStyle name="Normal 4 2 2 6 9" xfId="9840" xr:uid="{9C3DE120-8600-4BBC-9A1D-B2325A4CB735}"/>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5E6C78E2-0B9B-4821-A49E-98DE93ED86F8}"/>
    <cellStyle name="Normal 4 2 2 7 2 3" xfId="12383" xr:uid="{58AF149B-35B8-4399-8F23-246E16E65866}"/>
    <cellStyle name="Normal 4 2 2 7 3" xfId="5129" xr:uid="{00000000-0005-0000-0000-000021130000}"/>
    <cellStyle name="Normal 4 2 2 7 3 2" xfId="14455" xr:uid="{5B0739AE-F7E6-4D34-9E2F-81D41E667965}"/>
    <cellStyle name="Normal 4 2 2 7 4" xfId="9174" xr:uid="{5FB177AF-8B2E-4B7E-A1B7-4F6E323AF880}"/>
    <cellStyle name="Normal 4 2 2 7 4 2" xfId="18492" xr:uid="{257156E0-2C46-46C1-BCC0-1DD53E6D9108}"/>
    <cellStyle name="Normal 4 2 2 7 5" xfId="10238" xr:uid="{90F9CBF4-40D8-4E17-9CF0-8EFE32B7911B}"/>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57E16A8E-7C10-45C5-BFDF-44F56B305695}"/>
    <cellStyle name="Normal 4 2 2 8 2 3" xfId="12796" xr:uid="{66FEF79B-6AB6-4F51-A1CC-263ECFDF7973}"/>
    <cellStyle name="Normal 4 2 2 8 3" xfId="5542" xr:uid="{00000000-0005-0000-0000-000025130000}"/>
    <cellStyle name="Normal 4 2 2 8 3 2" xfId="14868" xr:uid="{A20A1507-7E69-4626-AAFA-13D90DD054E3}"/>
    <cellStyle name="Normal 4 2 2 8 4" xfId="10651" xr:uid="{CD8D0184-BCEA-4EB7-92D9-8604EFC4EB5E}"/>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FB0A5808-490C-48A1-B205-3171CE11CC11}"/>
    <cellStyle name="Normal 4 2 2 9 2 3" xfId="13209" xr:uid="{17EFFFEC-D93C-4D14-B393-33D9BDDE0848}"/>
    <cellStyle name="Normal 4 2 2 9 3" xfId="5955" xr:uid="{00000000-0005-0000-0000-000029130000}"/>
    <cellStyle name="Normal 4 2 2 9 3 2" xfId="15281" xr:uid="{CB659955-8423-4571-9FA8-31FD872E4909}"/>
    <cellStyle name="Normal 4 2 2 9 4" xfId="11064" xr:uid="{AFED5EDA-08C4-476E-A08E-9A92DF1CA1D4}"/>
    <cellStyle name="Normal 4 2 3" xfId="354" xr:uid="{00000000-0005-0000-0000-00002A130000}"/>
    <cellStyle name="Normal 4 2 4" xfId="355" xr:uid="{00000000-0005-0000-0000-00002B130000}"/>
    <cellStyle name="Normal 4 2 4 10" xfId="4732" xr:uid="{00000000-0005-0000-0000-00002C130000}"/>
    <cellStyle name="Normal 4 2 4 10 2" xfId="14058" xr:uid="{3BE2433A-C190-42EC-BB05-B9594249E172}"/>
    <cellStyle name="Normal 4 2 4 11" xfId="8775" xr:uid="{7AC259AB-9C32-4DC1-A787-2E2187A7C2D6}"/>
    <cellStyle name="Normal 4 2 4 11 2" xfId="18099" xr:uid="{1DB2CA80-6614-4950-8258-442CD7BC3F2F}"/>
    <cellStyle name="Normal 4 2 4 12" xfId="9841" xr:uid="{F9DE6474-EB75-4ADD-B5EC-34AA5A18B1C0}"/>
    <cellStyle name="Normal 4 2 4 2" xfId="356" xr:uid="{00000000-0005-0000-0000-00002D130000}"/>
    <cellStyle name="Normal 4 2 4 2 10" xfId="8820" xr:uid="{8B50D4F4-4786-467C-8322-69D665B73C2B}"/>
    <cellStyle name="Normal 4 2 4 2 10 2" xfId="18144" xr:uid="{3270814C-7DFA-4C90-939B-9B8F6D5C89CF}"/>
    <cellStyle name="Normal 4 2 4 2 11" xfId="9842" xr:uid="{14774B20-00A7-43A4-B852-FB4BDA9CB463}"/>
    <cellStyle name="Normal 4 2 4 2 2" xfId="357" xr:uid="{00000000-0005-0000-0000-00002E130000}"/>
    <cellStyle name="Normal 4 2 4 2 2 10" xfId="9843" xr:uid="{C1D3939D-8127-4AB0-A4C2-F1C011119239}"/>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CA03E73C-520E-4C22-ABB6-6381F448C166}"/>
    <cellStyle name="Normal 4 2 4 2 2 2 2 2 3" xfId="12402" xr:uid="{106C44AE-8DCE-4526-9CF8-94B1DF10D8FE}"/>
    <cellStyle name="Normal 4 2 4 2 2 2 2 3" xfId="5148" xr:uid="{00000000-0005-0000-0000-000033130000}"/>
    <cellStyle name="Normal 4 2 4 2 2 2 2 3 2" xfId="14474" xr:uid="{1C59298E-816A-4A99-9F1E-7062959F1BCE}"/>
    <cellStyle name="Normal 4 2 4 2 2 2 2 4" xfId="9555" xr:uid="{31AE7BD4-4F26-4658-9939-15FCE733560E}"/>
    <cellStyle name="Normal 4 2 4 2 2 2 2 4 2" xfId="18870" xr:uid="{B6FB7537-5CE2-43ED-8240-7661EEB10573}"/>
    <cellStyle name="Normal 4 2 4 2 2 2 2 5" xfId="10257" xr:uid="{42EBEC74-793E-45AA-B00F-0C30DE2BC4E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CE02E892-4B08-4597-BD42-8342A57EA78D}"/>
    <cellStyle name="Normal 4 2 4 2 2 2 3 2 3" xfId="12815" xr:uid="{973570DD-12EF-46B8-9D3F-8E6892C1CF7E}"/>
    <cellStyle name="Normal 4 2 4 2 2 2 3 3" xfId="5561" xr:uid="{00000000-0005-0000-0000-000037130000}"/>
    <cellStyle name="Normal 4 2 4 2 2 2 3 3 2" xfId="14887" xr:uid="{91D2C777-AE9A-45FD-8764-10FFD3B7C8FA}"/>
    <cellStyle name="Normal 4 2 4 2 2 2 3 4" xfId="10670" xr:uid="{C2140C67-15E5-4321-AC12-E3222A04206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D653196C-1818-4BFE-BEFA-530169B748EE}"/>
    <cellStyle name="Normal 4 2 4 2 2 2 4 2 3" xfId="13228" xr:uid="{EA34E044-D279-48E1-A4D2-3B98A2BFF5CF}"/>
    <cellStyle name="Normal 4 2 4 2 2 2 4 3" xfId="5974" xr:uid="{00000000-0005-0000-0000-00003B130000}"/>
    <cellStyle name="Normal 4 2 4 2 2 2 4 3 2" xfId="15300" xr:uid="{D89A9798-AED7-4363-911E-2EDF20BE935B}"/>
    <cellStyle name="Normal 4 2 4 2 2 2 4 4" xfId="11083" xr:uid="{B0ED4949-DC0D-4CE2-A9AC-C3D960EF285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881EA59D-567D-42FB-8477-5897E9C62B77}"/>
    <cellStyle name="Normal 4 2 4 2 2 2 5 2 3" xfId="13641" xr:uid="{7F83027E-BE61-462A-8A8D-6E048AD5A6F8}"/>
    <cellStyle name="Normal 4 2 4 2 2 2 5 3" xfId="6387" xr:uid="{00000000-0005-0000-0000-00003F130000}"/>
    <cellStyle name="Normal 4 2 4 2 2 2 5 3 2" xfId="15713" xr:uid="{004ACC69-410D-4D58-A036-1B344A342863}"/>
    <cellStyle name="Normal 4 2 4 2 2 2 5 4" xfId="11496" xr:uid="{51FE104E-211F-4B15-B25A-F5BBC7E8366F}"/>
    <cellStyle name="Normal 4 2 4 2 2 2 6" xfId="2517" xr:uid="{00000000-0005-0000-0000-000040130000}"/>
    <cellStyle name="Normal 4 2 4 2 2 2 6 2" xfId="6800" xr:uid="{00000000-0005-0000-0000-000041130000}"/>
    <cellStyle name="Normal 4 2 4 2 2 2 6 2 2" xfId="16126" xr:uid="{EC515FAA-1E7B-4B7B-98E8-468D2EE65BFE}"/>
    <cellStyle name="Normal 4 2 4 2 2 2 6 3" xfId="11909" xr:uid="{986E0DD0-F7C5-48B7-90A7-37EDD5AB5713}"/>
    <cellStyle name="Normal 4 2 4 2 2 2 7" xfId="4735" xr:uid="{00000000-0005-0000-0000-000042130000}"/>
    <cellStyle name="Normal 4 2 4 2 2 2 7 2" xfId="14061" xr:uid="{24BA5AE1-E490-43A0-85F0-FBF6271240A7}"/>
    <cellStyle name="Normal 4 2 4 2 2 2 8" xfId="9130" xr:uid="{E4AAEB37-D6CE-4BD9-A166-BE52F754DAC4}"/>
    <cellStyle name="Normal 4 2 4 2 2 2 8 2" xfId="18454" xr:uid="{7C448010-B5D4-4036-A979-885DE9B22F26}"/>
    <cellStyle name="Normal 4 2 4 2 2 2 9" xfId="9844" xr:uid="{909CFB28-A7D3-446C-A361-174128A039C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A077BF89-4D67-442F-BFD3-00CB75617562}"/>
    <cellStyle name="Normal 4 2 4 2 2 3 2 3" xfId="12401" xr:uid="{BD93A5EB-5A10-43B7-BE98-71B20D71F02D}"/>
    <cellStyle name="Normal 4 2 4 2 2 3 3" xfId="5147" xr:uid="{00000000-0005-0000-0000-000046130000}"/>
    <cellStyle name="Normal 4 2 4 2 2 3 3 2" xfId="14473" xr:uid="{A1E3100B-88D3-4C66-81CE-9B1483F6BB5C}"/>
    <cellStyle name="Normal 4 2 4 2 2 3 4" xfId="9348" xr:uid="{E9E52CF6-B3CF-482F-B496-A22B0452951D}"/>
    <cellStyle name="Normal 4 2 4 2 2 3 4 2" xfId="18663" xr:uid="{EBC7ED2F-5846-448A-A69E-0BBD5DBDCC09}"/>
    <cellStyle name="Normal 4 2 4 2 2 3 5" xfId="10256" xr:uid="{B077174A-3D4F-47EB-9006-A4DAD55DD62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7C391916-2779-4338-A9A0-AEC953A84AB3}"/>
    <cellStyle name="Normal 4 2 4 2 2 4 2 3" xfId="12814" xr:uid="{10EA7EEA-0731-4A52-9B54-9804475D10F9}"/>
    <cellStyle name="Normal 4 2 4 2 2 4 3" xfId="5560" xr:uid="{00000000-0005-0000-0000-00004A130000}"/>
    <cellStyle name="Normal 4 2 4 2 2 4 3 2" xfId="14886" xr:uid="{04E24E20-EF52-47F3-9578-49E5C5205C08}"/>
    <cellStyle name="Normal 4 2 4 2 2 4 4" xfId="10669" xr:uid="{532844EA-4044-4A1A-955B-8A6F1306F702}"/>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08F032AC-5B58-4A17-B3F9-9E95333B9AF8}"/>
    <cellStyle name="Normal 4 2 4 2 2 5 2 3" xfId="13227" xr:uid="{D2720459-D97B-41A6-9C11-C12559E51611}"/>
    <cellStyle name="Normal 4 2 4 2 2 5 3" xfId="5973" xr:uid="{00000000-0005-0000-0000-00004E130000}"/>
    <cellStyle name="Normal 4 2 4 2 2 5 3 2" xfId="15299" xr:uid="{D82F1F28-56A4-47D5-9025-E252C4C8E1B4}"/>
    <cellStyle name="Normal 4 2 4 2 2 5 4" xfId="11082" xr:uid="{51CD3D87-01CE-4D17-8B57-F0B338DF587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B23C6E57-8B69-41B5-9188-0EAB9BAFDDE7}"/>
    <cellStyle name="Normal 4 2 4 2 2 6 2 3" xfId="13640" xr:uid="{871BAADC-135A-41E8-9983-B5AE0FD8C212}"/>
    <cellStyle name="Normal 4 2 4 2 2 6 3" xfId="6386" xr:uid="{00000000-0005-0000-0000-000052130000}"/>
    <cellStyle name="Normal 4 2 4 2 2 6 3 2" xfId="15712" xr:uid="{517E677E-F903-4F51-9A8E-BEFEC6A9F67A}"/>
    <cellStyle name="Normal 4 2 4 2 2 6 4" xfId="11495" xr:uid="{BEE6A80C-D2C3-4705-9518-D1A3B1FC0EAC}"/>
    <cellStyle name="Normal 4 2 4 2 2 7" xfId="2516" xr:uid="{00000000-0005-0000-0000-000053130000}"/>
    <cellStyle name="Normal 4 2 4 2 2 7 2" xfId="6799" xr:uid="{00000000-0005-0000-0000-000054130000}"/>
    <cellStyle name="Normal 4 2 4 2 2 7 2 2" xfId="16125" xr:uid="{36177FC2-D0F5-4530-BDEB-1C246B3B74A6}"/>
    <cellStyle name="Normal 4 2 4 2 2 7 3" xfId="11908" xr:uid="{417ABFF3-E979-4A74-8DCB-1C24FF3FFA9F}"/>
    <cellStyle name="Normal 4 2 4 2 2 8" xfId="4734" xr:uid="{00000000-0005-0000-0000-000055130000}"/>
    <cellStyle name="Normal 4 2 4 2 2 8 2" xfId="14060" xr:uid="{74578A63-563A-4958-B673-C86C9D832A42}"/>
    <cellStyle name="Normal 4 2 4 2 2 9" xfId="8923" xr:uid="{2BBE6936-33B8-4624-9F85-2EE83C62ACB2}"/>
    <cellStyle name="Normal 4 2 4 2 2 9 2" xfId="18247" xr:uid="{044FF44C-8C43-4B48-B442-CA115A785141}"/>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CFBE7B1F-F528-4102-BDCA-BB35FA8D8009}"/>
    <cellStyle name="Normal 4 2 4 2 3 2 2 3" xfId="12403" xr:uid="{7F9AA6CE-642A-4E76-955E-073DD4BDA744}"/>
    <cellStyle name="Normal 4 2 4 2 3 2 3" xfId="5149" xr:uid="{00000000-0005-0000-0000-00005A130000}"/>
    <cellStyle name="Normal 4 2 4 2 3 2 3 2" xfId="14475" xr:uid="{AA7CBD3B-4E81-4A4B-BD73-F0A0039682BF}"/>
    <cellStyle name="Normal 4 2 4 2 3 2 4" xfId="9452" xr:uid="{58F46659-8F00-4705-8554-54AEBE9B8A77}"/>
    <cellStyle name="Normal 4 2 4 2 3 2 4 2" xfId="18767" xr:uid="{8263D1F6-42AA-4B50-A79F-009B4505BD69}"/>
    <cellStyle name="Normal 4 2 4 2 3 2 5" xfId="10258" xr:uid="{138786CD-DF06-4217-86C1-A419E04279A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A88FD053-DCB2-4DAA-A268-4ED0C257AF6B}"/>
    <cellStyle name="Normal 4 2 4 2 3 3 2 3" xfId="12816" xr:uid="{D27E0FD4-4C99-47E5-A51F-EE28B72E52AD}"/>
    <cellStyle name="Normal 4 2 4 2 3 3 3" xfId="5562" xr:uid="{00000000-0005-0000-0000-00005E130000}"/>
    <cellStyle name="Normal 4 2 4 2 3 3 3 2" xfId="14888" xr:uid="{43E6F295-2CC2-4173-8157-BE7CD5008B2F}"/>
    <cellStyle name="Normal 4 2 4 2 3 3 4" xfId="10671" xr:uid="{BCA58CB0-2BD3-4476-BDE5-6E3BB64B7639}"/>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3FAE6E76-CDD4-4F44-8192-74DB3FD6AF3F}"/>
    <cellStyle name="Normal 4 2 4 2 3 4 2 3" xfId="13229" xr:uid="{2312E6F8-43D3-4247-AD19-3A8FCA9C3788}"/>
    <cellStyle name="Normal 4 2 4 2 3 4 3" xfId="5975" xr:uid="{00000000-0005-0000-0000-000062130000}"/>
    <cellStyle name="Normal 4 2 4 2 3 4 3 2" xfId="15301" xr:uid="{6B17EE4B-703E-4B2B-80B7-FECDF6B55AD0}"/>
    <cellStyle name="Normal 4 2 4 2 3 4 4" xfId="11084" xr:uid="{75E11CDE-9E61-4260-851A-91899394BA94}"/>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F90AB1B1-0353-4B99-8373-306BEF3229D3}"/>
    <cellStyle name="Normal 4 2 4 2 3 5 2 3" xfId="13642" xr:uid="{82172FD7-35D0-4CC5-89CF-DAA801C58719}"/>
    <cellStyle name="Normal 4 2 4 2 3 5 3" xfId="6388" xr:uid="{00000000-0005-0000-0000-000066130000}"/>
    <cellStyle name="Normal 4 2 4 2 3 5 3 2" xfId="15714" xr:uid="{1F5F2805-15C4-41BB-AA73-C32696A0D5BE}"/>
    <cellStyle name="Normal 4 2 4 2 3 5 4" xfId="11497" xr:uid="{1958A279-6E27-4826-AE02-8F630E024791}"/>
    <cellStyle name="Normal 4 2 4 2 3 6" xfId="2518" xr:uid="{00000000-0005-0000-0000-000067130000}"/>
    <cellStyle name="Normal 4 2 4 2 3 6 2" xfId="6801" xr:uid="{00000000-0005-0000-0000-000068130000}"/>
    <cellStyle name="Normal 4 2 4 2 3 6 2 2" xfId="16127" xr:uid="{B80D1AA0-D5AD-4617-8D7E-8F49779E3CB1}"/>
    <cellStyle name="Normal 4 2 4 2 3 6 3" xfId="11910" xr:uid="{467AECBF-1F5E-4688-B3CB-D88E51FD098C}"/>
    <cellStyle name="Normal 4 2 4 2 3 7" xfId="4736" xr:uid="{00000000-0005-0000-0000-000069130000}"/>
    <cellStyle name="Normal 4 2 4 2 3 7 2" xfId="14062" xr:uid="{FC3E7021-A46A-4714-B5F3-CC7841A43676}"/>
    <cellStyle name="Normal 4 2 4 2 3 8" xfId="9027" xr:uid="{DA430019-E492-48BB-ACD5-5BE853C50FBC}"/>
    <cellStyle name="Normal 4 2 4 2 3 8 2" xfId="18351" xr:uid="{15DD93AF-E28E-436E-9080-316122AC1434}"/>
    <cellStyle name="Normal 4 2 4 2 3 9" xfId="9845" xr:uid="{65C4546B-391D-4BE2-BC5B-34DFDEAD8CA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38ACEFD5-CFFC-4851-A5F1-7A626004BDAD}"/>
    <cellStyle name="Normal 4 2 4 2 4 2 3" xfId="12400" xr:uid="{E1E69D0F-F754-47B0-81E9-ED2B8A36070D}"/>
    <cellStyle name="Normal 4 2 4 2 4 3" xfId="5146" xr:uid="{00000000-0005-0000-0000-00006D130000}"/>
    <cellStyle name="Normal 4 2 4 2 4 3 2" xfId="14472" xr:uid="{4CA92242-2B21-4F0E-B782-AFF8DDC1F187}"/>
    <cellStyle name="Normal 4 2 4 2 4 4" xfId="9245" xr:uid="{A0383DD8-843E-4601-922A-5CDD979D0589}"/>
    <cellStyle name="Normal 4 2 4 2 4 4 2" xfId="18560" xr:uid="{13EE2848-C536-4EB4-A7E7-2438102080E1}"/>
    <cellStyle name="Normal 4 2 4 2 4 5" xfId="10255" xr:uid="{CE56F56C-7ED7-435C-9E24-9DAD06BE4BCD}"/>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8F03A318-7002-4793-B378-10994A5839E3}"/>
    <cellStyle name="Normal 4 2 4 2 5 2 3" xfId="12813" xr:uid="{688EEFA4-4AF0-418D-89E5-9F8D0349637E}"/>
    <cellStyle name="Normal 4 2 4 2 5 3" xfId="5559" xr:uid="{00000000-0005-0000-0000-000071130000}"/>
    <cellStyle name="Normal 4 2 4 2 5 3 2" xfId="14885" xr:uid="{238DC505-CB23-4680-874E-D14E4ED350BD}"/>
    <cellStyle name="Normal 4 2 4 2 5 4" xfId="10668" xr:uid="{A4F05846-BA2B-4CB9-88B5-D75B06B04EE9}"/>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7BFDB6FC-40C3-4D23-8BA3-8D38151CDF36}"/>
    <cellStyle name="Normal 4 2 4 2 6 2 3" xfId="13226" xr:uid="{69B15F1F-EEC4-4078-BCD3-E62ACF4B2168}"/>
    <cellStyle name="Normal 4 2 4 2 6 3" xfId="5972" xr:uid="{00000000-0005-0000-0000-000075130000}"/>
    <cellStyle name="Normal 4 2 4 2 6 3 2" xfId="15298" xr:uid="{100D0BA4-DDF2-4A96-BCBE-E30DE2344B6B}"/>
    <cellStyle name="Normal 4 2 4 2 6 4" xfId="11081" xr:uid="{D9BACE00-41AE-4C93-A22D-44F48377CB6E}"/>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5BF39B3A-A08A-4318-9FB9-D125A0D3B96C}"/>
    <cellStyle name="Normal 4 2 4 2 7 2 3" xfId="13639" xr:uid="{97382CB5-9884-4F83-80DF-D75968D3F24C}"/>
    <cellStyle name="Normal 4 2 4 2 7 3" xfId="6385" xr:uid="{00000000-0005-0000-0000-000079130000}"/>
    <cellStyle name="Normal 4 2 4 2 7 3 2" xfId="15711" xr:uid="{2C151A6E-104F-4B91-9EB4-DC1EB2DA6BF9}"/>
    <cellStyle name="Normal 4 2 4 2 7 4" xfId="11494" xr:uid="{655772E7-17DC-438F-87F5-F51505E90E2C}"/>
    <cellStyle name="Normal 4 2 4 2 8" xfId="2515" xr:uid="{00000000-0005-0000-0000-00007A130000}"/>
    <cellStyle name="Normal 4 2 4 2 8 2" xfId="6798" xr:uid="{00000000-0005-0000-0000-00007B130000}"/>
    <cellStyle name="Normal 4 2 4 2 8 2 2" xfId="16124" xr:uid="{01259240-2781-4617-BEE6-F44D0F42746C}"/>
    <cellStyle name="Normal 4 2 4 2 8 3" xfId="11907" xr:uid="{8764F16F-7934-40AD-9D3C-96BCE514179E}"/>
    <cellStyle name="Normal 4 2 4 2 9" xfId="4733" xr:uid="{00000000-0005-0000-0000-00007C130000}"/>
    <cellStyle name="Normal 4 2 4 2 9 2" xfId="14059" xr:uid="{7D686096-FC40-4441-89BE-DE39BEA6B16A}"/>
    <cellStyle name="Normal 4 2 4 3" xfId="360" xr:uid="{00000000-0005-0000-0000-00007D130000}"/>
    <cellStyle name="Normal 4 2 4 3 10" xfId="9846" xr:uid="{A0DD6F24-6F22-4517-82C3-C0A7C9A7C9E4}"/>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36600F3D-BD5B-4711-9911-A3AC7B0F7771}"/>
    <cellStyle name="Normal 4 2 4 3 2 2 2 3" xfId="12405" xr:uid="{9F30FEA9-16EF-42F0-8AC3-BE64F32A3720}"/>
    <cellStyle name="Normal 4 2 4 3 2 2 3" xfId="5151" xr:uid="{00000000-0005-0000-0000-000082130000}"/>
    <cellStyle name="Normal 4 2 4 3 2 2 3 2" xfId="14477" xr:uid="{45CE24B0-3ADE-4373-9268-750627F3645B}"/>
    <cellStyle name="Normal 4 2 4 3 2 2 4" xfId="9510" xr:uid="{AA534F18-B7F5-44D9-AE7D-03E6DE45E4F9}"/>
    <cellStyle name="Normal 4 2 4 3 2 2 4 2" xfId="18825" xr:uid="{C20B670A-0495-4597-813C-78CA0540C28F}"/>
    <cellStyle name="Normal 4 2 4 3 2 2 5" xfId="10260" xr:uid="{DC749A77-9977-4474-AC70-756803DC2054}"/>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A94B7F27-E400-4304-8449-B7CDB9C5BADD}"/>
    <cellStyle name="Normal 4 2 4 3 2 3 2 3" xfId="12818" xr:uid="{0276411C-CFFF-472C-A0A0-F897F6776CF2}"/>
    <cellStyle name="Normal 4 2 4 3 2 3 3" xfId="5564" xr:uid="{00000000-0005-0000-0000-000086130000}"/>
    <cellStyle name="Normal 4 2 4 3 2 3 3 2" xfId="14890" xr:uid="{1B1FD865-639D-41CD-87D3-0F417EFAFBC2}"/>
    <cellStyle name="Normal 4 2 4 3 2 3 4" xfId="10673" xr:uid="{BCBAEA19-433B-438A-84E4-9472B699E54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FD5A581C-B6A6-4363-B8FF-B2C59314D179}"/>
    <cellStyle name="Normal 4 2 4 3 2 4 2 3" xfId="13231" xr:uid="{4108F461-7A16-4254-BAA0-B3EB9D9314F8}"/>
    <cellStyle name="Normal 4 2 4 3 2 4 3" xfId="5977" xr:uid="{00000000-0005-0000-0000-00008A130000}"/>
    <cellStyle name="Normal 4 2 4 3 2 4 3 2" xfId="15303" xr:uid="{444309D8-FAEB-4786-B0F3-720B650BB977}"/>
    <cellStyle name="Normal 4 2 4 3 2 4 4" xfId="11086" xr:uid="{B07D5D66-1F81-482E-95C0-261851C713F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808CF69C-CC8F-4D68-9B21-70AFD7858E7B}"/>
    <cellStyle name="Normal 4 2 4 3 2 5 2 3" xfId="13644" xr:uid="{BACD89E7-16E9-4047-B4FC-05362A0C5E0C}"/>
    <cellStyle name="Normal 4 2 4 3 2 5 3" xfId="6390" xr:uid="{00000000-0005-0000-0000-00008E130000}"/>
    <cellStyle name="Normal 4 2 4 3 2 5 3 2" xfId="15716" xr:uid="{28254701-53C8-40A1-B2EF-392A45750309}"/>
    <cellStyle name="Normal 4 2 4 3 2 5 4" xfId="11499" xr:uid="{5ED6BBC6-7B2C-49C0-A637-3E981AEFB35C}"/>
    <cellStyle name="Normal 4 2 4 3 2 6" xfId="2520" xr:uid="{00000000-0005-0000-0000-00008F130000}"/>
    <cellStyle name="Normal 4 2 4 3 2 6 2" xfId="6803" xr:uid="{00000000-0005-0000-0000-000090130000}"/>
    <cellStyle name="Normal 4 2 4 3 2 6 2 2" xfId="16129" xr:uid="{38AD1D29-C451-4DD3-92A0-1ACA7BBBD7CA}"/>
    <cellStyle name="Normal 4 2 4 3 2 6 3" xfId="11912" xr:uid="{BBF3FF15-D9C0-4B97-9AE5-A014C73B0152}"/>
    <cellStyle name="Normal 4 2 4 3 2 7" xfId="4738" xr:uid="{00000000-0005-0000-0000-000091130000}"/>
    <cellStyle name="Normal 4 2 4 3 2 7 2" xfId="14064" xr:uid="{5F50757D-2BFC-412E-8586-58BAA283C5A3}"/>
    <cellStyle name="Normal 4 2 4 3 2 8" xfId="9085" xr:uid="{0181E53C-86DC-4588-8447-D559FCF01541}"/>
    <cellStyle name="Normal 4 2 4 3 2 8 2" xfId="18409" xr:uid="{295F7F2B-289A-451C-A575-3BE0B1398CE3}"/>
    <cellStyle name="Normal 4 2 4 3 2 9" xfId="9847" xr:uid="{38C87EAC-1E1E-4082-BBED-2A4599FE44F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8D2B0D97-3D43-4569-8DE1-FB46C6604CFF}"/>
    <cellStyle name="Normal 4 2 4 3 3 2 3" xfId="12404" xr:uid="{33D7E52A-63DA-489F-AFF1-19BBC171C92B}"/>
    <cellStyle name="Normal 4 2 4 3 3 3" xfId="5150" xr:uid="{00000000-0005-0000-0000-000095130000}"/>
    <cellStyle name="Normal 4 2 4 3 3 3 2" xfId="14476" xr:uid="{475E04A8-C4CD-491A-A49C-3D9569CBA1BE}"/>
    <cellStyle name="Normal 4 2 4 3 3 4" xfId="9303" xr:uid="{51CE977A-E9B9-47DD-B6CE-3ECF34A578F1}"/>
    <cellStyle name="Normal 4 2 4 3 3 4 2" xfId="18618" xr:uid="{9FA63F49-7B67-4468-B78B-6A6BD291E701}"/>
    <cellStyle name="Normal 4 2 4 3 3 5" xfId="10259" xr:uid="{8EA036F1-94B2-4583-A445-C84164F5E692}"/>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D8CAAC9A-13C5-428E-9B27-4C9B8340DFA1}"/>
    <cellStyle name="Normal 4 2 4 3 4 2 3" xfId="12817" xr:uid="{4977E1D0-9E05-402D-884D-09F1BA1C487C}"/>
    <cellStyle name="Normal 4 2 4 3 4 3" xfId="5563" xr:uid="{00000000-0005-0000-0000-000099130000}"/>
    <cellStyle name="Normal 4 2 4 3 4 3 2" xfId="14889" xr:uid="{5AF83EAA-EE78-4D0B-8818-1E6B5AF3E17D}"/>
    <cellStyle name="Normal 4 2 4 3 4 4" xfId="10672" xr:uid="{2447BF21-1B1C-4C90-8910-0C147AF6874E}"/>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47F0EDAE-AACD-49EB-9288-D49E46D28F14}"/>
    <cellStyle name="Normal 4 2 4 3 5 2 3" xfId="13230" xr:uid="{1273EAC8-AF68-4766-8408-679CD015C9FC}"/>
    <cellStyle name="Normal 4 2 4 3 5 3" xfId="5976" xr:uid="{00000000-0005-0000-0000-00009D130000}"/>
    <cellStyle name="Normal 4 2 4 3 5 3 2" xfId="15302" xr:uid="{0DD3314A-657F-4F6D-AFAC-EF36880E8290}"/>
    <cellStyle name="Normal 4 2 4 3 5 4" xfId="11085" xr:uid="{35D7C3C9-9B26-4E2D-9FF7-3C145BD3A5E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88186CCF-3474-42DE-A5D1-8E9F9A417581}"/>
    <cellStyle name="Normal 4 2 4 3 6 2 3" xfId="13643" xr:uid="{A1719308-3B80-4691-8F81-E28BE3DD185D}"/>
    <cellStyle name="Normal 4 2 4 3 6 3" xfId="6389" xr:uid="{00000000-0005-0000-0000-0000A1130000}"/>
    <cellStyle name="Normal 4 2 4 3 6 3 2" xfId="15715" xr:uid="{91806AD5-830F-4289-974D-0FC69BBCA243}"/>
    <cellStyle name="Normal 4 2 4 3 6 4" xfId="11498" xr:uid="{38B38AC5-6BF4-4DF3-BB1B-26787B47100F}"/>
    <cellStyle name="Normal 4 2 4 3 7" xfId="2519" xr:uid="{00000000-0005-0000-0000-0000A2130000}"/>
    <cellStyle name="Normal 4 2 4 3 7 2" xfId="6802" xr:uid="{00000000-0005-0000-0000-0000A3130000}"/>
    <cellStyle name="Normal 4 2 4 3 7 2 2" xfId="16128" xr:uid="{0376C145-2888-4E2B-AF83-38ED14144DDE}"/>
    <cellStyle name="Normal 4 2 4 3 7 3" xfId="11911" xr:uid="{EC683577-9E0D-44CF-ADC1-5BFF618DC27C}"/>
    <cellStyle name="Normal 4 2 4 3 8" xfId="4737" xr:uid="{00000000-0005-0000-0000-0000A4130000}"/>
    <cellStyle name="Normal 4 2 4 3 8 2" xfId="14063" xr:uid="{66067AE1-EA0B-49C5-9009-B3C7491CA7A4}"/>
    <cellStyle name="Normal 4 2 4 3 9" xfId="8878" xr:uid="{B73EE68A-BBFC-4E7A-B773-E14FCCFC8837}"/>
    <cellStyle name="Normal 4 2 4 3 9 2" xfId="18202" xr:uid="{72524198-285B-4C3C-96D2-B533C156C7B2}"/>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01E28430-17FB-4817-8C3B-D14244B8658F}"/>
    <cellStyle name="Normal 4 2 4 4 2 2 3" xfId="12406" xr:uid="{F2C44B00-B01C-4908-9CD0-5A70EBF74D4E}"/>
    <cellStyle name="Normal 4 2 4 4 2 3" xfId="5152" xr:uid="{00000000-0005-0000-0000-0000A9130000}"/>
    <cellStyle name="Normal 4 2 4 4 2 3 2" xfId="14478" xr:uid="{78E47580-8308-4079-8FBA-1F4F22F3D90E}"/>
    <cellStyle name="Normal 4 2 4 4 2 4" xfId="9407" xr:uid="{5D8D6A7A-388E-41EC-80E9-28307FA015D6}"/>
    <cellStyle name="Normal 4 2 4 4 2 4 2" xfId="18722" xr:uid="{71A38AC3-89B1-453E-BC5C-356268B6634E}"/>
    <cellStyle name="Normal 4 2 4 4 2 5" xfId="10261" xr:uid="{FE2946C5-9486-4B3E-B234-A20CE768FED7}"/>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21E9169C-AF36-4D05-BF0A-5436BE505EFC}"/>
    <cellStyle name="Normal 4 2 4 4 3 2 3" xfId="12819" xr:uid="{ED473DD1-EA49-4495-A658-9B865776B1A6}"/>
    <cellStyle name="Normal 4 2 4 4 3 3" xfId="5565" xr:uid="{00000000-0005-0000-0000-0000AD130000}"/>
    <cellStyle name="Normal 4 2 4 4 3 3 2" xfId="14891" xr:uid="{2968DA82-8C0D-4132-B616-4158C25FD04B}"/>
    <cellStyle name="Normal 4 2 4 4 3 4" xfId="10674" xr:uid="{8788CB64-5A5F-49EA-9915-C47AD856741A}"/>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94A934F7-547A-44DD-BA90-1FC6E8867316}"/>
    <cellStyle name="Normal 4 2 4 4 4 2 3" xfId="13232" xr:uid="{9334D979-4270-4F7E-A644-7BC1BF53509B}"/>
    <cellStyle name="Normal 4 2 4 4 4 3" xfId="5978" xr:uid="{00000000-0005-0000-0000-0000B1130000}"/>
    <cellStyle name="Normal 4 2 4 4 4 3 2" xfId="15304" xr:uid="{8B097569-A966-4BA9-82B3-D038D3D78C06}"/>
    <cellStyle name="Normal 4 2 4 4 4 4" xfId="11087" xr:uid="{C78A5D94-CD09-4288-B43D-25A80C4C3200}"/>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01779F43-6B3C-425C-B7D5-8F3490D26D2E}"/>
    <cellStyle name="Normal 4 2 4 4 5 2 3" xfId="13645" xr:uid="{4AB85C88-944B-4C89-B4C2-7ACEF78A9734}"/>
    <cellStyle name="Normal 4 2 4 4 5 3" xfId="6391" xr:uid="{00000000-0005-0000-0000-0000B5130000}"/>
    <cellStyle name="Normal 4 2 4 4 5 3 2" xfId="15717" xr:uid="{0CC11AAB-3C63-4C5F-A386-25F0BC168A4E}"/>
    <cellStyle name="Normal 4 2 4 4 5 4" xfId="11500" xr:uid="{52062F79-D6A7-433A-9816-C3B04B64F6B9}"/>
    <cellStyle name="Normal 4 2 4 4 6" xfId="2521" xr:uid="{00000000-0005-0000-0000-0000B6130000}"/>
    <cellStyle name="Normal 4 2 4 4 6 2" xfId="6804" xr:uid="{00000000-0005-0000-0000-0000B7130000}"/>
    <cellStyle name="Normal 4 2 4 4 6 2 2" xfId="16130" xr:uid="{1208A0D8-40E4-488E-B223-95E314DDDF8D}"/>
    <cellStyle name="Normal 4 2 4 4 6 3" xfId="11913" xr:uid="{A5E8FE32-8573-4E91-A559-81F3A3CA9AFB}"/>
    <cellStyle name="Normal 4 2 4 4 7" xfId="4739" xr:uid="{00000000-0005-0000-0000-0000B8130000}"/>
    <cellStyle name="Normal 4 2 4 4 7 2" xfId="14065" xr:uid="{D3356F18-9FA1-4682-98A2-553E2B5BA119}"/>
    <cellStyle name="Normal 4 2 4 4 8" xfId="8982" xr:uid="{4C273C9B-E12E-4EF2-812F-666600229207}"/>
    <cellStyle name="Normal 4 2 4 4 8 2" xfId="18306" xr:uid="{8D59358C-F0B7-42C6-8BED-9FFA240E967B}"/>
    <cellStyle name="Normal 4 2 4 4 9" xfId="9848" xr:uid="{4CDC6319-8C0A-4F00-892A-FB94E0ED0B46}"/>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DEF1F5FA-225D-470F-96EB-C147985F7E9F}"/>
    <cellStyle name="Normal 4 2 4 5 2 3" xfId="12399" xr:uid="{84E3446D-1482-4D55-9CD8-2B8D309702C1}"/>
    <cellStyle name="Normal 4 2 4 5 3" xfId="5145" xr:uid="{00000000-0005-0000-0000-0000BC130000}"/>
    <cellStyle name="Normal 4 2 4 5 3 2" xfId="14471" xr:uid="{027CD588-3F39-474C-9FED-80A73948AAF2}"/>
    <cellStyle name="Normal 4 2 4 5 4" xfId="9199" xr:uid="{1A9A2DC3-2FEA-4A30-A92C-84708E9B2741}"/>
    <cellStyle name="Normal 4 2 4 5 4 2" xfId="18515" xr:uid="{C7A6E940-9EAB-44B8-B853-182018567FBA}"/>
    <cellStyle name="Normal 4 2 4 5 5" xfId="10254" xr:uid="{519A7F69-BB96-4518-BA29-AD3B5FC1DE0D}"/>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FB070DB9-3B13-4724-B8FD-85A88EBD8261}"/>
    <cellStyle name="Normal 4 2 4 6 2 3" xfId="12812" xr:uid="{58705E86-AAD4-4539-937B-062387C08918}"/>
    <cellStyle name="Normal 4 2 4 6 3" xfId="5558" xr:uid="{00000000-0005-0000-0000-0000C0130000}"/>
    <cellStyle name="Normal 4 2 4 6 3 2" xfId="14884" xr:uid="{551790D4-3D6C-48D9-9F15-2314B3258E71}"/>
    <cellStyle name="Normal 4 2 4 6 4" xfId="10667" xr:uid="{879E5A41-C499-4720-BCAC-F00974B4BE7B}"/>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9D00FDD-710A-4EB2-B458-7A7EB5FC1B09}"/>
    <cellStyle name="Normal 4 2 4 7 2 3" xfId="13225" xr:uid="{A9CBBD29-6F19-4E1F-98E4-71A293F9EB09}"/>
    <cellStyle name="Normal 4 2 4 7 3" xfId="5971" xr:uid="{00000000-0005-0000-0000-0000C4130000}"/>
    <cellStyle name="Normal 4 2 4 7 3 2" xfId="15297" xr:uid="{D8FD6CE6-3E56-4208-A537-5746F1C7B46E}"/>
    <cellStyle name="Normal 4 2 4 7 4" xfId="11080" xr:uid="{543AA853-1077-40BC-9603-D63EFCD751BE}"/>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74DA4C16-1077-4614-ADB0-AD06D5CE3A21}"/>
    <cellStyle name="Normal 4 2 4 8 2 3" xfId="13638" xr:uid="{686CFD7C-6B8B-49B1-BFEB-3D66DD0282D3}"/>
    <cellStyle name="Normal 4 2 4 8 3" xfId="6384" xr:uid="{00000000-0005-0000-0000-0000C8130000}"/>
    <cellStyle name="Normal 4 2 4 8 3 2" xfId="15710" xr:uid="{ED3B4AA8-272C-4020-B26B-A5E7E4B496AD}"/>
    <cellStyle name="Normal 4 2 4 8 4" xfId="11493" xr:uid="{BF87594A-C7B2-4C9B-B8D2-312E729603C5}"/>
    <cellStyle name="Normal 4 2 4 9" xfId="2514" xr:uid="{00000000-0005-0000-0000-0000C9130000}"/>
    <cellStyle name="Normal 4 2 4 9 2" xfId="6797" xr:uid="{00000000-0005-0000-0000-0000CA130000}"/>
    <cellStyle name="Normal 4 2 4 9 2 2" xfId="16123" xr:uid="{7B645552-9F86-4D67-9E4A-0999761CD8D6}"/>
    <cellStyle name="Normal 4 2 4 9 3" xfId="11906" xr:uid="{678D2230-7C13-48C7-8261-E6F281017DA0}"/>
    <cellStyle name="Normal 4 2 5" xfId="363" xr:uid="{00000000-0005-0000-0000-0000CB130000}"/>
    <cellStyle name="Normal 4 2 5 10" xfId="9849" xr:uid="{0B992588-14E8-4F85-A621-4F88E32EE41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AA35A8CA-55B1-461F-A548-38701B9628C6}"/>
    <cellStyle name="Normal 4 2 5 2 2 2 3" xfId="12408" xr:uid="{9038EE8F-B45B-4B38-9A3E-E6521E27F31C}"/>
    <cellStyle name="Normal 4 2 5 2 2 3" xfId="5154" xr:uid="{00000000-0005-0000-0000-0000D0130000}"/>
    <cellStyle name="Normal 4 2 5 2 2 3 2" xfId="14480" xr:uid="{00621DF6-3019-42A7-8F6E-EA932BB3D3FB}"/>
    <cellStyle name="Normal 4 2 5 2 2 4" xfId="9478" xr:uid="{9FEAEEC2-067D-4244-BB0F-0858128140EB}"/>
    <cellStyle name="Normal 4 2 5 2 2 4 2" xfId="18793" xr:uid="{0B28655A-FA00-40FB-9363-E0166ADB45BF}"/>
    <cellStyle name="Normal 4 2 5 2 2 5" xfId="10263" xr:uid="{229D2406-C204-46C5-98FB-9E9DF9EF7E7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7AE09B4F-7528-4D9C-B3E2-B35BB8FFF6CF}"/>
    <cellStyle name="Normal 4 2 5 2 3 2 3" xfId="12821" xr:uid="{E02DDD9D-406F-4C55-B0A7-39FBE79118E4}"/>
    <cellStyle name="Normal 4 2 5 2 3 3" xfId="5567" xr:uid="{00000000-0005-0000-0000-0000D4130000}"/>
    <cellStyle name="Normal 4 2 5 2 3 3 2" xfId="14893" xr:uid="{40357A85-02C4-44A3-B125-08AE5A13C8A3}"/>
    <cellStyle name="Normal 4 2 5 2 3 4" xfId="10676" xr:uid="{C1C47FD9-E750-4187-AE91-65CB488255C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05CDD704-05D7-48F6-B92A-E5EE7C39A455}"/>
    <cellStyle name="Normal 4 2 5 2 4 2 3" xfId="13234" xr:uid="{94D8F126-4A86-4096-96C4-C2D66B77A1D5}"/>
    <cellStyle name="Normal 4 2 5 2 4 3" xfId="5980" xr:uid="{00000000-0005-0000-0000-0000D8130000}"/>
    <cellStyle name="Normal 4 2 5 2 4 3 2" xfId="15306" xr:uid="{DDB505E3-2D40-4A5B-A6D9-982D0D675353}"/>
    <cellStyle name="Normal 4 2 5 2 4 4" xfId="11089" xr:uid="{C506CF68-1FDA-4F9E-8608-0A71C1CAA5A2}"/>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071E4E79-D8B6-4BEE-8206-5C9E500A4A2D}"/>
    <cellStyle name="Normal 4 2 5 2 5 2 3" xfId="13647" xr:uid="{3C8FCE0F-2992-4F0C-8751-43000B903172}"/>
    <cellStyle name="Normal 4 2 5 2 5 3" xfId="6393" xr:uid="{00000000-0005-0000-0000-0000DC130000}"/>
    <cellStyle name="Normal 4 2 5 2 5 3 2" xfId="15719" xr:uid="{4708D40B-46ED-4605-9496-D79011E4A327}"/>
    <cellStyle name="Normal 4 2 5 2 5 4" xfId="11502" xr:uid="{46BECC50-C423-42E7-BCF2-BB77D6A452B9}"/>
    <cellStyle name="Normal 4 2 5 2 6" xfId="2523" xr:uid="{00000000-0005-0000-0000-0000DD130000}"/>
    <cellStyle name="Normal 4 2 5 2 6 2" xfId="6806" xr:uid="{00000000-0005-0000-0000-0000DE130000}"/>
    <cellStyle name="Normal 4 2 5 2 6 2 2" xfId="16132" xr:uid="{AE0DF9B8-3AAB-4DF5-BDE7-7F6E7879796B}"/>
    <cellStyle name="Normal 4 2 5 2 6 3" xfId="11915" xr:uid="{C12F1B5D-F737-4650-BCDA-BAC50D1EDF24}"/>
    <cellStyle name="Normal 4 2 5 2 7" xfId="4741" xr:uid="{00000000-0005-0000-0000-0000DF130000}"/>
    <cellStyle name="Normal 4 2 5 2 7 2" xfId="14067" xr:uid="{07E14DEB-ACC0-4355-9A38-99E123D902D7}"/>
    <cellStyle name="Normal 4 2 5 2 8" xfId="9053" xr:uid="{0AE18A98-D9E6-47B9-86B0-DDAD3BC77B48}"/>
    <cellStyle name="Normal 4 2 5 2 8 2" xfId="18377" xr:uid="{977315FD-0964-4D4F-8F4F-012C057FB7E4}"/>
    <cellStyle name="Normal 4 2 5 2 9" xfId="9850" xr:uid="{FA810544-3392-4DCE-836C-8554057F67BC}"/>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F38FD695-4667-42B4-82B8-E129483B3681}"/>
    <cellStyle name="Normal 4 2 5 3 2 3" xfId="12407" xr:uid="{57568718-2C14-4600-A5CE-A90E73A2D563}"/>
    <cellStyle name="Normal 4 2 5 3 3" xfId="5153" xr:uid="{00000000-0005-0000-0000-0000E3130000}"/>
    <cellStyle name="Normal 4 2 5 3 3 2" xfId="14479" xr:uid="{699E4041-4792-4E94-BC6A-F97FF56B7318}"/>
    <cellStyle name="Normal 4 2 5 3 4" xfId="9271" xr:uid="{41AE7BB1-E3C7-48BD-B24F-55AE39E68BB6}"/>
    <cellStyle name="Normal 4 2 5 3 4 2" xfId="18586" xr:uid="{2C562119-E201-4A85-A7D1-3F0279ABFD40}"/>
    <cellStyle name="Normal 4 2 5 3 5" xfId="10262" xr:uid="{02571C38-F68A-4126-88B9-48A2C6E7582D}"/>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1C3440A0-6FCA-42A7-9B87-881E1C6CADFE}"/>
    <cellStyle name="Normal 4 2 5 4 2 3" xfId="12820" xr:uid="{E57F7525-19CF-4586-A3F9-9B8460F93D1B}"/>
    <cellStyle name="Normal 4 2 5 4 3" xfId="5566" xr:uid="{00000000-0005-0000-0000-0000E7130000}"/>
    <cellStyle name="Normal 4 2 5 4 3 2" xfId="14892" xr:uid="{C4A308B5-0BB3-49B9-A22E-6D4F3E68A742}"/>
    <cellStyle name="Normal 4 2 5 4 4" xfId="10675" xr:uid="{89724CE3-6BC4-4ABC-A678-11767962FF98}"/>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599A1DA6-6C9D-459D-AE7D-A9EA7A9B5718}"/>
    <cellStyle name="Normal 4 2 5 5 2 3" xfId="13233" xr:uid="{A830139E-C2DB-4B2C-8183-D53B55E1D49D}"/>
    <cellStyle name="Normal 4 2 5 5 3" xfId="5979" xr:uid="{00000000-0005-0000-0000-0000EB130000}"/>
    <cellStyle name="Normal 4 2 5 5 3 2" xfId="15305" xr:uid="{B545FBF0-FA7F-4377-AC0E-6436457C1640}"/>
    <cellStyle name="Normal 4 2 5 5 4" xfId="11088" xr:uid="{940640B9-90C6-423B-8356-4456BDB52FE6}"/>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E5553574-EF7F-44B5-A412-DDC4B0EB54B9}"/>
    <cellStyle name="Normal 4 2 5 6 2 3" xfId="13646" xr:uid="{5A45A4B8-F6D0-4B42-9037-7AFECEC018AF}"/>
    <cellStyle name="Normal 4 2 5 6 3" xfId="6392" xr:uid="{00000000-0005-0000-0000-0000EF130000}"/>
    <cellStyle name="Normal 4 2 5 6 3 2" xfId="15718" xr:uid="{4A47C6F0-A3E3-461E-BB89-8DBCD30215F9}"/>
    <cellStyle name="Normal 4 2 5 6 4" xfId="11501" xr:uid="{3224CF3A-F54D-4392-97BB-94D04F748214}"/>
    <cellStyle name="Normal 4 2 5 7" xfId="2522" xr:uid="{00000000-0005-0000-0000-0000F0130000}"/>
    <cellStyle name="Normal 4 2 5 7 2" xfId="6805" xr:uid="{00000000-0005-0000-0000-0000F1130000}"/>
    <cellStyle name="Normal 4 2 5 7 2 2" xfId="16131" xr:uid="{826B6A44-9575-427B-A0BF-7C442440B727}"/>
    <cellStyle name="Normal 4 2 5 7 3" xfId="11914" xr:uid="{D95D240B-9642-45FA-B480-09FC0FFA43FB}"/>
    <cellStyle name="Normal 4 2 5 8" xfId="4740" xr:uid="{00000000-0005-0000-0000-0000F2130000}"/>
    <cellStyle name="Normal 4 2 5 8 2" xfId="14066" xr:uid="{1CD97D5A-055C-42F1-BA61-634D9678E23E}"/>
    <cellStyle name="Normal 4 2 5 9" xfId="8846" xr:uid="{C69C7E2D-02E8-4C87-9C63-A39D0E37A062}"/>
    <cellStyle name="Normal 4 2 5 9 2" xfId="18170" xr:uid="{2BE25C36-E93E-4D1F-A165-95BDDC83E5AF}"/>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DB978768-63A3-4B1A-8F05-3DA754ACD7FF}"/>
    <cellStyle name="Normal 4 2 6 2 2 3" xfId="12409" xr:uid="{EED7BEDB-D058-4DA6-A20F-5F8C03D8768C}"/>
    <cellStyle name="Normal 4 2 6 2 3" xfId="5155" xr:uid="{00000000-0005-0000-0000-0000F7130000}"/>
    <cellStyle name="Normal 4 2 6 2 3 2" xfId="14481" xr:uid="{06820793-AC3D-4B51-B063-98AEB48E890A}"/>
    <cellStyle name="Normal 4 2 6 2 4" xfId="9387" xr:uid="{933EA8C7-37F7-4AF2-922A-47A5CB1A47BC}"/>
    <cellStyle name="Normal 4 2 6 2 4 2" xfId="18702" xr:uid="{838891D3-A543-4EB4-9350-D2719016E94C}"/>
    <cellStyle name="Normal 4 2 6 2 5" xfId="10264" xr:uid="{4BA02F72-FC06-4029-B6A6-113F6ECF58CC}"/>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02A7A1E4-78D0-453D-8516-D2F4024DC25E}"/>
    <cellStyle name="Normal 4 2 6 3 2 3" xfId="12822" xr:uid="{30D00BD4-C859-435C-9C9E-83BBA517E0D2}"/>
    <cellStyle name="Normal 4 2 6 3 3" xfId="5568" xr:uid="{00000000-0005-0000-0000-0000FB130000}"/>
    <cellStyle name="Normal 4 2 6 3 3 2" xfId="14894" xr:uid="{FFD3B19C-744B-4FBA-9C20-BB920241F5C9}"/>
    <cellStyle name="Normal 4 2 6 3 4" xfId="10677" xr:uid="{27FD26DA-E2BB-4700-A6EF-F44D9DEDC7BD}"/>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2E9C69C0-2E9D-4EDA-ACD9-0548EC9A6DF1}"/>
    <cellStyle name="Normal 4 2 6 4 2 3" xfId="13235" xr:uid="{6BA33218-CC34-4B3B-867C-47CE42C3607C}"/>
    <cellStyle name="Normal 4 2 6 4 3" xfId="5981" xr:uid="{00000000-0005-0000-0000-0000FF130000}"/>
    <cellStyle name="Normal 4 2 6 4 3 2" xfId="15307" xr:uid="{6CD25F3C-5DCC-42E6-835A-971A496851D4}"/>
    <cellStyle name="Normal 4 2 6 4 4" xfId="11090" xr:uid="{54056F40-33CD-469D-AF31-DFF0A8D0BD79}"/>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248F826A-79AB-40BD-B5F6-1F8173931142}"/>
    <cellStyle name="Normal 4 2 6 5 2 3" xfId="13648" xr:uid="{26590A66-95C9-4C00-B2AF-E2D772CB067F}"/>
    <cellStyle name="Normal 4 2 6 5 3" xfId="6394" xr:uid="{00000000-0005-0000-0000-000003140000}"/>
    <cellStyle name="Normal 4 2 6 5 3 2" xfId="15720" xr:uid="{23A42B23-221F-4C07-96E9-E70AF40D31BC}"/>
    <cellStyle name="Normal 4 2 6 5 4" xfId="11503" xr:uid="{5E6FEEDB-AB1E-4EDF-B0C6-83BB69A8013B}"/>
    <cellStyle name="Normal 4 2 6 6" xfId="2524" xr:uid="{00000000-0005-0000-0000-000004140000}"/>
    <cellStyle name="Normal 4 2 6 6 2" xfId="6807" xr:uid="{00000000-0005-0000-0000-000005140000}"/>
    <cellStyle name="Normal 4 2 6 6 2 2" xfId="16133" xr:uid="{3455C119-720D-41F3-910D-9C166DE9BA74}"/>
    <cellStyle name="Normal 4 2 6 6 3" xfId="11916" xr:uid="{E1A9BA11-6E3B-44B0-8D84-15CC0A62F17C}"/>
    <cellStyle name="Normal 4 2 6 7" xfId="4742" xr:uid="{00000000-0005-0000-0000-000006140000}"/>
    <cellStyle name="Normal 4 2 6 7 2" xfId="14068" xr:uid="{7B707C35-638F-4F11-BF25-239A66EC1C53}"/>
    <cellStyle name="Normal 4 2 6 8" xfId="8962" xr:uid="{1A1596D6-3914-4465-A638-E540359059D2}"/>
    <cellStyle name="Normal 4 2 6 8 2" xfId="18286" xr:uid="{7831A519-373A-4099-8CAF-B3A95684AD5B}"/>
    <cellStyle name="Normal 4 2 6 9" xfId="9851" xr:uid="{A69FC218-2407-411E-94F2-D72C5B544E95}"/>
    <cellStyle name="Normal 4 2 7" xfId="9165" xr:uid="{6363F967-7399-442D-B2CE-00085FF7F1E8}"/>
    <cellStyle name="Normal 4 2 7 2" xfId="18483" xr:uid="{22C0C772-63D1-464E-8353-CD028EBC3A14}"/>
    <cellStyle name="Normal 4 2 8" xfId="8743" xr:uid="{E2B8331F-47F9-4829-99C7-E05840A106B9}"/>
    <cellStyle name="Normal 4 2 8 2" xfId="18067" xr:uid="{D8B0B766-4B93-4E8A-A09C-1A197A1CADF1}"/>
    <cellStyle name="Normal 4 3" xfId="366" xr:uid="{00000000-0005-0000-0000-000007140000}"/>
    <cellStyle name="Normal 4 3 10" xfId="9852" xr:uid="{9137F3F1-0D83-4564-83CD-0AACDC2316B7}"/>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865F4C6D-4D4C-4DF2-A1C4-628BB7FE803A}"/>
    <cellStyle name="Normal 4 3 2 2 2 11" xfId="9853" xr:uid="{60143928-9359-4880-BCE9-15B97AB0D155}"/>
    <cellStyle name="Normal 4 3 2 2 2 2" xfId="370" xr:uid="{00000000-0005-0000-0000-00000B140000}"/>
    <cellStyle name="Normal 4 3 2 2 2 2 10" xfId="9854" xr:uid="{941A38C5-D8FE-43FB-BEED-5121E3395CC1}"/>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8F7342E1-732E-4AB9-88FE-40A9C08D80F1}"/>
    <cellStyle name="Normal 4 3 2 2 2 2 2 2 2 3" xfId="12413" xr:uid="{328EFCBD-1D12-42A3-A8E8-F755A8916452}"/>
    <cellStyle name="Normal 4 3 2 2 2 2 2 2 3" xfId="5159" xr:uid="{00000000-0005-0000-0000-000010140000}"/>
    <cellStyle name="Normal 4 3 2 2 2 2 2 2 3 2" xfId="14485" xr:uid="{4DF81E6E-89E9-4DE6-967F-336E4BDAE7AE}"/>
    <cellStyle name="Normal 4 3 2 2 2 2 2 2 4" xfId="9557" xr:uid="{4F6BDD99-7BF1-4D2F-9EDC-4F75F1942DB4}"/>
    <cellStyle name="Normal 4 3 2 2 2 2 2 2 4 2" xfId="18872" xr:uid="{16DAFCEA-4842-4F76-AE59-D54A30C27FC4}"/>
    <cellStyle name="Normal 4 3 2 2 2 2 2 2 5" xfId="10268" xr:uid="{95FAA8AB-EBDF-492E-86DA-1D17BD07FD92}"/>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B763E225-E9EA-46C1-A939-D92A92963476}"/>
    <cellStyle name="Normal 4 3 2 2 2 2 2 3 2 3" xfId="12826" xr:uid="{ACEBEABD-0762-4D7F-9B48-750639D0C044}"/>
    <cellStyle name="Normal 4 3 2 2 2 2 2 3 3" xfId="5572" xr:uid="{00000000-0005-0000-0000-000014140000}"/>
    <cellStyle name="Normal 4 3 2 2 2 2 2 3 3 2" xfId="14898" xr:uid="{015E4141-337C-43B8-9F3F-01400BF3FE9C}"/>
    <cellStyle name="Normal 4 3 2 2 2 2 2 3 4" xfId="10681" xr:uid="{EC925DE6-88EE-47DD-A052-5B6D739B4EC3}"/>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D40C581D-B3F1-40EB-BF53-02BE44D74169}"/>
    <cellStyle name="Normal 4 3 2 2 2 2 2 4 2 3" xfId="13239" xr:uid="{DD7B6469-F49F-4B68-9492-2E83346C9143}"/>
    <cellStyle name="Normal 4 3 2 2 2 2 2 4 3" xfId="5985" xr:uid="{00000000-0005-0000-0000-000018140000}"/>
    <cellStyle name="Normal 4 3 2 2 2 2 2 4 3 2" xfId="15311" xr:uid="{E4A2CB10-8CC6-412D-B52E-854311BB05B0}"/>
    <cellStyle name="Normal 4 3 2 2 2 2 2 4 4" xfId="11094" xr:uid="{6089665B-49B0-45B6-9873-FB277852985A}"/>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9B0915FB-D27F-44FD-993C-0B7A07C38F8A}"/>
    <cellStyle name="Normal 4 3 2 2 2 2 2 5 2 3" xfId="13652" xr:uid="{63DDFB60-E2D1-4F47-A859-F7F72333EC34}"/>
    <cellStyle name="Normal 4 3 2 2 2 2 2 5 3" xfId="6398" xr:uid="{00000000-0005-0000-0000-00001C140000}"/>
    <cellStyle name="Normal 4 3 2 2 2 2 2 5 3 2" xfId="15724" xr:uid="{DF402901-D5AF-4855-AEAC-F5A962E42659}"/>
    <cellStyle name="Normal 4 3 2 2 2 2 2 5 4" xfId="11507" xr:uid="{802FDA1C-78E1-4564-9429-802104D1E704}"/>
    <cellStyle name="Normal 4 3 2 2 2 2 2 6" xfId="2528" xr:uid="{00000000-0005-0000-0000-00001D140000}"/>
    <cellStyle name="Normal 4 3 2 2 2 2 2 6 2" xfId="6811" xr:uid="{00000000-0005-0000-0000-00001E140000}"/>
    <cellStyle name="Normal 4 3 2 2 2 2 2 6 2 2" xfId="16137" xr:uid="{C9E451D3-3980-4F63-A604-AB15665E4F43}"/>
    <cellStyle name="Normal 4 3 2 2 2 2 2 6 3" xfId="11920" xr:uid="{933DE745-8E23-4F72-BDCE-C4696DFE78F3}"/>
    <cellStyle name="Normal 4 3 2 2 2 2 2 7" xfId="4746" xr:uid="{00000000-0005-0000-0000-00001F140000}"/>
    <cellStyle name="Normal 4 3 2 2 2 2 2 7 2" xfId="14072" xr:uid="{15FA28F1-FCBA-4CFA-B6B4-38204EC418C9}"/>
    <cellStyle name="Normal 4 3 2 2 2 2 2 8" xfId="9132" xr:uid="{14F6ED12-EABF-4C82-AD59-55D351026913}"/>
    <cellStyle name="Normal 4 3 2 2 2 2 2 8 2" xfId="18456" xr:uid="{BFFCE61C-8645-4DFE-A6DE-60D21A4E0F16}"/>
    <cellStyle name="Normal 4 3 2 2 2 2 2 9" xfId="9855" xr:uid="{0F6C9506-81B3-4C9F-BFC5-9C7AE40564A7}"/>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3FB13D18-454C-4390-AB69-9739CCACAF9A}"/>
    <cellStyle name="Normal 4 3 2 2 2 2 3 2 3" xfId="12412" xr:uid="{99D9B70C-3810-4C37-A119-20E985E25D88}"/>
    <cellStyle name="Normal 4 3 2 2 2 2 3 3" xfId="5158" xr:uid="{00000000-0005-0000-0000-000023140000}"/>
    <cellStyle name="Normal 4 3 2 2 2 2 3 3 2" xfId="14484" xr:uid="{C04545E8-4703-424F-B079-B6E403D9077F}"/>
    <cellStyle name="Normal 4 3 2 2 2 2 3 4" xfId="9350" xr:uid="{DFFEAFB7-A284-4FD9-B115-C19DA011CCC7}"/>
    <cellStyle name="Normal 4 3 2 2 2 2 3 4 2" xfId="18665" xr:uid="{D8AC1E23-AD9D-445B-AFE7-71BA5420A0FB}"/>
    <cellStyle name="Normal 4 3 2 2 2 2 3 5" xfId="10267" xr:uid="{E07004C8-F571-4398-92C3-E9976062EC8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B067D5E6-161E-43D5-BA8F-00CF8721EF74}"/>
    <cellStyle name="Normal 4 3 2 2 2 2 4 2 3" xfId="12825" xr:uid="{A31A7757-D263-4B73-B250-9C4986160EAB}"/>
    <cellStyle name="Normal 4 3 2 2 2 2 4 3" xfId="5571" xr:uid="{00000000-0005-0000-0000-000027140000}"/>
    <cellStyle name="Normal 4 3 2 2 2 2 4 3 2" xfId="14897" xr:uid="{509BC24A-0FD8-4B8F-84D0-D993597BF6E9}"/>
    <cellStyle name="Normal 4 3 2 2 2 2 4 4" xfId="10680" xr:uid="{8EDE79D4-BEFD-4A7D-A913-A68332B7A7F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E2E008B2-8C7F-45EC-8AE5-6017F0E1812C}"/>
    <cellStyle name="Normal 4 3 2 2 2 2 5 2 3" xfId="13238" xr:uid="{AD4AD9B9-0D39-4469-ADC7-118A727CA00C}"/>
    <cellStyle name="Normal 4 3 2 2 2 2 5 3" xfId="5984" xr:uid="{00000000-0005-0000-0000-00002B140000}"/>
    <cellStyle name="Normal 4 3 2 2 2 2 5 3 2" xfId="15310" xr:uid="{49F53255-BFBA-4345-ACE6-6E0F8DE9486D}"/>
    <cellStyle name="Normal 4 3 2 2 2 2 5 4" xfId="11093" xr:uid="{5AA56BE4-4053-434C-AEF2-41F6161D909A}"/>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C866C92C-79C3-4D84-A6FF-BDD49FA94156}"/>
    <cellStyle name="Normal 4 3 2 2 2 2 6 2 3" xfId="13651" xr:uid="{978D86A9-2403-4958-86AF-72C825CED861}"/>
    <cellStyle name="Normal 4 3 2 2 2 2 6 3" xfId="6397" xr:uid="{00000000-0005-0000-0000-00002F140000}"/>
    <cellStyle name="Normal 4 3 2 2 2 2 6 3 2" xfId="15723" xr:uid="{55CA9E9F-ADC7-4D79-87CF-F02DA8439063}"/>
    <cellStyle name="Normal 4 3 2 2 2 2 6 4" xfId="11506" xr:uid="{2D504015-0801-4E7B-8853-A2F36622EAEF}"/>
    <cellStyle name="Normal 4 3 2 2 2 2 7" xfId="2527" xr:uid="{00000000-0005-0000-0000-000030140000}"/>
    <cellStyle name="Normal 4 3 2 2 2 2 7 2" xfId="6810" xr:uid="{00000000-0005-0000-0000-000031140000}"/>
    <cellStyle name="Normal 4 3 2 2 2 2 7 2 2" xfId="16136" xr:uid="{7628D519-FAFB-4403-B69C-0B7C0423DA32}"/>
    <cellStyle name="Normal 4 3 2 2 2 2 7 3" xfId="11919" xr:uid="{7D70E22A-6840-493D-8CE7-1BD19486C694}"/>
    <cellStyle name="Normal 4 3 2 2 2 2 8" xfId="4745" xr:uid="{00000000-0005-0000-0000-000032140000}"/>
    <cellStyle name="Normal 4 3 2 2 2 2 8 2" xfId="14071" xr:uid="{42CE8974-0D32-48A0-AB46-674961109A76}"/>
    <cellStyle name="Normal 4 3 2 2 2 2 9" xfId="8925" xr:uid="{71BB8AFA-37D7-474D-A12B-C284DDE23CE9}"/>
    <cellStyle name="Normal 4 3 2 2 2 2 9 2" xfId="18249" xr:uid="{CE5BAA06-E045-475A-BBFD-464211E3C5DC}"/>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47C730B5-AE7D-45F4-B71D-A78FC9DCA22D}"/>
    <cellStyle name="Normal 4 3 2 2 2 3 2 2 3" xfId="12414" xr:uid="{532CFA96-C6E3-4B34-B0F4-7557D761BE1F}"/>
    <cellStyle name="Normal 4 3 2 2 2 3 2 3" xfId="5160" xr:uid="{00000000-0005-0000-0000-000037140000}"/>
    <cellStyle name="Normal 4 3 2 2 2 3 2 3 2" xfId="14486" xr:uid="{031F5973-9335-4A1E-9A35-2F7D3EEC5B2D}"/>
    <cellStyle name="Normal 4 3 2 2 2 3 2 4" xfId="9454" xr:uid="{B81F5EAA-7D8E-43B5-94D7-313E66088BA5}"/>
    <cellStyle name="Normal 4 3 2 2 2 3 2 4 2" xfId="18769" xr:uid="{8C5AB962-790F-4F9A-B685-3BCC93172602}"/>
    <cellStyle name="Normal 4 3 2 2 2 3 2 5" xfId="10269" xr:uid="{7E9962B4-2862-4F6B-B40C-49E01D95068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276D7AAE-48CA-4011-8FE0-83508B1CAAEF}"/>
    <cellStyle name="Normal 4 3 2 2 2 3 3 2 3" xfId="12827" xr:uid="{B4C25C6F-C7CF-472B-87A5-B38CCC544769}"/>
    <cellStyle name="Normal 4 3 2 2 2 3 3 3" xfId="5573" xr:uid="{00000000-0005-0000-0000-00003B140000}"/>
    <cellStyle name="Normal 4 3 2 2 2 3 3 3 2" xfId="14899" xr:uid="{356D1A3A-963D-4DB1-B632-B191A6B4AE80}"/>
    <cellStyle name="Normal 4 3 2 2 2 3 3 4" xfId="10682" xr:uid="{D980DF63-C71E-46F8-9944-9BA28745100D}"/>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2FEE8E2D-BDFF-45BD-BBAD-77FF79EEE2A4}"/>
    <cellStyle name="Normal 4 3 2 2 2 3 4 2 3" xfId="13240" xr:uid="{1E3C7813-E550-4010-9F71-A51B7397C6D9}"/>
    <cellStyle name="Normal 4 3 2 2 2 3 4 3" xfId="5986" xr:uid="{00000000-0005-0000-0000-00003F140000}"/>
    <cellStyle name="Normal 4 3 2 2 2 3 4 3 2" xfId="15312" xr:uid="{000BC6A0-16C6-484F-AD96-A20EBFF8737B}"/>
    <cellStyle name="Normal 4 3 2 2 2 3 4 4" xfId="11095" xr:uid="{D246BA05-BB9F-4D5B-8C6D-FC790E6AF0E8}"/>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61B1D382-736B-4643-B0E6-4F65B43342EA}"/>
    <cellStyle name="Normal 4 3 2 2 2 3 5 2 3" xfId="13653" xr:uid="{C4E419D1-68E4-4FD8-B250-C5E58CA6462A}"/>
    <cellStyle name="Normal 4 3 2 2 2 3 5 3" xfId="6399" xr:uid="{00000000-0005-0000-0000-000043140000}"/>
    <cellStyle name="Normal 4 3 2 2 2 3 5 3 2" xfId="15725" xr:uid="{DFFD118F-4368-484B-9587-954268096C88}"/>
    <cellStyle name="Normal 4 3 2 2 2 3 5 4" xfId="11508" xr:uid="{B9063968-A649-4BB9-9453-81CBE91A59F4}"/>
    <cellStyle name="Normal 4 3 2 2 2 3 6" xfId="2529" xr:uid="{00000000-0005-0000-0000-000044140000}"/>
    <cellStyle name="Normal 4 3 2 2 2 3 6 2" xfId="6812" xr:uid="{00000000-0005-0000-0000-000045140000}"/>
    <cellStyle name="Normal 4 3 2 2 2 3 6 2 2" xfId="16138" xr:uid="{00CAA744-F811-4E7D-9442-B2FD1EF4F3AE}"/>
    <cellStyle name="Normal 4 3 2 2 2 3 6 3" xfId="11921" xr:uid="{CDDE5BC3-EBAE-41E8-84CD-B5DBAB7C5AAE}"/>
    <cellStyle name="Normal 4 3 2 2 2 3 7" xfId="4747" xr:uid="{00000000-0005-0000-0000-000046140000}"/>
    <cellStyle name="Normal 4 3 2 2 2 3 7 2" xfId="14073" xr:uid="{C52802D9-78AC-4F98-9664-3ECB763C7AFE}"/>
    <cellStyle name="Normal 4 3 2 2 2 3 8" xfId="9029" xr:uid="{CC421D7E-69EF-4D96-A95C-E67F046F8D14}"/>
    <cellStyle name="Normal 4 3 2 2 2 3 8 2" xfId="18353" xr:uid="{78BC1CCA-7F2E-4094-9B0B-3C769CADEB0F}"/>
    <cellStyle name="Normal 4 3 2 2 2 3 9" xfId="9856" xr:uid="{A2039266-3F5F-4CD7-85D7-2E68F856BB12}"/>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FBA07924-7CAF-477F-AC57-D140DFD827CE}"/>
    <cellStyle name="Normal 4 3 2 2 2 4 2 3" xfId="12411" xr:uid="{0095DD55-F858-42A5-A091-E37F943A85C7}"/>
    <cellStyle name="Normal 4 3 2 2 2 4 3" xfId="5157" xr:uid="{00000000-0005-0000-0000-00004A140000}"/>
    <cellStyle name="Normal 4 3 2 2 2 4 3 2" xfId="14483" xr:uid="{BB74B376-AB1F-48EB-8E4F-7C747D59E92D}"/>
    <cellStyle name="Normal 4 3 2 2 2 4 4" xfId="9247" xr:uid="{70D9D224-DB0B-42B4-B4A9-BC88F455C395}"/>
    <cellStyle name="Normal 4 3 2 2 2 4 4 2" xfId="18562" xr:uid="{36E82959-344B-44B0-90F0-83FCA831A002}"/>
    <cellStyle name="Normal 4 3 2 2 2 4 5" xfId="10266" xr:uid="{1E126ED2-68A7-429E-B7E6-6A695E6FF29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57226796-1B4D-458A-AD93-DE4806AC16F1}"/>
    <cellStyle name="Normal 4 3 2 2 2 5 2 3" xfId="12824" xr:uid="{669C0446-CC1B-4F90-814C-02EC5F04EE9C}"/>
    <cellStyle name="Normal 4 3 2 2 2 5 3" xfId="5570" xr:uid="{00000000-0005-0000-0000-00004E140000}"/>
    <cellStyle name="Normal 4 3 2 2 2 5 3 2" xfId="14896" xr:uid="{452CCCB1-CBA1-48F3-845D-5C90CFA39A72}"/>
    <cellStyle name="Normal 4 3 2 2 2 5 4" xfId="10679" xr:uid="{ED85E0AA-EABE-4579-8615-104DCBAB58A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3C60FC8A-4A1F-4D26-805E-7FB9102A985B}"/>
    <cellStyle name="Normal 4 3 2 2 2 6 2 3" xfId="13237" xr:uid="{392F22E5-EF45-4521-BEFD-9A905F0A8E89}"/>
    <cellStyle name="Normal 4 3 2 2 2 6 3" xfId="5983" xr:uid="{00000000-0005-0000-0000-000052140000}"/>
    <cellStyle name="Normal 4 3 2 2 2 6 3 2" xfId="15309" xr:uid="{E6680EEF-1A1F-4E14-91BF-39A9545893E5}"/>
    <cellStyle name="Normal 4 3 2 2 2 6 4" xfId="11092" xr:uid="{CEFFE03E-288B-4AF3-A2F0-112342AA6C7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A9FEB38A-DE1F-4D84-AC4F-D64F7E1F875C}"/>
    <cellStyle name="Normal 4 3 2 2 2 7 2 3" xfId="13650" xr:uid="{7B755633-5C08-4A33-AF9D-971FEBED6FF9}"/>
    <cellStyle name="Normal 4 3 2 2 2 7 3" xfId="6396" xr:uid="{00000000-0005-0000-0000-000056140000}"/>
    <cellStyle name="Normal 4 3 2 2 2 7 3 2" xfId="15722" xr:uid="{4A0D3B3E-697A-4201-A4BE-37C8C13E62A7}"/>
    <cellStyle name="Normal 4 3 2 2 2 7 4" xfId="11505" xr:uid="{1753CB6D-9E65-482A-B36A-0B8CD78BAC97}"/>
    <cellStyle name="Normal 4 3 2 2 2 8" xfId="2526" xr:uid="{00000000-0005-0000-0000-000057140000}"/>
    <cellStyle name="Normal 4 3 2 2 2 8 2" xfId="6809" xr:uid="{00000000-0005-0000-0000-000058140000}"/>
    <cellStyle name="Normal 4 3 2 2 2 8 2 2" xfId="16135" xr:uid="{281546F9-7665-4C58-9A41-DA553190B5C4}"/>
    <cellStyle name="Normal 4 3 2 2 2 8 3" xfId="11918" xr:uid="{D0135F27-4D0E-480C-93B6-8B3E635D7AE0}"/>
    <cellStyle name="Normal 4 3 2 2 2 9" xfId="4744" xr:uid="{00000000-0005-0000-0000-000059140000}"/>
    <cellStyle name="Normal 4 3 2 2 2 9 2" xfId="14070" xr:uid="{9FF525F2-3214-4740-8B36-27F2D9D0A06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4E77AC4D-C45B-4297-9A08-8FC1FE04A7D1}"/>
    <cellStyle name="Normal 4 3 3 11" xfId="9857" xr:uid="{9E8A80BB-144C-41FD-8829-98ADD2FCC8A0}"/>
    <cellStyle name="Normal 4 3 3 2" xfId="375" xr:uid="{00000000-0005-0000-0000-00005E140000}"/>
    <cellStyle name="Normal 4 3 3 2 10" xfId="9858" xr:uid="{A1E5A8CF-6B0E-41CC-AB7E-8FCE31C9AF43}"/>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E79E0FB8-9E30-4DE5-8FAE-B41D88BE30CB}"/>
    <cellStyle name="Normal 4 3 3 2 2 2 2 3" xfId="12417" xr:uid="{2CBDE01E-E58E-48D8-AE5F-6E07D6B27D23}"/>
    <cellStyle name="Normal 4 3 3 2 2 2 3" xfId="5163" xr:uid="{00000000-0005-0000-0000-000063140000}"/>
    <cellStyle name="Normal 4 3 3 2 2 2 3 2" xfId="14489" xr:uid="{EC9D20E9-96DA-4911-80CB-D4A6DE164A0A}"/>
    <cellStyle name="Normal 4 3 3 2 2 2 4" xfId="9556" xr:uid="{7233D5E9-9F1E-43FF-8391-DCCFDF8A705D}"/>
    <cellStyle name="Normal 4 3 3 2 2 2 4 2" xfId="18871" xr:uid="{555F7B02-764F-4F14-99DA-BF2229EEC6AB}"/>
    <cellStyle name="Normal 4 3 3 2 2 2 5" xfId="10272" xr:uid="{BACB8624-48B6-4561-BBA3-606FD2F5FDB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E8A67AE6-EB0C-47AF-A596-51C45B1E452D}"/>
    <cellStyle name="Normal 4 3 3 2 2 3 2 3" xfId="12830" xr:uid="{247745BA-EE01-48DC-85B2-8599C4A63C7E}"/>
    <cellStyle name="Normal 4 3 3 2 2 3 3" xfId="5576" xr:uid="{00000000-0005-0000-0000-000067140000}"/>
    <cellStyle name="Normal 4 3 3 2 2 3 3 2" xfId="14902" xr:uid="{B2D7FD5E-9490-4FC2-86EC-6F20574C2476}"/>
    <cellStyle name="Normal 4 3 3 2 2 3 4" xfId="10685" xr:uid="{B5E46931-8B3D-4447-A752-79F9BD578DE2}"/>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DCF7D79D-1821-4FB0-B5C4-24921D4601D3}"/>
    <cellStyle name="Normal 4 3 3 2 2 4 2 3" xfId="13243" xr:uid="{D9B9B01F-CA2B-42D4-BF98-77874688E520}"/>
    <cellStyle name="Normal 4 3 3 2 2 4 3" xfId="5989" xr:uid="{00000000-0005-0000-0000-00006B140000}"/>
    <cellStyle name="Normal 4 3 3 2 2 4 3 2" xfId="15315" xr:uid="{6B4C588E-C388-4998-B2DC-C2C232961807}"/>
    <cellStyle name="Normal 4 3 3 2 2 4 4" xfId="11098" xr:uid="{3909AED9-BF2D-44D7-96BA-08E0FB77AA4F}"/>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3839D3D6-0E28-402A-895C-92C09A4FE24A}"/>
    <cellStyle name="Normal 4 3 3 2 2 5 2 3" xfId="13656" xr:uid="{4947D546-DDCF-4851-A8CB-02A26BBD7280}"/>
    <cellStyle name="Normal 4 3 3 2 2 5 3" xfId="6402" xr:uid="{00000000-0005-0000-0000-00006F140000}"/>
    <cellStyle name="Normal 4 3 3 2 2 5 3 2" xfId="15728" xr:uid="{02B027D1-6F78-4EE5-8FE2-424346A8A358}"/>
    <cellStyle name="Normal 4 3 3 2 2 5 4" xfId="11511" xr:uid="{25B6471F-2465-4BDE-BCAF-5F40FF7BF174}"/>
    <cellStyle name="Normal 4 3 3 2 2 6" xfId="2532" xr:uid="{00000000-0005-0000-0000-000070140000}"/>
    <cellStyle name="Normal 4 3 3 2 2 6 2" xfId="6815" xr:uid="{00000000-0005-0000-0000-000071140000}"/>
    <cellStyle name="Normal 4 3 3 2 2 6 2 2" xfId="16141" xr:uid="{A6CA2789-02FF-4374-909B-235C9616E8B2}"/>
    <cellStyle name="Normal 4 3 3 2 2 6 3" xfId="11924" xr:uid="{B2A4A14F-B166-4F9B-88D2-6312E342C0DB}"/>
    <cellStyle name="Normal 4 3 3 2 2 7" xfId="4750" xr:uid="{00000000-0005-0000-0000-000072140000}"/>
    <cellStyle name="Normal 4 3 3 2 2 7 2" xfId="14076" xr:uid="{FBC81451-5CDF-452D-9BB9-BFA75EA79F67}"/>
    <cellStyle name="Normal 4 3 3 2 2 8" xfId="9131" xr:uid="{D7BA3B10-6765-4B57-99D1-3AF7343772F8}"/>
    <cellStyle name="Normal 4 3 3 2 2 8 2" xfId="18455" xr:uid="{49C7DFBF-0C0E-4C3C-A56C-F7230B4E662D}"/>
    <cellStyle name="Normal 4 3 3 2 2 9" xfId="9859" xr:uid="{B4E971AD-3510-427C-A9A7-E919B78AA23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110A2226-BDA0-478E-89A0-5212EEE1C604}"/>
    <cellStyle name="Normal 4 3 3 2 3 2 3" xfId="12416" xr:uid="{394F35B4-E60E-498E-BABF-7494270A371C}"/>
    <cellStyle name="Normal 4 3 3 2 3 3" xfId="5162" xr:uid="{00000000-0005-0000-0000-000076140000}"/>
    <cellStyle name="Normal 4 3 3 2 3 3 2" xfId="14488" xr:uid="{3CBEDE19-6580-4A78-95E9-D83F7058093A}"/>
    <cellStyle name="Normal 4 3 3 2 3 4" xfId="9349" xr:uid="{E498700C-D7AE-42FC-8EB1-59BA2C1BA6B9}"/>
    <cellStyle name="Normal 4 3 3 2 3 4 2" xfId="18664" xr:uid="{C1231354-6C47-4977-B79F-AE3F18983925}"/>
    <cellStyle name="Normal 4 3 3 2 3 5" xfId="10271" xr:uid="{7AB9C938-40E1-45AC-B4A4-C3D77AAF0602}"/>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888B7212-4AD3-4112-859F-409AF3CF9EA8}"/>
    <cellStyle name="Normal 4 3 3 2 4 2 3" xfId="12829" xr:uid="{5109E572-13AF-43D9-B302-BAA256FCFD73}"/>
    <cellStyle name="Normal 4 3 3 2 4 3" xfId="5575" xr:uid="{00000000-0005-0000-0000-00007A140000}"/>
    <cellStyle name="Normal 4 3 3 2 4 3 2" xfId="14901" xr:uid="{DFFCD5DE-77F1-4E46-A8C1-A7FDCAB2A00D}"/>
    <cellStyle name="Normal 4 3 3 2 4 4" xfId="10684" xr:uid="{EAAF5D1C-BF6D-42B8-89EA-8A7B3DC4C8FF}"/>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99A3418C-56E5-4B34-AF35-7589DD534809}"/>
    <cellStyle name="Normal 4 3 3 2 5 2 3" xfId="13242" xr:uid="{718980A7-13C0-4AB1-B007-D92D46D1ABD5}"/>
    <cellStyle name="Normal 4 3 3 2 5 3" xfId="5988" xr:uid="{00000000-0005-0000-0000-00007E140000}"/>
    <cellStyle name="Normal 4 3 3 2 5 3 2" xfId="15314" xr:uid="{83E860EA-0744-4137-AB30-BBEADCDA92EF}"/>
    <cellStyle name="Normal 4 3 3 2 5 4" xfId="11097" xr:uid="{28B2D2BB-B2B9-4FF0-ABAC-3B2B3362C510}"/>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34E1D236-A958-4589-A2DC-1FECC5FC22F6}"/>
    <cellStyle name="Normal 4 3 3 2 6 2 3" xfId="13655" xr:uid="{CD232AFE-6857-4A47-8A27-577F24A379AF}"/>
    <cellStyle name="Normal 4 3 3 2 6 3" xfId="6401" xr:uid="{00000000-0005-0000-0000-000082140000}"/>
    <cellStyle name="Normal 4 3 3 2 6 3 2" xfId="15727" xr:uid="{86F23F6E-CE9F-423E-AE02-4D0CCE9A3EF3}"/>
    <cellStyle name="Normal 4 3 3 2 6 4" xfId="11510" xr:uid="{93619590-A882-40E0-AF38-6DDAE1D3CC10}"/>
    <cellStyle name="Normal 4 3 3 2 7" xfId="2531" xr:uid="{00000000-0005-0000-0000-000083140000}"/>
    <cellStyle name="Normal 4 3 3 2 7 2" xfId="6814" xr:uid="{00000000-0005-0000-0000-000084140000}"/>
    <cellStyle name="Normal 4 3 3 2 7 2 2" xfId="16140" xr:uid="{83AC42E1-E52B-4932-9607-6C83603D62EB}"/>
    <cellStyle name="Normal 4 3 3 2 7 3" xfId="11923" xr:uid="{7BABBE58-0ABA-4D38-BF08-CD67A3C2D9B3}"/>
    <cellStyle name="Normal 4 3 3 2 8" xfId="4749" xr:uid="{00000000-0005-0000-0000-000085140000}"/>
    <cellStyle name="Normal 4 3 3 2 8 2" xfId="14075" xr:uid="{20B50B3B-8632-47A5-9672-84E99558006C}"/>
    <cellStyle name="Normal 4 3 3 2 9" xfId="8924" xr:uid="{F9E914C5-63E8-4CB8-8EA1-7427CE35C4AA}"/>
    <cellStyle name="Normal 4 3 3 2 9 2" xfId="18248" xr:uid="{52C06A44-CDA9-47F9-B7FA-410520A1E799}"/>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C4D72DB1-FD8D-4697-801B-727F52F56117}"/>
    <cellStyle name="Normal 4 3 3 3 2 2 3" xfId="12418" xr:uid="{3C2FC889-ED1A-436A-BB88-CD11B108D376}"/>
    <cellStyle name="Normal 4 3 3 3 2 3" xfId="5164" xr:uid="{00000000-0005-0000-0000-00008A140000}"/>
    <cellStyle name="Normal 4 3 3 3 2 3 2" xfId="14490" xr:uid="{DF071D53-609C-4ED2-875E-D5D21A556BAB}"/>
    <cellStyle name="Normal 4 3 3 3 2 4" xfId="9453" xr:uid="{18D68920-503C-42C1-A733-EBE17DC6D008}"/>
    <cellStyle name="Normal 4 3 3 3 2 4 2" xfId="18768" xr:uid="{912D5C64-B282-4C43-9CF0-87D5B49CD341}"/>
    <cellStyle name="Normal 4 3 3 3 2 5" xfId="10273" xr:uid="{7A5797DD-0FDF-4F65-982F-4970A146F4D9}"/>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4DAD2300-45DE-4A3A-82D6-348C85FC6C0A}"/>
    <cellStyle name="Normal 4 3 3 3 3 2 3" xfId="12831" xr:uid="{D9F85D83-2B2B-4D09-88EA-0A11E4D9D1D4}"/>
    <cellStyle name="Normal 4 3 3 3 3 3" xfId="5577" xr:uid="{00000000-0005-0000-0000-00008E140000}"/>
    <cellStyle name="Normal 4 3 3 3 3 3 2" xfId="14903" xr:uid="{3A2B28A3-A9EC-4D05-85C9-774AB377CCC4}"/>
    <cellStyle name="Normal 4 3 3 3 3 4" xfId="10686" xr:uid="{01A7BA6A-00DE-4669-82D3-0B0946F5ED93}"/>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B9D49E59-D479-41F1-A5EA-D8F1D368877F}"/>
    <cellStyle name="Normal 4 3 3 3 4 2 3" xfId="13244" xr:uid="{3F2E7ED8-770D-41F4-BA2B-2F2AE965496D}"/>
    <cellStyle name="Normal 4 3 3 3 4 3" xfId="5990" xr:uid="{00000000-0005-0000-0000-000092140000}"/>
    <cellStyle name="Normal 4 3 3 3 4 3 2" xfId="15316" xr:uid="{361C0465-FA85-4F58-81EB-D419C377D23E}"/>
    <cellStyle name="Normal 4 3 3 3 4 4" xfId="11099" xr:uid="{20620D9A-FF47-402A-9F80-8EC7C0D14FFA}"/>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10248734-A856-4027-8C99-454BF92CE010}"/>
    <cellStyle name="Normal 4 3 3 3 5 2 3" xfId="13657" xr:uid="{7A38F89E-33C5-4DF1-A6B2-4E8A53B29411}"/>
    <cellStyle name="Normal 4 3 3 3 5 3" xfId="6403" xr:uid="{00000000-0005-0000-0000-000096140000}"/>
    <cellStyle name="Normal 4 3 3 3 5 3 2" xfId="15729" xr:uid="{695644CD-5054-470C-95C3-EF5F79705D8D}"/>
    <cellStyle name="Normal 4 3 3 3 5 4" xfId="11512" xr:uid="{137A4AC1-7B53-4B9B-85F9-492459D7AB67}"/>
    <cellStyle name="Normal 4 3 3 3 6" xfId="2533" xr:uid="{00000000-0005-0000-0000-000097140000}"/>
    <cellStyle name="Normal 4 3 3 3 6 2" xfId="6816" xr:uid="{00000000-0005-0000-0000-000098140000}"/>
    <cellStyle name="Normal 4 3 3 3 6 2 2" xfId="16142" xr:uid="{4F435C18-F484-492C-82EC-4219D5B90EAE}"/>
    <cellStyle name="Normal 4 3 3 3 6 3" xfId="11925" xr:uid="{CDED7938-A07D-4BF3-8099-06B1AAFB2BB3}"/>
    <cellStyle name="Normal 4 3 3 3 7" xfId="4751" xr:uid="{00000000-0005-0000-0000-000099140000}"/>
    <cellStyle name="Normal 4 3 3 3 7 2" xfId="14077" xr:uid="{450806A7-2D86-4414-B862-2E61643A8322}"/>
    <cellStyle name="Normal 4 3 3 3 8" xfId="9028" xr:uid="{A0BD85BE-0D8B-455E-B326-708B8FF8A8C8}"/>
    <cellStyle name="Normal 4 3 3 3 8 2" xfId="18352" xr:uid="{F46325A5-C6AC-421B-A00E-C1551798CA95}"/>
    <cellStyle name="Normal 4 3 3 3 9" xfId="9860" xr:uid="{735ED8CF-0380-422D-91B7-9D9179880F37}"/>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2B418A68-489D-4960-ABFE-781007611FE9}"/>
    <cellStyle name="Normal 4 3 3 4 2 3" xfId="12415" xr:uid="{4075D4B5-735C-4DD8-BBEE-2CFDACF61779}"/>
    <cellStyle name="Normal 4 3 3 4 3" xfId="5161" xr:uid="{00000000-0005-0000-0000-00009D140000}"/>
    <cellStyle name="Normal 4 3 3 4 3 2" xfId="14487" xr:uid="{A09E4480-8FA5-445B-9776-33F354851A7E}"/>
    <cellStyle name="Normal 4 3 3 4 4" xfId="9246" xr:uid="{E1107DA9-8F13-4216-80A2-CEA1D2EF57FC}"/>
    <cellStyle name="Normal 4 3 3 4 4 2" xfId="18561" xr:uid="{910AC663-015C-4BBE-BC82-776A9E2BEEE2}"/>
    <cellStyle name="Normal 4 3 3 4 5" xfId="10270" xr:uid="{F237C42E-EB06-4888-BA78-0175C64EF202}"/>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309BE4B4-ACE8-482B-918F-2F4293A69F28}"/>
    <cellStyle name="Normal 4 3 3 5 2 3" xfId="12828" xr:uid="{E1F0784C-A5EE-4FDF-B2E8-FAE015BC2D11}"/>
    <cellStyle name="Normal 4 3 3 5 3" xfId="5574" xr:uid="{00000000-0005-0000-0000-0000A1140000}"/>
    <cellStyle name="Normal 4 3 3 5 3 2" xfId="14900" xr:uid="{DBCA799E-B8A7-4608-BC77-C5F7BC5D3CD1}"/>
    <cellStyle name="Normal 4 3 3 5 4" xfId="10683" xr:uid="{844209DB-BA61-4D5E-A7BC-763ADBC498C5}"/>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2BE723AF-8487-4D0D-B774-920E9A3B9EEF}"/>
    <cellStyle name="Normal 4 3 3 6 2 3" xfId="13241" xr:uid="{598F1269-CA23-4C39-AF44-8334D894EC35}"/>
    <cellStyle name="Normal 4 3 3 6 3" xfId="5987" xr:uid="{00000000-0005-0000-0000-0000A5140000}"/>
    <cellStyle name="Normal 4 3 3 6 3 2" xfId="15313" xr:uid="{3E8E89C0-C5BE-414D-A4B6-B6A11F266CEC}"/>
    <cellStyle name="Normal 4 3 3 6 4" xfId="11096" xr:uid="{AC0D7D92-DEA5-483B-B169-28810B98B415}"/>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9D54334A-AA6D-4281-B346-FCA009111F89}"/>
    <cellStyle name="Normal 4 3 3 7 2 3" xfId="13654" xr:uid="{0D892F14-ED81-4066-A167-A9A80ABCCE17}"/>
    <cellStyle name="Normal 4 3 3 7 3" xfId="6400" xr:uid="{00000000-0005-0000-0000-0000A9140000}"/>
    <cellStyle name="Normal 4 3 3 7 3 2" xfId="15726" xr:uid="{D4174150-3C84-4D90-B09A-44BBCF9E7E69}"/>
    <cellStyle name="Normal 4 3 3 7 4" xfId="11509" xr:uid="{B5ADB24B-B98E-410B-8583-6C4191471154}"/>
    <cellStyle name="Normal 4 3 3 8" xfId="2530" xr:uid="{00000000-0005-0000-0000-0000AA140000}"/>
    <cellStyle name="Normal 4 3 3 8 2" xfId="6813" xr:uid="{00000000-0005-0000-0000-0000AB140000}"/>
    <cellStyle name="Normal 4 3 3 8 2 2" xfId="16139" xr:uid="{E836DD37-EBCE-4339-B7D5-E2667396306A}"/>
    <cellStyle name="Normal 4 3 3 8 3" xfId="11922" xr:uid="{4979E68F-261D-4365-B064-525EA34984C0}"/>
    <cellStyle name="Normal 4 3 3 9" xfId="4748" xr:uid="{00000000-0005-0000-0000-0000AC140000}"/>
    <cellStyle name="Normal 4 3 3 9 2" xfId="14074" xr:uid="{1F94031B-C644-4B5B-97E0-9D244171FCA1}"/>
    <cellStyle name="Normal 4 3 4" xfId="842" xr:uid="{00000000-0005-0000-0000-0000AD140000}"/>
    <cellStyle name="Normal 4 3 4 2" xfId="3079" xr:uid="{00000000-0005-0000-0000-0000AE140000}"/>
    <cellStyle name="Normal 4 3 4 2 2" xfId="7301" xr:uid="{00000000-0005-0000-0000-0000AF140000}"/>
    <cellStyle name="Normal 4 3 4 2 2 2" xfId="16627" xr:uid="{F8DFD8DD-C9C0-44E6-8359-05E74FA4410F}"/>
    <cellStyle name="Normal 4 3 4 2 3" xfId="12410" xr:uid="{A138A597-C558-4D8B-8E43-07691F155EA1}"/>
    <cellStyle name="Normal 4 3 4 3" xfId="5156" xr:uid="{00000000-0005-0000-0000-0000B0140000}"/>
    <cellStyle name="Normal 4 3 4 3 2" xfId="14482" xr:uid="{4DF4908D-B976-4D31-8051-72E1D403F598}"/>
    <cellStyle name="Normal 4 3 4 4" xfId="9608" xr:uid="{C2EFFD2B-01D5-4B2B-BD85-BB4245D6A35E}"/>
    <cellStyle name="Normal 4 3 4 4 2" xfId="18909" xr:uid="{A9C256D4-48C0-4DC8-8F02-C53DCFD2C660}"/>
    <cellStyle name="Normal 4 3 4 5" xfId="10265" xr:uid="{92B940D8-336A-4A20-B4BC-9CA06EA070E4}"/>
    <cellStyle name="Normal 4 3 5" xfId="1262" xr:uid="{00000000-0005-0000-0000-0000B1140000}"/>
    <cellStyle name="Normal 4 3 5 2" xfId="3492" xr:uid="{00000000-0005-0000-0000-0000B2140000}"/>
    <cellStyle name="Normal 4 3 5 2 2" xfId="7714" xr:uid="{00000000-0005-0000-0000-0000B3140000}"/>
    <cellStyle name="Normal 4 3 5 2 2 2" xfId="17040" xr:uid="{384E4176-1D05-4F2D-84E3-6E472A5E0834}"/>
    <cellStyle name="Normal 4 3 5 2 3" xfId="12823" xr:uid="{5FE476DB-C6F9-49C0-9FE5-8E00FE46CD05}"/>
    <cellStyle name="Normal 4 3 5 3" xfId="5569" xr:uid="{00000000-0005-0000-0000-0000B4140000}"/>
    <cellStyle name="Normal 4 3 5 3 2" xfId="14895" xr:uid="{E94744CF-284D-4A71-A3EB-6452BDDFFCCF}"/>
    <cellStyle name="Normal 4 3 5 4" xfId="10678" xr:uid="{FFCD094E-C724-4279-B26C-0F488FE438F3}"/>
    <cellStyle name="Normal 4 3 6" xfId="1675" xr:uid="{00000000-0005-0000-0000-0000B5140000}"/>
    <cellStyle name="Normal 4 3 6 2" xfId="3905" xr:uid="{00000000-0005-0000-0000-0000B6140000}"/>
    <cellStyle name="Normal 4 3 6 2 2" xfId="8127" xr:uid="{00000000-0005-0000-0000-0000B7140000}"/>
    <cellStyle name="Normal 4 3 6 2 2 2" xfId="17453" xr:uid="{19A0A7A2-CD8A-4662-A859-6FA1D965A0A1}"/>
    <cellStyle name="Normal 4 3 6 2 3" xfId="13236" xr:uid="{6D64310E-E683-48B1-A8CB-5303BD190A61}"/>
    <cellStyle name="Normal 4 3 6 3" xfId="5982" xr:uid="{00000000-0005-0000-0000-0000B8140000}"/>
    <cellStyle name="Normal 4 3 6 3 2" xfId="15308" xr:uid="{33E9995D-40A1-497A-AAE3-A0DB7FBA2BDB}"/>
    <cellStyle name="Normal 4 3 6 4" xfId="11091" xr:uid="{435D1E9D-9E28-4F1E-93A1-92F9A4BBFA55}"/>
    <cellStyle name="Normal 4 3 7" xfId="2089" xr:uid="{00000000-0005-0000-0000-0000B9140000}"/>
    <cellStyle name="Normal 4 3 7 2" xfId="4318" xr:uid="{00000000-0005-0000-0000-0000BA140000}"/>
    <cellStyle name="Normal 4 3 7 2 2" xfId="8540" xr:uid="{00000000-0005-0000-0000-0000BB140000}"/>
    <cellStyle name="Normal 4 3 7 2 2 2" xfId="17866" xr:uid="{4A15813B-ABC1-4DCF-A509-8A06C9DFDDCA}"/>
    <cellStyle name="Normal 4 3 7 2 3" xfId="13649" xr:uid="{0D50B71F-53B8-4F79-BED9-1AAE39F80D73}"/>
    <cellStyle name="Normal 4 3 7 3" xfId="6395" xr:uid="{00000000-0005-0000-0000-0000BC140000}"/>
    <cellStyle name="Normal 4 3 7 3 2" xfId="15721" xr:uid="{3DC6D0D5-EF7C-45E1-A2AB-D143C3A442C9}"/>
    <cellStyle name="Normal 4 3 7 4" xfId="11504" xr:uid="{50E8E697-8F5F-4EDF-BC45-F2AF4CCADF95}"/>
    <cellStyle name="Normal 4 3 8" xfId="2525" xr:uid="{00000000-0005-0000-0000-0000BD140000}"/>
    <cellStyle name="Normal 4 3 8 2" xfId="6808" xr:uid="{00000000-0005-0000-0000-0000BE140000}"/>
    <cellStyle name="Normal 4 3 8 2 2" xfId="16134" xr:uid="{9B001762-A851-4854-AD5F-72A7826E45CE}"/>
    <cellStyle name="Normal 4 3 8 3" xfId="11917" xr:uid="{9EA34C8B-8FE2-4CD3-BA3E-1EEF07B11244}"/>
    <cellStyle name="Normal 4 3 9" xfId="4743" xr:uid="{00000000-0005-0000-0000-0000BF140000}"/>
    <cellStyle name="Normal 4 3 9 2" xfId="14069" xr:uid="{8057C230-22BB-4BE8-B97D-3B2B85E4F228}"/>
    <cellStyle name="Normal 4 4" xfId="378" xr:uid="{00000000-0005-0000-0000-0000C0140000}"/>
    <cellStyle name="Normal 4 4 10" xfId="2534" xr:uid="{00000000-0005-0000-0000-0000C1140000}"/>
    <cellStyle name="Normal 4 4 10 2" xfId="6817" xr:uid="{00000000-0005-0000-0000-0000C2140000}"/>
    <cellStyle name="Normal 4 4 10 2 2" xfId="16143" xr:uid="{4230AE9F-19C8-406A-B5E1-954D9CBA0474}"/>
    <cellStyle name="Normal 4 4 10 3" xfId="11926" xr:uid="{FA760FEB-934F-4F48-A081-9ED3DA36C472}"/>
    <cellStyle name="Normal 4 4 11" xfId="4752" xr:uid="{00000000-0005-0000-0000-0000C3140000}"/>
    <cellStyle name="Normal 4 4 11 2" xfId="14078" xr:uid="{6C67641C-B82B-4273-AB12-60B233BC1D73}"/>
    <cellStyle name="Normal 4 4 12" xfId="8749" xr:uid="{A91736B6-873D-4B1A-8B29-18DC69E5E65F}"/>
    <cellStyle name="Normal 4 4 12 2" xfId="18073" xr:uid="{FFA7D68D-9278-4E59-B417-FC0456823681}"/>
    <cellStyle name="Normal 4 4 13" xfId="9861" xr:uid="{8B4F87D5-5074-41AC-A8EA-9DD4730A0537}"/>
    <cellStyle name="Normal 4 4 2" xfId="379" xr:uid="{00000000-0005-0000-0000-0000C4140000}"/>
    <cellStyle name="Normal 4 4 2 10" xfId="4753" xr:uid="{00000000-0005-0000-0000-0000C5140000}"/>
    <cellStyle name="Normal 4 4 2 10 2" xfId="14079" xr:uid="{A214FF0E-BEF3-45C4-AB75-727252E079A6}"/>
    <cellStyle name="Normal 4 4 2 11" xfId="8781" xr:uid="{12B8F0AD-1EB8-4D0A-9CAD-21DEEFEDAE41}"/>
    <cellStyle name="Normal 4 4 2 11 2" xfId="18105" xr:uid="{BABC9BC9-06BB-4C19-B80C-E9B27893B3D6}"/>
    <cellStyle name="Normal 4 4 2 12" xfId="9862" xr:uid="{CA9AA594-4684-45CE-8063-C94228412845}"/>
    <cellStyle name="Normal 4 4 2 2" xfId="380" xr:uid="{00000000-0005-0000-0000-0000C6140000}"/>
    <cellStyle name="Normal 4 4 2 2 10" xfId="8824" xr:uid="{FF218EA8-00A9-476B-AA88-FBBBBED2D06B}"/>
    <cellStyle name="Normal 4 4 2 2 10 2" xfId="18148" xr:uid="{AD7145B7-C27F-4622-8A7E-E26582752277}"/>
    <cellStyle name="Normal 4 4 2 2 11" xfId="9863" xr:uid="{75039E7B-F65C-40CD-A8C1-B4EB7DFC7E63}"/>
    <cellStyle name="Normal 4 4 2 2 2" xfId="381" xr:uid="{00000000-0005-0000-0000-0000C7140000}"/>
    <cellStyle name="Normal 4 4 2 2 2 10" xfId="9864" xr:uid="{33C1373A-D47C-4034-BEDC-6FF2472EF7CC}"/>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70EFC9E5-2EF9-4108-A350-699E09648AAE}"/>
    <cellStyle name="Normal 4 4 2 2 2 2 2 2 3" xfId="12423" xr:uid="{0C16B4EA-4AA9-4E22-9A7D-2311F906E6D8}"/>
    <cellStyle name="Normal 4 4 2 2 2 2 2 3" xfId="5169" xr:uid="{00000000-0005-0000-0000-0000CC140000}"/>
    <cellStyle name="Normal 4 4 2 2 2 2 2 3 2" xfId="14495" xr:uid="{7E576DDF-352B-41E9-A9C7-5573CF7A26B3}"/>
    <cellStyle name="Normal 4 4 2 2 2 2 2 4" xfId="9559" xr:uid="{6E5E886C-D83F-47E6-AD2B-552CC2A98FD0}"/>
    <cellStyle name="Normal 4 4 2 2 2 2 2 4 2" xfId="18874" xr:uid="{FFE4C280-1DB0-484E-B23B-8F248AAFFEAB}"/>
    <cellStyle name="Normal 4 4 2 2 2 2 2 5" xfId="10278" xr:uid="{75526622-9664-48A3-8FC4-612A6ED2AB4F}"/>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27039267-4C5D-4F1C-8687-7E9DD893BC85}"/>
    <cellStyle name="Normal 4 4 2 2 2 2 3 2 3" xfId="12836" xr:uid="{F78C40F2-AD4E-495D-B5D9-294B2CC6BF82}"/>
    <cellStyle name="Normal 4 4 2 2 2 2 3 3" xfId="5582" xr:uid="{00000000-0005-0000-0000-0000D0140000}"/>
    <cellStyle name="Normal 4 4 2 2 2 2 3 3 2" xfId="14908" xr:uid="{F6B538F9-D405-4651-A9A2-1E0C519F91EC}"/>
    <cellStyle name="Normal 4 4 2 2 2 2 3 4" xfId="10691" xr:uid="{2CB8C75D-83B8-42DC-B7C4-54BEBA8F98F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37C536DC-17E1-45AE-96F1-0711F8EBD363}"/>
    <cellStyle name="Normal 4 4 2 2 2 2 4 2 3" xfId="13249" xr:uid="{981D9CC9-6E0B-40AC-8D3C-3DC78A2F28EF}"/>
    <cellStyle name="Normal 4 4 2 2 2 2 4 3" xfId="5995" xr:uid="{00000000-0005-0000-0000-0000D4140000}"/>
    <cellStyle name="Normal 4 4 2 2 2 2 4 3 2" xfId="15321" xr:uid="{ACEF78EF-9FB8-4824-9ABF-DCB8389D2F60}"/>
    <cellStyle name="Normal 4 4 2 2 2 2 4 4" xfId="11104" xr:uid="{FBA7732B-43A6-4627-A1CB-1E2F9F5AC4D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502520A3-F7F8-4849-85E5-C151522B38CA}"/>
    <cellStyle name="Normal 4 4 2 2 2 2 5 2 3" xfId="13662" xr:uid="{6013BBEE-8FBC-48D9-A300-95DDB9008F0D}"/>
    <cellStyle name="Normal 4 4 2 2 2 2 5 3" xfId="6408" xr:uid="{00000000-0005-0000-0000-0000D8140000}"/>
    <cellStyle name="Normal 4 4 2 2 2 2 5 3 2" xfId="15734" xr:uid="{B48FCE5B-B4FE-4B24-98CE-4C00FF848D96}"/>
    <cellStyle name="Normal 4 4 2 2 2 2 5 4" xfId="11517" xr:uid="{EFFDB6DA-F2F4-4FF0-9F1F-E74732575914}"/>
    <cellStyle name="Normal 4 4 2 2 2 2 6" xfId="2538" xr:uid="{00000000-0005-0000-0000-0000D9140000}"/>
    <cellStyle name="Normal 4 4 2 2 2 2 6 2" xfId="6821" xr:uid="{00000000-0005-0000-0000-0000DA140000}"/>
    <cellStyle name="Normal 4 4 2 2 2 2 6 2 2" xfId="16147" xr:uid="{BA3E8278-FCFE-4837-93EA-809C50D79561}"/>
    <cellStyle name="Normal 4 4 2 2 2 2 6 3" xfId="11930" xr:uid="{5EA014F7-1DC7-4CAD-8D7C-82484E86B537}"/>
    <cellStyle name="Normal 4 4 2 2 2 2 7" xfId="4756" xr:uid="{00000000-0005-0000-0000-0000DB140000}"/>
    <cellStyle name="Normal 4 4 2 2 2 2 7 2" xfId="14082" xr:uid="{413D1A43-E0B0-4273-907F-D864AEE1CF0A}"/>
    <cellStyle name="Normal 4 4 2 2 2 2 8" xfId="9134" xr:uid="{B37D4C66-6754-4A5E-BFF7-77694E4355C2}"/>
    <cellStyle name="Normal 4 4 2 2 2 2 8 2" xfId="18458" xr:uid="{88C24371-AA01-43B1-9E29-A40114490910}"/>
    <cellStyle name="Normal 4 4 2 2 2 2 9" xfId="9865" xr:uid="{8DD5395D-8331-432E-9360-977D50D5652F}"/>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9BB7989F-A3CD-4533-970A-3778C6480974}"/>
    <cellStyle name="Normal 4 4 2 2 2 3 2 3" xfId="12422" xr:uid="{FB5484AA-4C39-4647-8ADB-63B7CA5E682C}"/>
    <cellStyle name="Normal 4 4 2 2 2 3 3" xfId="5168" xr:uid="{00000000-0005-0000-0000-0000DF140000}"/>
    <cellStyle name="Normal 4 4 2 2 2 3 3 2" xfId="14494" xr:uid="{A2E0A246-A4B0-4150-ABB8-8E7FB3235FB1}"/>
    <cellStyle name="Normal 4 4 2 2 2 3 4" xfId="9352" xr:uid="{76F31DA2-44D0-447F-BA9C-6271BA6AAE96}"/>
    <cellStyle name="Normal 4 4 2 2 2 3 4 2" xfId="18667" xr:uid="{2230D3F1-9E00-413B-B592-20AF67726516}"/>
    <cellStyle name="Normal 4 4 2 2 2 3 5" xfId="10277" xr:uid="{6FBB3026-F9E2-4FA6-85C3-875507D1CACB}"/>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DF792764-B3B3-406C-9CF3-F575687B618D}"/>
    <cellStyle name="Normal 4 4 2 2 2 4 2 3" xfId="12835" xr:uid="{B0677ACB-C252-4615-A9D4-2911F93A5208}"/>
    <cellStyle name="Normal 4 4 2 2 2 4 3" xfId="5581" xr:uid="{00000000-0005-0000-0000-0000E3140000}"/>
    <cellStyle name="Normal 4 4 2 2 2 4 3 2" xfId="14907" xr:uid="{4F7E4222-B2B3-4406-87A1-74C03649DBAB}"/>
    <cellStyle name="Normal 4 4 2 2 2 4 4" xfId="10690" xr:uid="{358BC608-9755-496D-970A-14F31243A27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113AE5EE-F1AD-42F9-848A-2C1541612A4D}"/>
    <cellStyle name="Normal 4 4 2 2 2 5 2 3" xfId="13248" xr:uid="{2AC5839D-85E4-4BB5-AC43-7407211C1DBE}"/>
    <cellStyle name="Normal 4 4 2 2 2 5 3" xfId="5994" xr:uid="{00000000-0005-0000-0000-0000E7140000}"/>
    <cellStyle name="Normal 4 4 2 2 2 5 3 2" xfId="15320" xr:uid="{B0ED0B62-8B07-474D-8AE0-4F1E561185C3}"/>
    <cellStyle name="Normal 4 4 2 2 2 5 4" xfId="11103" xr:uid="{49C834BB-8358-4BF9-B2C4-BDB1F10A9E7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ECF374AA-CCA1-400A-8D49-164D0CD6BDF0}"/>
    <cellStyle name="Normal 4 4 2 2 2 6 2 3" xfId="13661" xr:uid="{F6FC238E-2445-44F3-8EA3-64607E4EEF5F}"/>
    <cellStyle name="Normal 4 4 2 2 2 6 3" xfId="6407" xr:uid="{00000000-0005-0000-0000-0000EB140000}"/>
    <cellStyle name="Normal 4 4 2 2 2 6 3 2" xfId="15733" xr:uid="{9E179184-825F-440B-8B83-C0326176C527}"/>
    <cellStyle name="Normal 4 4 2 2 2 6 4" xfId="11516" xr:uid="{DFD61AD2-55D1-4942-8CE9-94D8D4788325}"/>
    <cellStyle name="Normal 4 4 2 2 2 7" xfId="2537" xr:uid="{00000000-0005-0000-0000-0000EC140000}"/>
    <cellStyle name="Normal 4 4 2 2 2 7 2" xfId="6820" xr:uid="{00000000-0005-0000-0000-0000ED140000}"/>
    <cellStyle name="Normal 4 4 2 2 2 7 2 2" xfId="16146" xr:uid="{E11B8E08-85B2-4AE2-A69B-E9DD74746F0B}"/>
    <cellStyle name="Normal 4 4 2 2 2 7 3" xfId="11929" xr:uid="{6BBA04A5-9632-4F14-B6F5-621A94C800BD}"/>
    <cellStyle name="Normal 4 4 2 2 2 8" xfId="4755" xr:uid="{00000000-0005-0000-0000-0000EE140000}"/>
    <cellStyle name="Normal 4 4 2 2 2 8 2" xfId="14081" xr:uid="{C5BC0CF5-D5EE-4716-941F-5039FDB197B6}"/>
    <cellStyle name="Normal 4 4 2 2 2 9" xfId="8927" xr:uid="{195B9197-F273-4D3B-B7A6-9CBAA360D528}"/>
    <cellStyle name="Normal 4 4 2 2 2 9 2" xfId="18251" xr:uid="{058B31C3-1BEF-404C-BE12-F9520C3D28F4}"/>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AC02A655-2622-47D9-9FA8-EC146C48ABD2}"/>
    <cellStyle name="Normal 4 4 2 2 3 2 2 3" xfId="12424" xr:uid="{533DC5AD-F5BE-4B46-BF07-127AD3419B68}"/>
    <cellStyle name="Normal 4 4 2 2 3 2 3" xfId="5170" xr:uid="{00000000-0005-0000-0000-0000F3140000}"/>
    <cellStyle name="Normal 4 4 2 2 3 2 3 2" xfId="14496" xr:uid="{5C6D7C04-694F-4F24-ACCE-E97525A5209F}"/>
    <cellStyle name="Normal 4 4 2 2 3 2 4" xfId="9456" xr:uid="{7CB0B972-68D8-4A2C-A3A7-1D2BD109E44A}"/>
    <cellStyle name="Normal 4 4 2 2 3 2 4 2" xfId="18771" xr:uid="{30D92882-6EA8-4A47-8AC0-9D4253000573}"/>
    <cellStyle name="Normal 4 4 2 2 3 2 5" xfId="10279" xr:uid="{DF5D4FC8-1D24-4A4A-B870-69E3701F87E4}"/>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3321C08E-2843-4FC3-9A57-DEEEDCF5BF46}"/>
    <cellStyle name="Normal 4 4 2 2 3 3 2 3" xfId="12837" xr:uid="{221231F9-AC0B-4687-A470-CDABD7B11E52}"/>
    <cellStyle name="Normal 4 4 2 2 3 3 3" xfId="5583" xr:uid="{00000000-0005-0000-0000-0000F7140000}"/>
    <cellStyle name="Normal 4 4 2 2 3 3 3 2" xfId="14909" xr:uid="{88570BD2-DD16-4FA5-B9FC-A085E016A84D}"/>
    <cellStyle name="Normal 4 4 2 2 3 3 4" xfId="10692" xr:uid="{3B24BAAF-EA9B-4717-8117-271C2044E7A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017460E5-38ED-4566-8E38-DE73B749D9B8}"/>
    <cellStyle name="Normal 4 4 2 2 3 4 2 3" xfId="13250" xr:uid="{5578D7FC-B943-4DA3-9A3F-81181CC4BC47}"/>
    <cellStyle name="Normal 4 4 2 2 3 4 3" xfId="5996" xr:uid="{00000000-0005-0000-0000-0000FB140000}"/>
    <cellStyle name="Normal 4 4 2 2 3 4 3 2" xfId="15322" xr:uid="{7CA699BE-6D11-43D3-8230-9E59FAED5D3A}"/>
    <cellStyle name="Normal 4 4 2 2 3 4 4" xfId="11105" xr:uid="{F21C931D-D7DA-47C9-B725-18B3B1AEE076}"/>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ADCE41C3-DC64-424C-9C1B-50C4F77774B0}"/>
    <cellStyle name="Normal 4 4 2 2 3 5 2 3" xfId="13663" xr:uid="{EACCA17C-360E-4061-A0CE-55C51870169E}"/>
    <cellStyle name="Normal 4 4 2 2 3 5 3" xfId="6409" xr:uid="{00000000-0005-0000-0000-0000FF140000}"/>
    <cellStyle name="Normal 4 4 2 2 3 5 3 2" xfId="15735" xr:uid="{EAF6237A-98E6-44A6-A6D5-2ACB3BF13F8B}"/>
    <cellStyle name="Normal 4 4 2 2 3 5 4" xfId="11518" xr:uid="{1E69CFF2-2975-456F-9EBB-70729F621724}"/>
    <cellStyle name="Normal 4 4 2 2 3 6" xfId="2539" xr:uid="{00000000-0005-0000-0000-000000150000}"/>
    <cellStyle name="Normal 4 4 2 2 3 6 2" xfId="6822" xr:uid="{00000000-0005-0000-0000-000001150000}"/>
    <cellStyle name="Normal 4 4 2 2 3 6 2 2" xfId="16148" xr:uid="{39404137-9A27-4109-A641-90E3C2F3C724}"/>
    <cellStyle name="Normal 4 4 2 2 3 6 3" xfId="11931" xr:uid="{E395AC07-B53A-4E3F-A96C-1C6E5A34FA55}"/>
    <cellStyle name="Normal 4 4 2 2 3 7" xfId="4757" xr:uid="{00000000-0005-0000-0000-000002150000}"/>
    <cellStyle name="Normal 4 4 2 2 3 7 2" xfId="14083" xr:uid="{B5D17CE6-ABA6-4390-BE98-1F9346D9A3FE}"/>
    <cellStyle name="Normal 4 4 2 2 3 8" xfId="9031" xr:uid="{F1B59444-328A-4279-8A0A-A9F7E26061D5}"/>
    <cellStyle name="Normal 4 4 2 2 3 8 2" xfId="18355" xr:uid="{63373022-D8B0-4D20-978C-0A608999BDA0}"/>
    <cellStyle name="Normal 4 4 2 2 3 9" xfId="9866" xr:uid="{20B6F35B-67C0-4840-9DC3-6117389D156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D80F55E8-59BB-44A9-9449-FFDE7FD4C696}"/>
    <cellStyle name="Normal 4 4 2 2 4 2 3" xfId="12421" xr:uid="{7864977C-744A-48DA-AB5F-04714A33226B}"/>
    <cellStyle name="Normal 4 4 2 2 4 3" xfId="5167" xr:uid="{00000000-0005-0000-0000-000006150000}"/>
    <cellStyle name="Normal 4 4 2 2 4 3 2" xfId="14493" xr:uid="{5888DC3A-C8E7-441F-98B1-ADD97DA37328}"/>
    <cellStyle name="Normal 4 4 2 2 4 4" xfId="9249" xr:uid="{7E4CA7C7-738D-4CFA-907A-40590344548A}"/>
    <cellStyle name="Normal 4 4 2 2 4 4 2" xfId="18564" xr:uid="{C693B5DC-A5E8-4F30-8584-10453DDBD304}"/>
    <cellStyle name="Normal 4 4 2 2 4 5" xfId="10276" xr:uid="{51B2D793-24ED-4373-AA52-5BFACEB1E604}"/>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EA61391A-E74B-4C8C-B7E7-1B906A142616}"/>
    <cellStyle name="Normal 4 4 2 2 5 2 3" xfId="12834" xr:uid="{BD8D2E45-48AB-4ABD-A3F8-A28059318711}"/>
    <cellStyle name="Normal 4 4 2 2 5 3" xfId="5580" xr:uid="{00000000-0005-0000-0000-00000A150000}"/>
    <cellStyle name="Normal 4 4 2 2 5 3 2" xfId="14906" xr:uid="{EBC07A83-BCDF-4C60-AD15-0086954D67FB}"/>
    <cellStyle name="Normal 4 4 2 2 5 4" xfId="10689" xr:uid="{BCBCD8FB-ABE5-4216-A4A3-A2A99922EF0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30B6BD57-565B-4595-B0C9-968CAC7B7DDD}"/>
    <cellStyle name="Normal 4 4 2 2 6 2 3" xfId="13247" xr:uid="{A452B276-D0B5-475A-B203-9E58A8C8293D}"/>
    <cellStyle name="Normal 4 4 2 2 6 3" xfId="5993" xr:uid="{00000000-0005-0000-0000-00000E150000}"/>
    <cellStyle name="Normal 4 4 2 2 6 3 2" xfId="15319" xr:uid="{63540FE7-31EC-412D-8385-B5856B274BF0}"/>
    <cellStyle name="Normal 4 4 2 2 6 4" xfId="11102" xr:uid="{84F9B2CC-73E0-4891-811C-D48BF6816093}"/>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5F5162D1-48AF-498F-A125-5B04BF83E6E0}"/>
    <cellStyle name="Normal 4 4 2 2 7 2 3" xfId="13660" xr:uid="{DCC4ACFB-09AC-479E-A055-0819A5F6B287}"/>
    <cellStyle name="Normal 4 4 2 2 7 3" xfId="6406" xr:uid="{00000000-0005-0000-0000-000012150000}"/>
    <cellStyle name="Normal 4 4 2 2 7 3 2" xfId="15732" xr:uid="{9413B0EE-4C73-4F60-8EE9-24BECCF84B44}"/>
    <cellStyle name="Normal 4 4 2 2 7 4" xfId="11515" xr:uid="{66E75C36-C813-4419-BB9C-2BAD843D64EF}"/>
    <cellStyle name="Normal 4 4 2 2 8" xfId="2536" xr:uid="{00000000-0005-0000-0000-000013150000}"/>
    <cellStyle name="Normal 4 4 2 2 8 2" xfId="6819" xr:uid="{00000000-0005-0000-0000-000014150000}"/>
    <cellStyle name="Normal 4 4 2 2 8 2 2" xfId="16145" xr:uid="{9E01746F-5647-444B-892F-2D52EB29D3B2}"/>
    <cellStyle name="Normal 4 4 2 2 8 3" xfId="11928" xr:uid="{B79E307F-B01E-44A2-B022-1D8BFEF12535}"/>
    <cellStyle name="Normal 4 4 2 2 9" xfId="4754" xr:uid="{00000000-0005-0000-0000-000015150000}"/>
    <cellStyle name="Normal 4 4 2 2 9 2" xfId="14080" xr:uid="{10D9CF16-1562-4DCA-B092-7CF9AEB48A44}"/>
    <cellStyle name="Normal 4 4 2 3" xfId="384" xr:uid="{00000000-0005-0000-0000-000016150000}"/>
    <cellStyle name="Normal 4 4 2 3 10" xfId="9867" xr:uid="{BF317D7E-F042-4DB3-97B1-CA92DEB77868}"/>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57EF5A6F-5647-44CB-BD49-CAC51AEB5A8E}"/>
    <cellStyle name="Normal 4 4 2 3 2 2 2 3" xfId="12426" xr:uid="{1100FD7F-179B-4991-9331-57B3425CB7C6}"/>
    <cellStyle name="Normal 4 4 2 3 2 2 3" xfId="5172" xr:uid="{00000000-0005-0000-0000-00001B150000}"/>
    <cellStyle name="Normal 4 4 2 3 2 2 3 2" xfId="14498" xr:uid="{746EB80C-B317-467D-8F77-79D899B7EA34}"/>
    <cellStyle name="Normal 4 4 2 3 2 2 4" xfId="9516" xr:uid="{93008D3B-5827-4778-B167-5B518B5BF56F}"/>
    <cellStyle name="Normal 4 4 2 3 2 2 4 2" xfId="18831" xr:uid="{029A549C-F0BB-45F8-8D49-17E59298BFAF}"/>
    <cellStyle name="Normal 4 4 2 3 2 2 5" xfId="10281" xr:uid="{C940DF12-B38F-4CA0-A38E-AA230099C823}"/>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A9560B18-BFBA-454A-9D26-BB2756A33D08}"/>
    <cellStyle name="Normal 4 4 2 3 2 3 2 3" xfId="12839" xr:uid="{D1E6E888-AEF5-4085-827B-F1894E03F47C}"/>
    <cellStyle name="Normal 4 4 2 3 2 3 3" xfId="5585" xr:uid="{00000000-0005-0000-0000-00001F150000}"/>
    <cellStyle name="Normal 4 4 2 3 2 3 3 2" xfId="14911" xr:uid="{35056C59-22AB-4050-8E94-B175CF7E9424}"/>
    <cellStyle name="Normal 4 4 2 3 2 3 4" xfId="10694" xr:uid="{07F851AC-A216-41F9-8283-137718B7E25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9F5CCE50-9B99-4DF1-A128-DF3EEE837089}"/>
    <cellStyle name="Normal 4 4 2 3 2 4 2 3" xfId="13252" xr:uid="{913E5CEA-F96B-4711-9902-A108E3DD5B7F}"/>
    <cellStyle name="Normal 4 4 2 3 2 4 3" xfId="5998" xr:uid="{00000000-0005-0000-0000-000023150000}"/>
    <cellStyle name="Normal 4 4 2 3 2 4 3 2" xfId="15324" xr:uid="{FA276C04-96B5-48CC-9E0F-15F4E9B70F7E}"/>
    <cellStyle name="Normal 4 4 2 3 2 4 4" xfId="11107" xr:uid="{72FCD662-51CD-4A0B-A647-6BC21FEC7D2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0D802AC3-DB6F-42F1-8BB5-5841BD97521F}"/>
    <cellStyle name="Normal 4 4 2 3 2 5 2 3" xfId="13665" xr:uid="{BE20EE9B-6667-4702-A332-29D0E53C7847}"/>
    <cellStyle name="Normal 4 4 2 3 2 5 3" xfId="6411" xr:uid="{00000000-0005-0000-0000-000027150000}"/>
    <cellStyle name="Normal 4 4 2 3 2 5 3 2" xfId="15737" xr:uid="{81C5A9BA-CC5B-45BB-BE50-25E7677B5A17}"/>
    <cellStyle name="Normal 4 4 2 3 2 5 4" xfId="11520" xr:uid="{3651AD75-DF00-4220-AF41-D55F80DF60D7}"/>
    <cellStyle name="Normal 4 4 2 3 2 6" xfId="2541" xr:uid="{00000000-0005-0000-0000-000028150000}"/>
    <cellStyle name="Normal 4 4 2 3 2 6 2" xfId="6824" xr:uid="{00000000-0005-0000-0000-000029150000}"/>
    <cellStyle name="Normal 4 4 2 3 2 6 2 2" xfId="16150" xr:uid="{98E7611F-51E3-4C9B-926F-DDD48EC448FF}"/>
    <cellStyle name="Normal 4 4 2 3 2 6 3" xfId="11933" xr:uid="{85F2DE81-BA49-463A-B631-788987370070}"/>
    <cellStyle name="Normal 4 4 2 3 2 7" xfId="4759" xr:uid="{00000000-0005-0000-0000-00002A150000}"/>
    <cellStyle name="Normal 4 4 2 3 2 7 2" xfId="14085" xr:uid="{2F3E4742-CB7B-4D29-9493-28934F0F8737}"/>
    <cellStyle name="Normal 4 4 2 3 2 8" xfId="9091" xr:uid="{9DBAED0A-05EE-4674-B1B7-8D03DBB53301}"/>
    <cellStyle name="Normal 4 4 2 3 2 8 2" xfId="18415" xr:uid="{A6D474FA-E811-4D89-952E-7188E054D3B8}"/>
    <cellStyle name="Normal 4 4 2 3 2 9" xfId="9868" xr:uid="{C00B8640-D191-461D-9AE9-EF3E3359AE88}"/>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813ACF3D-A8E7-475D-A6A7-D42EE6DF316F}"/>
    <cellStyle name="Normal 4 4 2 3 3 2 3" xfId="12425" xr:uid="{955D6982-1FCB-453B-BCAF-42F8A5DF34B9}"/>
    <cellStyle name="Normal 4 4 2 3 3 3" xfId="5171" xr:uid="{00000000-0005-0000-0000-00002E150000}"/>
    <cellStyle name="Normal 4 4 2 3 3 3 2" xfId="14497" xr:uid="{B71DA940-EFEB-4700-A994-98643EB4559B}"/>
    <cellStyle name="Normal 4 4 2 3 3 4" xfId="9309" xr:uid="{73E912F6-92AF-449E-AE53-1DEDEF686C0F}"/>
    <cellStyle name="Normal 4 4 2 3 3 4 2" xfId="18624" xr:uid="{7994FA68-5D8F-4993-A2EE-A44E466FAC8A}"/>
    <cellStyle name="Normal 4 4 2 3 3 5" xfId="10280" xr:uid="{9D64DF93-BE03-4E20-A1A6-ACAB0D643323}"/>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B658AA78-8465-4320-85D9-83939C8B5F19}"/>
    <cellStyle name="Normal 4 4 2 3 4 2 3" xfId="12838" xr:uid="{7B430315-7168-464C-8919-C71E2AFD68F6}"/>
    <cellStyle name="Normal 4 4 2 3 4 3" xfId="5584" xr:uid="{00000000-0005-0000-0000-000032150000}"/>
    <cellStyle name="Normal 4 4 2 3 4 3 2" xfId="14910" xr:uid="{282ADEFB-E463-4AD0-ABA8-109308D12B28}"/>
    <cellStyle name="Normal 4 4 2 3 4 4" xfId="10693" xr:uid="{07666245-4EE1-4797-96CD-99EDB3C7D10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389A22BB-066E-461E-B0D9-51626FB5D82A}"/>
    <cellStyle name="Normal 4 4 2 3 5 2 3" xfId="13251" xr:uid="{8FDE492C-C5A3-45A7-B266-7CCB1FA7854D}"/>
    <cellStyle name="Normal 4 4 2 3 5 3" xfId="5997" xr:uid="{00000000-0005-0000-0000-000036150000}"/>
    <cellStyle name="Normal 4 4 2 3 5 3 2" xfId="15323" xr:uid="{7ACC0176-1428-4F68-B264-0379EBB13734}"/>
    <cellStyle name="Normal 4 4 2 3 5 4" xfId="11106" xr:uid="{F6B34107-3876-46E9-83FA-1D7C7FDA8E63}"/>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421B9DBC-68D2-404F-808A-AE921B612725}"/>
    <cellStyle name="Normal 4 4 2 3 6 2 3" xfId="13664" xr:uid="{ED0B8C6A-EF9C-43F9-B563-208144666410}"/>
    <cellStyle name="Normal 4 4 2 3 6 3" xfId="6410" xr:uid="{00000000-0005-0000-0000-00003A150000}"/>
    <cellStyle name="Normal 4 4 2 3 6 3 2" xfId="15736" xr:uid="{B2E17389-8DAB-4D8B-A26B-24800A3F19D9}"/>
    <cellStyle name="Normal 4 4 2 3 6 4" xfId="11519" xr:uid="{1E8CBCAA-3468-4B5C-A8BC-231E65D6CDE6}"/>
    <cellStyle name="Normal 4 4 2 3 7" xfId="2540" xr:uid="{00000000-0005-0000-0000-00003B150000}"/>
    <cellStyle name="Normal 4 4 2 3 7 2" xfId="6823" xr:uid="{00000000-0005-0000-0000-00003C150000}"/>
    <cellStyle name="Normal 4 4 2 3 7 2 2" xfId="16149" xr:uid="{DAA8C10B-E807-4AB6-B888-50A2897F5D30}"/>
    <cellStyle name="Normal 4 4 2 3 7 3" xfId="11932" xr:uid="{0DCF5FBA-1CB9-46A7-AB41-2A8177508B47}"/>
    <cellStyle name="Normal 4 4 2 3 8" xfId="4758" xr:uid="{00000000-0005-0000-0000-00003D150000}"/>
    <cellStyle name="Normal 4 4 2 3 8 2" xfId="14084" xr:uid="{79339C66-4552-460B-9E46-276323BE8AC2}"/>
    <cellStyle name="Normal 4 4 2 3 9" xfId="8884" xr:uid="{CBA8CCC0-D2E2-46C8-AC83-39734599F615}"/>
    <cellStyle name="Normal 4 4 2 3 9 2" xfId="18208" xr:uid="{C0143FF6-376A-4644-82A6-8847323D87B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BE67F4C1-96A8-4973-B9AC-608C3F5B0BCC}"/>
    <cellStyle name="Normal 4 4 2 4 2 2 3" xfId="12427" xr:uid="{0F629362-90D4-4062-9B4C-4418029BB10E}"/>
    <cellStyle name="Normal 4 4 2 4 2 3" xfId="5173" xr:uid="{00000000-0005-0000-0000-000042150000}"/>
    <cellStyle name="Normal 4 4 2 4 2 3 2" xfId="14499" xr:uid="{FFDD1436-5CCE-4601-B6A4-46FB1D1998B8}"/>
    <cellStyle name="Normal 4 4 2 4 2 4" xfId="9413" xr:uid="{4DC092EA-7C69-4E02-9FE8-33F62D070F54}"/>
    <cellStyle name="Normal 4 4 2 4 2 4 2" xfId="18728" xr:uid="{38806129-A87B-4D6F-9764-46332F35E342}"/>
    <cellStyle name="Normal 4 4 2 4 2 5" xfId="10282" xr:uid="{1BCE2C46-F7A7-4B1F-95BB-574357DBEA59}"/>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4A6C5AB7-D8C1-4461-9666-DE81E3E3FDFE}"/>
    <cellStyle name="Normal 4 4 2 4 3 2 3" xfId="12840" xr:uid="{8F3A7C7A-8CBF-4300-9D3E-19CD9551EB47}"/>
    <cellStyle name="Normal 4 4 2 4 3 3" xfId="5586" xr:uid="{00000000-0005-0000-0000-000046150000}"/>
    <cellStyle name="Normal 4 4 2 4 3 3 2" xfId="14912" xr:uid="{C55D36E2-9E0A-4C7C-AAA6-3E49683DDBF7}"/>
    <cellStyle name="Normal 4 4 2 4 3 4" xfId="10695" xr:uid="{A5666751-4643-4389-B700-BE6C67AA87B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3158F4DA-5AF7-4846-AD43-4F8C219E30E3}"/>
    <cellStyle name="Normal 4 4 2 4 4 2 3" xfId="13253" xr:uid="{EF2D2F67-A2CD-4790-A2D6-9C25914BA272}"/>
    <cellStyle name="Normal 4 4 2 4 4 3" xfId="5999" xr:uid="{00000000-0005-0000-0000-00004A150000}"/>
    <cellStyle name="Normal 4 4 2 4 4 3 2" xfId="15325" xr:uid="{E498E5C1-F2FD-40F1-809A-1ED5FCB07FD9}"/>
    <cellStyle name="Normal 4 4 2 4 4 4" xfId="11108" xr:uid="{C645BA33-DBD5-4F0D-B8EB-32F3ABC4B2FF}"/>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5069731E-30E7-4D71-9D5D-0039B18B6180}"/>
    <cellStyle name="Normal 4 4 2 4 5 2 3" xfId="13666" xr:uid="{5104FC34-C8B8-497E-A3D1-A03DA8788F57}"/>
    <cellStyle name="Normal 4 4 2 4 5 3" xfId="6412" xr:uid="{00000000-0005-0000-0000-00004E150000}"/>
    <cellStyle name="Normal 4 4 2 4 5 3 2" xfId="15738" xr:uid="{3DF649FF-4FC4-42D4-9155-1F2F247D56FD}"/>
    <cellStyle name="Normal 4 4 2 4 5 4" xfId="11521" xr:uid="{6D7716AC-BC70-45D5-9420-8C9B20AA54F8}"/>
    <cellStyle name="Normal 4 4 2 4 6" xfId="2542" xr:uid="{00000000-0005-0000-0000-00004F150000}"/>
    <cellStyle name="Normal 4 4 2 4 6 2" xfId="6825" xr:uid="{00000000-0005-0000-0000-000050150000}"/>
    <cellStyle name="Normal 4 4 2 4 6 2 2" xfId="16151" xr:uid="{A9192D3A-5673-4ABC-B5B3-3D431BE9B333}"/>
    <cellStyle name="Normal 4 4 2 4 6 3" xfId="11934" xr:uid="{7A71E931-E9CE-4275-A588-4E46D0818991}"/>
    <cellStyle name="Normal 4 4 2 4 7" xfId="4760" xr:uid="{00000000-0005-0000-0000-000051150000}"/>
    <cellStyle name="Normal 4 4 2 4 7 2" xfId="14086" xr:uid="{60936FD1-62B5-4056-89BB-1D2F8C5A3FB4}"/>
    <cellStyle name="Normal 4 4 2 4 8" xfId="8988" xr:uid="{F852E7B0-7ACD-4401-B3B6-BE989A5C8AD5}"/>
    <cellStyle name="Normal 4 4 2 4 8 2" xfId="18312" xr:uid="{43F136DE-E3A6-416F-BFBD-244D9F012354}"/>
    <cellStyle name="Normal 4 4 2 4 9" xfId="9869" xr:uid="{03A4EBD3-9F92-4C94-838E-60B68972377F}"/>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17288612-1113-4C82-BA1A-40EE57B89317}"/>
    <cellStyle name="Normal 4 4 2 5 2 3" xfId="12420" xr:uid="{098E2C98-C31A-46A1-AC3B-5FD0268B4D69}"/>
    <cellStyle name="Normal 4 4 2 5 3" xfId="5166" xr:uid="{00000000-0005-0000-0000-000055150000}"/>
    <cellStyle name="Normal 4 4 2 5 3 2" xfId="14492" xr:uid="{D01E8941-CA7B-42C2-A424-F8BAA45AD140}"/>
    <cellStyle name="Normal 4 4 2 5 4" xfId="9205" xr:uid="{A63DE01D-3EC8-40FC-A47E-E0EA001EED52}"/>
    <cellStyle name="Normal 4 4 2 5 4 2" xfId="18521" xr:uid="{64F2816B-BD33-4FD6-8AE2-E336CDC08029}"/>
    <cellStyle name="Normal 4 4 2 5 5" xfId="10275" xr:uid="{D09A6359-81CB-4460-9290-1A357651BF27}"/>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9A5762A4-B638-4608-A904-9381BE579368}"/>
    <cellStyle name="Normal 4 4 2 6 2 3" xfId="12833" xr:uid="{C3BF896C-4DA1-4F91-8DE0-CC505ED2A5DA}"/>
    <cellStyle name="Normal 4 4 2 6 3" xfId="5579" xr:uid="{00000000-0005-0000-0000-000059150000}"/>
    <cellStyle name="Normal 4 4 2 6 3 2" xfId="14905" xr:uid="{F3EBB23F-BDFB-4437-91D1-D82F9DF61CBC}"/>
    <cellStyle name="Normal 4 4 2 6 4" xfId="10688" xr:uid="{955F94F2-4C13-46C3-BE1F-7617E9470025}"/>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604C8F4D-C5F4-4503-8A23-14EC17696CD3}"/>
    <cellStyle name="Normal 4 4 2 7 2 3" xfId="13246" xr:uid="{68D3FA1A-7DDF-4057-814A-692001656029}"/>
    <cellStyle name="Normal 4 4 2 7 3" xfId="5992" xr:uid="{00000000-0005-0000-0000-00005D150000}"/>
    <cellStyle name="Normal 4 4 2 7 3 2" xfId="15318" xr:uid="{59363B70-019D-408B-AD60-E143EB592A51}"/>
    <cellStyle name="Normal 4 4 2 7 4" xfId="11101" xr:uid="{107B5387-DFE6-46A0-9804-5A752233232C}"/>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737D0B30-143E-4DD7-9FAA-44696AA2062F}"/>
    <cellStyle name="Normal 4 4 2 8 2 3" xfId="13659" xr:uid="{ADC3B59D-74D3-4047-9D35-2A2C604E9FA0}"/>
    <cellStyle name="Normal 4 4 2 8 3" xfId="6405" xr:uid="{00000000-0005-0000-0000-000061150000}"/>
    <cellStyle name="Normal 4 4 2 8 3 2" xfId="15731" xr:uid="{27B2339F-AE86-48FB-B513-6FE2FABC2B10}"/>
    <cellStyle name="Normal 4 4 2 8 4" xfId="11514" xr:uid="{B0B0B430-CDEE-48AC-BA44-997A38C91001}"/>
    <cellStyle name="Normal 4 4 2 9" xfId="2535" xr:uid="{00000000-0005-0000-0000-000062150000}"/>
    <cellStyle name="Normal 4 4 2 9 2" xfId="6818" xr:uid="{00000000-0005-0000-0000-000063150000}"/>
    <cellStyle name="Normal 4 4 2 9 2 2" xfId="16144" xr:uid="{C0F1A3C7-669F-4DF4-B84A-E7DF5C779F29}"/>
    <cellStyle name="Normal 4 4 2 9 3" xfId="11927" xr:uid="{D1A4653F-835F-4C07-B172-8BBBF4D7FA92}"/>
    <cellStyle name="Normal 4 4 3" xfId="387" xr:uid="{00000000-0005-0000-0000-000064150000}"/>
    <cellStyle name="Normal 4 4 3 10" xfId="8823" xr:uid="{E623F102-F69B-4FD0-BEDA-A1480AF4D892}"/>
    <cellStyle name="Normal 4 4 3 10 2" xfId="18147" xr:uid="{E5BF6BC4-20CA-4B1D-B64E-438F7E475547}"/>
    <cellStyle name="Normal 4 4 3 11" xfId="9870" xr:uid="{C0D6C705-8FFE-4405-BA4E-2C27FEFB64F0}"/>
    <cellStyle name="Normal 4 4 3 2" xfId="388" xr:uid="{00000000-0005-0000-0000-000065150000}"/>
    <cellStyle name="Normal 4 4 3 2 10" xfId="9871" xr:uid="{A31EC08B-75E6-4201-AE6E-FD1767C585E1}"/>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476454A4-17A8-472F-AE74-F2871C6010DC}"/>
    <cellStyle name="Normal 4 4 3 2 2 2 2 3" xfId="12430" xr:uid="{F8D304D9-AFE6-4737-982D-D52CE2892B2A}"/>
    <cellStyle name="Normal 4 4 3 2 2 2 3" xfId="5176" xr:uid="{00000000-0005-0000-0000-00006A150000}"/>
    <cellStyle name="Normal 4 4 3 2 2 2 3 2" xfId="14502" xr:uid="{2F166541-9D6D-4E0B-9B83-2EE68C556690}"/>
    <cellStyle name="Normal 4 4 3 2 2 2 4" xfId="9558" xr:uid="{8C9519E6-5920-473D-9749-EC61E4877632}"/>
    <cellStyle name="Normal 4 4 3 2 2 2 4 2" xfId="18873" xr:uid="{E55F4DC4-DD39-41E6-84A4-25D3756564CD}"/>
    <cellStyle name="Normal 4 4 3 2 2 2 5" xfId="10285" xr:uid="{11B239C8-3B5E-4F06-9508-D39BAF45394A}"/>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AD11B124-EDCE-4869-B012-9C47944D76B2}"/>
    <cellStyle name="Normal 4 4 3 2 2 3 2 3" xfId="12843" xr:uid="{F83CABA8-11D3-4054-BAC8-B81B27DECF71}"/>
    <cellStyle name="Normal 4 4 3 2 2 3 3" xfId="5589" xr:uid="{00000000-0005-0000-0000-00006E150000}"/>
    <cellStyle name="Normal 4 4 3 2 2 3 3 2" xfId="14915" xr:uid="{D64E5394-5511-4D6F-927E-D811D2779B64}"/>
    <cellStyle name="Normal 4 4 3 2 2 3 4" xfId="10698" xr:uid="{CD9E27CC-BABA-4E16-8E69-B589810051E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57CBC294-5F5A-4363-8CBD-2034EC1C5D8B}"/>
    <cellStyle name="Normal 4 4 3 2 2 4 2 3" xfId="13256" xr:uid="{B135F06D-20A6-456F-9CDD-3F7DB7F6E57B}"/>
    <cellStyle name="Normal 4 4 3 2 2 4 3" xfId="6002" xr:uid="{00000000-0005-0000-0000-000072150000}"/>
    <cellStyle name="Normal 4 4 3 2 2 4 3 2" xfId="15328" xr:uid="{BC5E990E-BE57-4BB0-BB80-F5AB58B1EC9C}"/>
    <cellStyle name="Normal 4 4 3 2 2 4 4" xfId="11111" xr:uid="{953FC1E1-9A66-451A-911E-34B9D660D7FE}"/>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F2C77A78-2A89-4480-8E01-30DB185778FC}"/>
    <cellStyle name="Normal 4 4 3 2 2 5 2 3" xfId="13669" xr:uid="{F5ADBAF6-FCE9-4545-8616-5B27A7234F20}"/>
    <cellStyle name="Normal 4 4 3 2 2 5 3" xfId="6415" xr:uid="{00000000-0005-0000-0000-000076150000}"/>
    <cellStyle name="Normal 4 4 3 2 2 5 3 2" xfId="15741" xr:uid="{27D7698A-C6B9-4040-B4B2-AD23316B6261}"/>
    <cellStyle name="Normal 4 4 3 2 2 5 4" xfId="11524" xr:uid="{53D379F8-732E-4598-86D1-951AB6D9B7CA}"/>
    <cellStyle name="Normal 4 4 3 2 2 6" xfId="2545" xr:uid="{00000000-0005-0000-0000-000077150000}"/>
    <cellStyle name="Normal 4 4 3 2 2 6 2" xfId="6828" xr:uid="{00000000-0005-0000-0000-000078150000}"/>
    <cellStyle name="Normal 4 4 3 2 2 6 2 2" xfId="16154" xr:uid="{BDAB7B9C-6B31-43CE-91BD-9EE851653FC7}"/>
    <cellStyle name="Normal 4 4 3 2 2 6 3" xfId="11937" xr:uid="{B3D39E80-DCAA-45A3-B705-30FFBDE836EC}"/>
    <cellStyle name="Normal 4 4 3 2 2 7" xfId="4763" xr:uid="{00000000-0005-0000-0000-000079150000}"/>
    <cellStyle name="Normal 4 4 3 2 2 7 2" xfId="14089" xr:uid="{7F6CDBE2-7E61-4EF1-B1C7-718FF6491EAF}"/>
    <cellStyle name="Normal 4 4 3 2 2 8" xfId="9133" xr:uid="{37002A66-D58A-4EF9-8D22-8F1A3EE99E08}"/>
    <cellStyle name="Normal 4 4 3 2 2 8 2" xfId="18457" xr:uid="{F771B28B-B252-4A43-91C0-85763BB5932E}"/>
    <cellStyle name="Normal 4 4 3 2 2 9" xfId="9872" xr:uid="{A500BB60-E17D-4B34-A08E-41673F4B4B9E}"/>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F5588379-C639-4399-9583-AF9F6AC0D4EF}"/>
    <cellStyle name="Normal 4 4 3 2 3 2 3" xfId="12429" xr:uid="{A9A68525-7623-4D83-88C4-F723F9C84AB1}"/>
    <cellStyle name="Normal 4 4 3 2 3 3" xfId="5175" xr:uid="{00000000-0005-0000-0000-00007D150000}"/>
    <cellStyle name="Normal 4 4 3 2 3 3 2" xfId="14501" xr:uid="{6663DAE7-D907-4068-B358-B52F87054633}"/>
    <cellStyle name="Normal 4 4 3 2 3 4" xfId="9351" xr:uid="{51AD2B95-755A-411D-AA40-98381F5D8294}"/>
    <cellStyle name="Normal 4 4 3 2 3 4 2" xfId="18666" xr:uid="{BEE7E618-2876-47F7-A913-81AB76BB2E38}"/>
    <cellStyle name="Normal 4 4 3 2 3 5" xfId="10284" xr:uid="{1BED0A95-1CD8-456D-AD6F-8DDDDA6ABB56}"/>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723B0F9E-59DA-403F-ACE0-C747AC9E54F7}"/>
    <cellStyle name="Normal 4 4 3 2 4 2 3" xfId="12842" xr:uid="{B658CF52-B01D-4269-B95D-4E5DC51909FA}"/>
    <cellStyle name="Normal 4 4 3 2 4 3" xfId="5588" xr:uid="{00000000-0005-0000-0000-000081150000}"/>
    <cellStyle name="Normal 4 4 3 2 4 3 2" xfId="14914" xr:uid="{047E908F-DF81-4641-AE6C-A5C328BB7CE1}"/>
    <cellStyle name="Normal 4 4 3 2 4 4" xfId="10697" xr:uid="{141CF464-AFE1-45F9-B347-48A7663BBC66}"/>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322002D1-2E7E-48A9-80E0-F793A8319F32}"/>
    <cellStyle name="Normal 4 4 3 2 5 2 3" xfId="13255" xr:uid="{646030EA-B137-4F3F-8A50-C4CF63EB9B7D}"/>
    <cellStyle name="Normal 4 4 3 2 5 3" xfId="6001" xr:uid="{00000000-0005-0000-0000-000085150000}"/>
    <cellStyle name="Normal 4 4 3 2 5 3 2" xfId="15327" xr:uid="{193A19F8-736F-4CC8-8627-C30702896FC2}"/>
    <cellStyle name="Normal 4 4 3 2 5 4" xfId="11110" xr:uid="{2D325795-ED43-4479-BC3B-DAEA95F18638}"/>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1DDE9662-4223-48C4-AB4A-243B91F58778}"/>
    <cellStyle name="Normal 4 4 3 2 6 2 3" xfId="13668" xr:uid="{9CF7A15C-9237-4D84-B760-D3B5ADE951A4}"/>
    <cellStyle name="Normal 4 4 3 2 6 3" xfId="6414" xr:uid="{00000000-0005-0000-0000-000089150000}"/>
    <cellStyle name="Normal 4 4 3 2 6 3 2" xfId="15740" xr:uid="{BF5FB2A2-C0F4-41E7-A700-EF7E05D47DBA}"/>
    <cellStyle name="Normal 4 4 3 2 6 4" xfId="11523" xr:uid="{E19D7AFD-3DB6-4707-A5C1-760059F1C2B7}"/>
    <cellStyle name="Normal 4 4 3 2 7" xfId="2544" xr:uid="{00000000-0005-0000-0000-00008A150000}"/>
    <cellStyle name="Normal 4 4 3 2 7 2" xfId="6827" xr:uid="{00000000-0005-0000-0000-00008B150000}"/>
    <cellStyle name="Normal 4 4 3 2 7 2 2" xfId="16153" xr:uid="{D2921DA8-403A-40EB-A803-6F89E5D485FF}"/>
    <cellStyle name="Normal 4 4 3 2 7 3" xfId="11936" xr:uid="{FD7D3D71-15F3-49D9-B865-466CD6244438}"/>
    <cellStyle name="Normal 4 4 3 2 8" xfId="4762" xr:uid="{00000000-0005-0000-0000-00008C150000}"/>
    <cellStyle name="Normal 4 4 3 2 8 2" xfId="14088" xr:uid="{B9302735-4C63-4433-BE56-4422ED2087D3}"/>
    <cellStyle name="Normal 4 4 3 2 9" xfId="8926" xr:uid="{821D1F47-EF8D-4C64-BA70-5606A81A57B5}"/>
    <cellStyle name="Normal 4 4 3 2 9 2" xfId="18250" xr:uid="{F34BC2E3-D42D-47D9-937D-F2ED0C2C30D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F8B12C41-98F0-41E7-BE2B-B5E327A449A6}"/>
    <cellStyle name="Normal 4 4 3 3 2 2 3" xfId="12431" xr:uid="{57A78987-66A8-4028-97BD-872459A23621}"/>
    <cellStyle name="Normal 4 4 3 3 2 3" xfId="5177" xr:uid="{00000000-0005-0000-0000-000091150000}"/>
    <cellStyle name="Normal 4 4 3 3 2 3 2" xfId="14503" xr:uid="{A57F2F68-B330-4D65-A337-1A5D5E01EEEC}"/>
    <cellStyle name="Normal 4 4 3 3 2 4" xfId="9455" xr:uid="{E39EB3A2-D99A-426C-AFEC-E4C90C85BE02}"/>
    <cellStyle name="Normal 4 4 3 3 2 4 2" xfId="18770" xr:uid="{0D2F8E09-A599-4E30-B665-9128B5DA9BAF}"/>
    <cellStyle name="Normal 4 4 3 3 2 5" xfId="10286" xr:uid="{FA9E1062-E632-4E18-8346-653DF50D8381}"/>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6F9EFD51-3A90-4EBC-9E5E-9A049453CB50}"/>
    <cellStyle name="Normal 4 4 3 3 3 2 3" xfId="12844" xr:uid="{9A4FD660-4992-4FED-81C6-9DE2BFC475F1}"/>
    <cellStyle name="Normal 4 4 3 3 3 3" xfId="5590" xr:uid="{00000000-0005-0000-0000-000095150000}"/>
    <cellStyle name="Normal 4 4 3 3 3 3 2" xfId="14916" xr:uid="{A2D9319A-C38B-48ED-8269-69B7F4B86F51}"/>
    <cellStyle name="Normal 4 4 3 3 3 4" xfId="10699" xr:uid="{0546EC28-5E02-48DE-8A15-857443C27F7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F81196B8-BD7D-457B-97D3-DFE9E4BED916}"/>
    <cellStyle name="Normal 4 4 3 3 4 2 3" xfId="13257" xr:uid="{9495590E-CA04-4D30-B7C0-AC6235CBBB68}"/>
    <cellStyle name="Normal 4 4 3 3 4 3" xfId="6003" xr:uid="{00000000-0005-0000-0000-000099150000}"/>
    <cellStyle name="Normal 4 4 3 3 4 3 2" xfId="15329" xr:uid="{FAFD4F41-F610-4148-95C6-F1638A5A28E8}"/>
    <cellStyle name="Normal 4 4 3 3 4 4" xfId="11112" xr:uid="{7B5AC7BC-3693-4F33-862D-875B54A79F7A}"/>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34E9179C-FEEE-42D0-B3B5-AEBDB913BB2C}"/>
    <cellStyle name="Normal 4 4 3 3 5 2 3" xfId="13670" xr:uid="{47E7FDE9-FDA8-43B9-8EB0-FD561638E3A3}"/>
    <cellStyle name="Normal 4 4 3 3 5 3" xfId="6416" xr:uid="{00000000-0005-0000-0000-00009D150000}"/>
    <cellStyle name="Normal 4 4 3 3 5 3 2" xfId="15742" xr:uid="{60B083E3-F86E-4398-9840-81278202DDB8}"/>
    <cellStyle name="Normal 4 4 3 3 5 4" xfId="11525" xr:uid="{A2B277FA-DCA9-4A8D-B4A6-BF05A686027F}"/>
    <cellStyle name="Normal 4 4 3 3 6" xfId="2546" xr:uid="{00000000-0005-0000-0000-00009E150000}"/>
    <cellStyle name="Normal 4 4 3 3 6 2" xfId="6829" xr:uid="{00000000-0005-0000-0000-00009F150000}"/>
    <cellStyle name="Normal 4 4 3 3 6 2 2" xfId="16155" xr:uid="{488BCA05-5BFE-45F2-BBA4-5A1A05FB904E}"/>
    <cellStyle name="Normal 4 4 3 3 6 3" xfId="11938" xr:uid="{73C18B74-83D1-41A3-BFCF-C75CB7F9EAED}"/>
    <cellStyle name="Normal 4 4 3 3 7" xfId="4764" xr:uid="{00000000-0005-0000-0000-0000A0150000}"/>
    <cellStyle name="Normal 4 4 3 3 7 2" xfId="14090" xr:uid="{D43381CA-7DA5-4E22-9751-B6602556DE12}"/>
    <cellStyle name="Normal 4 4 3 3 8" xfId="9030" xr:uid="{F975DAAD-4546-4770-9976-5C5C66DA227B}"/>
    <cellStyle name="Normal 4 4 3 3 8 2" xfId="18354" xr:uid="{67EA5769-60CE-4DA5-B045-BFE3F4D0ED4B}"/>
    <cellStyle name="Normal 4 4 3 3 9" xfId="9873" xr:uid="{ED9B94A3-1FAA-4428-8AA0-2FF7E3C5DC0E}"/>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A3AF6EA2-79F9-4CB3-B495-3919F3652F33}"/>
    <cellStyle name="Normal 4 4 3 4 2 3" xfId="12428" xr:uid="{EC6E08B2-DC62-4B00-A932-C762580A54EF}"/>
    <cellStyle name="Normal 4 4 3 4 3" xfId="5174" xr:uid="{00000000-0005-0000-0000-0000A4150000}"/>
    <cellStyle name="Normal 4 4 3 4 3 2" xfId="14500" xr:uid="{5A35FABE-574D-4974-B919-5EFB13BD3DD1}"/>
    <cellStyle name="Normal 4 4 3 4 4" xfId="9248" xr:uid="{6C5F877B-48E6-47C2-B849-E53F373D5A86}"/>
    <cellStyle name="Normal 4 4 3 4 4 2" xfId="18563" xr:uid="{4872AAB4-DEA0-4A12-9878-A34F5F88E5A2}"/>
    <cellStyle name="Normal 4 4 3 4 5" xfId="10283" xr:uid="{07196EFF-076D-4579-AC6D-841E2F980047}"/>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0C30F087-9077-4B72-B091-7CEE1AB0351C}"/>
    <cellStyle name="Normal 4 4 3 5 2 3" xfId="12841" xr:uid="{624E1F9D-CED6-415D-B0E0-DC3FCA34DE4D}"/>
    <cellStyle name="Normal 4 4 3 5 3" xfId="5587" xr:uid="{00000000-0005-0000-0000-0000A8150000}"/>
    <cellStyle name="Normal 4 4 3 5 3 2" xfId="14913" xr:uid="{5B53E250-A3E9-4565-9282-375493D3C111}"/>
    <cellStyle name="Normal 4 4 3 5 4" xfId="10696" xr:uid="{4B1B2791-5E30-4C45-8E19-95C33714F921}"/>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EDD275C5-2C00-4AE3-98D2-549D82EC09D1}"/>
    <cellStyle name="Normal 4 4 3 6 2 3" xfId="13254" xr:uid="{F6C5A741-4073-4CB3-A7FE-ECE1740BCEB7}"/>
    <cellStyle name="Normal 4 4 3 6 3" xfId="6000" xr:uid="{00000000-0005-0000-0000-0000AC150000}"/>
    <cellStyle name="Normal 4 4 3 6 3 2" xfId="15326" xr:uid="{C013C17D-F781-4D8E-A165-5E0C2ACC8D65}"/>
    <cellStyle name="Normal 4 4 3 6 4" xfId="11109" xr:uid="{E561C855-1FEB-4CF9-A8FF-5B4A9A72F6C5}"/>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B0B14185-D135-4316-860E-555868598529}"/>
    <cellStyle name="Normal 4 4 3 7 2 3" xfId="13667" xr:uid="{59FD9527-D90A-4833-92B6-C7B0311EFA80}"/>
    <cellStyle name="Normal 4 4 3 7 3" xfId="6413" xr:uid="{00000000-0005-0000-0000-0000B0150000}"/>
    <cellStyle name="Normal 4 4 3 7 3 2" xfId="15739" xr:uid="{D1990C6D-C7F9-45CB-87B1-4B5042F74AAB}"/>
    <cellStyle name="Normal 4 4 3 7 4" xfId="11522" xr:uid="{B7AB0393-72A2-4250-9210-A9620D061ECC}"/>
    <cellStyle name="Normal 4 4 3 8" xfId="2543" xr:uid="{00000000-0005-0000-0000-0000B1150000}"/>
    <cellStyle name="Normal 4 4 3 8 2" xfId="6826" xr:uid="{00000000-0005-0000-0000-0000B2150000}"/>
    <cellStyle name="Normal 4 4 3 8 2 2" xfId="16152" xr:uid="{3498BEDD-4325-490D-AF8B-1DFA50E537AE}"/>
    <cellStyle name="Normal 4 4 3 8 3" xfId="11935" xr:uid="{4589307F-2BA6-4E01-8ECB-007A828C1EF6}"/>
    <cellStyle name="Normal 4 4 3 9" xfId="4761" xr:uid="{00000000-0005-0000-0000-0000B3150000}"/>
    <cellStyle name="Normal 4 4 3 9 2" xfId="14087" xr:uid="{DF4D68A3-6508-40BE-A3D2-91DBA06D251B}"/>
    <cellStyle name="Normal 4 4 4" xfId="391" xr:uid="{00000000-0005-0000-0000-0000B4150000}"/>
    <cellStyle name="Normal 4 4 4 10" xfId="9874" xr:uid="{62CF7F9A-2B4B-4494-BB5B-80E09C9ECE87}"/>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9F5C9C5C-63CA-4EDC-BB33-73582FA1D798}"/>
    <cellStyle name="Normal 4 4 4 2 2 2 3" xfId="12433" xr:uid="{C3226F0F-A30D-4159-B47B-0FCF7AFB97AA}"/>
    <cellStyle name="Normal 4 4 4 2 2 3" xfId="5179" xr:uid="{00000000-0005-0000-0000-0000B9150000}"/>
    <cellStyle name="Normal 4 4 4 2 2 3 2" xfId="14505" xr:uid="{1ADC533B-8940-416E-B0A6-E06F3324745B}"/>
    <cellStyle name="Normal 4 4 4 2 2 4" xfId="9484" xr:uid="{69910E0C-08C8-41C5-A6FC-61B52F6CD538}"/>
    <cellStyle name="Normal 4 4 4 2 2 4 2" xfId="18799" xr:uid="{169DE2AD-CDB3-496E-9E0F-DA7A80079F37}"/>
    <cellStyle name="Normal 4 4 4 2 2 5" xfId="10288" xr:uid="{FB8185AE-0C9E-4613-8A2B-2BDD02FC7C30}"/>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6A784214-76DD-4761-A0BC-01F4548B2CED}"/>
    <cellStyle name="Normal 4 4 4 2 3 2 3" xfId="12846" xr:uid="{4F43BCD0-471F-4E61-B65A-B21103B76B45}"/>
    <cellStyle name="Normal 4 4 4 2 3 3" xfId="5592" xr:uid="{00000000-0005-0000-0000-0000BD150000}"/>
    <cellStyle name="Normal 4 4 4 2 3 3 2" xfId="14918" xr:uid="{D1AFD4CF-5496-4BB0-B671-B0FDE226088F}"/>
    <cellStyle name="Normal 4 4 4 2 3 4" xfId="10701" xr:uid="{FF575C01-4324-4EFA-80D9-02F0708E71A1}"/>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5A29D4C1-043F-45D4-B077-4A038062EE96}"/>
    <cellStyle name="Normal 4 4 4 2 4 2 3" xfId="13259" xr:uid="{59587F42-3A59-4ADD-AD78-4751D6D5C213}"/>
    <cellStyle name="Normal 4 4 4 2 4 3" xfId="6005" xr:uid="{00000000-0005-0000-0000-0000C1150000}"/>
    <cellStyle name="Normal 4 4 4 2 4 3 2" xfId="15331" xr:uid="{910158EC-8456-4D69-ADC1-140CF4CBBCB6}"/>
    <cellStyle name="Normal 4 4 4 2 4 4" xfId="11114" xr:uid="{47CF7F27-F43C-46E9-B68B-DBCAA3E5515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E34F750C-32C3-4A12-B492-79A56D84CC81}"/>
    <cellStyle name="Normal 4 4 4 2 5 2 3" xfId="13672" xr:uid="{E30A3E47-3D8D-422E-9E8B-4DEF97FF7848}"/>
    <cellStyle name="Normal 4 4 4 2 5 3" xfId="6418" xr:uid="{00000000-0005-0000-0000-0000C5150000}"/>
    <cellStyle name="Normal 4 4 4 2 5 3 2" xfId="15744" xr:uid="{7CA6DD58-F29D-41F6-ABB9-F91F2E410F47}"/>
    <cellStyle name="Normal 4 4 4 2 5 4" xfId="11527" xr:uid="{543232C1-44D2-4965-A5BF-95C913FF00C7}"/>
    <cellStyle name="Normal 4 4 4 2 6" xfId="2548" xr:uid="{00000000-0005-0000-0000-0000C6150000}"/>
    <cellStyle name="Normal 4 4 4 2 6 2" xfId="6831" xr:uid="{00000000-0005-0000-0000-0000C7150000}"/>
    <cellStyle name="Normal 4 4 4 2 6 2 2" xfId="16157" xr:uid="{F63BAD07-A558-422D-84E5-5D727685CD4A}"/>
    <cellStyle name="Normal 4 4 4 2 6 3" xfId="11940" xr:uid="{7BCDB40B-D310-4A12-B830-5BD20D7E531C}"/>
    <cellStyle name="Normal 4 4 4 2 7" xfId="4766" xr:uid="{00000000-0005-0000-0000-0000C8150000}"/>
    <cellStyle name="Normal 4 4 4 2 7 2" xfId="14092" xr:uid="{0ACF0D78-2EFF-4349-91AB-51F47C957DB0}"/>
    <cellStyle name="Normal 4 4 4 2 8" xfId="9059" xr:uid="{76617FCA-DBA6-4291-BD32-6340A19903F7}"/>
    <cellStyle name="Normal 4 4 4 2 8 2" xfId="18383" xr:uid="{12A13950-0DAF-4EEA-BA05-34997CDD0A03}"/>
    <cellStyle name="Normal 4 4 4 2 9" xfId="9875" xr:uid="{6B743DCC-A827-4CB0-A1B4-B9852A0DA3D8}"/>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EF22A299-2293-40FD-BF6E-B04A653572D6}"/>
    <cellStyle name="Normal 4 4 4 3 2 3" xfId="12432" xr:uid="{C4B7F9A2-347A-4192-BFCF-40A8DA466680}"/>
    <cellStyle name="Normal 4 4 4 3 3" xfId="5178" xr:uid="{00000000-0005-0000-0000-0000CC150000}"/>
    <cellStyle name="Normal 4 4 4 3 3 2" xfId="14504" xr:uid="{2563614D-816B-4F8C-B9BF-32D51F69DC4D}"/>
    <cellStyle name="Normal 4 4 4 3 4" xfId="9277" xr:uid="{DD01CD29-2559-4BCC-919C-99D1D75C445F}"/>
    <cellStyle name="Normal 4 4 4 3 4 2" xfId="18592" xr:uid="{26AB3AAC-6DFD-4E34-BC77-CEE7C9D79A96}"/>
    <cellStyle name="Normal 4 4 4 3 5" xfId="10287" xr:uid="{7B9C47B4-BC59-434D-9FAD-9814AE0CBED8}"/>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FF65C7A0-68FE-45BC-918B-92213EA5B664}"/>
    <cellStyle name="Normal 4 4 4 4 2 3" xfId="12845" xr:uid="{E6FADE9C-DB0D-4A31-BB81-818B998763FA}"/>
    <cellStyle name="Normal 4 4 4 4 3" xfId="5591" xr:uid="{00000000-0005-0000-0000-0000D0150000}"/>
    <cellStyle name="Normal 4 4 4 4 3 2" xfId="14917" xr:uid="{AAFDCEA3-8D34-45F5-A24E-7FE98F789D38}"/>
    <cellStyle name="Normal 4 4 4 4 4" xfId="10700" xr:uid="{4E7F4620-D619-4A5D-8990-7331A83495D7}"/>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F3C8B685-BE95-4CB9-9975-19C9DF2BE654}"/>
    <cellStyle name="Normal 4 4 4 5 2 3" xfId="13258" xr:uid="{E20946AF-04C5-4E89-8F93-43A89CAC963A}"/>
    <cellStyle name="Normal 4 4 4 5 3" xfId="6004" xr:uid="{00000000-0005-0000-0000-0000D4150000}"/>
    <cellStyle name="Normal 4 4 4 5 3 2" xfId="15330" xr:uid="{28DA5787-BD95-44FC-823E-E555061F793B}"/>
    <cellStyle name="Normal 4 4 4 5 4" xfId="11113" xr:uid="{D6FB0D6F-FC71-47BD-B18A-38CA45737E50}"/>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A01F8376-7F35-4C5D-87D6-D589FB5A49E1}"/>
    <cellStyle name="Normal 4 4 4 6 2 3" xfId="13671" xr:uid="{5C165F5D-3035-43EF-87A2-1BB8904A2DA9}"/>
    <cellStyle name="Normal 4 4 4 6 3" xfId="6417" xr:uid="{00000000-0005-0000-0000-0000D8150000}"/>
    <cellStyle name="Normal 4 4 4 6 3 2" xfId="15743" xr:uid="{1C518BBF-C7F7-44F5-9E32-CA3A38EBEB9A}"/>
    <cellStyle name="Normal 4 4 4 6 4" xfId="11526" xr:uid="{38284654-CCF7-420C-A6ED-CAFE3FD68D3F}"/>
    <cellStyle name="Normal 4 4 4 7" xfId="2547" xr:uid="{00000000-0005-0000-0000-0000D9150000}"/>
    <cellStyle name="Normal 4 4 4 7 2" xfId="6830" xr:uid="{00000000-0005-0000-0000-0000DA150000}"/>
    <cellStyle name="Normal 4 4 4 7 2 2" xfId="16156" xr:uid="{2EC1BF5F-5781-49AC-8235-0CC84E98EFF1}"/>
    <cellStyle name="Normal 4 4 4 7 3" xfId="11939" xr:uid="{42105635-C599-4F6A-89A7-1FA9B9CDEDDA}"/>
    <cellStyle name="Normal 4 4 4 8" xfId="4765" xr:uid="{00000000-0005-0000-0000-0000DB150000}"/>
    <cellStyle name="Normal 4 4 4 8 2" xfId="14091" xr:uid="{CD22674C-D7B7-4DE2-B9DF-01DB65B4224B}"/>
    <cellStyle name="Normal 4 4 4 9" xfId="8852" xr:uid="{DF4BB962-85B1-44B5-A0FE-735796672772}"/>
    <cellStyle name="Normal 4 4 4 9 2" xfId="18176" xr:uid="{CD70725F-31AF-4696-AA5F-EF4572497697}"/>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E2B1D8F0-A954-4305-B590-16C621A3D1A3}"/>
    <cellStyle name="Normal 4 4 5 2 2 3" xfId="12434" xr:uid="{C8722F64-9434-41E5-B8A8-0A1FFCCD9801}"/>
    <cellStyle name="Normal 4 4 5 2 3" xfId="5180" xr:uid="{00000000-0005-0000-0000-0000E0150000}"/>
    <cellStyle name="Normal 4 4 5 2 3 2" xfId="14506" xr:uid="{019568B6-5D16-4974-B3D0-F435829AF5F6}"/>
    <cellStyle name="Normal 4 4 5 2 4" xfId="9393" xr:uid="{C2991CC4-4E0B-46C4-B338-C6A1C9BA2DE9}"/>
    <cellStyle name="Normal 4 4 5 2 4 2" xfId="18708" xr:uid="{F2E9DE7E-DD7C-4726-BBC5-B2525F022D30}"/>
    <cellStyle name="Normal 4 4 5 2 5" xfId="10289" xr:uid="{AA0F1B55-E252-49C7-87FA-BC295EED2B1E}"/>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600EDD33-5146-4C5A-812E-D6BD7A247B6C}"/>
    <cellStyle name="Normal 4 4 5 3 2 3" xfId="12847" xr:uid="{D517A8EA-5EB3-4C5C-80AB-D3AFCF8B206C}"/>
    <cellStyle name="Normal 4 4 5 3 3" xfId="5593" xr:uid="{00000000-0005-0000-0000-0000E4150000}"/>
    <cellStyle name="Normal 4 4 5 3 3 2" xfId="14919" xr:uid="{FC7F9207-AAE4-4686-82BF-BB7E26B8D638}"/>
    <cellStyle name="Normal 4 4 5 3 4" xfId="10702" xr:uid="{8177873D-5BB0-4345-9AC3-028889A37799}"/>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392AAFAC-56E9-4442-BA7A-FD7884703D89}"/>
    <cellStyle name="Normal 4 4 5 4 2 3" xfId="13260" xr:uid="{CE077857-E3C7-41F0-A2BD-72D3D39DFC6A}"/>
    <cellStyle name="Normal 4 4 5 4 3" xfId="6006" xr:uid="{00000000-0005-0000-0000-0000E8150000}"/>
    <cellStyle name="Normal 4 4 5 4 3 2" xfId="15332" xr:uid="{FC0158DF-D347-4F03-8B28-0BB25C650E8E}"/>
    <cellStyle name="Normal 4 4 5 4 4" xfId="11115" xr:uid="{9F3D9375-2B30-43A0-908B-EEEC78DA9CB1}"/>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242A56DD-7CD0-4704-AC7C-30498956983E}"/>
    <cellStyle name="Normal 4 4 5 5 2 3" xfId="13673" xr:uid="{E28A300B-01BF-46A4-9DA6-253910E486C8}"/>
    <cellStyle name="Normal 4 4 5 5 3" xfId="6419" xr:uid="{00000000-0005-0000-0000-0000EC150000}"/>
    <cellStyle name="Normal 4 4 5 5 3 2" xfId="15745" xr:uid="{541E3DC2-562C-4844-AB38-9523D2026E93}"/>
    <cellStyle name="Normal 4 4 5 5 4" xfId="11528" xr:uid="{D753755A-1D9B-4CED-AAC8-7E26FC118105}"/>
    <cellStyle name="Normal 4 4 5 6" xfId="2549" xr:uid="{00000000-0005-0000-0000-0000ED150000}"/>
    <cellStyle name="Normal 4 4 5 6 2" xfId="6832" xr:uid="{00000000-0005-0000-0000-0000EE150000}"/>
    <cellStyle name="Normal 4 4 5 6 2 2" xfId="16158" xr:uid="{3EFB5088-2378-4759-A60C-E5EE912CF6CD}"/>
    <cellStyle name="Normal 4 4 5 6 3" xfId="11941" xr:uid="{F5782315-6AE4-415C-B6F2-52A448CED0C7}"/>
    <cellStyle name="Normal 4 4 5 7" xfId="4767" xr:uid="{00000000-0005-0000-0000-0000EF150000}"/>
    <cellStyle name="Normal 4 4 5 7 2" xfId="14093" xr:uid="{2861D678-A779-4D2F-BE33-ABC4D3C4074B}"/>
    <cellStyle name="Normal 4 4 5 8" xfId="8968" xr:uid="{BE877DDE-435D-4CBA-84F2-0372D1DDE771}"/>
    <cellStyle name="Normal 4 4 5 8 2" xfId="18292" xr:uid="{54C72889-6227-4B41-BB66-B3C7F58D0C64}"/>
    <cellStyle name="Normal 4 4 5 9" xfId="9876" xr:uid="{7813B5E8-60F1-49C8-A373-383857B9A00E}"/>
    <cellStyle name="Normal 4 4 6" xfId="853" xr:uid="{00000000-0005-0000-0000-0000F0150000}"/>
    <cellStyle name="Normal 4 4 6 2" xfId="3088" xr:uid="{00000000-0005-0000-0000-0000F1150000}"/>
    <cellStyle name="Normal 4 4 6 2 2" xfId="7310" xr:uid="{00000000-0005-0000-0000-0000F2150000}"/>
    <cellStyle name="Normal 4 4 6 2 2 2" xfId="16636" xr:uid="{4F93D20C-8650-424E-B276-63DA38849DF5}"/>
    <cellStyle name="Normal 4 4 6 2 3" xfId="12419" xr:uid="{E703B3EE-F373-4577-9E37-78793A75835E}"/>
    <cellStyle name="Normal 4 4 6 3" xfId="5165" xr:uid="{00000000-0005-0000-0000-0000F3150000}"/>
    <cellStyle name="Normal 4 4 6 3 2" xfId="14491" xr:uid="{F3FBD1A9-C349-4FCD-BBCE-F519F6184D7D}"/>
    <cellStyle name="Normal 4 4 6 4" xfId="9171" xr:uid="{C474601B-95F0-4C9E-AB77-B3E61D2A21D7}"/>
    <cellStyle name="Normal 4 4 6 4 2" xfId="18489" xr:uid="{41C82262-3D54-4D6A-8DA2-FD3BF6EC2599}"/>
    <cellStyle name="Normal 4 4 6 5" xfId="10274" xr:uid="{FE0E4A4F-BB53-4BBC-A152-65371FF17B16}"/>
    <cellStyle name="Normal 4 4 7" xfId="1271" xr:uid="{00000000-0005-0000-0000-0000F4150000}"/>
    <cellStyle name="Normal 4 4 7 2" xfId="3501" xr:uid="{00000000-0005-0000-0000-0000F5150000}"/>
    <cellStyle name="Normal 4 4 7 2 2" xfId="7723" xr:uid="{00000000-0005-0000-0000-0000F6150000}"/>
    <cellStyle name="Normal 4 4 7 2 2 2" xfId="17049" xr:uid="{9CD76592-B513-4382-A3AB-2449556659D4}"/>
    <cellStyle name="Normal 4 4 7 2 3" xfId="12832" xr:uid="{1179FC51-F054-457F-AC26-49275C1490B9}"/>
    <cellStyle name="Normal 4 4 7 3" xfId="5578" xr:uid="{00000000-0005-0000-0000-0000F7150000}"/>
    <cellStyle name="Normal 4 4 7 3 2" xfId="14904" xr:uid="{BAB546FC-20C2-4975-9B1F-FCC961DD0B9E}"/>
    <cellStyle name="Normal 4 4 7 4" xfId="10687" xr:uid="{36F582B0-F996-41D2-B67E-60EABED2582B}"/>
    <cellStyle name="Normal 4 4 8" xfId="1684" xr:uid="{00000000-0005-0000-0000-0000F8150000}"/>
    <cellStyle name="Normal 4 4 8 2" xfId="3914" xr:uid="{00000000-0005-0000-0000-0000F9150000}"/>
    <cellStyle name="Normal 4 4 8 2 2" xfId="8136" xr:uid="{00000000-0005-0000-0000-0000FA150000}"/>
    <cellStyle name="Normal 4 4 8 2 2 2" xfId="17462" xr:uid="{D2B184ED-4673-41F3-8351-0CEE32388A8D}"/>
    <cellStyle name="Normal 4 4 8 2 3" xfId="13245" xr:uid="{88E5AB6D-F845-4957-A22E-17675CFDAD63}"/>
    <cellStyle name="Normal 4 4 8 3" xfId="5991" xr:uid="{00000000-0005-0000-0000-0000FB150000}"/>
    <cellStyle name="Normal 4 4 8 3 2" xfId="15317" xr:uid="{D232580E-D6D2-4AEC-B993-CE81F84EBB22}"/>
    <cellStyle name="Normal 4 4 8 4" xfId="11100" xr:uid="{5412A4ED-BFA9-4566-8F6E-0FD360D3C047}"/>
    <cellStyle name="Normal 4 4 9" xfId="2098" xr:uid="{00000000-0005-0000-0000-0000FC150000}"/>
    <cellStyle name="Normal 4 4 9 2" xfId="4327" xr:uid="{00000000-0005-0000-0000-0000FD150000}"/>
    <cellStyle name="Normal 4 4 9 2 2" xfId="8549" xr:uid="{00000000-0005-0000-0000-0000FE150000}"/>
    <cellStyle name="Normal 4 4 9 2 2 2" xfId="17875" xr:uid="{5EAC4C11-D0D2-419A-AFA0-E34F89D76041}"/>
    <cellStyle name="Normal 4 4 9 2 3" xfId="13658" xr:uid="{ED36BF1E-6EC9-47D4-BB3E-FB8698523D04}"/>
    <cellStyle name="Normal 4 4 9 3" xfId="6404" xr:uid="{00000000-0005-0000-0000-0000FF150000}"/>
    <cellStyle name="Normal 4 4 9 3 2" xfId="15730" xr:uid="{0E3A34F7-4246-44EF-8E0B-4AC391E1D350}"/>
    <cellStyle name="Normal 4 4 9 4" xfId="11513" xr:uid="{E174B891-1BD9-4C29-923F-6F16DCAD1129}"/>
    <cellStyle name="Normal 4 5" xfId="394" xr:uid="{00000000-0005-0000-0000-000000160000}"/>
    <cellStyle name="Normal 4 6" xfId="395" xr:uid="{00000000-0005-0000-0000-000001160000}"/>
    <cellStyle name="Normal 4 6 10" xfId="4768" xr:uid="{00000000-0005-0000-0000-000002160000}"/>
    <cellStyle name="Normal 4 6 10 2" xfId="14094" xr:uid="{AB251ACE-EF39-41ED-A574-80E399D71ECA}"/>
    <cellStyle name="Normal 4 6 11" xfId="8772" xr:uid="{23628FEE-4113-4B2C-B2A0-0106FC7F55C2}"/>
    <cellStyle name="Normal 4 6 11 2" xfId="18096" xr:uid="{9468ECD1-F060-4288-8906-314445271DF1}"/>
    <cellStyle name="Normal 4 6 12" xfId="9877" xr:uid="{32854E49-99DD-48DB-BA10-4DF503ED25CD}"/>
    <cellStyle name="Normal 4 6 2" xfId="396" xr:uid="{00000000-0005-0000-0000-000003160000}"/>
    <cellStyle name="Normal 4 6 2 10" xfId="8825" xr:uid="{C3062495-9D56-441B-95F6-B73E7DAC524C}"/>
    <cellStyle name="Normal 4 6 2 10 2" xfId="18149" xr:uid="{8092D992-33C8-4DF2-9D39-5DD75769FC74}"/>
    <cellStyle name="Normal 4 6 2 11" xfId="9878" xr:uid="{66D95CFF-599E-4CF5-BF3D-303EE2645264}"/>
    <cellStyle name="Normal 4 6 2 2" xfId="397" xr:uid="{00000000-0005-0000-0000-000004160000}"/>
    <cellStyle name="Normal 4 6 2 2 10" xfId="9879" xr:uid="{5F57B184-9030-4DD0-8BB2-6A9D90ED74FE}"/>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6C45EA2B-5841-4089-8766-62A69587EEC6}"/>
    <cellStyle name="Normal 4 6 2 2 2 2 2 3" xfId="12438" xr:uid="{F5F9666E-600B-4C97-9569-7B629D2ADB47}"/>
    <cellStyle name="Normal 4 6 2 2 2 2 3" xfId="5184" xr:uid="{00000000-0005-0000-0000-000009160000}"/>
    <cellStyle name="Normal 4 6 2 2 2 2 3 2" xfId="14510" xr:uid="{357D553A-F602-4285-85C1-26598819780E}"/>
    <cellStyle name="Normal 4 6 2 2 2 2 4" xfId="9560" xr:uid="{04DAEE11-A96E-4522-8546-8A0C107E12B9}"/>
    <cellStyle name="Normal 4 6 2 2 2 2 4 2" xfId="18875" xr:uid="{FE4B37D9-41B4-4A98-9B1D-E2BEB2FC1A93}"/>
    <cellStyle name="Normal 4 6 2 2 2 2 5" xfId="10293" xr:uid="{E82FDF64-1B9B-4F0D-AEE6-2B017B729CC1}"/>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150F03E2-67CB-4B6F-8E81-CBD64BABAF92}"/>
    <cellStyle name="Normal 4 6 2 2 2 3 2 3" xfId="12851" xr:uid="{60A8D100-C7FD-4D24-887D-67F95AB88051}"/>
    <cellStyle name="Normal 4 6 2 2 2 3 3" xfId="5597" xr:uid="{00000000-0005-0000-0000-00000D160000}"/>
    <cellStyle name="Normal 4 6 2 2 2 3 3 2" xfId="14923" xr:uid="{F3170065-4E5F-4E63-BB5B-7DC441F83F66}"/>
    <cellStyle name="Normal 4 6 2 2 2 3 4" xfId="10706" xr:uid="{37F3F5F2-EBF4-4595-BB2F-1528CBD45EF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7E54E9F3-0F31-442D-A444-65D7086F66D7}"/>
    <cellStyle name="Normal 4 6 2 2 2 4 2 3" xfId="13264" xr:uid="{BDAEAB80-F7B3-4E31-9F3D-4ED5D0CED86F}"/>
    <cellStyle name="Normal 4 6 2 2 2 4 3" xfId="6010" xr:uid="{00000000-0005-0000-0000-000011160000}"/>
    <cellStyle name="Normal 4 6 2 2 2 4 3 2" xfId="15336" xr:uid="{C39CAF1E-09DB-4CB9-BB18-7CD3C29533BB}"/>
    <cellStyle name="Normal 4 6 2 2 2 4 4" xfId="11119" xr:uid="{FC3D2FC7-E6CD-458B-9EC4-A67690B29043}"/>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4C62D397-53DA-4239-94C6-8875077BCFD5}"/>
    <cellStyle name="Normal 4 6 2 2 2 5 2 3" xfId="13677" xr:uid="{94D12631-5301-4AD6-8DF4-AB4830E03B7E}"/>
    <cellStyle name="Normal 4 6 2 2 2 5 3" xfId="6423" xr:uid="{00000000-0005-0000-0000-000015160000}"/>
    <cellStyle name="Normal 4 6 2 2 2 5 3 2" xfId="15749" xr:uid="{73596769-7614-41C8-A256-6E1B157BC1A3}"/>
    <cellStyle name="Normal 4 6 2 2 2 5 4" xfId="11532" xr:uid="{FC092A32-86D9-45CA-BBDF-6E495623845F}"/>
    <cellStyle name="Normal 4 6 2 2 2 6" xfId="2553" xr:uid="{00000000-0005-0000-0000-000016160000}"/>
    <cellStyle name="Normal 4 6 2 2 2 6 2" xfId="6836" xr:uid="{00000000-0005-0000-0000-000017160000}"/>
    <cellStyle name="Normal 4 6 2 2 2 6 2 2" xfId="16162" xr:uid="{DA109D67-6AF4-4F85-82B7-6203F80D2C38}"/>
    <cellStyle name="Normal 4 6 2 2 2 6 3" xfId="11945" xr:uid="{E725ABF4-8572-4108-BB93-3EF8E07A38D9}"/>
    <cellStyle name="Normal 4 6 2 2 2 7" xfId="4771" xr:uid="{00000000-0005-0000-0000-000018160000}"/>
    <cellStyle name="Normal 4 6 2 2 2 7 2" xfId="14097" xr:uid="{EC97717D-2690-44CA-97E7-B2AD11E66163}"/>
    <cellStyle name="Normal 4 6 2 2 2 8" xfId="9135" xr:uid="{2F4C420F-13DD-45DD-99DD-C7AFF7CD7823}"/>
    <cellStyle name="Normal 4 6 2 2 2 8 2" xfId="18459" xr:uid="{6295C6AB-B7C0-4EB1-8F0E-249BA45E18CC}"/>
    <cellStyle name="Normal 4 6 2 2 2 9" xfId="9880" xr:uid="{7A07FCDF-4FBD-40E9-8BBE-4363E981AA67}"/>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B5B0ED70-F3B7-4B75-A84A-92FAB6AA5BF1}"/>
    <cellStyle name="Normal 4 6 2 2 3 2 3" xfId="12437" xr:uid="{8E1F06D9-E9C1-43F7-AA56-B7F840B47E7B}"/>
    <cellStyle name="Normal 4 6 2 2 3 3" xfId="5183" xr:uid="{00000000-0005-0000-0000-00001C160000}"/>
    <cellStyle name="Normal 4 6 2 2 3 3 2" xfId="14509" xr:uid="{D24383C6-DCE2-408D-BBF1-E358F56E7BD7}"/>
    <cellStyle name="Normal 4 6 2 2 3 4" xfId="9353" xr:uid="{60C7EC16-17DE-43AF-A246-41C667B376B7}"/>
    <cellStyle name="Normal 4 6 2 2 3 4 2" xfId="18668" xr:uid="{C6C9261E-AECB-4F92-BA7F-59BB09B4B09A}"/>
    <cellStyle name="Normal 4 6 2 2 3 5" xfId="10292" xr:uid="{8326B6EB-817F-4651-A980-6ABD8E37A3A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90B38D33-F5AB-44F5-B9E7-24DF245DA4D3}"/>
    <cellStyle name="Normal 4 6 2 2 4 2 3" xfId="12850" xr:uid="{614D76DC-FBC6-4BEC-99C3-70E2C203CCE0}"/>
    <cellStyle name="Normal 4 6 2 2 4 3" xfId="5596" xr:uid="{00000000-0005-0000-0000-000020160000}"/>
    <cellStyle name="Normal 4 6 2 2 4 3 2" xfId="14922" xr:uid="{F815F77C-385C-484E-9E2C-52F0F5FC6EB6}"/>
    <cellStyle name="Normal 4 6 2 2 4 4" xfId="10705" xr:uid="{44142509-7777-4114-A1C2-C540F8D196F4}"/>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3D812601-C25F-4FDF-87FC-A98C38310B11}"/>
    <cellStyle name="Normal 4 6 2 2 5 2 3" xfId="13263" xr:uid="{9627475A-3DDE-4589-B35F-EF2B66F6CFB8}"/>
    <cellStyle name="Normal 4 6 2 2 5 3" xfId="6009" xr:uid="{00000000-0005-0000-0000-000024160000}"/>
    <cellStyle name="Normal 4 6 2 2 5 3 2" xfId="15335" xr:uid="{ECC52EFE-C6B7-4AD4-AEA6-C00E190962F4}"/>
    <cellStyle name="Normal 4 6 2 2 5 4" xfId="11118" xr:uid="{3D3EFBE0-C1F4-4130-A031-997968C5F3B4}"/>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8643C971-3163-4570-A218-B04950C47ED1}"/>
    <cellStyle name="Normal 4 6 2 2 6 2 3" xfId="13676" xr:uid="{54A4E732-B175-47A7-8A83-F2766D97D2F9}"/>
    <cellStyle name="Normal 4 6 2 2 6 3" xfId="6422" xr:uid="{00000000-0005-0000-0000-000028160000}"/>
    <cellStyle name="Normal 4 6 2 2 6 3 2" xfId="15748" xr:uid="{E03E309F-334D-4175-BD8A-638046EAF6B0}"/>
    <cellStyle name="Normal 4 6 2 2 6 4" xfId="11531" xr:uid="{B1A46E77-643B-4A28-9E39-AA7376A42317}"/>
    <cellStyle name="Normal 4 6 2 2 7" xfId="2552" xr:uid="{00000000-0005-0000-0000-000029160000}"/>
    <cellStyle name="Normal 4 6 2 2 7 2" xfId="6835" xr:uid="{00000000-0005-0000-0000-00002A160000}"/>
    <cellStyle name="Normal 4 6 2 2 7 2 2" xfId="16161" xr:uid="{5AF09465-ADD3-4426-8AC2-B7381F293F2C}"/>
    <cellStyle name="Normal 4 6 2 2 7 3" xfId="11944" xr:uid="{86E532BC-A466-4CD4-B760-8956526E4BF8}"/>
    <cellStyle name="Normal 4 6 2 2 8" xfId="4770" xr:uid="{00000000-0005-0000-0000-00002B160000}"/>
    <cellStyle name="Normal 4 6 2 2 8 2" xfId="14096" xr:uid="{A45D6222-76C4-46F9-BE5E-F86AA9E2C05F}"/>
    <cellStyle name="Normal 4 6 2 2 9" xfId="8928" xr:uid="{EC58FE5E-68BA-4864-AD86-0F9D1DB17AD0}"/>
    <cellStyle name="Normal 4 6 2 2 9 2" xfId="18252" xr:uid="{D5966D3B-675E-478B-B7A7-4D0E9EAA705A}"/>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4AFBA7A5-BD9B-468C-A7C2-1370D321D2E9}"/>
    <cellStyle name="Normal 4 6 2 3 2 2 3" xfId="12439" xr:uid="{D0092D6B-9EC8-48F4-97D1-15D47120338D}"/>
    <cellStyle name="Normal 4 6 2 3 2 3" xfId="5185" xr:uid="{00000000-0005-0000-0000-000030160000}"/>
    <cellStyle name="Normal 4 6 2 3 2 3 2" xfId="14511" xr:uid="{1FBBE392-EBF3-429A-93CB-ACBB36F3D291}"/>
    <cellStyle name="Normal 4 6 2 3 2 4" xfId="9457" xr:uid="{E86AED2D-42AD-49DE-9461-1FA72B82C89E}"/>
    <cellStyle name="Normal 4 6 2 3 2 4 2" xfId="18772" xr:uid="{1FDEAF3C-CF4D-4A39-843B-0B523D386419}"/>
    <cellStyle name="Normal 4 6 2 3 2 5" xfId="10294" xr:uid="{E076FBD4-491E-4FCF-BB0F-A436602773A9}"/>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E1A79FED-0878-4C15-8E0E-1B820A7A4337}"/>
    <cellStyle name="Normal 4 6 2 3 3 2 3" xfId="12852" xr:uid="{1F6FDB70-A03E-4BCE-BEC4-F2B5D62DB27E}"/>
    <cellStyle name="Normal 4 6 2 3 3 3" xfId="5598" xr:uid="{00000000-0005-0000-0000-000034160000}"/>
    <cellStyle name="Normal 4 6 2 3 3 3 2" xfId="14924" xr:uid="{D229DB66-2958-4175-9BD6-D2E2B4227D5A}"/>
    <cellStyle name="Normal 4 6 2 3 3 4" xfId="10707" xr:uid="{8F889128-8CF6-456B-B8EE-C134D641732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0570CB3F-9D15-45D3-A0D6-D95DB7D42D89}"/>
    <cellStyle name="Normal 4 6 2 3 4 2 3" xfId="13265" xr:uid="{20C8A7D1-2091-4F7E-889C-73FAF42AC271}"/>
    <cellStyle name="Normal 4 6 2 3 4 3" xfId="6011" xr:uid="{00000000-0005-0000-0000-000038160000}"/>
    <cellStyle name="Normal 4 6 2 3 4 3 2" xfId="15337" xr:uid="{0651B476-0875-464E-B8B1-2EBA8550B3FC}"/>
    <cellStyle name="Normal 4 6 2 3 4 4" xfId="11120" xr:uid="{04386CD1-3A2D-4084-965C-114CBE9FE5C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4945D9DF-7B32-4355-8E61-9F297092C763}"/>
    <cellStyle name="Normal 4 6 2 3 5 2 3" xfId="13678" xr:uid="{EB283EC1-A40F-4B5D-BB6F-7A93377A7D1C}"/>
    <cellStyle name="Normal 4 6 2 3 5 3" xfId="6424" xr:uid="{00000000-0005-0000-0000-00003C160000}"/>
    <cellStyle name="Normal 4 6 2 3 5 3 2" xfId="15750" xr:uid="{15079CC3-B74D-4DA8-8CEA-7B537BA7C1D9}"/>
    <cellStyle name="Normal 4 6 2 3 5 4" xfId="11533" xr:uid="{412C352D-A69B-4C03-B783-5F698FE634E9}"/>
    <cellStyle name="Normal 4 6 2 3 6" xfId="2554" xr:uid="{00000000-0005-0000-0000-00003D160000}"/>
    <cellStyle name="Normal 4 6 2 3 6 2" xfId="6837" xr:uid="{00000000-0005-0000-0000-00003E160000}"/>
    <cellStyle name="Normal 4 6 2 3 6 2 2" xfId="16163" xr:uid="{A1A0FB39-C411-44EF-9D02-36FBA811D200}"/>
    <cellStyle name="Normal 4 6 2 3 6 3" xfId="11946" xr:uid="{0EF359BA-ED43-4D7B-B8AB-677152DD6B25}"/>
    <cellStyle name="Normal 4 6 2 3 7" xfId="4772" xr:uid="{00000000-0005-0000-0000-00003F160000}"/>
    <cellStyle name="Normal 4 6 2 3 7 2" xfId="14098" xr:uid="{87B37959-9693-4042-9356-CEE6128A9C82}"/>
    <cellStyle name="Normal 4 6 2 3 8" xfId="9032" xr:uid="{576A1DC5-5971-4772-803F-0A60F80D4C41}"/>
    <cellStyle name="Normal 4 6 2 3 8 2" xfId="18356" xr:uid="{784FFBB3-D19F-40A9-B6A7-E021866C10B6}"/>
    <cellStyle name="Normal 4 6 2 3 9" xfId="9881" xr:uid="{61A223E6-68BA-4680-A770-43E2AFA510EC}"/>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13F8B1A4-6366-4582-8BD4-930F6F9A8F72}"/>
    <cellStyle name="Normal 4 6 2 4 2 3" xfId="12436" xr:uid="{F3A982B3-A55F-40E6-812C-C3C07EC04ED0}"/>
    <cellStyle name="Normal 4 6 2 4 3" xfId="5182" xr:uid="{00000000-0005-0000-0000-000043160000}"/>
    <cellStyle name="Normal 4 6 2 4 3 2" xfId="14508" xr:uid="{6EBDF78D-33DE-4B9A-8873-BD41D7541619}"/>
    <cellStyle name="Normal 4 6 2 4 4" xfId="9250" xr:uid="{CBBC9A51-5203-4C00-93C7-FE7C973DCDD1}"/>
    <cellStyle name="Normal 4 6 2 4 4 2" xfId="18565" xr:uid="{25CF06FC-C899-4760-BC12-27F5AC1446A7}"/>
    <cellStyle name="Normal 4 6 2 4 5" xfId="10291" xr:uid="{07C1ED9D-40AC-444C-8389-857037246D39}"/>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70476FA4-9770-404D-8147-5FB1860EEC57}"/>
    <cellStyle name="Normal 4 6 2 5 2 3" xfId="12849" xr:uid="{DEEDFB30-1E36-4A46-9913-7689616E2E7C}"/>
    <cellStyle name="Normal 4 6 2 5 3" xfId="5595" xr:uid="{00000000-0005-0000-0000-000047160000}"/>
    <cellStyle name="Normal 4 6 2 5 3 2" xfId="14921" xr:uid="{87120CE5-DBB8-41F2-B09C-E9FD86306477}"/>
    <cellStyle name="Normal 4 6 2 5 4" xfId="10704" xr:uid="{6351E29F-3431-4D8A-8D23-78A968A70766}"/>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D7976E17-E6D6-4D74-938A-B848404B28CD}"/>
    <cellStyle name="Normal 4 6 2 6 2 3" xfId="13262" xr:uid="{43CD217B-49E0-4D70-A1CE-F694C38A6168}"/>
    <cellStyle name="Normal 4 6 2 6 3" xfId="6008" xr:uid="{00000000-0005-0000-0000-00004B160000}"/>
    <cellStyle name="Normal 4 6 2 6 3 2" xfId="15334" xr:uid="{7550048D-0167-4ED6-B745-14B7AB36665B}"/>
    <cellStyle name="Normal 4 6 2 6 4" xfId="11117" xr:uid="{31FD9427-8B13-4876-82C2-27E1C0E25193}"/>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0A84F067-7A54-48F7-9B0E-821ADCA8D1E0}"/>
    <cellStyle name="Normal 4 6 2 7 2 3" xfId="13675" xr:uid="{4D634199-C013-4E8A-9AC0-7A033E3F9AE9}"/>
    <cellStyle name="Normal 4 6 2 7 3" xfId="6421" xr:uid="{00000000-0005-0000-0000-00004F160000}"/>
    <cellStyle name="Normal 4 6 2 7 3 2" xfId="15747" xr:uid="{73BC7B4B-88CA-4684-B6B8-4CBE9810100B}"/>
    <cellStyle name="Normal 4 6 2 7 4" xfId="11530" xr:uid="{FF4FAF10-8FAE-4878-ADBD-82DFEC9C4CE1}"/>
    <cellStyle name="Normal 4 6 2 8" xfId="2551" xr:uid="{00000000-0005-0000-0000-000050160000}"/>
    <cellStyle name="Normal 4 6 2 8 2" xfId="6834" xr:uid="{00000000-0005-0000-0000-000051160000}"/>
    <cellStyle name="Normal 4 6 2 8 2 2" xfId="16160" xr:uid="{B21A697A-8019-4C19-B5B3-2EFFA2FD7B5C}"/>
    <cellStyle name="Normal 4 6 2 8 3" xfId="11943" xr:uid="{233E363F-6557-4023-8C26-9BFE470B4561}"/>
    <cellStyle name="Normal 4 6 2 9" xfId="4769" xr:uid="{00000000-0005-0000-0000-000052160000}"/>
    <cellStyle name="Normal 4 6 2 9 2" xfId="14095" xr:uid="{13CDD409-5CF4-4F97-8B99-11A802789BB5}"/>
    <cellStyle name="Normal 4 6 3" xfId="400" xr:uid="{00000000-0005-0000-0000-000053160000}"/>
    <cellStyle name="Normal 4 6 3 10" xfId="9882" xr:uid="{35BA0ED8-25C1-448A-B783-8355D6E473A4}"/>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69507FFB-63E1-4CA0-8629-CAA388DE3F42}"/>
    <cellStyle name="Normal 4 6 3 2 2 2 3" xfId="12441" xr:uid="{B65577BF-C97C-4640-9966-37079CB4F082}"/>
    <cellStyle name="Normal 4 6 3 2 2 3" xfId="5187" xr:uid="{00000000-0005-0000-0000-000058160000}"/>
    <cellStyle name="Normal 4 6 3 2 2 3 2" xfId="14513" xr:uid="{2A2E46AE-4F77-411B-80B4-057380E8D385}"/>
    <cellStyle name="Normal 4 6 3 2 2 4" xfId="9507" xr:uid="{63E4C3EA-8BE6-4CDE-9E44-1D64049D4CF5}"/>
    <cellStyle name="Normal 4 6 3 2 2 4 2" xfId="18822" xr:uid="{3C476AF6-46A3-44D0-A2EC-A3D5606CB824}"/>
    <cellStyle name="Normal 4 6 3 2 2 5" xfId="10296" xr:uid="{88E9C4FC-A81E-4521-BA35-24CFEEDAECE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42A71917-4E79-45A9-B2BA-A314639F2730}"/>
    <cellStyle name="Normal 4 6 3 2 3 2 3" xfId="12854" xr:uid="{DA420EB1-10F5-45AB-9308-AC12971AF84E}"/>
    <cellStyle name="Normal 4 6 3 2 3 3" xfId="5600" xr:uid="{00000000-0005-0000-0000-00005C160000}"/>
    <cellStyle name="Normal 4 6 3 2 3 3 2" xfId="14926" xr:uid="{C3AA9770-57C1-4CCD-9E45-26A243B2B40B}"/>
    <cellStyle name="Normal 4 6 3 2 3 4" xfId="10709" xr:uid="{6A14600E-C439-4485-83EB-E8365DAC50A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47FEB1D5-0037-45B9-8F5C-90AC05FF8E6A}"/>
    <cellStyle name="Normal 4 6 3 2 4 2 3" xfId="13267" xr:uid="{15310173-3B94-46BB-A45E-F8CF32A788F7}"/>
    <cellStyle name="Normal 4 6 3 2 4 3" xfId="6013" xr:uid="{00000000-0005-0000-0000-000060160000}"/>
    <cellStyle name="Normal 4 6 3 2 4 3 2" xfId="15339" xr:uid="{B9847891-CFAF-4676-AACD-9D9C7CC42D42}"/>
    <cellStyle name="Normal 4 6 3 2 4 4" xfId="11122" xr:uid="{9B01971B-1466-4F43-8319-AC05ED00D01F}"/>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5321C596-BCFB-4BCB-93BD-75178B7BC2F9}"/>
    <cellStyle name="Normal 4 6 3 2 5 2 3" xfId="13680" xr:uid="{16BA828B-F4DF-4DB3-BA70-5AAEB75F0F05}"/>
    <cellStyle name="Normal 4 6 3 2 5 3" xfId="6426" xr:uid="{00000000-0005-0000-0000-000064160000}"/>
    <cellStyle name="Normal 4 6 3 2 5 3 2" xfId="15752" xr:uid="{53E9D6AA-62A0-42B8-B0F8-D83BEE1A0114}"/>
    <cellStyle name="Normal 4 6 3 2 5 4" xfId="11535" xr:uid="{E898EE32-9937-4B71-AE4B-C46E72CC364E}"/>
    <cellStyle name="Normal 4 6 3 2 6" xfId="2556" xr:uid="{00000000-0005-0000-0000-000065160000}"/>
    <cellStyle name="Normal 4 6 3 2 6 2" xfId="6839" xr:uid="{00000000-0005-0000-0000-000066160000}"/>
    <cellStyle name="Normal 4 6 3 2 6 2 2" xfId="16165" xr:uid="{CEB0EBED-03F1-47F0-B9F3-261FC98EC060}"/>
    <cellStyle name="Normal 4 6 3 2 6 3" xfId="11948" xr:uid="{EDE96B44-CE1F-4861-ACAE-750924BFB220}"/>
    <cellStyle name="Normal 4 6 3 2 7" xfId="4774" xr:uid="{00000000-0005-0000-0000-000067160000}"/>
    <cellStyle name="Normal 4 6 3 2 7 2" xfId="14100" xr:uid="{5EFB1DA4-A39E-4980-9135-16B81B645587}"/>
    <cellStyle name="Normal 4 6 3 2 8" xfId="9082" xr:uid="{B272D1AE-3713-4AD0-AE3F-D1A7344AD432}"/>
    <cellStyle name="Normal 4 6 3 2 8 2" xfId="18406" xr:uid="{00392B4F-A354-4E74-8DD8-6FE80E83D0DE}"/>
    <cellStyle name="Normal 4 6 3 2 9" xfId="9883" xr:uid="{2746D255-262B-4624-982D-4A3B3E14135E}"/>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B29591BB-1F4E-43B9-AFE1-F203C8F4BC08}"/>
    <cellStyle name="Normal 4 6 3 3 2 3" xfId="12440" xr:uid="{5D356BDE-CFC2-4A7A-9871-F2087267996B}"/>
    <cellStyle name="Normal 4 6 3 3 3" xfId="5186" xr:uid="{00000000-0005-0000-0000-00006B160000}"/>
    <cellStyle name="Normal 4 6 3 3 3 2" xfId="14512" xr:uid="{9520E3CC-AEB6-4977-A1DF-9A27C07ED73A}"/>
    <cellStyle name="Normal 4 6 3 3 4" xfId="9300" xr:uid="{955A2E97-C871-4115-A4F5-A642AE2D2C4B}"/>
    <cellStyle name="Normal 4 6 3 3 4 2" xfId="18615" xr:uid="{68E3F1EE-020D-4E79-913F-B93ADCD6C255}"/>
    <cellStyle name="Normal 4 6 3 3 5" xfId="10295" xr:uid="{A4F6C30A-CE55-4A29-A757-010762E47944}"/>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7C516FAD-0B8F-477A-99B2-2CBF8A964E45}"/>
    <cellStyle name="Normal 4 6 3 4 2 3" xfId="12853" xr:uid="{29F8E48A-1C1E-4553-A793-8F2F24DD8FD6}"/>
    <cellStyle name="Normal 4 6 3 4 3" xfId="5599" xr:uid="{00000000-0005-0000-0000-00006F160000}"/>
    <cellStyle name="Normal 4 6 3 4 3 2" xfId="14925" xr:uid="{E9A7F07A-69AF-41D6-A425-72B3B0CC3DBF}"/>
    <cellStyle name="Normal 4 6 3 4 4" xfId="10708" xr:uid="{430C6633-BAE7-494E-8B2A-6EBC876C136A}"/>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50B86B1D-8D22-4E79-84BA-6580456A382A}"/>
    <cellStyle name="Normal 4 6 3 5 2 3" xfId="13266" xr:uid="{5B36F929-13D2-4303-9E75-BCED83DC77EB}"/>
    <cellStyle name="Normal 4 6 3 5 3" xfId="6012" xr:uid="{00000000-0005-0000-0000-000073160000}"/>
    <cellStyle name="Normal 4 6 3 5 3 2" xfId="15338" xr:uid="{16BDAE45-9625-446D-8417-97C42578C367}"/>
    <cellStyle name="Normal 4 6 3 5 4" xfId="11121" xr:uid="{9DA5DDC8-0195-4B0F-A84E-C8A28690932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DF425F1C-A544-44A2-AB46-E70F3EC9AF7F}"/>
    <cellStyle name="Normal 4 6 3 6 2 3" xfId="13679" xr:uid="{609C7B15-E304-46FE-BD38-B9C0555DF054}"/>
    <cellStyle name="Normal 4 6 3 6 3" xfId="6425" xr:uid="{00000000-0005-0000-0000-000077160000}"/>
    <cellStyle name="Normal 4 6 3 6 3 2" xfId="15751" xr:uid="{5FFFA0B9-7DE5-4D30-85BD-4AC0E0269949}"/>
    <cellStyle name="Normal 4 6 3 6 4" xfId="11534" xr:uid="{C2558283-5750-4C8F-88E9-0718461366C2}"/>
    <cellStyle name="Normal 4 6 3 7" xfId="2555" xr:uid="{00000000-0005-0000-0000-000078160000}"/>
    <cellStyle name="Normal 4 6 3 7 2" xfId="6838" xr:uid="{00000000-0005-0000-0000-000079160000}"/>
    <cellStyle name="Normal 4 6 3 7 2 2" xfId="16164" xr:uid="{A2D6B6EC-F406-4292-9722-D65673C818B2}"/>
    <cellStyle name="Normal 4 6 3 7 3" xfId="11947" xr:uid="{F606F9F2-1D38-4D7C-B32D-8132FE72F593}"/>
    <cellStyle name="Normal 4 6 3 8" xfId="4773" xr:uid="{00000000-0005-0000-0000-00007A160000}"/>
    <cellStyle name="Normal 4 6 3 8 2" xfId="14099" xr:uid="{8DA5C78C-D9E2-4AFF-97E4-E5C98C729EA7}"/>
    <cellStyle name="Normal 4 6 3 9" xfId="8875" xr:uid="{DFD24C28-B729-444D-A0F6-B5522ED354D5}"/>
    <cellStyle name="Normal 4 6 3 9 2" xfId="18199" xr:uid="{9B0AF53F-4504-4F24-B19A-10E062D241D6}"/>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503312AF-828E-4A08-B959-7DDFD91BF11A}"/>
    <cellStyle name="Normal 4 6 4 2 2 3" xfId="12442" xr:uid="{CD18746D-C489-400F-908B-AF2A9EBAF87E}"/>
    <cellStyle name="Normal 4 6 4 2 3" xfId="5188" xr:uid="{00000000-0005-0000-0000-00007F160000}"/>
    <cellStyle name="Normal 4 6 4 2 3 2" xfId="14514" xr:uid="{67F73C2F-183A-4801-9E59-4062A45F2364}"/>
    <cellStyle name="Normal 4 6 4 2 4" xfId="9404" xr:uid="{D1BAB6D6-35EF-4C34-91EA-2EB17352CDF9}"/>
    <cellStyle name="Normal 4 6 4 2 4 2" xfId="18719" xr:uid="{8CE53FCB-585F-4D5A-9A0C-08676461BF12}"/>
    <cellStyle name="Normal 4 6 4 2 5" xfId="10297" xr:uid="{5FB65119-171C-4075-B6EA-0851353D2CC8}"/>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5DFF3051-373A-44B4-B0A2-9312579C0C10}"/>
    <cellStyle name="Normal 4 6 4 3 2 3" xfId="12855" xr:uid="{6B19F8B7-5CD9-4760-9FCB-E5AE5237778F}"/>
    <cellStyle name="Normal 4 6 4 3 3" xfId="5601" xr:uid="{00000000-0005-0000-0000-000083160000}"/>
    <cellStyle name="Normal 4 6 4 3 3 2" xfId="14927" xr:uid="{684C4E8C-64E9-4427-9149-75A99A268CEF}"/>
    <cellStyle name="Normal 4 6 4 3 4" xfId="10710" xr:uid="{3D330721-6FC2-44A0-9F9F-4D96B3DAB60B}"/>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0B9F75E2-5811-4C8A-B69D-0E433159132F}"/>
    <cellStyle name="Normal 4 6 4 4 2 3" xfId="13268" xr:uid="{FB4C8D4A-A91D-4A60-AC91-849D0CF55267}"/>
    <cellStyle name="Normal 4 6 4 4 3" xfId="6014" xr:uid="{00000000-0005-0000-0000-000087160000}"/>
    <cellStyle name="Normal 4 6 4 4 3 2" xfId="15340" xr:uid="{AD789A1F-85A4-43C9-9F47-C9C6CE4B7E8E}"/>
    <cellStyle name="Normal 4 6 4 4 4" xfId="11123" xr:uid="{335AC43F-7FD0-4D37-A18D-60077F3A4739}"/>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DB576C07-2102-49F5-AC7A-D3D1A6240EA6}"/>
    <cellStyle name="Normal 4 6 4 5 2 3" xfId="13681" xr:uid="{9AB24691-4564-439E-A839-249CBEFA8807}"/>
    <cellStyle name="Normal 4 6 4 5 3" xfId="6427" xr:uid="{00000000-0005-0000-0000-00008B160000}"/>
    <cellStyle name="Normal 4 6 4 5 3 2" xfId="15753" xr:uid="{3427F819-1F3D-4D95-BD72-12F0297F3B36}"/>
    <cellStyle name="Normal 4 6 4 5 4" xfId="11536" xr:uid="{A4F3AEEB-323D-437B-BC70-C5672DF9CC54}"/>
    <cellStyle name="Normal 4 6 4 6" xfId="2557" xr:uid="{00000000-0005-0000-0000-00008C160000}"/>
    <cellStyle name="Normal 4 6 4 6 2" xfId="6840" xr:uid="{00000000-0005-0000-0000-00008D160000}"/>
    <cellStyle name="Normal 4 6 4 6 2 2" xfId="16166" xr:uid="{6B150118-29B7-4999-8C94-7AB42E8D686D}"/>
    <cellStyle name="Normal 4 6 4 6 3" xfId="11949" xr:uid="{32FD29F5-B6B3-4E93-94FD-A3C027651390}"/>
    <cellStyle name="Normal 4 6 4 7" xfId="4775" xr:uid="{00000000-0005-0000-0000-00008E160000}"/>
    <cellStyle name="Normal 4 6 4 7 2" xfId="14101" xr:uid="{82142F0D-500E-4229-95E5-C26F87FD181D}"/>
    <cellStyle name="Normal 4 6 4 8" xfId="8979" xr:uid="{358D1440-F461-4509-8416-8F78F7D13FF4}"/>
    <cellStyle name="Normal 4 6 4 8 2" xfId="18303" xr:uid="{BE247116-A5C9-4F81-B1D8-A7C22DCA55C9}"/>
    <cellStyle name="Normal 4 6 4 9" xfId="9884" xr:uid="{48FE09D3-3666-4593-8625-AE5B0BB967CE}"/>
    <cellStyle name="Normal 4 6 5" xfId="869" xr:uid="{00000000-0005-0000-0000-00008F160000}"/>
    <cellStyle name="Normal 4 6 5 2" xfId="3104" xr:uid="{00000000-0005-0000-0000-000090160000}"/>
    <cellStyle name="Normal 4 6 5 2 2" xfId="7326" xr:uid="{00000000-0005-0000-0000-000091160000}"/>
    <cellStyle name="Normal 4 6 5 2 2 2" xfId="16652" xr:uid="{FA4473B2-73A2-4E86-B0B5-722E9CDE2A97}"/>
    <cellStyle name="Normal 4 6 5 2 3" xfId="12435" xr:uid="{83D8AD3A-CB8E-484A-A004-EAB76E40C1CE}"/>
    <cellStyle name="Normal 4 6 5 3" xfId="5181" xr:uid="{00000000-0005-0000-0000-000092160000}"/>
    <cellStyle name="Normal 4 6 5 3 2" xfId="14507" xr:uid="{7DFF62D9-F2D1-4C37-9FD0-868E976D2BA0}"/>
    <cellStyle name="Normal 4 6 5 4" xfId="9196" xr:uid="{8DF5D81E-BEC3-4373-A99C-2D9CDEEBBA3C}"/>
    <cellStyle name="Normal 4 6 5 4 2" xfId="18512" xr:uid="{34823924-01D2-46E9-9404-344F53EED047}"/>
    <cellStyle name="Normal 4 6 5 5" xfId="10290" xr:uid="{FD044913-3E62-4CE0-AF09-478E0CAECDB5}"/>
    <cellStyle name="Normal 4 6 6" xfId="1287" xr:uid="{00000000-0005-0000-0000-000093160000}"/>
    <cellStyle name="Normal 4 6 6 2" xfId="3517" xr:uid="{00000000-0005-0000-0000-000094160000}"/>
    <cellStyle name="Normal 4 6 6 2 2" xfId="7739" xr:uid="{00000000-0005-0000-0000-000095160000}"/>
    <cellStyle name="Normal 4 6 6 2 2 2" xfId="17065" xr:uid="{5BD6BF6B-9CE2-4378-A638-025A5EB7FDDE}"/>
    <cellStyle name="Normal 4 6 6 2 3" xfId="12848" xr:uid="{DB36D303-672D-4805-80F7-40E4964F10C1}"/>
    <cellStyle name="Normal 4 6 6 3" xfId="5594" xr:uid="{00000000-0005-0000-0000-000096160000}"/>
    <cellStyle name="Normal 4 6 6 3 2" xfId="14920" xr:uid="{0F5197F7-4C6C-42A9-99D9-0E6DDF186CBE}"/>
    <cellStyle name="Normal 4 6 6 4" xfId="10703" xr:uid="{7D096DF7-09EF-47D2-965A-20FAE2FCCE80}"/>
    <cellStyle name="Normal 4 6 7" xfId="1700" xr:uid="{00000000-0005-0000-0000-000097160000}"/>
    <cellStyle name="Normal 4 6 7 2" xfId="3930" xr:uid="{00000000-0005-0000-0000-000098160000}"/>
    <cellStyle name="Normal 4 6 7 2 2" xfId="8152" xr:uid="{00000000-0005-0000-0000-000099160000}"/>
    <cellStyle name="Normal 4 6 7 2 2 2" xfId="17478" xr:uid="{4822656A-2A27-4D14-9F71-5AEEDAF5EF8F}"/>
    <cellStyle name="Normal 4 6 7 2 3" xfId="13261" xr:uid="{024F2214-4B20-49FE-887E-164EDF729539}"/>
    <cellStyle name="Normal 4 6 7 3" xfId="6007" xr:uid="{00000000-0005-0000-0000-00009A160000}"/>
    <cellStyle name="Normal 4 6 7 3 2" xfId="15333" xr:uid="{3795DD9A-E248-4FCB-8893-25A2F68D166A}"/>
    <cellStyle name="Normal 4 6 7 4" xfId="11116" xr:uid="{760DF8BB-B0E0-4A45-8FEE-5D677D5601F9}"/>
    <cellStyle name="Normal 4 6 8" xfId="2114" xr:uid="{00000000-0005-0000-0000-00009B160000}"/>
    <cellStyle name="Normal 4 6 8 2" xfId="4343" xr:uid="{00000000-0005-0000-0000-00009C160000}"/>
    <cellStyle name="Normal 4 6 8 2 2" xfId="8565" xr:uid="{00000000-0005-0000-0000-00009D160000}"/>
    <cellStyle name="Normal 4 6 8 2 2 2" xfId="17891" xr:uid="{765BCE52-1CE2-45B0-90B2-18F1AB9D5037}"/>
    <cellStyle name="Normal 4 6 8 2 3" xfId="13674" xr:uid="{EB639B7F-1655-441F-A007-0BB4BCD1586D}"/>
    <cellStyle name="Normal 4 6 8 3" xfId="6420" xr:uid="{00000000-0005-0000-0000-00009E160000}"/>
    <cellStyle name="Normal 4 6 8 3 2" xfId="15746" xr:uid="{109F23D1-C9F2-4724-9B7F-AA18C20205F7}"/>
    <cellStyle name="Normal 4 6 8 4" xfId="11529" xr:uid="{442B43EC-CDC5-45B1-A9A5-01234F73668A}"/>
    <cellStyle name="Normal 4 6 9" xfId="2550" xr:uid="{00000000-0005-0000-0000-00009F160000}"/>
    <cellStyle name="Normal 4 6 9 2" xfId="6833" xr:uid="{00000000-0005-0000-0000-0000A0160000}"/>
    <cellStyle name="Normal 4 6 9 2 2" xfId="16159" xr:uid="{781F6844-9379-4D01-BD7E-4256CB3B7B55}"/>
    <cellStyle name="Normal 4 6 9 3" xfId="11942" xr:uid="{95D76B18-4162-4141-9EAD-FB1EDD15684A}"/>
    <cellStyle name="Normal 4 7" xfId="403" xr:uid="{00000000-0005-0000-0000-0000A1160000}"/>
    <cellStyle name="Normal 4 7 10" xfId="9885" xr:uid="{220032FB-EB50-4645-924E-BE8C153FFA65}"/>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44362DD1-CC8A-4557-A079-177F9C5609BF}"/>
    <cellStyle name="Normal 4 7 2 2 2 3" xfId="12444" xr:uid="{FA672329-5E10-416E-A311-915CB201F27D}"/>
    <cellStyle name="Normal 4 7 2 2 3" xfId="5190" xr:uid="{00000000-0005-0000-0000-0000A6160000}"/>
    <cellStyle name="Normal 4 7 2 2 3 2" xfId="14516" xr:uid="{C7AEA27A-49A7-4823-B919-56DAAA0D71D1}"/>
    <cellStyle name="Normal 4 7 2 2 4" xfId="9475" xr:uid="{1E309EF6-7D7C-4A4D-B2F1-E00D0CF6E167}"/>
    <cellStyle name="Normal 4 7 2 2 4 2" xfId="18790" xr:uid="{4ED38CD3-7212-4070-93B7-E784E4220D36}"/>
    <cellStyle name="Normal 4 7 2 2 5" xfId="10299" xr:uid="{C4E805B7-8A64-41E0-AC23-D7B342CA348D}"/>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58244994-95F1-4B2E-AC75-A78BCC9B8C3D}"/>
    <cellStyle name="Normal 4 7 2 3 2 3" xfId="12857" xr:uid="{86C70EBE-B47F-42A7-A84F-0295C1BA8859}"/>
    <cellStyle name="Normal 4 7 2 3 3" xfId="5603" xr:uid="{00000000-0005-0000-0000-0000AA160000}"/>
    <cellStyle name="Normal 4 7 2 3 3 2" xfId="14929" xr:uid="{1E616721-9D1D-4A98-9E33-D76585A1116D}"/>
    <cellStyle name="Normal 4 7 2 3 4" xfId="10712" xr:uid="{47DD4E64-46E3-4861-9882-3F22A5407D11}"/>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901B8D4F-B6D0-4D0F-8132-56DC0BF58D30}"/>
    <cellStyle name="Normal 4 7 2 4 2 3" xfId="13270" xr:uid="{56FA6176-CD10-407A-8E21-4E9DEC6212B1}"/>
    <cellStyle name="Normal 4 7 2 4 3" xfId="6016" xr:uid="{00000000-0005-0000-0000-0000AE160000}"/>
    <cellStyle name="Normal 4 7 2 4 3 2" xfId="15342" xr:uid="{EF13F740-7007-461E-9703-C12E0BC00383}"/>
    <cellStyle name="Normal 4 7 2 4 4" xfId="11125" xr:uid="{ED823E51-21E4-4F59-B951-254F1B8F116E}"/>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3A35F90F-D343-4F34-BD60-8703C7AF0158}"/>
    <cellStyle name="Normal 4 7 2 5 2 3" xfId="13683" xr:uid="{229F5958-BAFC-4094-ABE3-6A8664BE6346}"/>
    <cellStyle name="Normal 4 7 2 5 3" xfId="6429" xr:uid="{00000000-0005-0000-0000-0000B2160000}"/>
    <cellStyle name="Normal 4 7 2 5 3 2" xfId="15755" xr:uid="{5292C7D4-530A-4A08-BC22-126680842025}"/>
    <cellStyle name="Normal 4 7 2 5 4" xfId="11538" xr:uid="{D3D14FC9-EDCC-436E-92B9-3F0A88CF51FD}"/>
    <cellStyle name="Normal 4 7 2 6" xfId="2559" xr:uid="{00000000-0005-0000-0000-0000B3160000}"/>
    <cellStyle name="Normal 4 7 2 6 2" xfId="6842" xr:uid="{00000000-0005-0000-0000-0000B4160000}"/>
    <cellStyle name="Normal 4 7 2 6 2 2" xfId="16168" xr:uid="{5C29CC23-DFFC-4AA2-932F-D625C1204B8D}"/>
    <cellStyle name="Normal 4 7 2 6 3" xfId="11951" xr:uid="{4C42B047-A956-4832-B3DC-3E220EB20A7B}"/>
    <cellStyle name="Normal 4 7 2 7" xfId="4777" xr:uid="{00000000-0005-0000-0000-0000B5160000}"/>
    <cellStyle name="Normal 4 7 2 7 2" xfId="14103" xr:uid="{DCF73D29-5FAC-4172-B8B6-BBA6CE9D78F1}"/>
    <cellStyle name="Normal 4 7 2 8" xfId="9050" xr:uid="{C18A0BCD-6C40-47C4-AC72-E06914F008F6}"/>
    <cellStyle name="Normal 4 7 2 8 2" xfId="18374" xr:uid="{F03367DE-ABA2-40AC-A5ED-09DBAE5DBAD9}"/>
    <cellStyle name="Normal 4 7 2 9" xfId="9886" xr:uid="{65B2BE3B-1730-4321-9D05-53EBDB4B1278}"/>
    <cellStyle name="Normal 4 7 3" xfId="877" xr:uid="{00000000-0005-0000-0000-0000B6160000}"/>
    <cellStyle name="Normal 4 7 3 2" xfId="3112" xr:uid="{00000000-0005-0000-0000-0000B7160000}"/>
    <cellStyle name="Normal 4 7 3 2 2" xfId="7334" xr:uid="{00000000-0005-0000-0000-0000B8160000}"/>
    <cellStyle name="Normal 4 7 3 2 2 2" xfId="16660" xr:uid="{1CC63895-A0B3-45A0-8F80-801BC9492CB4}"/>
    <cellStyle name="Normal 4 7 3 2 3" xfId="12443" xr:uid="{DB6A9BB2-0012-411C-A667-7FC1147AEBDD}"/>
    <cellStyle name="Normal 4 7 3 3" xfId="5189" xr:uid="{00000000-0005-0000-0000-0000B9160000}"/>
    <cellStyle name="Normal 4 7 3 3 2" xfId="14515" xr:uid="{435E2AE2-0F13-46B0-8039-13EDF31A91C0}"/>
    <cellStyle name="Normal 4 7 3 4" xfId="9268" xr:uid="{83DA99B2-5D77-4110-AEB9-304D3ECEF3EB}"/>
    <cellStyle name="Normal 4 7 3 4 2" xfId="18583" xr:uid="{68907BE0-00C7-4792-B391-CA7EF1519F64}"/>
    <cellStyle name="Normal 4 7 3 5" xfId="10298" xr:uid="{E9292C31-A236-4130-9B90-2FE7FC45E8C4}"/>
    <cellStyle name="Normal 4 7 4" xfId="1295" xr:uid="{00000000-0005-0000-0000-0000BA160000}"/>
    <cellStyle name="Normal 4 7 4 2" xfId="3525" xr:uid="{00000000-0005-0000-0000-0000BB160000}"/>
    <cellStyle name="Normal 4 7 4 2 2" xfId="7747" xr:uid="{00000000-0005-0000-0000-0000BC160000}"/>
    <cellStyle name="Normal 4 7 4 2 2 2" xfId="17073" xr:uid="{657DE86B-F0B2-4EB7-89A0-6139018D862A}"/>
    <cellStyle name="Normal 4 7 4 2 3" xfId="12856" xr:uid="{848F5012-D999-4B9C-BA2A-D6D2E5294824}"/>
    <cellStyle name="Normal 4 7 4 3" xfId="5602" xr:uid="{00000000-0005-0000-0000-0000BD160000}"/>
    <cellStyle name="Normal 4 7 4 3 2" xfId="14928" xr:uid="{284E18E8-580A-4EF1-90A1-6DB8B8D27176}"/>
    <cellStyle name="Normal 4 7 4 4" xfId="10711" xr:uid="{E202223A-F217-4C18-AA24-B36BE7A99C5E}"/>
    <cellStyle name="Normal 4 7 5" xfId="1708" xr:uid="{00000000-0005-0000-0000-0000BE160000}"/>
    <cellStyle name="Normal 4 7 5 2" xfId="3938" xr:uid="{00000000-0005-0000-0000-0000BF160000}"/>
    <cellStyle name="Normal 4 7 5 2 2" xfId="8160" xr:uid="{00000000-0005-0000-0000-0000C0160000}"/>
    <cellStyle name="Normal 4 7 5 2 2 2" xfId="17486" xr:uid="{BCC6FC7E-A244-4EA4-A809-C46470EF9861}"/>
    <cellStyle name="Normal 4 7 5 2 3" xfId="13269" xr:uid="{3E1CFDAE-E6FA-4B01-9EE9-E1ED73DAA2EB}"/>
    <cellStyle name="Normal 4 7 5 3" xfId="6015" xr:uid="{00000000-0005-0000-0000-0000C1160000}"/>
    <cellStyle name="Normal 4 7 5 3 2" xfId="15341" xr:uid="{2E0D8113-2B36-45A0-986C-704D4271F262}"/>
    <cellStyle name="Normal 4 7 5 4" xfId="11124" xr:uid="{C0721069-E437-4ECC-A000-7B76249E4F81}"/>
    <cellStyle name="Normal 4 7 6" xfId="2122" xr:uid="{00000000-0005-0000-0000-0000C2160000}"/>
    <cellStyle name="Normal 4 7 6 2" xfId="4351" xr:uid="{00000000-0005-0000-0000-0000C3160000}"/>
    <cellStyle name="Normal 4 7 6 2 2" xfId="8573" xr:uid="{00000000-0005-0000-0000-0000C4160000}"/>
    <cellStyle name="Normal 4 7 6 2 2 2" xfId="17899" xr:uid="{18E5F7C9-B2B4-4A93-AF66-CEFE004B2669}"/>
    <cellStyle name="Normal 4 7 6 2 3" xfId="13682" xr:uid="{342145A3-A75F-44AA-8B69-BD53FF017C32}"/>
    <cellStyle name="Normal 4 7 6 3" xfId="6428" xr:uid="{00000000-0005-0000-0000-0000C5160000}"/>
    <cellStyle name="Normal 4 7 6 3 2" xfId="15754" xr:uid="{54E254E4-297C-4A94-A502-5B680D6E3DD8}"/>
    <cellStyle name="Normal 4 7 6 4" xfId="11537" xr:uid="{B0F31137-022D-451F-89D0-913E29A5A315}"/>
    <cellStyle name="Normal 4 7 7" xfId="2558" xr:uid="{00000000-0005-0000-0000-0000C6160000}"/>
    <cellStyle name="Normal 4 7 7 2" xfId="6841" xr:uid="{00000000-0005-0000-0000-0000C7160000}"/>
    <cellStyle name="Normal 4 7 7 2 2" xfId="16167" xr:uid="{5272C255-B6AB-4126-9BDF-444CBFA74209}"/>
    <cellStyle name="Normal 4 7 7 3" xfId="11950" xr:uid="{5799E2F0-3BEE-4953-8DB5-2699E76DE819}"/>
    <cellStyle name="Normal 4 7 8" xfId="4776" xr:uid="{00000000-0005-0000-0000-0000C8160000}"/>
    <cellStyle name="Normal 4 7 8 2" xfId="14102" xr:uid="{DAC308B3-7F24-431D-8756-BDA6291DCC4D}"/>
    <cellStyle name="Normal 4 7 9" xfId="8843" xr:uid="{092972D9-0015-4C5A-94A6-5AFD2026266B}"/>
    <cellStyle name="Normal 4 7 9 2" xfId="18167" xr:uid="{00E472F9-33A6-430A-84F6-1A5A8694FF96}"/>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DE73EB46-7A7B-488B-964E-35BC3FD527CC}"/>
    <cellStyle name="Normal 4 8 2 2 3" xfId="12445" xr:uid="{7E818AF7-ADDA-4B36-BBCC-6027B462DC6A}"/>
    <cellStyle name="Normal 4 8 2 3" xfId="5191" xr:uid="{00000000-0005-0000-0000-0000CD160000}"/>
    <cellStyle name="Normal 4 8 2 3 2" xfId="14517" xr:uid="{3C411B19-D629-4C60-921F-DE0C133E1E6A}"/>
    <cellStyle name="Normal 4 8 2 4" xfId="9384" xr:uid="{6351F1DA-E485-4044-8429-C0AE76E79EEE}"/>
    <cellStyle name="Normal 4 8 2 4 2" xfId="18699" xr:uid="{55079A27-70B6-4DE0-BCE0-3E75B5171B27}"/>
    <cellStyle name="Normal 4 8 2 5" xfId="10300" xr:uid="{6E5ADF12-20D3-4FF3-8212-51137CD06C36}"/>
    <cellStyle name="Normal 4 8 3" xfId="1297" xr:uid="{00000000-0005-0000-0000-0000CE160000}"/>
    <cellStyle name="Normal 4 8 3 2" xfId="3527" xr:uid="{00000000-0005-0000-0000-0000CF160000}"/>
    <cellStyle name="Normal 4 8 3 2 2" xfId="7749" xr:uid="{00000000-0005-0000-0000-0000D0160000}"/>
    <cellStyle name="Normal 4 8 3 2 2 2" xfId="17075" xr:uid="{25431F1C-40F3-4EB9-B7D7-91A8B97C0EFF}"/>
    <cellStyle name="Normal 4 8 3 2 3" xfId="12858" xr:uid="{C55D5B0D-B727-4FF1-ADB9-9393EEE39630}"/>
    <cellStyle name="Normal 4 8 3 3" xfId="5604" xr:uid="{00000000-0005-0000-0000-0000D1160000}"/>
    <cellStyle name="Normal 4 8 3 3 2" xfId="14930" xr:uid="{DCC41E9F-7758-4F9F-8877-13A77174961C}"/>
    <cellStyle name="Normal 4 8 3 4" xfId="10713" xr:uid="{E4DE54DF-E1F0-430E-9589-2A083173B4B7}"/>
    <cellStyle name="Normal 4 8 4" xfId="1710" xr:uid="{00000000-0005-0000-0000-0000D2160000}"/>
    <cellStyle name="Normal 4 8 4 2" xfId="3940" xr:uid="{00000000-0005-0000-0000-0000D3160000}"/>
    <cellStyle name="Normal 4 8 4 2 2" xfId="8162" xr:uid="{00000000-0005-0000-0000-0000D4160000}"/>
    <cellStyle name="Normal 4 8 4 2 2 2" xfId="17488" xr:uid="{2752BF7B-CA1B-4866-A651-B463AEE3AED2}"/>
    <cellStyle name="Normal 4 8 4 2 3" xfId="13271" xr:uid="{F4DB2F2A-6882-4D3D-89BC-76B08C50D293}"/>
    <cellStyle name="Normal 4 8 4 3" xfId="6017" xr:uid="{00000000-0005-0000-0000-0000D5160000}"/>
    <cellStyle name="Normal 4 8 4 3 2" xfId="15343" xr:uid="{29E67609-B75F-41F5-A0E4-BDF1F8196B59}"/>
    <cellStyle name="Normal 4 8 4 4" xfId="11126" xr:uid="{A71862C9-22B4-4CCE-A882-2B2FE055CA68}"/>
    <cellStyle name="Normal 4 8 5" xfId="2124" xr:uid="{00000000-0005-0000-0000-0000D6160000}"/>
    <cellStyle name="Normal 4 8 5 2" xfId="4353" xr:uid="{00000000-0005-0000-0000-0000D7160000}"/>
    <cellStyle name="Normal 4 8 5 2 2" xfId="8575" xr:uid="{00000000-0005-0000-0000-0000D8160000}"/>
    <cellStyle name="Normal 4 8 5 2 2 2" xfId="17901" xr:uid="{82443E62-F2AE-405D-8A49-37A9CC57F646}"/>
    <cellStyle name="Normal 4 8 5 2 3" xfId="13684" xr:uid="{37B31A51-3CD0-447C-A616-55E30E46A62A}"/>
    <cellStyle name="Normal 4 8 5 3" xfId="6430" xr:uid="{00000000-0005-0000-0000-0000D9160000}"/>
    <cellStyle name="Normal 4 8 5 3 2" xfId="15756" xr:uid="{6C4F04CE-5E18-488E-B810-CB7EE6A7E376}"/>
    <cellStyle name="Normal 4 8 5 4" xfId="11539" xr:uid="{DADC71ED-29CA-4D5C-82A7-9A0E971905B5}"/>
    <cellStyle name="Normal 4 8 6" xfId="2560" xr:uid="{00000000-0005-0000-0000-0000DA160000}"/>
    <cellStyle name="Normal 4 8 6 2" xfId="6843" xr:uid="{00000000-0005-0000-0000-0000DB160000}"/>
    <cellStyle name="Normal 4 8 6 2 2" xfId="16169" xr:uid="{C1A6E1E7-54FE-4483-8532-D175B70AC95D}"/>
    <cellStyle name="Normal 4 8 6 3" xfId="11952" xr:uid="{089E2CCB-505E-432E-8F66-5BA9105D82D4}"/>
    <cellStyle name="Normal 4 8 7" xfId="4778" xr:uid="{00000000-0005-0000-0000-0000DC160000}"/>
    <cellStyle name="Normal 4 8 7 2" xfId="14104" xr:uid="{AB4EB350-56D8-4FCC-B1EE-8E333FC64335}"/>
    <cellStyle name="Normal 4 8 8" xfId="8959" xr:uid="{E3216EF3-66EB-48FF-967C-A258B3C3F4FF}"/>
    <cellStyle name="Normal 4 8 8 2" xfId="18283" xr:uid="{79AC15E7-6CC5-43F0-ACFD-76F9813C3B2F}"/>
    <cellStyle name="Normal 4 8 9" xfId="9887" xr:uid="{55C53FF8-77AF-47F4-A8B2-91A26734B4EC}"/>
    <cellStyle name="Normal 4 9" xfId="4715" xr:uid="{00000000-0005-0000-0000-0000DD160000}"/>
    <cellStyle name="Normal 4 9 2" xfId="9162" xr:uid="{BC355FAB-4557-4712-A03F-EB5522B29E6A}"/>
    <cellStyle name="Normal 4 9 2 2" xfId="18480" xr:uid="{23E3F882-DD4F-42F2-8ADC-B1638E766E2B}"/>
    <cellStyle name="Normal 4 9 3" xfId="14041" xr:uid="{6D223F2F-E2F1-4737-A924-B28D44AB6F37}"/>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DBD04688-A26B-414B-AC14-849EEC96A386}"/>
    <cellStyle name="Normal 5 10 2 3" xfId="13272" xr:uid="{C242EFCC-8F11-4D44-BE20-110D9DAF3339}"/>
    <cellStyle name="Normal 5 10 3" xfId="6018" xr:uid="{00000000-0005-0000-0000-0000E2160000}"/>
    <cellStyle name="Normal 5 10 3 2" xfId="15344" xr:uid="{CA676F96-F06B-465F-BB93-CB3E34DAE414}"/>
    <cellStyle name="Normal 5 10 4" xfId="11127" xr:uid="{4A3DCE9F-9ECB-44A6-A45D-2930AF79CB43}"/>
    <cellStyle name="Normal 5 11" xfId="2125" xr:uid="{00000000-0005-0000-0000-0000E3160000}"/>
    <cellStyle name="Normal 5 11 2" xfId="4354" xr:uid="{00000000-0005-0000-0000-0000E4160000}"/>
    <cellStyle name="Normal 5 11 2 2" xfId="8576" xr:uid="{00000000-0005-0000-0000-0000E5160000}"/>
    <cellStyle name="Normal 5 11 2 2 2" xfId="17902" xr:uid="{4C01949B-5527-4988-A31C-193B091FE529}"/>
    <cellStyle name="Normal 5 11 2 3" xfId="13685" xr:uid="{1E528FCE-344F-42BA-8010-1406114F5AF2}"/>
    <cellStyle name="Normal 5 11 3" xfId="6431" xr:uid="{00000000-0005-0000-0000-0000E6160000}"/>
    <cellStyle name="Normal 5 11 3 2" xfId="15757" xr:uid="{1D27D4E5-8100-48B4-8E1A-2A2F7EB349D4}"/>
    <cellStyle name="Normal 5 11 4" xfId="11540" xr:uid="{63A3DFB2-ACE9-42AD-951B-F9925A3017DD}"/>
    <cellStyle name="Normal 5 12" xfId="2561" xr:uid="{00000000-0005-0000-0000-0000E7160000}"/>
    <cellStyle name="Normal 5 12 2" xfId="6844" xr:uid="{00000000-0005-0000-0000-0000E8160000}"/>
    <cellStyle name="Normal 5 12 2 2" xfId="16170" xr:uid="{9B2EB409-BD42-43D3-A27E-CEC4E6C88CC8}"/>
    <cellStyle name="Normal 5 12 3" xfId="11953" xr:uid="{EE87EFA8-C73D-48F7-B7D2-0151F29B573D}"/>
    <cellStyle name="Normal 5 13" xfId="4779" xr:uid="{00000000-0005-0000-0000-0000E9160000}"/>
    <cellStyle name="Normal 5 13 2" xfId="14105" xr:uid="{7039523D-260A-4167-81BB-52E6C3898F3E}"/>
    <cellStyle name="Normal 5 14" xfId="8741" xr:uid="{6467398C-BC57-47BF-AF01-9B3356F8431F}"/>
    <cellStyle name="Normal 5 14 2" xfId="18065" xr:uid="{D92607F6-F1AE-4FC3-AD03-53A3292F6E3C}"/>
    <cellStyle name="Normal 5 15" xfId="9888" xr:uid="{104644A1-629C-4ADF-8305-879E7E7A855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ABA27A8B-8CBA-4923-BB6F-CE06F7211F3D}"/>
    <cellStyle name="Normal 5 2 10 2 3" xfId="13686" xr:uid="{88601B50-E3DB-44AB-8ADD-650B87218913}"/>
    <cellStyle name="Normal 5 2 10 3" xfId="6432" xr:uid="{00000000-0005-0000-0000-0000EE160000}"/>
    <cellStyle name="Normal 5 2 10 3 2" xfId="15758" xr:uid="{DD2AABDE-5E01-40AD-96A8-359E84B6D1BD}"/>
    <cellStyle name="Normal 5 2 10 4" xfId="11541" xr:uid="{D50C7834-523F-45B0-9FFE-DA79638C3FCC}"/>
    <cellStyle name="Normal 5 2 11" xfId="2562" xr:uid="{00000000-0005-0000-0000-0000EF160000}"/>
    <cellStyle name="Normal 5 2 11 2" xfId="6845" xr:uid="{00000000-0005-0000-0000-0000F0160000}"/>
    <cellStyle name="Normal 5 2 11 2 2" xfId="16171" xr:uid="{AEF7C4B7-50F8-4CEC-814B-B55E3A6E4A90}"/>
    <cellStyle name="Normal 5 2 11 3" xfId="11954" xr:uid="{F16C5800-C2F8-46BE-B2E2-1BA6EDA664D0}"/>
    <cellStyle name="Normal 5 2 12" xfId="4780" xr:uid="{00000000-0005-0000-0000-0000F1160000}"/>
    <cellStyle name="Normal 5 2 12 2" xfId="14106" xr:uid="{C0A50E19-8E5D-42D5-8391-483D7F5F0A22}"/>
    <cellStyle name="Normal 5 2 13" xfId="8744" xr:uid="{40D5DF2B-E9DF-4D52-AAE0-3E5A94050B59}"/>
    <cellStyle name="Normal 5 2 13 2" xfId="18068" xr:uid="{E6AE39A1-798B-4114-A40C-8AEA09667CE7}"/>
    <cellStyle name="Normal 5 2 14" xfId="9889" xr:uid="{2C307A7C-6F17-45CB-88AC-7C0BB9C9C02E}"/>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B6C4E21-4EB8-4D14-8AC1-56DECF79D864}"/>
    <cellStyle name="Normal 5 2 2 10 3" xfId="11955" xr:uid="{454488E9-0E1B-43FF-85B5-FBE289696B45}"/>
    <cellStyle name="Normal 5 2 2 11" xfId="4781" xr:uid="{00000000-0005-0000-0000-0000F5160000}"/>
    <cellStyle name="Normal 5 2 2 11 2" xfId="14107" xr:uid="{8EFC6F95-CF5F-460B-964B-E0F6A01C6C55}"/>
    <cellStyle name="Normal 5 2 2 12" xfId="8753" xr:uid="{96D04E2F-D92F-448D-9FDA-8261D8BEE094}"/>
    <cellStyle name="Normal 5 2 2 12 2" xfId="18077" xr:uid="{0A8CFCF2-8857-4AF0-A07A-2919200A97A1}"/>
    <cellStyle name="Normal 5 2 2 13" xfId="9890" xr:uid="{99EB0EAB-D701-452A-B20E-6F1539E34BD0}"/>
    <cellStyle name="Normal 5 2 2 2" xfId="409" xr:uid="{00000000-0005-0000-0000-0000F6160000}"/>
    <cellStyle name="Normal 5 2 2 2 10" xfId="4782" xr:uid="{00000000-0005-0000-0000-0000F7160000}"/>
    <cellStyle name="Normal 5 2 2 2 10 2" xfId="14108" xr:uid="{18ECA74D-92E6-42AE-BDD4-949FCB15CD3D}"/>
    <cellStyle name="Normal 5 2 2 2 11" xfId="8771" xr:uid="{0E58ED1C-12F1-4692-801F-170CA6F7CBDB}"/>
    <cellStyle name="Normal 5 2 2 2 11 2" xfId="18095" xr:uid="{C310E6B0-ED34-49C8-B4EE-D036C9B4B5B7}"/>
    <cellStyle name="Normal 5 2 2 2 12" xfId="9891" xr:uid="{DD9C94C6-E5DC-40A9-9290-CC19748D9FED}"/>
    <cellStyle name="Normal 5 2 2 2 2" xfId="410" xr:uid="{00000000-0005-0000-0000-0000F8160000}"/>
    <cellStyle name="Normal 5 2 2 2 2 10" xfId="8829" xr:uid="{AC161972-21E9-4E03-8D2E-9F95632CB08D}"/>
    <cellStyle name="Normal 5 2 2 2 2 10 2" xfId="18153" xr:uid="{DC312450-B49F-4551-99D1-A768FB0A3152}"/>
    <cellStyle name="Normal 5 2 2 2 2 11" xfId="9892" xr:uid="{ED50E821-255A-440B-A10D-E61E243BB33D}"/>
    <cellStyle name="Normal 5 2 2 2 2 2" xfId="411" xr:uid="{00000000-0005-0000-0000-0000F9160000}"/>
    <cellStyle name="Normal 5 2 2 2 2 2 10" xfId="9893" xr:uid="{5D4B2AD1-C133-4023-B9C0-83B93FDE76BD}"/>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AB7E05FE-E174-4854-8717-200D78017BD8}"/>
    <cellStyle name="Normal 5 2 2 2 2 2 2 2 2 3" xfId="12452" xr:uid="{535CECF5-EA06-4AA2-9D4D-B7BA6E3BA67C}"/>
    <cellStyle name="Normal 5 2 2 2 2 2 2 2 3" xfId="5198" xr:uid="{00000000-0005-0000-0000-0000FE160000}"/>
    <cellStyle name="Normal 5 2 2 2 2 2 2 2 3 2" xfId="14524" xr:uid="{2EE21B80-0B15-454D-A203-FE41FE144C42}"/>
    <cellStyle name="Normal 5 2 2 2 2 2 2 2 4" xfId="9564" xr:uid="{15884BE4-44C0-46E7-A184-FC102AAADEB4}"/>
    <cellStyle name="Normal 5 2 2 2 2 2 2 2 4 2" xfId="18879" xr:uid="{B9E90A28-3A37-4EB9-A80B-84EA7A0B559A}"/>
    <cellStyle name="Normal 5 2 2 2 2 2 2 2 5" xfId="10307" xr:uid="{EE71CEBF-57CA-4CED-A6A4-F501D7E9EB2E}"/>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20473C50-0D6F-416D-ABF4-DFE04CC1C751}"/>
    <cellStyle name="Normal 5 2 2 2 2 2 2 3 2 3" xfId="12865" xr:uid="{F945A9EB-0B39-4C65-A176-FB31747C9ABD}"/>
    <cellStyle name="Normal 5 2 2 2 2 2 2 3 3" xfId="5611" xr:uid="{00000000-0005-0000-0000-000002170000}"/>
    <cellStyle name="Normal 5 2 2 2 2 2 2 3 3 2" xfId="14937" xr:uid="{445F88F0-A63C-4C99-82A7-B720D00A8186}"/>
    <cellStyle name="Normal 5 2 2 2 2 2 2 3 4" xfId="10720" xr:uid="{D0D80721-9FC1-4376-8A37-E19B3CB2BD8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BAE36A94-F05D-4C04-BC99-56441F87582D}"/>
    <cellStyle name="Normal 5 2 2 2 2 2 2 4 2 3" xfId="13278" xr:uid="{56EB537D-E459-4991-BF82-04ACF4B7D11C}"/>
    <cellStyle name="Normal 5 2 2 2 2 2 2 4 3" xfId="6024" xr:uid="{00000000-0005-0000-0000-000006170000}"/>
    <cellStyle name="Normal 5 2 2 2 2 2 2 4 3 2" xfId="15350" xr:uid="{0BECD525-32D1-454E-B9FA-FDDDE0717424}"/>
    <cellStyle name="Normal 5 2 2 2 2 2 2 4 4" xfId="11133" xr:uid="{25015D5C-EED9-4A66-A841-7616D0571E8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1B173CC0-5723-4094-9011-5885EF9B560B}"/>
    <cellStyle name="Normal 5 2 2 2 2 2 2 5 2 3" xfId="13691" xr:uid="{6904F796-C0BD-4D63-9E09-3F27D4CE053D}"/>
    <cellStyle name="Normal 5 2 2 2 2 2 2 5 3" xfId="6437" xr:uid="{00000000-0005-0000-0000-00000A170000}"/>
    <cellStyle name="Normal 5 2 2 2 2 2 2 5 3 2" xfId="15763" xr:uid="{2B260E98-16E9-4142-83E6-38D0DC544D88}"/>
    <cellStyle name="Normal 5 2 2 2 2 2 2 5 4" xfId="11546" xr:uid="{EC4378B7-1D69-4660-B574-09E0D4BE83CC}"/>
    <cellStyle name="Normal 5 2 2 2 2 2 2 6" xfId="2567" xr:uid="{00000000-0005-0000-0000-00000B170000}"/>
    <cellStyle name="Normal 5 2 2 2 2 2 2 6 2" xfId="6850" xr:uid="{00000000-0005-0000-0000-00000C170000}"/>
    <cellStyle name="Normal 5 2 2 2 2 2 2 6 2 2" xfId="16176" xr:uid="{847DE9CE-D04F-439E-BA40-C35B9A91549E}"/>
    <cellStyle name="Normal 5 2 2 2 2 2 2 6 3" xfId="11959" xr:uid="{5AEDA28D-0397-4BA8-A158-58ECDD5B057A}"/>
    <cellStyle name="Normal 5 2 2 2 2 2 2 7" xfId="4785" xr:uid="{00000000-0005-0000-0000-00000D170000}"/>
    <cellStyle name="Normal 5 2 2 2 2 2 2 7 2" xfId="14111" xr:uid="{547AC0B0-85DC-4A91-B24E-55ABD60FFDDC}"/>
    <cellStyle name="Normal 5 2 2 2 2 2 2 8" xfId="9139" xr:uid="{CFCC7179-F81D-4929-81F2-C6E64655A093}"/>
    <cellStyle name="Normal 5 2 2 2 2 2 2 8 2" xfId="18463" xr:uid="{C44A9B8B-DB7E-489A-A27A-12C85AB0D18F}"/>
    <cellStyle name="Normal 5 2 2 2 2 2 2 9" xfId="9894" xr:uid="{2E59CEC5-4167-4A06-9961-3AD12711C407}"/>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10AB9F3A-1359-4DA5-A14F-FAC14C5C2253}"/>
    <cellStyle name="Normal 5 2 2 2 2 2 3 2 3" xfId="12451" xr:uid="{E6E69CA2-5016-48B7-968B-F27C7C9AF752}"/>
    <cellStyle name="Normal 5 2 2 2 2 2 3 3" xfId="5197" xr:uid="{00000000-0005-0000-0000-000011170000}"/>
    <cellStyle name="Normal 5 2 2 2 2 2 3 3 2" xfId="14523" xr:uid="{300975FE-739B-45CE-A5B0-4CBCBFA3EAB8}"/>
    <cellStyle name="Normal 5 2 2 2 2 2 3 4" xfId="9357" xr:uid="{1809EB60-9E69-4954-99A5-643CD830C5FB}"/>
    <cellStyle name="Normal 5 2 2 2 2 2 3 4 2" xfId="18672" xr:uid="{605461F1-CA45-4A64-A0B8-6245D55F1BBA}"/>
    <cellStyle name="Normal 5 2 2 2 2 2 3 5" xfId="10306" xr:uid="{C6652ED9-64D4-4159-87EE-04DBFFD45D35}"/>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23A6DC5E-93DB-4D9C-9587-22B173E3146C}"/>
    <cellStyle name="Normal 5 2 2 2 2 2 4 2 3" xfId="12864" xr:uid="{54ED33CF-FBAC-490D-B12B-545528932E6D}"/>
    <cellStyle name="Normal 5 2 2 2 2 2 4 3" xfId="5610" xr:uid="{00000000-0005-0000-0000-000015170000}"/>
    <cellStyle name="Normal 5 2 2 2 2 2 4 3 2" xfId="14936" xr:uid="{FF65E8C1-9539-4528-9BA2-8866638D512B}"/>
    <cellStyle name="Normal 5 2 2 2 2 2 4 4" xfId="10719" xr:uid="{8F8249FB-A11F-473D-B1A6-BE295EE103B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AAD64F58-C961-4F4C-8FA7-0C3D53FE7293}"/>
    <cellStyle name="Normal 5 2 2 2 2 2 5 2 3" xfId="13277" xr:uid="{8D22259D-8191-484B-A9A7-95369BF2C383}"/>
    <cellStyle name="Normal 5 2 2 2 2 2 5 3" xfId="6023" xr:uid="{00000000-0005-0000-0000-000019170000}"/>
    <cellStyle name="Normal 5 2 2 2 2 2 5 3 2" xfId="15349" xr:uid="{0DDC796C-EE64-44BA-BCEC-4C507C50AA47}"/>
    <cellStyle name="Normal 5 2 2 2 2 2 5 4" xfId="11132" xr:uid="{B6C27A71-AA4E-4F09-B9F8-24F0D662F39B}"/>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003E357B-6A44-4842-84BA-A3A662311DFA}"/>
    <cellStyle name="Normal 5 2 2 2 2 2 6 2 3" xfId="13690" xr:uid="{901F4C72-4269-45C5-8887-86C27AA8D8D7}"/>
    <cellStyle name="Normal 5 2 2 2 2 2 6 3" xfId="6436" xr:uid="{00000000-0005-0000-0000-00001D170000}"/>
    <cellStyle name="Normal 5 2 2 2 2 2 6 3 2" xfId="15762" xr:uid="{7791720C-7A3E-4752-A8FB-6AE3E1902BAD}"/>
    <cellStyle name="Normal 5 2 2 2 2 2 6 4" xfId="11545" xr:uid="{9435423F-9985-49E6-A2E6-3583E5169EEA}"/>
    <cellStyle name="Normal 5 2 2 2 2 2 7" xfId="2566" xr:uid="{00000000-0005-0000-0000-00001E170000}"/>
    <cellStyle name="Normal 5 2 2 2 2 2 7 2" xfId="6849" xr:uid="{00000000-0005-0000-0000-00001F170000}"/>
    <cellStyle name="Normal 5 2 2 2 2 2 7 2 2" xfId="16175" xr:uid="{1939587F-48E5-41D7-A328-219AD0D314BC}"/>
    <cellStyle name="Normal 5 2 2 2 2 2 7 3" xfId="11958" xr:uid="{6ACF3401-07F2-4675-88D2-EBE1F728C205}"/>
    <cellStyle name="Normal 5 2 2 2 2 2 8" xfId="4784" xr:uid="{00000000-0005-0000-0000-000020170000}"/>
    <cellStyle name="Normal 5 2 2 2 2 2 8 2" xfId="14110" xr:uid="{20948D13-BB70-4E2E-88A0-36C64EEF8DA5}"/>
    <cellStyle name="Normal 5 2 2 2 2 2 9" xfId="8932" xr:uid="{8A89D9DD-5FCE-4028-8D52-F4758EFA866E}"/>
    <cellStyle name="Normal 5 2 2 2 2 2 9 2" xfId="18256" xr:uid="{EBCD40A9-DB15-45FA-91CF-0540CD7541C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F26167AA-D61E-4511-AC2C-C62BB19203C9}"/>
    <cellStyle name="Normal 5 2 2 2 2 3 2 2 3" xfId="12453" xr:uid="{1C64694C-8E78-4C61-A368-8007E7FB7E9B}"/>
    <cellStyle name="Normal 5 2 2 2 2 3 2 3" xfId="5199" xr:uid="{00000000-0005-0000-0000-000025170000}"/>
    <cellStyle name="Normal 5 2 2 2 2 3 2 3 2" xfId="14525" xr:uid="{F17311E0-F177-4959-8403-3ED02868E065}"/>
    <cellStyle name="Normal 5 2 2 2 2 3 2 4" xfId="9461" xr:uid="{815E4D9A-ED64-4B6C-A17A-F6D83CC40A47}"/>
    <cellStyle name="Normal 5 2 2 2 2 3 2 4 2" xfId="18776" xr:uid="{1379767B-173A-4CA1-86E8-8AC12D36C5AA}"/>
    <cellStyle name="Normal 5 2 2 2 2 3 2 5" xfId="10308" xr:uid="{CFAB9D18-5D88-4D3A-85E8-FD65E356225C}"/>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353BCD44-4C7C-49D0-96F7-CD4CB0C3E218}"/>
    <cellStyle name="Normal 5 2 2 2 2 3 3 2 3" xfId="12866" xr:uid="{89010835-1292-490C-9B05-637905ACB995}"/>
    <cellStyle name="Normal 5 2 2 2 2 3 3 3" xfId="5612" xr:uid="{00000000-0005-0000-0000-000029170000}"/>
    <cellStyle name="Normal 5 2 2 2 2 3 3 3 2" xfId="14938" xr:uid="{3339D8B0-39D2-4F38-BB6B-374A1C26096B}"/>
    <cellStyle name="Normal 5 2 2 2 2 3 3 4" xfId="10721" xr:uid="{60F2CB03-A0D8-40D8-A47A-9E150108B49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1C2DDD7F-1986-4395-9A57-9BC8784C08BF}"/>
    <cellStyle name="Normal 5 2 2 2 2 3 4 2 3" xfId="13279" xr:uid="{29B073AE-E3BB-4C57-B324-8036FF9C05BB}"/>
    <cellStyle name="Normal 5 2 2 2 2 3 4 3" xfId="6025" xr:uid="{00000000-0005-0000-0000-00002D170000}"/>
    <cellStyle name="Normal 5 2 2 2 2 3 4 3 2" xfId="15351" xr:uid="{19CF5E97-5C77-409C-8532-A8BEDD135E79}"/>
    <cellStyle name="Normal 5 2 2 2 2 3 4 4" xfId="11134" xr:uid="{DAB3E249-41E2-40CC-9E3B-60FC0E41679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7449D1C0-16D9-4FCD-89F7-745C0486970D}"/>
    <cellStyle name="Normal 5 2 2 2 2 3 5 2 3" xfId="13692" xr:uid="{E08ED526-761F-4159-9F9E-6A27047CF61F}"/>
    <cellStyle name="Normal 5 2 2 2 2 3 5 3" xfId="6438" xr:uid="{00000000-0005-0000-0000-000031170000}"/>
    <cellStyle name="Normal 5 2 2 2 2 3 5 3 2" xfId="15764" xr:uid="{B15AB8BE-574B-4C89-BA58-0F92A294B414}"/>
    <cellStyle name="Normal 5 2 2 2 2 3 5 4" xfId="11547" xr:uid="{5776B339-E2C3-48E8-BED8-3347A32ABE14}"/>
    <cellStyle name="Normal 5 2 2 2 2 3 6" xfId="2568" xr:uid="{00000000-0005-0000-0000-000032170000}"/>
    <cellStyle name="Normal 5 2 2 2 2 3 6 2" xfId="6851" xr:uid="{00000000-0005-0000-0000-000033170000}"/>
    <cellStyle name="Normal 5 2 2 2 2 3 6 2 2" xfId="16177" xr:uid="{81F4DC49-53A3-4D08-80ED-B8E6C4533633}"/>
    <cellStyle name="Normal 5 2 2 2 2 3 6 3" xfId="11960" xr:uid="{0E481F5F-EE6B-49C5-A36A-8A633876A5FA}"/>
    <cellStyle name="Normal 5 2 2 2 2 3 7" xfId="4786" xr:uid="{00000000-0005-0000-0000-000034170000}"/>
    <cellStyle name="Normal 5 2 2 2 2 3 7 2" xfId="14112" xr:uid="{8F11BA9A-B986-4539-8CA1-2ECFB4CC6064}"/>
    <cellStyle name="Normal 5 2 2 2 2 3 8" xfId="9036" xr:uid="{2B9BC3AC-900A-42EE-A23F-E5574B6E75BC}"/>
    <cellStyle name="Normal 5 2 2 2 2 3 8 2" xfId="18360" xr:uid="{6E4C9D01-94F6-4BDD-B5A2-612ECFBE19E0}"/>
    <cellStyle name="Normal 5 2 2 2 2 3 9" xfId="9895" xr:uid="{8D2553D9-CF8F-423C-848B-F43C95EDA43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472C6293-2B38-4A03-8DCF-DB6ABB37BCF6}"/>
    <cellStyle name="Normal 5 2 2 2 2 4 2 3" xfId="12450" xr:uid="{CD226E3B-3C2B-436F-8B80-4CFAB53A4B16}"/>
    <cellStyle name="Normal 5 2 2 2 2 4 3" xfId="5196" xr:uid="{00000000-0005-0000-0000-000038170000}"/>
    <cellStyle name="Normal 5 2 2 2 2 4 3 2" xfId="14522" xr:uid="{CDADC58C-06D2-402E-B118-2731B177A11C}"/>
    <cellStyle name="Normal 5 2 2 2 2 4 4" xfId="9254" xr:uid="{B0B4DA0D-4C0F-4712-8BF0-280C2A85D575}"/>
    <cellStyle name="Normal 5 2 2 2 2 4 4 2" xfId="18569" xr:uid="{E56868AE-B592-4935-B23D-CDFF6BF988D1}"/>
    <cellStyle name="Normal 5 2 2 2 2 4 5" xfId="10305" xr:uid="{CDA91880-E567-406E-B912-2A7A87EC0DB6}"/>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04E5C097-BFA9-4DA9-A3EA-D81A213E128E}"/>
    <cellStyle name="Normal 5 2 2 2 2 5 2 3" xfId="12863" xr:uid="{F394D4E4-C738-4B38-A199-6EA29D8222B8}"/>
    <cellStyle name="Normal 5 2 2 2 2 5 3" xfId="5609" xr:uid="{00000000-0005-0000-0000-00003C170000}"/>
    <cellStyle name="Normal 5 2 2 2 2 5 3 2" xfId="14935" xr:uid="{66341C05-98D2-4E1F-8E6D-9E093C92A268}"/>
    <cellStyle name="Normal 5 2 2 2 2 5 4" xfId="10718" xr:uid="{CC69D35D-D94F-44F1-92A7-8818AF543E9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4B7731A2-FD69-49C9-ACB9-C2700A9BAA47}"/>
    <cellStyle name="Normal 5 2 2 2 2 6 2 3" xfId="13276" xr:uid="{ED77A395-26FA-48B8-9BA3-67A62853B131}"/>
    <cellStyle name="Normal 5 2 2 2 2 6 3" xfId="6022" xr:uid="{00000000-0005-0000-0000-000040170000}"/>
    <cellStyle name="Normal 5 2 2 2 2 6 3 2" xfId="15348" xr:uid="{8EB0E67F-2F37-447A-BB7C-67284CE5927A}"/>
    <cellStyle name="Normal 5 2 2 2 2 6 4" xfId="11131" xr:uid="{D94A249A-4145-458A-8375-D6640F7E01D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78E3D86A-D72C-42F0-9CA4-784574891446}"/>
    <cellStyle name="Normal 5 2 2 2 2 7 2 3" xfId="13689" xr:uid="{37E24D3D-C884-40D3-B568-F4E19691E48A}"/>
    <cellStyle name="Normal 5 2 2 2 2 7 3" xfId="6435" xr:uid="{00000000-0005-0000-0000-000044170000}"/>
    <cellStyle name="Normal 5 2 2 2 2 7 3 2" xfId="15761" xr:uid="{B56CA1BD-D1B2-4EC6-995B-1DE98D24ED52}"/>
    <cellStyle name="Normal 5 2 2 2 2 7 4" xfId="11544" xr:uid="{2BBBD7F8-0912-4278-83BB-B95101AD1272}"/>
    <cellStyle name="Normal 5 2 2 2 2 8" xfId="2565" xr:uid="{00000000-0005-0000-0000-000045170000}"/>
    <cellStyle name="Normal 5 2 2 2 2 8 2" xfId="6848" xr:uid="{00000000-0005-0000-0000-000046170000}"/>
    <cellStyle name="Normal 5 2 2 2 2 8 2 2" xfId="16174" xr:uid="{B67C54BA-5336-44FA-8213-81C794463D6C}"/>
    <cellStyle name="Normal 5 2 2 2 2 8 3" xfId="11957" xr:uid="{CEF3E8DA-F5CC-46BB-A549-FE8001A67043}"/>
    <cellStyle name="Normal 5 2 2 2 2 9" xfId="4783" xr:uid="{00000000-0005-0000-0000-000047170000}"/>
    <cellStyle name="Normal 5 2 2 2 2 9 2" xfId="14109" xr:uid="{DFA190C0-9BD0-4E19-B524-D94DE52AF71E}"/>
    <cellStyle name="Normal 5 2 2 2 3" xfId="414" xr:uid="{00000000-0005-0000-0000-000048170000}"/>
    <cellStyle name="Normal 5 2 2 2 3 10" xfId="9896" xr:uid="{1B095CBC-49B9-4FA6-ABC4-4A44943ED5EE}"/>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200829B5-3126-4FC6-BB84-9279897AF999}"/>
    <cellStyle name="Normal 5 2 2 2 3 2 2 2 3" xfId="12455" xr:uid="{8C97D310-2DD4-4105-A4B9-1753B6B692D7}"/>
    <cellStyle name="Normal 5 2 2 2 3 2 2 3" xfId="5201" xr:uid="{00000000-0005-0000-0000-00004D170000}"/>
    <cellStyle name="Normal 5 2 2 2 3 2 2 3 2" xfId="14527" xr:uid="{F611D0FD-2FA3-45D7-8D64-E6F72A98E530}"/>
    <cellStyle name="Normal 5 2 2 2 3 2 2 4" xfId="9506" xr:uid="{65E8E1F9-5B62-47C9-8131-412DF42F5268}"/>
    <cellStyle name="Normal 5 2 2 2 3 2 2 4 2" xfId="18821" xr:uid="{B69AE2CB-5AF5-4631-869A-4D7C2E803C6C}"/>
    <cellStyle name="Normal 5 2 2 2 3 2 2 5" xfId="10310" xr:uid="{EA2C591E-6DA8-4869-8FE6-AF0524BBA72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A11BF70C-7E17-48BF-9489-8871DD8D5DD8}"/>
    <cellStyle name="Normal 5 2 2 2 3 2 3 2 3" xfId="12868" xr:uid="{E75C0D82-F79C-43FE-9490-16DAED201298}"/>
    <cellStyle name="Normal 5 2 2 2 3 2 3 3" xfId="5614" xr:uid="{00000000-0005-0000-0000-000051170000}"/>
    <cellStyle name="Normal 5 2 2 2 3 2 3 3 2" xfId="14940" xr:uid="{12BC642A-8B36-493D-892F-AB6E7CC19021}"/>
    <cellStyle name="Normal 5 2 2 2 3 2 3 4" xfId="10723" xr:uid="{32F483FF-E060-4530-8FAB-114FE8ABF51A}"/>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C758EA30-BF93-49AE-BA5A-26E3AB746C92}"/>
    <cellStyle name="Normal 5 2 2 2 3 2 4 2 3" xfId="13281" xr:uid="{6F5B56D5-3786-40D8-B0BC-8263C03F3F31}"/>
    <cellStyle name="Normal 5 2 2 2 3 2 4 3" xfId="6027" xr:uid="{00000000-0005-0000-0000-000055170000}"/>
    <cellStyle name="Normal 5 2 2 2 3 2 4 3 2" xfId="15353" xr:uid="{613E486D-C96D-4BF4-AA94-67B52D030585}"/>
    <cellStyle name="Normal 5 2 2 2 3 2 4 4" xfId="11136" xr:uid="{34DA7B09-5809-4169-BE00-211ED3F7B6F5}"/>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37AAB4BE-D115-44DB-9ED9-59352B219B55}"/>
    <cellStyle name="Normal 5 2 2 2 3 2 5 2 3" xfId="13694" xr:uid="{2ED2C25B-2B20-45DB-ACA1-EDD4F0C71E6E}"/>
    <cellStyle name="Normal 5 2 2 2 3 2 5 3" xfId="6440" xr:uid="{00000000-0005-0000-0000-000059170000}"/>
    <cellStyle name="Normal 5 2 2 2 3 2 5 3 2" xfId="15766" xr:uid="{DD298764-036C-4C24-ABA3-4BBD5A335362}"/>
    <cellStyle name="Normal 5 2 2 2 3 2 5 4" xfId="11549" xr:uid="{C29B0F98-247F-49F9-828E-FBE66345E9E6}"/>
    <cellStyle name="Normal 5 2 2 2 3 2 6" xfId="2570" xr:uid="{00000000-0005-0000-0000-00005A170000}"/>
    <cellStyle name="Normal 5 2 2 2 3 2 6 2" xfId="6853" xr:uid="{00000000-0005-0000-0000-00005B170000}"/>
    <cellStyle name="Normal 5 2 2 2 3 2 6 2 2" xfId="16179" xr:uid="{2796AC56-1264-4158-A103-378C84971246}"/>
    <cellStyle name="Normal 5 2 2 2 3 2 6 3" xfId="11962" xr:uid="{F5BCB7DF-6007-4532-B2E2-766E9A07EA26}"/>
    <cellStyle name="Normal 5 2 2 2 3 2 7" xfId="4788" xr:uid="{00000000-0005-0000-0000-00005C170000}"/>
    <cellStyle name="Normal 5 2 2 2 3 2 7 2" xfId="14114" xr:uid="{3E4F244D-12A9-4C5A-A6AD-DC539E5B3957}"/>
    <cellStyle name="Normal 5 2 2 2 3 2 8" xfId="9081" xr:uid="{B0400C6D-4400-4F06-9092-2DCAD3324CF1}"/>
    <cellStyle name="Normal 5 2 2 2 3 2 8 2" xfId="18405" xr:uid="{0DDFE634-0B0A-42AE-9C28-793F79063CC3}"/>
    <cellStyle name="Normal 5 2 2 2 3 2 9" xfId="9897" xr:uid="{D722FA8E-BC9A-4694-8978-0BFE75AD7669}"/>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34E579C9-17C7-4FD8-BD9D-09776999EF57}"/>
    <cellStyle name="Normal 5 2 2 2 3 3 2 3" xfId="12454" xr:uid="{545A4357-C7E8-4AD8-8B56-974642D720BE}"/>
    <cellStyle name="Normal 5 2 2 2 3 3 3" xfId="5200" xr:uid="{00000000-0005-0000-0000-000060170000}"/>
    <cellStyle name="Normal 5 2 2 2 3 3 3 2" xfId="14526" xr:uid="{7EE7C517-E3B8-46E4-A654-9B3EF70D230A}"/>
    <cellStyle name="Normal 5 2 2 2 3 3 4" xfId="9299" xr:uid="{85780536-A38F-4D86-8846-D9FA6BB2D61D}"/>
    <cellStyle name="Normal 5 2 2 2 3 3 4 2" xfId="18614" xr:uid="{B7EDB67C-3BFD-48C1-AF83-88700F3612B9}"/>
    <cellStyle name="Normal 5 2 2 2 3 3 5" xfId="10309" xr:uid="{1C5153DB-14D4-4119-9E3C-43C26522C95F}"/>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171F98E3-CD2D-4534-831E-8DC62EFA41CA}"/>
    <cellStyle name="Normal 5 2 2 2 3 4 2 3" xfId="12867" xr:uid="{55311213-A6A4-478A-A1B8-2576A605A4A6}"/>
    <cellStyle name="Normal 5 2 2 2 3 4 3" xfId="5613" xr:uid="{00000000-0005-0000-0000-000064170000}"/>
    <cellStyle name="Normal 5 2 2 2 3 4 3 2" xfId="14939" xr:uid="{78245D17-6A4C-493C-B0CF-DA659F12578B}"/>
    <cellStyle name="Normal 5 2 2 2 3 4 4" xfId="10722" xr:uid="{E42686B6-02FE-470E-A31F-4E211C7C059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7DC8527C-DB3B-4F16-BAEA-23FEAAA5B118}"/>
    <cellStyle name="Normal 5 2 2 2 3 5 2 3" xfId="13280" xr:uid="{DA6C63F7-5E5D-4B7E-9EEC-895CED823808}"/>
    <cellStyle name="Normal 5 2 2 2 3 5 3" xfId="6026" xr:uid="{00000000-0005-0000-0000-000068170000}"/>
    <cellStyle name="Normal 5 2 2 2 3 5 3 2" xfId="15352" xr:uid="{AF2CFCF3-1CB6-4086-AF0C-7813B1B2B411}"/>
    <cellStyle name="Normal 5 2 2 2 3 5 4" xfId="11135" xr:uid="{09C95BF8-00FA-49ED-802A-55B95889D7D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CA9756B6-A2A7-47BA-9EF1-DA5D3DF20534}"/>
    <cellStyle name="Normal 5 2 2 2 3 6 2 3" xfId="13693" xr:uid="{8A6B8D0E-9B6C-479B-B25C-196DF2719B1F}"/>
    <cellStyle name="Normal 5 2 2 2 3 6 3" xfId="6439" xr:uid="{00000000-0005-0000-0000-00006C170000}"/>
    <cellStyle name="Normal 5 2 2 2 3 6 3 2" xfId="15765" xr:uid="{F605A507-41B4-4512-81B2-6EFDCC294C2C}"/>
    <cellStyle name="Normal 5 2 2 2 3 6 4" xfId="11548" xr:uid="{AA04F3FC-C11F-4B25-BD84-AFD7D60BDEEB}"/>
    <cellStyle name="Normal 5 2 2 2 3 7" xfId="2569" xr:uid="{00000000-0005-0000-0000-00006D170000}"/>
    <cellStyle name="Normal 5 2 2 2 3 7 2" xfId="6852" xr:uid="{00000000-0005-0000-0000-00006E170000}"/>
    <cellStyle name="Normal 5 2 2 2 3 7 2 2" xfId="16178" xr:uid="{B6D53DDB-89F9-4800-9300-2F93765D3F2B}"/>
    <cellStyle name="Normal 5 2 2 2 3 7 3" xfId="11961" xr:uid="{E87EB09F-5CE4-42DC-902A-2446C18AB4C8}"/>
    <cellStyle name="Normal 5 2 2 2 3 8" xfId="4787" xr:uid="{00000000-0005-0000-0000-00006F170000}"/>
    <cellStyle name="Normal 5 2 2 2 3 8 2" xfId="14113" xr:uid="{1EB62032-3C32-4BF7-AC38-D007442766EF}"/>
    <cellStyle name="Normal 5 2 2 2 3 9" xfId="8874" xr:uid="{D7CEB9F3-DFA5-483F-B08A-C4A582DD7FE8}"/>
    <cellStyle name="Normal 5 2 2 2 3 9 2" xfId="18198" xr:uid="{45850531-61AE-4499-BBA6-89DAB7764BA5}"/>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E5776CCA-32CC-4FC2-A433-220DA3064E50}"/>
    <cellStyle name="Normal 5 2 2 2 4 2 2 3" xfId="12456" xr:uid="{D25AD4D8-AE04-4078-ADF6-A1D2B8A4079D}"/>
    <cellStyle name="Normal 5 2 2 2 4 2 3" xfId="5202" xr:uid="{00000000-0005-0000-0000-000074170000}"/>
    <cellStyle name="Normal 5 2 2 2 4 2 3 2" xfId="14528" xr:uid="{A4435EC4-A4C4-4547-8C80-A239A2B823F1}"/>
    <cellStyle name="Normal 5 2 2 2 4 2 4" xfId="9403" xr:uid="{DDA7C497-662A-4A76-A324-A27E6A0A2B3D}"/>
    <cellStyle name="Normal 5 2 2 2 4 2 4 2" xfId="18718" xr:uid="{5FF020D4-070C-4C5B-805B-992CB3BECF62}"/>
    <cellStyle name="Normal 5 2 2 2 4 2 5" xfId="10311" xr:uid="{2B2893BC-89DA-44E2-84B6-E3C963DBFF84}"/>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B6B337DC-CA48-49B0-949C-63B2D509D699}"/>
    <cellStyle name="Normal 5 2 2 2 4 3 2 3" xfId="12869" xr:uid="{81AA0D47-5CD0-499A-A178-4022A53C2DE6}"/>
    <cellStyle name="Normal 5 2 2 2 4 3 3" xfId="5615" xr:uid="{00000000-0005-0000-0000-000078170000}"/>
    <cellStyle name="Normal 5 2 2 2 4 3 3 2" xfId="14941" xr:uid="{4A4F2C2B-FB5A-4828-938B-BACA6EC84F90}"/>
    <cellStyle name="Normal 5 2 2 2 4 3 4" xfId="10724" xr:uid="{7B57443E-BC97-49C4-9118-288CE6E343F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27E884FA-A280-4A30-829A-34F3CE74D9EB}"/>
    <cellStyle name="Normal 5 2 2 2 4 4 2 3" xfId="13282" xr:uid="{6F4C7145-657E-4601-B82C-916D85D06B41}"/>
    <cellStyle name="Normal 5 2 2 2 4 4 3" xfId="6028" xr:uid="{00000000-0005-0000-0000-00007C170000}"/>
    <cellStyle name="Normal 5 2 2 2 4 4 3 2" xfId="15354" xr:uid="{4B83C11A-61CC-44DB-A155-F2F2983194F2}"/>
    <cellStyle name="Normal 5 2 2 2 4 4 4" xfId="11137" xr:uid="{70AE762E-77D3-43B6-BBA4-1558FC4C038C}"/>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C1A80751-A336-4089-9DD8-1416D53F78EB}"/>
    <cellStyle name="Normal 5 2 2 2 4 5 2 3" xfId="13695" xr:uid="{5A01781C-F855-490B-9649-3BA69F98C7D6}"/>
    <cellStyle name="Normal 5 2 2 2 4 5 3" xfId="6441" xr:uid="{00000000-0005-0000-0000-000080170000}"/>
    <cellStyle name="Normal 5 2 2 2 4 5 3 2" xfId="15767" xr:uid="{C2276880-980D-48DE-A697-C03186BB2321}"/>
    <cellStyle name="Normal 5 2 2 2 4 5 4" xfId="11550" xr:uid="{8D107E56-5889-4755-AF19-6BCE1406045D}"/>
    <cellStyle name="Normal 5 2 2 2 4 6" xfId="2571" xr:uid="{00000000-0005-0000-0000-000081170000}"/>
    <cellStyle name="Normal 5 2 2 2 4 6 2" xfId="6854" xr:uid="{00000000-0005-0000-0000-000082170000}"/>
    <cellStyle name="Normal 5 2 2 2 4 6 2 2" xfId="16180" xr:uid="{77D9FDC1-C343-4F94-B390-BB9395BEC961}"/>
    <cellStyle name="Normal 5 2 2 2 4 6 3" xfId="11963" xr:uid="{BE1F2D3F-C8A7-48A9-9703-131D3BC07246}"/>
    <cellStyle name="Normal 5 2 2 2 4 7" xfId="4789" xr:uid="{00000000-0005-0000-0000-000083170000}"/>
    <cellStyle name="Normal 5 2 2 2 4 7 2" xfId="14115" xr:uid="{5E863F17-E61D-4B16-BD32-0B16174DD137}"/>
    <cellStyle name="Normal 5 2 2 2 4 8" xfId="8978" xr:uid="{5B5F86B4-BA0F-43A7-920A-E466FD014739}"/>
    <cellStyle name="Normal 5 2 2 2 4 8 2" xfId="18302" xr:uid="{CB7AA823-D7E3-47B7-9040-E3FAD5A29FA8}"/>
    <cellStyle name="Normal 5 2 2 2 4 9" xfId="9898" xr:uid="{A340361D-DA48-4298-9067-F2993632242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8894BA28-DF63-4080-AF7E-0FC7A3A30C99}"/>
    <cellStyle name="Normal 5 2 2 2 5 2 3" xfId="12449" xr:uid="{0CDCBE34-EECE-4294-B32B-566563E141FB}"/>
    <cellStyle name="Normal 5 2 2 2 5 3" xfId="5195" xr:uid="{00000000-0005-0000-0000-000087170000}"/>
    <cellStyle name="Normal 5 2 2 2 5 3 2" xfId="14521" xr:uid="{87F257D4-BE7A-4E9A-B298-2F8629AD4B72}"/>
    <cellStyle name="Normal 5 2 2 2 5 4" xfId="9195" xr:uid="{A7E71EA0-2CA4-4918-870E-A32EEF45C61A}"/>
    <cellStyle name="Normal 5 2 2 2 5 4 2" xfId="18511" xr:uid="{AAE02FF7-A88E-47F7-90DB-7386E7D3C5D7}"/>
    <cellStyle name="Normal 5 2 2 2 5 5" xfId="10304" xr:uid="{693769AE-8F7D-432C-9C31-AF3C47E14AD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52421DAC-914C-4061-B566-FF3E0FCC5733}"/>
    <cellStyle name="Normal 5 2 2 2 6 2 3" xfId="12862" xr:uid="{6588E48B-DFA2-4B65-A702-4CA5DEBFEEC8}"/>
    <cellStyle name="Normal 5 2 2 2 6 3" xfId="5608" xr:uid="{00000000-0005-0000-0000-00008B170000}"/>
    <cellStyle name="Normal 5 2 2 2 6 3 2" xfId="14934" xr:uid="{E524E15D-4BAB-435A-BF91-1F3C97B35DC9}"/>
    <cellStyle name="Normal 5 2 2 2 6 4" xfId="10717" xr:uid="{42BFEF71-261A-43FC-9285-A132DCFFA809}"/>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D5524E07-2FC3-4A11-8ED2-88A4CE2561CC}"/>
    <cellStyle name="Normal 5 2 2 2 7 2 3" xfId="13275" xr:uid="{6E8DF57D-8F02-44EF-995F-1D03D765A691}"/>
    <cellStyle name="Normal 5 2 2 2 7 3" xfId="6021" xr:uid="{00000000-0005-0000-0000-00008F170000}"/>
    <cellStyle name="Normal 5 2 2 2 7 3 2" xfId="15347" xr:uid="{F7032939-44FF-4F33-A418-5457B03ED8B0}"/>
    <cellStyle name="Normal 5 2 2 2 7 4" xfId="11130" xr:uid="{C279368C-74C2-4912-A531-1A8663F1F59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327E102D-5A08-4A4F-B8B9-A94E40195AB6}"/>
    <cellStyle name="Normal 5 2 2 2 8 2 3" xfId="13688" xr:uid="{D6DFF584-B29C-4F0B-8C98-16A05A11E6BE}"/>
    <cellStyle name="Normal 5 2 2 2 8 3" xfId="6434" xr:uid="{00000000-0005-0000-0000-000093170000}"/>
    <cellStyle name="Normal 5 2 2 2 8 3 2" xfId="15760" xr:uid="{0AF7E34E-E2EA-4ADD-AAB6-DC48D28565A2}"/>
    <cellStyle name="Normal 5 2 2 2 8 4" xfId="11543" xr:uid="{CF26A296-F778-4CF6-A280-3F88467EF82C}"/>
    <cellStyle name="Normal 5 2 2 2 9" xfId="2564" xr:uid="{00000000-0005-0000-0000-000094170000}"/>
    <cellStyle name="Normal 5 2 2 2 9 2" xfId="6847" xr:uid="{00000000-0005-0000-0000-000095170000}"/>
    <cellStyle name="Normal 5 2 2 2 9 2 2" xfId="16173" xr:uid="{37AD0C92-E82D-45ED-97DD-902F9CE229AA}"/>
    <cellStyle name="Normal 5 2 2 2 9 3" xfId="11956" xr:uid="{2F833D45-E911-47D4-8CD4-07691789594F}"/>
    <cellStyle name="Normal 5 2 2 3" xfId="417" xr:uid="{00000000-0005-0000-0000-000096170000}"/>
    <cellStyle name="Normal 5 2 2 3 10" xfId="8828" xr:uid="{5CED8211-F967-469B-812B-9DF6FC250177}"/>
    <cellStyle name="Normal 5 2 2 3 10 2" xfId="18152" xr:uid="{F7FC9CCB-0AA6-4B34-971F-37B78CA0348C}"/>
    <cellStyle name="Normal 5 2 2 3 11" xfId="9899" xr:uid="{2580944D-3501-497E-9313-732AE70187A3}"/>
    <cellStyle name="Normal 5 2 2 3 2" xfId="418" xr:uid="{00000000-0005-0000-0000-000097170000}"/>
    <cellStyle name="Normal 5 2 2 3 2 10" xfId="9900" xr:uid="{BE7C1D59-1F8B-4375-9088-E317866E19FF}"/>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6C3818CD-8096-4508-9545-8D11B71A942D}"/>
    <cellStyle name="Normal 5 2 2 3 2 2 2 2 3" xfId="12459" xr:uid="{746B30C0-C3B7-4E68-8DDE-A16B2EFE3201}"/>
    <cellStyle name="Normal 5 2 2 3 2 2 2 3" xfId="5205" xr:uid="{00000000-0005-0000-0000-00009C170000}"/>
    <cellStyle name="Normal 5 2 2 3 2 2 2 3 2" xfId="14531" xr:uid="{FD10DF5A-B0C6-40D1-B0D1-E577FCAB3901}"/>
    <cellStyle name="Normal 5 2 2 3 2 2 2 4" xfId="9563" xr:uid="{804E641C-B5FA-46A3-B805-C1D4AF390C28}"/>
    <cellStyle name="Normal 5 2 2 3 2 2 2 4 2" xfId="18878" xr:uid="{CEB9BEC6-6CEE-4BBE-921A-0242980E70B3}"/>
    <cellStyle name="Normal 5 2 2 3 2 2 2 5" xfId="10314" xr:uid="{83A065FB-2A6A-4EF0-AF90-C9EDDBB02562}"/>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8F3FCAD7-00B0-4BE2-85BF-AC55D35E42FA}"/>
    <cellStyle name="Normal 5 2 2 3 2 2 3 2 3" xfId="12872" xr:uid="{9FFF5C6A-4194-4920-A35F-FD619F83DDCF}"/>
    <cellStyle name="Normal 5 2 2 3 2 2 3 3" xfId="5618" xr:uid="{00000000-0005-0000-0000-0000A0170000}"/>
    <cellStyle name="Normal 5 2 2 3 2 2 3 3 2" xfId="14944" xr:uid="{D6E38C48-7FA3-4A5D-BD47-F6162D01D0FA}"/>
    <cellStyle name="Normal 5 2 2 3 2 2 3 4" xfId="10727" xr:uid="{C009A265-65F5-4246-9DCF-A58FD8A592E3}"/>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42958AD7-921F-4406-B04D-DD623A696A26}"/>
    <cellStyle name="Normal 5 2 2 3 2 2 4 2 3" xfId="13285" xr:uid="{A73DC4C3-5DA8-48C1-A011-2BAA90D1903F}"/>
    <cellStyle name="Normal 5 2 2 3 2 2 4 3" xfId="6031" xr:uid="{00000000-0005-0000-0000-0000A4170000}"/>
    <cellStyle name="Normal 5 2 2 3 2 2 4 3 2" xfId="15357" xr:uid="{790A4B26-DD57-4EA5-80F4-36C875998C95}"/>
    <cellStyle name="Normal 5 2 2 3 2 2 4 4" xfId="11140" xr:uid="{159C4D44-5D64-4413-A344-02B45066AD3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697AF82A-F158-4A98-BAF4-A5466A093427}"/>
    <cellStyle name="Normal 5 2 2 3 2 2 5 2 3" xfId="13698" xr:uid="{3ED62866-001A-4992-B141-35B966F188C6}"/>
    <cellStyle name="Normal 5 2 2 3 2 2 5 3" xfId="6444" xr:uid="{00000000-0005-0000-0000-0000A8170000}"/>
    <cellStyle name="Normal 5 2 2 3 2 2 5 3 2" xfId="15770" xr:uid="{20A57852-AC5E-4C4F-86CA-FADE27C33CAF}"/>
    <cellStyle name="Normal 5 2 2 3 2 2 5 4" xfId="11553" xr:uid="{57CD22F8-5DF6-476E-80C3-29ECA059D1AF}"/>
    <cellStyle name="Normal 5 2 2 3 2 2 6" xfId="2574" xr:uid="{00000000-0005-0000-0000-0000A9170000}"/>
    <cellStyle name="Normal 5 2 2 3 2 2 6 2" xfId="6857" xr:uid="{00000000-0005-0000-0000-0000AA170000}"/>
    <cellStyle name="Normal 5 2 2 3 2 2 6 2 2" xfId="16183" xr:uid="{2DFE9180-5642-4F2B-B5E1-5D7609D952DE}"/>
    <cellStyle name="Normal 5 2 2 3 2 2 6 3" xfId="11966" xr:uid="{A171C016-20DB-4A43-89F9-96542702C2D7}"/>
    <cellStyle name="Normal 5 2 2 3 2 2 7" xfId="4792" xr:uid="{00000000-0005-0000-0000-0000AB170000}"/>
    <cellStyle name="Normal 5 2 2 3 2 2 7 2" xfId="14118" xr:uid="{410033DB-3912-49B7-8C55-D6FF84972B6F}"/>
    <cellStyle name="Normal 5 2 2 3 2 2 8" xfId="9138" xr:uid="{BE73D583-3CAB-48A9-8A6F-E88EE69D1D1D}"/>
    <cellStyle name="Normal 5 2 2 3 2 2 8 2" xfId="18462" xr:uid="{7383845B-6997-4693-9723-E37742358F23}"/>
    <cellStyle name="Normal 5 2 2 3 2 2 9" xfId="9901" xr:uid="{0D6B4546-B141-4BFA-924B-7AA9BDF20D8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A371494D-BE8F-419C-A4EB-FB65F0AEC797}"/>
    <cellStyle name="Normal 5 2 2 3 2 3 2 3" xfId="12458" xr:uid="{352E42A8-3552-4448-8EC2-3EE436C3969F}"/>
    <cellStyle name="Normal 5 2 2 3 2 3 3" xfId="5204" xr:uid="{00000000-0005-0000-0000-0000AF170000}"/>
    <cellStyle name="Normal 5 2 2 3 2 3 3 2" xfId="14530" xr:uid="{8C0E8F23-5A1B-4547-8D75-F806198DA1D9}"/>
    <cellStyle name="Normal 5 2 2 3 2 3 4" xfId="9356" xr:uid="{58BAA3B3-A7A2-4F6F-9929-D8BE9F0A557D}"/>
    <cellStyle name="Normal 5 2 2 3 2 3 4 2" xfId="18671" xr:uid="{19E00285-47B0-461B-8E4A-B3F1E3CB942F}"/>
    <cellStyle name="Normal 5 2 2 3 2 3 5" xfId="10313" xr:uid="{BFF67979-45E2-47D3-8E20-A85631DF240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950801F9-5897-4BBA-8E53-9AB3C96BFEAB}"/>
    <cellStyle name="Normal 5 2 2 3 2 4 2 3" xfId="12871" xr:uid="{87445464-6410-448B-B1D3-4558C34C117A}"/>
    <cellStyle name="Normal 5 2 2 3 2 4 3" xfId="5617" xr:uid="{00000000-0005-0000-0000-0000B3170000}"/>
    <cellStyle name="Normal 5 2 2 3 2 4 3 2" xfId="14943" xr:uid="{AB79EAAD-22FE-46D1-AD52-F0D2E75B849A}"/>
    <cellStyle name="Normal 5 2 2 3 2 4 4" xfId="10726" xr:uid="{33E54064-118D-417B-8579-111D245AFE5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50FC5CE1-1F8E-43BE-B3D0-A0676A74EAF2}"/>
    <cellStyle name="Normal 5 2 2 3 2 5 2 3" xfId="13284" xr:uid="{4191F652-0F2C-4605-A18F-BBEC67CF06C5}"/>
    <cellStyle name="Normal 5 2 2 3 2 5 3" xfId="6030" xr:uid="{00000000-0005-0000-0000-0000B7170000}"/>
    <cellStyle name="Normal 5 2 2 3 2 5 3 2" xfId="15356" xr:uid="{ABF78791-D0D3-42BE-8DB5-A04450A8B6FC}"/>
    <cellStyle name="Normal 5 2 2 3 2 5 4" xfId="11139" xr:uid="{CB7FFF8C-DB29-4374-BD60-DF48313E10B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DEB67423-93B9-44B2-A362-7876CD06933B}"/>
    <cellStyle name="Normal 5 2 2 3 2 6 2 3" xfId="13697" xr:uid="{1CE8E514-14A4-4BA5-9139-63899113F2A1}"/>
    <cellStyle name="Normal 5 2 2 3 2 6 3" xfId="6443" xr:uid="{00000000-0005-0000-0000-0000BB170000}"/>
    <cellStyle name="Normal 5 2 2 3 2 6 3 2" xfId="15769" xr:uid="{CF0E6828-95A2-4812-A767-102F6B4A635F}"/>
    <cellStyle name="Normal 5 2 2 3 2 6 4" xfId="11552" xr:uid="{719DE9CE-AFC9-4D94-97B7-052F25D92683}"/>
    <cellStyle name="Normal 5 2 2 3 2 7" xfId="2573" xr:uid="{00000000-0005-0000-0000-0000BC170000}"/>
    <cellStyle name="Normal 5 2 2 3 2 7 2" xfId="6856" xr:uid="{00000000-0005-0000-0000-0000BD170000}"/>
    <cellStyle name="Normal 5 2 2 3 2 7 2 2" xfId="16182" xr:uid="{56648515-DB34-4E9A-B13B-F70A9888E39A}"/>
    <cellStyle name="Normal 5 2 2 3 2 7 3" xfId="11965" xr:uid="{BF3D8679-70DA-4EC6-8861-4030936B4A05}"/>
    <cellStyle name="Normal 5 2 2 3 2 8" xfId="4791" xr:uid="{00000000-0005-0000-0000-0000BE170000}"/>
    <cellStyle name="Normal 5 2 2 3 2 8 2" xfId="14117" xr:uid="{2DC46BF6-10D6-4958-A17D-FBD9D5B85643}"/>
    <cellStyle name="Normal 5 2 2 3 2 9" xfId="8931" xr:uid="{E27E09D3-2564-4B82-8EA4-A27330B6B436}"/>
    <cellStyle name="Normal 5 2 2 3 2 9 2" xfId="18255" xr:uid="{89A8B292-BAD4-49E9-82B0-FA2C4E5D047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5CA77EB0-C8CC-467E-952A-432C7BDFBF2B}"/>
    <cellStyle name="Normal 5 2 2 3 3 2 2 3" xfId="12460" xr:uid="{96070527-7D1D-4360-9D04-643F5E8AC3B1}"/>
    <cellStyle name="Normal 5 2 2 3 3 2 3" xfId="5206" xr:uid="{00000000-0005-0000-0000-0000C3170000}"/>
    <cellStyle name="Normal 5 2 2 3 3 2 3 2" xfId="14532" xr:uid="{D697E5D9-F529-4F33-9BD5-0B53DD969D0D}"/>
    <cellStyle name="Normal 5 2 2 3 3 2 4" xfId="9460" xr:uid="{423E0BE9-24F3-4EF0-8962-2565594BF831}"/>
    <cellStyle name="Normal 5 2 2 3 3 2 4 2" xfId="18775" xr:uid="{87A19F06-27A2-48D5-B251-1C04C8D46375}"/>
    <cellStyle name="Normal 5 2 2 3 3 2 5" xfId="10315" xr:uid="{B4ACDF1E-34D7-4685-96B7-DA2874AF804C}"/>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561AB921-0404-45D8-B9DA-380A2DFA7F9A}"/>
    <cellStyle name="Normal 5 2 2 3 3 3 2 3" xfId="12873" xr:uid="{D6173144-0E49-494E-A1E2-A5C204A6791F}"/>
    <cellStyle name="Normal 5 2 2 3 3 3 3" xfId="5619" xr:uid="{00000000-0005-0000-0000-0000C7170000}"/>
    <cellStyle name="Normal 5 2 2 3 3 3 3 2" xfId="14945" xr:uid="{D7BB5AC6-2258-4D77-AE56-5011A09C69A5}"/>
    <cellStyle name="Normal 5 2 2 3 3 3 4" xfId="10728" xr:uid="{5FF4DD60-F727-45D6-8337-5A47CD51F20D}"/>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6C13A46-ED2A-45F9-ACDD-D232A53FA288}"/>
    <cellStyle name="Normal 5 2 2 3 3 4 2 3" xfId="13286" xr:uid="{1F425229-2070-450D-8102-AF8E276A0EC6}"/>
    <cellStyle name="Normal 5 2 2 3 3 4 3" xfId="6032" xr:uid="{00000000-0005-0000-0000-0000CB170000}"/>
    <cellStyle name="Normal 5 2 2 3 3 4 3 2" xfId="15358" xr:uid="{0A1D21BD-C9BC-4A00-B9A1-DE658474124C}"/>
    <cellStyle name="Normal 5 2 2 3 3 4 4" xfId="11141" xr:uid="{339C4C1F-F35F-4B54-8B3D-EF5844CA8ED6}"/>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0524430A-C50E-452E-B0DA-3D68F3BBC5CE}"/>
    <cellStyle name="Normal 5 2 2 3 3 5 2 3" xfId="13699" xr:uid="{500CE673-D632-4DD5-8551-FD9761BE3E87}"/>
    <cellStyle name="Normal 5 2 2 3 3 5 3" xfId="6445" xr:uid="{00000000-0005-0000-0000-0000CF170000}"/>
    <cellStyle name="Normal 5 2 2 3 3 5 3 2" xfId="15771" xr:uid="{DCE582EA-B7F3-4373-BEE1-DDCB6289225A}"/>
    <cellStyle name="Normal 5 2 2 3 3 5 4" xfId="11554" xr:uid="{9199C054-42F1-4284-944C-2834E7BF2116}"/>
    <cellStyle name="Normal 5 2 2 3 3 6" xfId="2575" xr:uid="{00000000-0005-0000-0000-0000D0170000}"/>
    <cellStyle name="Normal 5 2 2 3 3 6 2" xfId="6858" xr:uid="{00000000-0005-0000-0000-0000D1170000}"/>
    <cellStyle name="Normal 5 2 2 3 3 6 2 2" xfId="16184" xr:uid="{391BF894-6EBA-4562-88D0-A84A8C5EEDE6}"/>
    <cellStyle name="Normal 5 2 2 3 3 6 3" xfId="11967" xr:uid="{A8B810C1-CA34-4D2C-9DE0-768BC01C8FBC}"/>
    <cellStyle name="Normal 5 2 2 3 3 7" xfId="4793" xr:uid="{00000000-0005-0000-0000-0000D2170000}"/>
    <cellStyle name="Normal 5 2 2 3 3 7 2" xfId="14119" xr:uid="{F3EC226D-19CF-49BD-9289-EB4661233427}"/>
    <cellStyle name="Normal 5 2 2 3 3 8" xfId="9035" xr:uid="{6AC57173-16AF-4847-A277-E4254AACDA36}"/>
    <cellStyle name="Normal 5 2 2 3 3 8 2" xfId="18359" xr:uid="{FF2A46A3-C7CB-402E-B54E-319C679E8F1E}"/>
    <cellStyle name="Normal 5 2 2 3 3 9" xfId="9902" xr:uid="{5498F6BE-6C03-46BB-8656-1F0223AF0671}"/>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9B171965-362F-4A6C-B303-362E9062D1F8}"/>
    <cellStyle name="Normal 5 2 2 3 4 2 3" xfId="12457" xr:uid="{88691F1B-AE0E-49AE-90F5-7C5EB502C604}"/>
    <cellStyle name="Normal 5 2 2 3 4 3" xfId="5203" xr:uid="{00000000-0005-0000-0000-0000D6170000}"/>
    <cellStyle name="Normal 5 2 2 3 4 3 2" xfId="14529" xr:uid="{04A416F7-4386-41C4-94D2-FB46959B72D3}"/>
    <cellStyle name="Normal 5 2 2 3 4 4" xfId="9253" xr:uid="{A5C3AAF9-67DD-41B1-A0BF-05B69F588F71}"/>
    <cellStyle name="Normal 5 2 2 3 4 4 2" xfId="18568" xr:uid="{5EBF9934-0F5F-4851-B9DF-A72A7A6310FB}"/>
    <cellStyle name="Normal 5 2 2 3 4 5" xfId="10312" xr:uid="{3B7DD7A2-E307-47F3-BD98-39ED2B47E97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97BC037B-BCEF-4589-9BCA-FFB939455807}"/>
    <cellStyle name="Normal 5 2 2 3 5 2 3" xfId="12870" xr:uid="{34F9AA07-255A-4890-8C8D-7E8D7264CA6B}"/>
    <cellStyle name="Normal 5 2 2 3 5 3" xfId="5616" xr:uid="{00000000-0005-0000-0000-0000DA170000}"/>
    <cellStyle name="Normal 5 2 2 3 5 3 2" xfId="14942" xr:uid="{33FBE0B9-F60A-4432-B263-4E8A13C1B6D3}"/>
    <cellStyle name="Normal 5 2 2 3 5 4" xfId="10725" xr:uid="{11234AE6-A3F9-4EC9-BFE0-585B3DE7802C}"/>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54FEA0C6-5F4B-41C0-8669-EB20FE30DAAC}"/>
    <cellStyle name="Normal 5 2 2 3 6 2 3" xfId="13283" xr:uid="{80128DF9-8529-499E-89A4-D7F3605FB252}"/>
    <cellStyle name="Normal 5 2 2 3 6 3" xfId="6029" xr:uid="{00000000-0005-0000-0000-0000DE170000}"/>
    <cellStyle name="Normal 5 2 2 3 6 3 2" xfId="15355" xr:uid="{19B962AF-FD1E-42E7-B3B5-AD06FB9BCEC7}"/>
    <cellStyle name="Normal 5 2 2 3 6 4" xfId="11138" xr:uid="{D055AAEB-4C12-4B67-B5CC-5931C6C29EF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1119E3EA-397F-41FE-A8DA-1626F9B9FCC4}"/>
    <cellStyle name="Normal 5 2 2 3 7 2 3" xfId="13696" xr:uid="{FD8C3E4E-8DF2-45C8-B555-F4E096CB424B}"/>
    <cellStyle name="Normal 5 2 2 3 7 3" xfId="6442" xr:uid="{00000000-0005-0000-0000-0000E2170000}"/>
    <cellStyle name="Normal 5 2 2 3 7 3 2" xfId="15768" xr:uid="{5BD34698-2D7C-4710-B5E0-A40AF0A0FDE8}"/>
    <cellStyle name="Normal 5 2 2 3 7 4" xfId="11551" xr:uid="{EE9AB3B6-BB5F-42E3-AF7F-B7298619C78D}"/>
    <cellStyle name="Normal 5 2 2 3 8" xfId="2572" xr:uid="{00000000-0005-0000-0000-0000E3170000}"/>
    <cellStyle name="Normal 5 2 2 3 8 2" xfId="6855" xr:uid="{00000000-0005-0000-0000-0000E4170000}"/>
    <cellStyle name="Normal 5 2 2 3 8 2 2" xfId="16181" xr:uid="{516617F0-9B3D-43ED-87A6-60794A312C6A}"/>
    <cellStyle name="Normal 5 2 2 3 8 3" xfId="11964" xr:uid="{7A057C6D-9D8F-4D12-AB73-D02E4B537204}"/>
    <cellStyle name="Normal 5 2 2 3 9" xfId="4790" xr:uid="{00000000-0005-0000-0000-0000E5170000}"/>
    <cellStyle name="Normal 5 2 2 3 9 2" xfId="14116" xr:uid="{0D9A1302-D0EC-4D9B-8DC4-51598E61EE16}"/>
    <cellStyle name="Normal 5 2 2 4" xfId="421" xr:uid="{00000000-0005-0000-0000-0000E6170000}"/>
    <cellStyle name="Normal 5 2 2 4 10" xfId="9903" xr:uid="{1E5AA8CB-42F6-4B87-994C-E1FA2A7CD37A}"/>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CD1A8439-CB5B-49CE-99DD-79DA551E9AE9}"/>
    <cellStyle name="Normal 5 2 2 4 2 2 2 3" xfId="12462" xr:uid="{E5C598EF-7889-4225-8623-4262607447C5}"/>
    <cellStyle name="Normal 5 2 2 4 2 2 3" xfId="5208" xr:uid="{00000000-0005-0000-0000-0000EB170000}"/>
    <cellStyle name="Normal 5 2 2 4 2 2 3 2" xfId="14534" xr:uid="{212FEDB8-BF11-4DF5-9904-233317B45209}"/>
    <cellStyle name="Normal 5 2 2 4 2 2 4" xfId="9488" xr:uid="{2997B11D-E810-48A4-BD3C-4498479B295E}"/>
    <cellStyle name="Normal 5 2 2 4 2 2 4 2" xfId="18803" xr:uid="{171D7D1E-B58A-4188-A573-D8338EED0395}"/>
    <cellStyle name="Normal 5 2 2 4 2 2 5" xfId="10317" xr:uid="{D54065B6-70D4-4BE1-8B6E-A51AC908A3C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F6440DAB-9680-48B8-AAF3-B5B02DEA8012}"/>
    <cellStyle name="Normal 5 2 2 4 2 3 2 3" xfId="12875" xr:uid="{E5C22274-6A02-4E06-B28C-D001DB4C7EBE}"/>
    <cellStyle name="Normal 5 2 2 4 2 3 3" xfId="5621" xr:uid="{00000000-0005-0000-0000-0000EF170000}"/>
    <cellStyle name="Normal 5 2 2 4 2 3 3 2" xfId="14947" xr:uid="{4826FF53-D2CB-4E47-B5F2-DFFD34215A08}"/>
    <cellStyle name="Normal 5 2 2 4 2 3 4" xfId="10730" xr:uid="{FAC4F098-D27A-43B4-98C1-E62B767254F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C8F5872B-460C-406A-B407-E36AB9F49898}"/>
    <cellStyle name="Normal 5 2 2 4 2 4 2 3" xfId="13288" xr:uid="{001C7605-9789-4AA4-87E4-626F2EDD164F}"/>
    <cellStyle name="Normal 5 2 2 4 2 4 3" xfId="6034" xr:uid="{00000000-0005-0000-0000-0000F3170000}"/>
    <cellStyle name="Normal 5 2 2 4 2 4 3 2" xfId="15360" xr:uid="{D129F0D2-7C88-4854-B5B5-FF59F9485F95}"/>
    <cellStyle name="Normal 5 2 2 4 2 4 4" xfId="11143" xr:uid="{58F0BDB5-5A09-4C97-98B4-E6483EBBBEA5}"/>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6D08D878-2676-4D84-ABA9-3BF350089614}"/>
    <cellStyle name="Normal 5 2 2 4 2 5 2 3" xfId="13701" xr:uid="{45B7BEBD-F851-4E32-AD29-1DD39BE69B33}"/>
    <cellStyle name="Normal 5 2 2 4 2 5 3" xfId="6447" xr:uid="{00000000-0005-0000-0000-0000F7170000}"/>
    <cellStyle name="Normal 5 2 2 4 2 5 3 2" xfId="15773" xr:uid="{BEC8D338-A907-4790-B1DB-334933861E3D}"/>
    <cellStyle name="Normal 5 2 2 4 2 5 4" xfId="11556" xr:uid="{9E913B81-CAC1-4C68-AC1B-42E516188149}"/>
    <cellStyle name="Normal 5 2 2 4 2 6" xfId="2577" xr:uid="{00000000-0005-0000-0000-0000F8170000}"/>
    <cellStyle name="Normal 5 2 2 4 2 6 2" xfId="6860" xr:uid="{00000000-0005-0000-0000-0000F9170000}"/>
    <cellStyle name="Normal 5 2 2 4 2 6 2 2" xfId="16186" xr:uid="{0363FDDC-9A0F-42A1-8DC0-797B001B26F1}"/>
    <cellStyle name="Normal 5 2 2 4 2 6 3" xfId="11969" xr:uid="{1B9D2C46-FC70-4F63-84D4-AC7FE4834627}"/>
    <cellStyle name="Normal 5 2 2 4 2 7" xfId="4795" xr:uid="{00000000-0005-0000-0000-0000FA170000}"/>
    <cellStyle name="Normal 5 2 2 4 2 7 2" xfId="14121" xr:uid="{93AE5570-977D-4318-989F-CB09A63DB5A8}"/>
    <cellStyle name="Normal 5 2 2 4 2 8" xfId="9063" xr:uid="{3B1AA107-8D7F-4938-A60C-EED41E9B9A2A}"/>
    <cellStyle name="Normal 5 2 2 4 2 8 2" xfId="18387" xr:uid="{C823B92A-169B-43F5-9E02-8C9060D62B80}"/>
    <cellStyle name="Normal 5 2 2 4 2 9" xfId="9904" xr:uid="{BEEC9665-24DB-4FE4-846C-80DC41FAA454}"/>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48D187CB-ECD2-4913-953C-05DA84D458CA}"/>
    <cellStyle name="Normal 5 2 2 4 3 2 3" xfId="12461" xr:uid="{15B5A26C-1A12-4782-A7FB-BFCB3C811912}"/>
    <cellStyle name="Normal 5 2 2 4 3 3" xfId="5207" xr:uid="{00000000-0005-0000-0000-0000FE170000}"/>
    <cellStyle name="Normal 5 2 2 4 3 3 2" xfId="14533" xr:uid="{C0A42728-BC38-48E6-98FB-97CA0D4B46EA}"/>
    <cellStyle name="Normal 5 2 2 4 3 4" xfId="9281" xr:uid="{9304050F-95A7-4BE3-AD21-FEBB7D0875B2}"/>
    <cellStyle name="Normal 5 2 2 4 3 4 2" xfId="18596" xr:uid="{FC82F644-A181-48CA-808B-B717518DA8EB}"/>
    <cellStyle name="Normal 5 2 2 4 3 5" xfId="10316" xr:uid="{173414C8-9710-43DB-8971-4235D8A4A475}"/>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EEBE3A9D-B736-4BFB-AECE-9232535EDCDE}"/>
    <cellStyle name="Normal 5 2 2 4 4 2 3" xfId="12874" xr:uid="{B7E3C980-5D8F-4FE8-8ED9-215880716A10}"/>
    <cellStyle name="Normal 5 2 2 4 4 3" xfId="5620" xr:uid="{00000000-0005-0000-0000-000002180000}"/>
    <cellStyle name="Normal 5 2 2 4 4 3 2" xfId="14946" xr:uid="{ED758324-C100-446E-86DA-D8D9496966B3}"/>
    <cellStyle name="Normal 5 2 2 4 4 4" xfId="10729" xr:uid="{25C190EC-AB54-4C75-925D-13F9398C387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6CCCD814-A66D-4904-B257-5CBEF9008007}"/>
    <cellStyle name="Normal 5 2 2 4 5 2 3" xfId="13287" xr:uid="{F0BA5BAB-A2E7-4ABD-A74B-6B91C6EE957E}"/>
    <cellStyle name="Normal 5 2 2 4 5 3" xfId="6033" xr:uid="{00000000-0005-0000-0000-000006180000}"/>
    <cellStyle name="Normal 5 2 2 4 5 3 2" xfId="15359" xr:uid="{CFE3808E-C98F-41A5-8FC2-AE230D743B42}"/>
    <cellStyle name="Normal 5 2 2 4 5 4" xfId="11142" xr:uid="{BDA876AA-F583-4F04-9480-ED407D68BBCA}"/>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5A99BECA-5AC7-4EEA-9EA4-36DC0474CBB0}"/>
    <cellStyle name="Normal 5 2 2 4 6 2 3" xfId="13700" xr:uid="{8B54C753-1A87-48A5-BCCF-9DAA72792BB6}"/>
    <cellStyle name="Normal 5 2 2 4 6 3" xfId="6446" xr:uid="{00000000-0005-0000-0000-00000A180000}"/>
    <cellStyle name="Normal 5 2 2 4 6 3 2" xfId="15772" xr:uid="{64E88522-BBCB-4D9C-80A8-DE16A746E6A4}"/>
    <cellStyle name="Normal 5 2 2 4 6 4" xfId="11555" xr:uid="{64006F2E-6195-47E2-BDED-2E42349D41A9}"/>
    <cellStyle name="Normal 5 2 2 4 7" xfId="2576" xr:uid="{00000000-0005-0000-0000-00000B180000}"/>
    <cellStyle name="Normal 5 2 2 4 7 2" xfId="6859" xr:uid="{00000000-0005-0000-0000-00000C180000}"/>
    <cellStyle name="Normal 5 2 2 4 7 2 2" xfId="16185" xr:uid="{0B4FA15D-E225-41FF-8A38-EDDB79DDB391}"/>
    <cellStyle name="Normal 5 2 2 4 7 3" xfId="11968" xr:uid="{12CE2CD9-A39F-42C7-865A-322FA6B0ABBE}"/>
    <cellStyle name="Normal 5 2 2 4 8" xfId="4794" xr:uid="{00000000-0005-0000-0000-00000D180000}"/>
    <cellStyle name="Normal 5 2 2 4 8 2" xfId="14120" xr:uid="{A8E6E9C6-9C2B-44D6-B940-0B04C89E3C13}"/>
    <cellStyle name="Normal 5 2 2 4 9" xfId="8856" xr:uid="{8A537EF5-BE1D-4B82-9546-B2DC1F74308F}"/>
    <cellStyle name="Normal 5 2 2 4 9 2" xfId="18180" xr:uid="{B357E1A4-6130-4369-855A-ECC2B54F6FC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7A186126-33DA-4A4D-842F-0D3A13CC57F4}"/>
    <cellStyle name="Normal 5 2 2 5 2 2 3" xfId="12463" xr:uid="{357A2CCC-82BA-4DED-B4BB-3B41D557D8C0}"/>
    <cellStyle name="Normal 5 2 2 5 2 3" xfId="5209" xr:uid="{00000000-0005-0000-0000-000012180000}"/>
    <cellStyle name="Normal 5 2 2 5 2 3 2" xfId="14535" xr:uid="{8DDDB96B-EDA4-4ABE-9F00-693F0D87EC12}"/>
    <cellStyle name="Normal 5 2 2 5 2 4" xfId="9397" xr:uid="{3CB0B9A4-F907-4F52-ACFC-7970F7AF9B13}"/>
    <cellStyle name="Normal 5 2 2 5 2 4 2" xfId="18712" xr:uid="{17EC60E1-22CF-4576-A6BA-B3439A8EFCBD}"/>
    <cellStyle name="Normal 5 2 2 5 2 5" xfId="10318" xr:uid="{2223AC8E-0565-4A57-9448-8AE753BDABDD}"/>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8A8FF689-20AA-4F08-8523-520C8C927E1D}"/>
    <cellStyle name="Normal 5 2 2 5 3 2 3" xfId="12876" xr:uid="{A505BEFC-36D7-43D0-9DB5-06CD41167722}"/>
    <cellStyle name="Normal 5 2 2 5 3 3" xfId="5622" xr:uid="{00000000-0005-0000-0000-000016180000}"/>
    <cellStyle name="Normal 5 2 2 5 3 3 2" xfId="14948" xr:uid="{50745D0D-012E-4AF8-8484-5A6228C653E0}"/>
    <cellStyle name="Normal 5 2 2 5 3 4" xfId="10731" xr:uid="{C46658C5-2621-4ABE-A66F-140BBFBA17E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6C654062-0509-4A2C-AF2D-F9C1E39802D5}"/>
    <cellStyle name="Normal 5 2 2 5 4 2 3" xfId="13289" xr:uid="{AD317912-FF2C-4AC9-9798-401BD8C51497}"/>
    <cellStyle name="Normal 5 2 2 5 4 3" xfId="6035" xr:uid="{00000000-0005-0000-0000-00001A180000}"/>
    <cellStyle name="Normal 5 2 2 5 4 3 2" xfId="15361" xr:uid="{D68814DE-ECE4-4D5E-B0E2-6719F1AB7BC5}"/>
    <cellStyle name="Normal 5 2 2 5 4 4" xfId="11144" xr:uid="{F1CC9CDE-BE67-471A-A182-7E3A4CC7210B}"/>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A08FBD6D-C113-4350-ACB7-0D995B353343}"/>
    <cellStyle name="Normal 5 2 2 5 5 2 3" xfId="13702" xr:uid="{EF33F508-85E8-4885-AC2C-E578AA5C6885}"/>
    <cellStyle name="Normal 5 2 2 5 5 3" xfId="6448" xr:uid="{00000000-0005-0000-0000-00001E180000}"/>
    <cellStyle name="Normal 5 2 2 5 5 3 2" xfId="15774" xr:uid="{58ABD215-E0D8-405B-84C4-4DFBECEC8A44}"/>
    <cellStyle name="Normal 5 2 2 5 5 4" xfId="11557" xr:uid="{81C77B91-0EB4-4661-829C-204A8BFC3402}"/>
    <cellStyle name="Normal 5 2 2 5 6" xfId="2578" xr:uid="{00000000-0005-0000-0000-00001F180000}"/>
    <cellStyle name="Normal 5 2 2 5 6 2" xfId="6861" xr:uid="{00000000-0005-0000-0000-000020180000}"/>
    <cellStyle name="Normal 5 2 2 5 6 2 2" xfId="16187" xr:uid="{6199DAF4-8646-43EC-9C2E-2180403469AD}"/>
    <cellStyle name="Normal 5 2 2 5 6 3" xfId="11970" xr:uid="{F6AF2866-BB58-4D24-B6F2-B5FAE8061C6C}"/>
    <cellStyle name="Normal 5 2 2 5 7" xfId="4796" xr:uid="{00000000-0005-0000-0000-000021180000}"/>
    <cellStyle name="Normal 5 2 2 5 7 2" xfId="14122" xr:uid="{2A8263A2-B2C1-4BB0-B391-0DCBD6D5B9D3}"/>
    <cellStyle name="Normal 5 2 2 5 8" xfId="8972" xr:uid="{3CCC8856-6464-4309-A4F9-43F74A48C503}"/>
    <cellStyle name="Normal 5 2 2 5 8 2" xfId="18296" xr:uid="{BCE00651-74AE-4FA4-BF13-17B914CFFD77}"/>
    <cellStyle name="Normal 5 2 2 5 9" xfId="9905" xr:uid="{043E53BC-4100-4065-B3E4-1A2D63F953CF}"/>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46B1ADB2-EA57-463C-9835-57376F337D38}"/>
    <cellStyle name="Normal 5 2 2 6 2 3" xfId="12448" xr:uid="{2E1CBA08-2CAB-4522-B81F-74869F090942}"/>
    <cellStyle name="Normal 5 2 2 6 3" xfId="5194" xr:uid="{00000000-0005-0000-0000-000025180000}"/>
    <cellStyle name="Normal 5 2 2 6 3 2" xfId="14520" xr:uid="{B8A26C57-8313-4FA8-A7C2-17C3E17103A2}"/>
    <cellStyle name="Normal 5 2 2 6 4" xfId="9175" xr:uid="{A0BC076A-DB75-4963-A17E-57836FA6391D}"/>
    <cellStyle name="Normal 5 2 2 6 4 2" xfId="18493" xr:uid="{4BF1FC69-10DB-4ABE-BD94-3E7CA50DF171}"/>
    <cellStyle name="Normal 5 2 2 6 5" xfId="10303" xr:uid="{6D984F5A-3613-4833-85D7-C8F55859BD26}"/>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2FA66198-5485-4E18-B421-1D87E8C4D562}"/>
    <cellStyle name="Normal 5 2 2 7 2 3" xfId="12861" xr:uid="{89276573-AC2A-4A02-9874-72398C83290E}"/>
    <cellStyle name="Normal 5 2 2 7 3" xfId="5607" xr:uid="{00000000-0005-0000-0000-000029180000}"/>
    <cellStyle name="Normal 5 2 2 7 3 2" xfId="14933" xr:uid="{01016FF2-E623-4854-9BD9-B44142F654FC}"/>
    <cellStyle name="Normal 5 2 2 7 4" xfId="10716" xr:uid="{9E350154-729D-4B7A-B738-B1CD3BA33DDC}"/>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047DB020-3DE5-420D-B59C-C2A4AE607D4A}"/>
    <cellStyle name="Normal 5 2 2 8 2 3" xfId="13274" xr:uid="{038E350A-0846-4EF5-8BFD-038C26B0EB50}"/>
    <cellStyle name="Normal 5 2 2 8 3" xfId="6020" xr:uid="{00000000-0005-0000-0000-00002D180000}"/>
    <cellStyle name="Normal 5 2 2 8 3 2" xfId="15346" xr:uid="{1BE35E83-5200-4653-AE0E-F4480AE26A63}"/>
    <cellStyle name="Normal 5 2 2 8 4" xfId="11129" xr:uid="{CD5A14ED-F9ED-464D-BC24-984538779F5B}"/>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3B64ECFD-9E03-4C77-A18B-FCF3E4ECCF0E}"/>
    <cellStyle name="Normal 5 2 2 9 2 3" xfId="13687" xr:uid="{00F5F046-27DF-477B-A25D-DC50BF0254BF}"/>
    <cellStyle name="Normal 5 2 2 9 3" xfId="6433" xr:uid="{00000000-0005-0000-0000-000031180000}"/>
    <cellStyle name="Normal 5 2 2 9 3 2" xfId="15759" xr:uid="{4B045F44-D642-49BB-845F-408263BF371E}"/>
    <cellStyle name="Normal 5 2 2 9 4" xfId="11542" xr:uid="{7B5B69A5-EBDB-4BBB-86B2-890FF34CF524}"/>
    <cellStyle name="Normal 5 2 3" xfId="424" xr:uid="{00000000-0005-0000-0000-000032180000}"/>
    <cellStyle name="Normal 5 2 3 10" xfId="4797" xr:uid="{00000000-0005-0000-0000-000033180000}"/>
    <cellStyle name="Normal 5 2 3 10 2" xfId="14123" xr:uid="{FCE78772-58FD-474E-BF4C-A7239DDA99B1}"/>
    <cellStyle name="Normal 5 2 3 11" xfId="8776" xr:uid="{883173D2-CE3E-48F3-8E13-32EAEF7B08C3}"/>
    <cellStyle name="Normal 5 2 3 11 2" xfId="18100" xr:uid="{6BE48B3B-6D14-42C2-8140-5FF7A7022713}"/>
    <cellStyle name="Normal 5 2 3 12" xfId="9906" xr:uid="{3BA619A2-34C6-4EA7-BD33-1B585BA835D0}"/>
    <cellStyle name="Normal 5 2 3 2" xfId="425" xr:uid="{00000000-0005-0000-0000-000034180000}"/>
    <cellStyle name="Normal 5 2 3 2 10" xfId="8830" xr:uid="{287E15F2-6F23-4B3E-B8AA-9DE92D950FBA}"/>
    <cellStyle name="Normal 5 2 3 2 10 2" xfId="18154" xr:uid="{1BC7B8B1-543D-4FB8-BB1B-A677EAB62F9E}"/>
    <cellStyle name="Normal 5 2 3 2 11" xfId="9907" xr:uid="{6294B858-40D7-46EB-92AC-2293D0248720}"/>
    <cellStyle name="Normal 5 2 3 2 2" xfId="426" xr:uid="{00000000-0005-0000-0000-000035180000}"/>
    <cellStyle name="Normal 5 2 3 2 2 10" xfId="9908" xr:uid="{2E78618E-171F-43D9-82EF-31B867D24637}"/>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852337BA-7658-464F-9A20-5B48F932941C}"/>
    <cellStyle name="Normal 5 2 3 2 2 2 2 2 3" xfId="12467" xr:uid="{A49CC502-15CD-47F9-978D-D4FED541FB8E}"/>
    <cellStyle name="Normal 5 2 3 2 2 2 2 3" xfId="5213" xr:uid="{00000000-0005-0000-0000-00003A180000}"/>
    <cellStyle name="Normal 5 2 3 2 2 2 2 3 2" xfId="14539" xr:uid="{5FA14C0A-1639-46C4-8767-44D701BC8D2D}"/>
    <cellStyle name="Normal 5 2 3 2 2 2 2 4" xfId="9565" xr:uid="{B33C5ECB-02D9-4BAF-B467-F38E8EEB7F6E}"/>
    <cellStyle name="Normal 5 2 3 2 2 2 2 4 2" xfId="18880" xr:uid="{13FDF6B4-E4B4-4676-915F-31B6482374E6}"/>
    <cellStyle name="Normal 5 2 3 2 2 2 2 5" xfId="10322" xr:uid="{F0B1E657-500D-4378-AD13-F88581CF2038}"/>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3633975-F745-4133-ADA7-A940D11B5C28}"/>
    <cellStyle name="Normal 5 2 3 2 2 2 3 2 3" xfId="12880" xr:uid="{A4E3CCC0-686C-486F-B6F0-0725CF4F963C}"/>
    <cellStyle name="Normal 5 2 3 2 2 2 3 3" xfId="5626" xr:uid="{00000000-0005-0000-0000-00003E180000}"/>
    <cellStyle name="Normal 5 2 3 2 2 2 3 3 2" xfId="14952" xr:uid="{07FE8014-483C-415E-856B-C3698720A61E}"/>
    <cellStyle name="Normal 5 2 3 2 2 2 3 4" xfId="10735" xr:uid="{E5651CDE-E1C6-4E2B-AB61-385399F9A74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21B8A926-97F6-419E-A93A-84C08D148B83}"/>
    <cellStyle name="Normal 5 2 3 2 2 2 4 2 3" xfId="13293" xr:uid="{A500E158-8A90-4B34-BE1D-525D825814AF}"/>
    <cellStyle name="Normal 5 2 3 2 2 2 4 3" xfId="6039" xr:uid="{00000000-0005-0000-0000-000042180000}"/>
    <cellStyle name="Normal 5 2 3 2 2 2 4 3 2" xfId="15365" xr:uid="{4E5ABE2B-A4BA-4FC4-88B3-F43217FE42FC}"/>
    <cellStyle name="Normal 5 2 3 2 2 2 4 4" xfId="11148" xr:uid="{0D807BF8-B995-4C97-BF15-965F38F32FED}"/>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90843E9E-452F-4181-B557-18E575774CB9}"/>
    <cellStyle name="Normal 5 2 3 2 2 2 5 2 3" xfId="13706" xr:uid="{3BFC1741-DCC8-4CEC-9584-0C1288816CB6}"/>
    <cellStyle name="Normal 5 2 3 2 2 2 5 3" xfId="6452" xr:uid="{00000000-0005-0000-0000-000046180000}"/>
    <cellStyle name="Normal 5 2 3 2 2 2 5 3 2" xfId="15778" xr:uid="{BCAA2212-ABDB-4715-A20E-2B51FBE52822}"/>
    <cellStyle name="Normal 5 2 3 2 2 2 5 4" xfId="11561" xr:uid="{33B22FEF-FFF3-4E37-9AAC-D46FFF316BE8}"/>
    <cellStyle name="Normal 5 2 3 2 2 2 6" xfId="2582" xr:uid="{00000000-0005-0000-0000-000047180000}"/>
    <cellStyle name="Normal 5 2 3 2 2 2 6 2" xfId="6865" xr:uid="{00000000-0005-0000-0000-000048180000}"/>
    <cellStyle name="Normal 5 2 3 2 2 2 6 2 2" xfId="16191" xr:uid="{05C5B70E-73BE-4AF2-99EC-2A237B75A621}"/>
    <cellStyle name="Normal 5 2 3 2 2 2 6 3" xfId="11974" xr:uid="{0EB6AA9F-94C4-459D-929B-E5A49AA7C95C}"/>
    <cellStyle name="Normal 5 2 3 2 2 2 7" xfId="4800" xr:uid="{00000000-0005-0000-0000-000049180000}"/>
    <cellStyle name="Normal 5 2 3 2 2 2 7 2" xfId="14126" xr:uid="{0F035275-E741-429A-9051-0F1A03BD71D0}"/>
    <cellStyle name="Normal 5 2 3 2 2 2 8" xfId="9140" xr:uid="{175A16DB-BA54-4083-AB68-1FA46DB27A86}"/>
    <cellStyle name="Normal 5 2 3 2 2 2 8 2" xfId="18464" xr:uid="{973EBB73-08C7-487B-9284-A212620A64CB}"/>
    <cellStyle name="Normal 5 2 3 2 2 2 9" xfId="9909" xr:uid="{9D290432-7A0C-45C1-A60C-800C3A567A1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B0EC58A4-440D-4916-95AC-ADC4FBBDAE84}"/>
    <cellStyle name="Normal 5 2 3 2 2 3 2 3" xfId="12466" xr:uid="{3D1C3E27-1A3B-4688-8BC1-A4625199670D}"/>
    <cellStyle name="Normal 5 2 3 2 2 3 3" xfId="5212" xr:uid="{00000000-0005-0000-0000-00004D180000}"/>
    <cellStyle name="Normal 5 2 3 2 2 3 3 2" xfId="14538" xr:uid="{82E305F9-10F4-4A4E-AD0C-4B316D37BB0D}"/>
    <cellStyle name="Normal 5 2 3 2 2 3 4" xfId="9358" xr:uid="{5B196E7D-8DD9-4C59-A83C-7626B0E60040}"/>
    <cellStyle name="Normal 5 2 3 2 2 3 4 2" xfId="18673" xr:uid="{8B94169F-B503-4E2F-918A-AEE9090E719F}"/>
    <cellStyle name="Normal 5 2 3 2 2 3 5" xfId="10321" xr:uid="{9C6CEDCC-6F08-4475-A074-A7C34C3253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404B82ED-1709-431B-8E0F-A3AD20DABC30}"/>
    <cellStyle name="Normal 5 2 3 2 2 4 2 3" xfId="12879" xr:uid="{7332C877-8951-4557-8860-B9BA6970B0ED}"/>
    <cellStyle name="Normal 5 2 3 2 2 4 3" xfId="5625" xr:uid="{00000000-0005-0000-0000-000051180000}"/>
    <cellStyle name="Normal 5 2 3 2 2 4 3 2" xfId="14951" xr:uid="{E22E9BDD-CE80-47E4-B9F3-CF7E05A2C59E}"/>
    <cellStyle name="Normal 5 2 3 2 2 4 4" xfId="10734" xr:uid="{6FD7680E-B564-4418-9140-9989A84CC97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94769490-731B-4582-9B66-2098AF09576F}"/>
    <cellStyle name="Normal 5 2 3 2 2 5 2 3" xfId="13292" xr:uid="{5245F3EE-11BE-4E84-A7C8-8BE7888E0C60}"/>
    <cellStyle name="Normal 5 2 3 2 2 5 3" xfId="6038" xr:uid="{00000000-0005-0000-0000-000055180000}"/>
    <cellStyle name="Normal 5 2 3 2 2 5 3 2" xfId="15364" xr:uid="{5FE6B7B4-1AB2-4E6C-89F4-8FC5097B15DB}"/>
    <cellStyle name="Normal 5 2 3 2 2 5 4" xfId="11147" xr:uid="{2A811786-17F5-4617-AC99-062077A6401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AB36D8BB-BF35-46DF-97B4-987E93C56340}"/>
    <cellStyle name="Normal 5 2 3 2 2 6 2 3" xfId="13705" xr:uid="{9BBB3F4F-6042-444B-8281-7FC48D718280}"/>
    <cellStyle name="Normal 5 2 3 2 2 6 3" xfId="6451" xr:uid="{00000000-0005-0000-0000-000059180000}"/>
    <cellStyle name="Normal 5 2 3 2 2 6 3 2" xfId="15777" xr:uid="{3E678ABE-90F5-4989-8069-03BD3AA25A6D}"/>
    <cellStyle name="Normal 5 2 3 2 2 6 4" xfId="11560" xr:uid="{01969B29-73DA-47AF-8B7B-024E360608EB}"/>
    <cellStyle name="Normal 5 2 3 2 2 7" xfId="2581" xr:uid="{00000000-0005-0000-0000-00005A180000}"/>
    <cellStyle name="Normal 5 2 3 2 2 7 2" xfId="6864" xr:uid="{00000000-0005-0000-0000-00005B180000}"/>
    <cellStyle name="Normal 5 2 3 2 2 7 2 2" xfId="16190" xr:uid="{083211DC-4D0A-4A48-8A5A-5D69E2555147}"/>
    <cellStyle name="Normal 5 2 3 2 2 7 3" xfId="11973" xr:uid="{0C9413D5-4809-40D1-BCB3-23AD3EBEF819}"/>
    <cellStyle name="Normal 5 2 3 2 2 8" xfId="4799" xr:uid="{00000000-0005-0000-0000-00005C180000}"/>
    <cellStyle name="Normal 5 2 3 2 2 8 2" xfId="14125" xr:uid="{F63127F4-B4DB-4858-8A94-7CC1BFDE9269}"/>
    <cellStyle name="Normal 5 2 3 2 2 9" xfId="8933" xr:uid="{2228AC18-CB51-4AF4-A227-403A8409C6C2}"/>
    <cellStyle name="Normal 5 2 3 2 2 9 2" xfId="18257" xr:uid="{880423F0-0EAB-4C0D-ADED-024540796C5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9CC86D35-115B-4DFD-A0E2-A0EC51347E88}"/>
    <cellStyle name="Normal 5 2 3 2 3 2 2 3" xfId="12468" xr:uid="{E0EAC611-4DD9-4C2A-B22F-45F8C7C82318}"/>
    <cellStyle name="Normal 5 2 3 2 3 2 3" xfId="5214" xr:uid="{00000000-0005-0000-0000-000061180000}"/>
    <cellStyle name="Normal 5 2 3 2 3 2 3 2" xfId="14540" xr:uid="{D21B1B00-9BA7-43E5-A522-ED18D4AAD1FD}"/>
    <cellStyle name="Normal 5 2 3 2 3 2 4" xfId="9462" xr:uid="{B4C14F1A-A88A-428F-A7F8-BAFD7E5CD045}"/>
    <cellStyle name="Normal 5 2 3 2 3 2 4 2" xfId="18777" xr:uid="{3318B069-69F2-4FF1-9189-9D17E9534EA5}"/>
    <cellStyle name="Normal 5 2 3 2 3 2 5" xfId="10323" xr:uid="{483EBA7F-25BB-49E5-B554-39CBF05811A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A20F1406-F61C-40B2-86EE-3ABC952506A1}"/>
    <cellStyle name="Normal 5 2 3 2 3 3 2 3" xfId="12881" xr:uid="{84D6CE6D-FABA-4CBD-8192-038BD3A8FBA4}"/>
    <cellStyle name="Normal 5 2 3 2 3 3 3" xfId="5627" xr:uid="{00000000-0005-0000-0000-000065180000}"/>
    <cellStyle name="Normal 5 2 3 2 3 3 3 2" xfId="14953" xr:uid="{FECD7D87-0CB5-42B6-9AFC-D3D11715224A}"/>
    <cellStyle name="Normal 5 2 3 2 3 3 4" xfId="10736" xr:uid="{74DA37BC-6481-4EFB-AF3C-4F89FB689AC5}"/>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36AB26FB-E2F1-4D0D-825B-F8816BFCA451}"/>
    <cellStyle name="Normal 5 2 3 2 3 4 2 3" xfId="13294" xr:uid="{63F18665-CC5E-43CB-A20B-9E47AAC47ACA}"/>
    <cellStyle name="Normal 5 2 3 2 3 4 3" xfId="6040" xr:uid="{00000000-0005-0000-0000-000069180000}"/>
    <cellStyle name="Normal 5 2 3 2 3 4 3 2" xfId="15366" xr:uid="{23BDF37E-F479-49CA-A2B4-88CD286B202B}"/>
    <cellStyle name="Normal 5 2 3 2 3 4 4" xfId="11149" xr:uid="{34CE6210-1F7C-4FC0-9C87-425B62501DA3}"/>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ACE98642-6FD1-4A01-B673-68146717C1E3}"/>
    <cellStyle name="Normal 5 2 3 2 3 5 2 3" xfId="13707" xr:uid="{6CB8E380-6A08-40E3-B05C-0D537A5FD215}"/>
    <cellStyle name="Normal 5 2 3 2 3 5 3" xfId="6453" xr:uid="{00000000-0005-0000-0000-00006D180000}"/>
    <cellStyle name="Normal 5 2 3 2 3 5 3 2" xfId="15779" xr:uid="{FC359BAE-1915-4B43-BBAA-7FD3B7B4D1CC}"/>
    <cellStyle name="Normal 5 2 3 2 3 5 4" xfId="11562" xr:uid="{1E850B88-8346-4594-BF7B-C53F31177282}"/>
    <cellStyle name="Normal 5 2 3 2 3 6" xfId="2583" xr:uid="{00000000-0005-0000-0000-00006E180000}"/>
    <cellStyle name="Normal 5 2 3 2 3 6 2" xfId="6866" xr:uid="{00000000-0005-0000-0000-00006F180000}"/>
    <cellStyle name="Normal 5 2 3 2 3 6 2 2" xfId="16192" xr:uid="{48349F84-540E-430A-AFBB-A1986E8532AE}"/>
    <cellStyle name="Normal 5 2 3 2 3 6 3" xfId="11975" xr:uid="{6A29AC26-4BE8-493E-AD0D-44C378F7A636}"/>
    <cellStyle name="Normal 5 2 3 2 3 7" xfId="4801" xr:uid="{00000000-0005-0000-0000-000070180000}"/>
    <cellStyle name="Normal 5 2 3 2 3 7 2" xfId="14127" xr:uid="{6A477CC2-32AC-45C2-A301-0F666AAFCBFD}"/>
    <cellStyle name="Normal 5 2 3 2 3 8" xfId="9037" xr:uid="{EED46D7F-EFCD-4AC1-931D-AB06B694E7BE}"/>
    <cellStyle name="Normal 5 2 3 2 3 8 2" xfId="18361" xr:uid="{D834C063-312D-44BA-976A-C8F425A6F2D7}"/>
    <cellStyle name="Normal 5 2 3 2 3 9" xfId="9910" xr:uid="{72FFAD52-CB12-466E-9546-C24577ED249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782C50A5-4903-44AC-8C3F-28078626F3C8}"/>
    <cellStyle name="Normal 5 2 3 2 4 2 3" xfId="12465" xr:uid="{CFE010CF-80DA-4410-9CB9-D7E9715B1A7F}"/>
    <cellStyle name="Normal 5 2 3 2 4 3" xfId="5211" xr:uid="{00000000-0005-0000-0000-000074180000}"/>
    <cellStyle name="Normal 5 2 3 2 4 3 2" xfId="14537" xr:uid="{AF64E99F-CE7E-4DC8-9963-2C436F58D15B}"/>
    <cellStyle name="Normal 5 2 3 2 4 4" xfId="9255" xr:uid="{C5A161BB-6C4F-4A9D-BBA7-7500B0B26A70}"/>
    <cellStyle name="Normal 5 2 3 2 4 4 2" xfId="18570" xr:uid="{D9C1CE91-A31E-4D06-A548-ADB773AEC6CF}"/>
    <cellStyle name="Normal 5 2 3 2 4 5" xfId="10320" xr:uid="{8C9DECA2-7D31-405C-858B-8258851E988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EADD9942-A96E-4844-99F0-CDBB6A2B6439}"/>
    <cellStyle name="Normal 5 2 3 2 5 2 3" xfId="12878" xr:uid="{9FB1D9D7-F3FD-4783-A495-8A247A1FC7B2}"/>
    <cellStyle name="Normal 5 2 3 2 5 3" xfId="5624" xr:uid="{00000000-0005-0000-0000-000078180000}"/>
    <cellStyle name="Normal 5 2 3 2 5 3 2" xfId="14950" xr:uid="{3006F858-65AD-407D-9188-539A86ED9F7A}"/>
    <cellStyle name="Normal 5 2 3 2 5 4" xfId="10733" xr:uid="{5EDEC764-5BB7-467F-974B-E5EC34DFCA60}"/>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2917315C-C844-42F1-9C87-34776A62CA61}"/>
    <cellStyle name="Normal 5 2 3 2 6 2 3" xfId="13291" xr:uid="{01766DFF-A4A8-4C54-A2E9-3758B5F73CCC}"/>
    <cellStyle name="Normal 5 2 3 2 6 3" xfId="6037" xr:uid="{00000000-0005-0000-0000-00007C180000}"/>
    <cellStyle name="Normal 5 2 3 2 6 3 2" xfId="15363" xr:uid="{DFF811D9-8843-4BA7-9280-619D1A26D5B5}"/>
    <cellStyle name="Normal 5 2 3 2 6 4" xfId="11146" xr:uid="{C62D279A-886E-490C-BE44-9862BF469D4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0DFAA068-9547-429F-90BC-FF7D3523AF09}"/>
    <cellStyle name="Normal 5 2 3 2 7 2 3" xfId="13704" xr:uid="{87F51944-8DBA-47FD-8C6F-488839685EFA}"/>
    <cellStyle name="Normal 5 2 3 2 7 3" xfId="6450" xr:uid="{00000000-0005-0000-0000-000080180000}"/>
    <cellStyle name="Normal 5 2 3 2 7 3 2" xfId="15776" xr:uid="{ECEFD575-DDB5-4005-A86C-81A66E0BC93F}"/>
    <cellStyle name="Normal 5 2 3 2 7 4" xfId="11559" xr:uid="{28C9E0BA-0090-4620-B363-6F134F808A28}"/>
    <cellStyle name="Normal 5 2 3 2 8" xfId="2580" xr:uid="{00000000-0005-0000-0000-000081180000}"/>
    <cellStyle name="Normal 5 2 3 2 8 2" xfId="6863" xr:uid="{00000000-0005-0000-0000-000082180000}"/>
    <cellStyle name="Normal 5 2 3 2 8 2 2" xfId="16189" xr:uid="{38A7A95A-D433-4961-904D-6523849130ED}"/>
    <cellStyle name="Normal 5 2 3 2 8 3" xfId="11972" xr:uid="{D96015B1-B026-4AF9-A4B8-2AE2B8A87DF0}"/>
    <cellStyle name="Normal 5 2 3 2 9" xfId="4798" xr:uid="{00000000-0005-0000-0000-000083180000}"/>
    <cellStyle name="Normal 5 2 3 2 9 2" xfId="14124" xr:uid="{72221E1A-F298-4E90-9691-5ADF22E88C01}"/>
    <cellStyle name="Normal 5 2 3 3" xfId="429" xr:uid="{00000000-0005-0000-0000-000084180000}"/>
    <cellStyle name="Normal 5 2 3 3 10" xfId="9911" xr:uid="{B8079D29-A952-4FCA-9433-5D4013422003}"/>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6DB3EE77-FE10-47A1-8130-365EF9AFC045}"/>
    <cellStyle name="Normal 5 2 3 3 2 2 2 3" xfId="12470" xr:uid="{D74E0B0C-6EB2-4984-B2A7-547F3C60A418}"/>
    <cellStyle name="Normal 5 2 3 3 2 2 3" xfId="5216" xr:uid="{00000000-0005-0000-0000-000089180000}"/>
    <cellStyle name="Normal 5 2 3 3 2 2 3 2" xfId="14542" xr:uid="{098F379F-BB57-4B07-986F-B3AC332C3599}"/>
    <cellStyle name="Normal 5 2 3 3 2 2 4" xfId="9511" xr:uid="{75EF02F8-0397-4B30-A858-343ADCA7C08D}"/>
    <cellStyle name="Normal 5 2 3 3 2 2 4 2" xfId="18826" xr:uid="{761D65F8-39C0-41AD-A197-3FCBB5B2818D}"/>
    <cellStyle name="Normal 5 2 3 3 2 2 5" xfId="10325" xr:uid="{8AB79F99-3399-4117-A11E-594238A70EDA}"/>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95E60362-9208-4034-913B-7326048F5DC5}"/>
    <cellStyle name="Normal 5 2 3 3 2 3 2 3" xfId="12883" xr:uid="{E07BC6E9-7B2E-4712-9C32-59C465F28D61}"/>
    <cellStyle name="Normal 5 2 3 3 2 3 3" xfId="5629" xr:uid="{00000000-0005-0000-0000-00008D180000}"/>
    <cellStyle name="Normal 5 2 3 3 2 3 3 2" xfId="14955" xr:uid="{6CD14E3B-415F-40AE-B313-7395D14C4418}"/>
    <cellStyle name="Normal 5 2 3 3 2 3 4" xfId="10738" xr:uid="{A738A2F9-5E3A-4319-AADD-A8BA1F53478F}"/>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3443A7E3-6291-4588-940B-F0704DFE77C6}"/>
    <cellStyle name="Normal 5 2 3 3 2 4 2 3" xfId="13296" xr:uid="{438524B0-5B1A-4280-BAD4-EAEA90D4E174}"/>
    <cellStyle name="Normal 5 2 3 3 2 4 3" xfId="6042" xr:uid="{00000000-0005-0000-0000-000091180000}"/>
    <cellStyle name="Normal 5 2 3 3 2 4 3 2" xfId="15368" xr:uid="{D9425B57-0009-4391-989F-33982263AF17}"/>
    <cellStyle name="Normal 5 2 3 3 2 4 4" xfId="11151" xr:uid="{5B7A48F4-E665-4EC0-976D-9A418183ED07}"/>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7F749415-2D47-4AB4-AAAE-9157150A4C30}"/>
    <cellStyle name="Normal 5 2 3 3 2 5 2 3" xfId="13709" xr:uid="{B768A617-DF51-4436-BA94-0C17593218C0}"/>
    <cellStyle name="Normal 5 2 3 3 2 5 3" xfId="6455" xr:uid="{00000000-0005-0000-0000-000095180000}"/>
    <cellStyle name="Normal 5 2 3 3 2 5 3 2" xfId="15781" xr:uid="{7F33D166-6FE3-45DD-BF07-224F7241BC30}"/>
    <cellStyle name="Normal 5 2 3 3 2 5 4" xfId="11564" xr:uid="{9B8192A8-FBFA-4F34-8141-5F96221F8A46}"/>
    <cellStyle name="Normal 5 2 3 3 2 6" xfId="2585" xr:uid="{00000000-0005-0000-0000-000096180000}"/>
    <cellStyle name="Normal 5 2 3 3 2 6 2" xfId="6868" xr:uid="{00000000-0005-0000-0000-000097180000}"/>
    <cellStyle name="Normal 5 2 3 3 2 6 2 2" xfId="16194" xr:uid="{CA8FAB30-C459-4BFF-BBA3-CCAD8ABEC84A}"/>
    <cellStyle name="Normal 5 2 3 3 2 6 3" xfId="11977" xr:uid="{A21DF4A9-F0EB-4F97-AD5F-134E67740DF6}"/>
    <cellStyle name="Normal 5 2 3 3 2 7" xfId="4803" xr:uid="{00000000-0005-0000-0000-000098180000}"/>
    <cellStyle name="Normal 5 2 3 3 2 7 2" xfId="14129" xr:uid="{6B91E0A7-DB6E-4B3C-B852-B359A9C9292B}"/>
    <cellStyle name="Normal 5 2 3 3 2 8" xfId="9086" xr:uid="{442E5F61-F00C-4774-822F-4985AB3E1CB7}"/>
    <cellStyle name="Normal 5 2 3 3 2 8 2" xfId="18410" xr:uid="{3BF72B02-7A75-4EAF-97F3-6D2215345AB6}"/>
    <cellStyle name="Normal 5 2 3 3 2 9" xfId="9912" xr:uid="{D5885791-D315-46D2-9789-43381E685633}"/>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6D01A275-121E-4093-ADE5-0D90CC0EEBC4}"/>
    <cellStyle name="Normal 5 2 3 3 3 2 3" xfId="12469" xr:uid="{213C6DC5-2F2A-44C6-8062-B99AC63B95C7}"/>
    <cellStyle name="Normal 5 2 3 3 3 3" xfId="5215" xr:uid="{00000000-0005-0000-0000-00009C180000}"/>
    <cellStyle name="Normal 5 2 3 3 3 3 2" xfId="14541" xr:uid="{89E1F14D-10A4-4C92-B8CE-8D7A3D606B83}"/>
    <cellStyle name="Normal 5 2 3 3 3 4" xfId="9304" xr:uid="{2C783A77-F32A-4E64-807E-062B95DB0310}"/>
    <cellStyle name="Normal 5 2 3 3 3 4 2" xfId="18619" xr:uid="{28005E18-A102-478A-BAF3-7642DF83DB61}"/>
    <cellStyle name="Normal 5 2 3 3 3 5" xfId="10324" xr:uid="{4DEF3DFF-D994-4B46-8F8E-8AF1AE5C813D}"/>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CFA01C8E-D9FB-49C6-90FF-9767FB8EEC2E}"/>
    <cellStyle name="Normal 5 2 3 3 4 2 3" xfId="12882" xr:uid="{0DE041C6-B352-4054-9E25-0CF62393A8E7}"/>
    <cellStyle name="Normal 5 2 3 3 4 3" xfId="5628" xr:uid="{00000000-0005-0000-0000-0000A0180000}"/>
    <cellStyle name="Normal 5 2 3 3 4 3 2" xfId="14954" xr:uid="{940657A6-1F25-4D77-A26F-1E860F455FAE}"/>
    <cellStyle name="Normal 5 2 3 3 4 4" xfId="10737" xr:uid="{D0CAFBE2-4CD5-424B-9BA0-A44404C3455F}"/>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CDD02DA3-26A8-496B-B965-60C01E224188}"/>
    <cellStyle name="Normal 5 2 3 3 5 2 3" xfId="13295" xr:uid="{14A92263-DEF9-4893-A572-3FF4B64C8351}"/>
    <cellStyle name="Normal 5 2 3 3 5 3" xfId="6041" xr:uid="{00000000-0005-0000-0000-0000A4180000}"/>
    <cellStyle name="Normal 5 2 3 3 5 3 2" xfId="15367" xr:uid="{5ED75FBA-2A56-424F-B9B9-B6F9F036125C}"/>
    <cellStyle name="Normal 5 2 3 3 5 4" xfId="11150" xr:uid="{DB1F142D-3E35-4455-876A-9DC416D6874C}"/>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6E231317-07CA-45F0-AD83-50A9F7C73904}"/>
    <cellStyle name="Normal 5 2 3 3 6 2 3" xfId="13708" xr:uid="{9C8F4684-814F-4262-859A-3232959134B3}"/>
    <cellStyle name="Normal 5 2 3 3 6 3" xfId="6454" xr:uid="{00000000-0005-0000-0000-0000A8180000}"/>
    <cellStyle name="Normal 5 2 3 3 6 3 2" xfId="15780" xr:uid="{C6AEBDB5-38E4-4888-B28D-E75980CE9F4A}"/>
    <cellStyle name="Normal 5 2 3 3 6 4" xfId="11563" xr:uid="{19305FA5-8831-44DC-9953-DD19B73529B9}"/>
    <cellStyle name="Normal 5 2 3 3 7" xfId="2584" xr:uid="{00000000-0005-0000-0000-0000A9180000}"/>
    <cellStyle name="Normal 5 2 3 3 7 2" xfId="6867" xr:uid="{00000000-0005-0000-0000-0000AA180000}"/>
    <cellStyle name="Normal 5 2 3 3 7 2 2" xfId="16193" xr:uid="{E714D7BA-B805-4BC8-889F-93D29E3E18DD}"/>
    <cellStyle name="Normal 5 2 3 3 7 3" xfId="11976" xr:uid="{93CC0F25-07E3-4756-B7AA-97422BDA5266}"/>
    <cellStyle name="Normal 5 2 3 3 8" xfId="4802" xr:uid="{00000000-0005-0000-0000-0000AB180000}"/>
    <cellStyle name="Normal 5 2 3 3 8 2" xfId="14128" xr:uid="{987EAFEE-8EF1-4B7E-B2E7-FFBA974EA38B}"/>
    <cellStyle name="Normal 5 2 3 3 9" xfId="8879" xr:uid="{F521005C-E3E0-4B64-9C0A-0C510FB9AAB2}"/>
    <cellStyle name="Normal 5 2 3 3 9 2" xfId="18203" xr:uid="{EB779013-9AC2-49B7-82A8-F92E00A055B3}"/>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1DCF5E2A-6A42-469B-9ED1-8862AEC1874C}"/>
    <cellStyle name="Normal 5 2 3 4 2 2 3" xfId="12471" xr:uid="{7ECEB1D9-3A10-4060-8C79-8D8BE8A89C86}"/>
    <cellStyle name="Normal 5 2 3 4 2 3" xfId="5217" xr:uid="{00000000-0005-0000-0000-0000B0180000}"/>
    <cellStyle name="Normal 5 2 3 4 2 3 2" xfId="14543" xr:uid="{36C81572-AFCA-47EF-AB43-C81BE1F6ED59}"/>
    <cellStyle name="Normal 5 2 3 4 2 4" xfId="9408" xr:uid="{3B6F9C6F-3D7C-45F8-99FE-451C0F8CED36}"/>
    <cellStyle name="Normal 5 2 3 4 2 4 2" xfId="18723" xr:uid="{9A667C35-27CE-4966-8006-3E15B9B8F62A}"/>
    <cellStyle name="Normal 5 2 3 4 2 5" xfId="10326" xr:uid="{7D129232-DFEA-4823-91E0-F9A654B930D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CC4F8F6C-158B-4735-BD5B-2FEA54A69E15}"/>
    <cellStyle name="Normal 5 2 3 4 3 2 3" xfId="12884" xr:uid="{E34F2657-2EE5-4674-AA3F-DD4E22AA76C8}"/>
    <cellStyle name="Normal 5 2 3 4 3 3" xfId="5630" xr:uid="{00000000-0005-0000-0000-0000B4180000}"/>
    <cellStyle name="Normal 5 2 3 4 3 3 2" xfId="14956" xr:uid="{5C0E7FE5-943C-4CD9-8AEC-AF90FFFFD235}"/>
    <cellStyle name="Normal 5 2 3 4 3 4" xfId="10739" xr:uid="{347176E6-EE94-43B3-957C-0AC923100CB3}"/>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9A8FC32D-E657-427A-AB58-4FFF8A799A80}"/>
    <cellStyle name="Normal 5 2 3 4 4 2 3" xfId="13297" xr:uid="{4E8222B6-FBEF-4079-9146-C4B4EB6A2E54}"/>
    <cellStyle name="Normal 5 2 3 4 4 3" xfId="6043" xr:uid="{00000000-0005-0000-0000-0000B8180000}"/>
    <cellStyle name="Normal 5 2 3 4 4 3 2" xfId="15369" xr:uid="{1A421C92-4001-4041-BEB8-9CBAB5C6B694}"/>
    <cellStyle name="Normal 5 2 3 4 4 4" xfId="11152" xr:uid="{0591DDFE-B0CF-40DB-A932-0CB20F4501C5}"/>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7B89D651-CD94-4045-A586-51D63FD4919A}"/>
    <cellStyle name="Normal 5 2 3 4 5 2 3" xfId="13710" xr:uid="{79DD70BE-0DA3-4175-96E9-CEA545ABF7FD}"/>
    <cellStyle name="Normal 5 2 3 4 5 3" xfId="6456" xr:uid="{00000000-0005-0000-0000-0000BC180000}"/>
    <cellStyle name="Normal 5 2 3 4 5 3 2" xfId="15782" xr:uid="{B1702FB1-A655-453D-A415-3B0E9A75013B}"/>
    <cellStyle name="Normal 5 2 3 4 5 4" xfId="11565" xr:uid="{1E068AC1-FC4B-4188-8228-E971809C1CD5}"/>
    <cellStyle name="Normal 5 2 3 4 6" xfId="2586" xr:uid="{00000000-0005-0000-0000-0000BD180000}"/>
    <cellStyle name="Normal 5 2 3 4 6 2" xfId="6869" xr:uid="{00000000-0005-0000-0000-0000BE180000}"/>
    <cellStyle name="Normal 5 2 3 4 6 2 2" xfId="16195" xr:uid="{6B8849B0-B075-4619-B392-0E1B213A7B8F}"/>
    <cellStyle name="Normal 5 2 3 4 6 3" xfId="11978" xr:uid="{A065D9C3-4D13-4983-B4DB-3905A62302B8}"/>
    <cellStyle name="Normal 5 2 3 4 7" xfId="4804" xr:uid="{00000000-0005-0000-0000-0000BF180000}"/>
    <cellStyle name="Normal 5 2 3 4 7 2" xfId="14130" xr:uid="{0C5AE50A-FA75-48A6-8B29-056D2A6F1BB7}"/>
    <cellStyle name="Normal 5 2 3 4 8" xfId="8983" xr:uid="{07388FCC-03DE-4CE8-89CB-9C92F8174E24}"/>
    <cellStyle name="Normal 5 2 3 4 8 2" xfId="18307" xr:uid="{863D559A-7F37-4DF3-B9B0-80EC52A85697}"/>
    <cellStyle name="Normal 5 2 3 4 9" xfId="9913" xr:uid="{4E2B07CA-7444-442F-B620-B9928DA1DB65}"/>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1FCF35F8-1478-4637-BABF-08C2BF87517F}"/>
    <cellStyle name="Normal 5 2 3 5 2 3" xfId="12464" xr:uid="{435075BA-450D-4F01-B3C6-4977B1FABD3F}"/>
    <cellStyle name="Normal 5 2 3 5 3" xfId="5210" xr:uid="{00000000-0005-0000-0000-0000C3180000}"/>
    <cellStyle name="Normal 5 2 3 5 3 2" xfId="14536" xr:uid="{C8A6428E-AD5E-4E16-A89C-C440C1AA5121}"/>
    <cellStyle name="Normal 5 2 3 5 4" xfId="9200" xr:uid="{13DE827A-4007-427A-9869-ADBBE6B70993}"/>
    <cellStyle name="Normal 5 2 3 5 4 2" xfId="18516" xr:uid="{80765F48-2CFB-430E-8C9A-9D692B311C88}"/>
    <cellStyle name="Normal 5 2 3 5 5" xfId="10319" xr:uid="{1D5028EC-5575-4AE5-B592-1B9F11E83FE4}"/>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DA19BD41-542E-404F-9C01-1B5186478FB1}"/>
    <cellStyle name="Normal 5 2 3 6 2 3" xfId="12877" xr:uid="{A48D6D3D-B767-43C7-9979-71F98F06A0C8}"/>
    <cellStyle name="Normal 5 2 3 6 3" xfId="5623" xr:uid="{00000000-0005-0000-0000-0000C7180000}"/>
    <cellStyle name="Normal 5 2 3 6 3 2" xfId="14949" xr:uid="{4C32C6DB-A10E-4033-8141-EB88CBEFFE52}"/>
    <cellStyle name="Normal 5 2 3 6 4" xfId="10732" xr:uid="{80116576-340B-44B3-9700-337C4DD53799}"/>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483EBF55-BF3F-42FE-B4FD-F8EE7980D86C}"/>
    <cellStyle name="Normal 5 2 3 7 2 3" xfId="13290" xr:uid="{85D607C3-AE40-4042-A52C-E70A496E3CF1}"/>
    <cellStyle name="Normal 5 2 3 7 3" xfId="6036" xr:uid="{00000000-0005-0000-0000-0000CB180000}"/>
    <cellStyle name="Normal 5 2 3 7 3 2" xfId="15362" xr:uid="{FA500FF4-7674-4EB3-8A29-B8C186A148AE}"/>
    <cellStyle name="Normal 5 2 3 7 4" xfId="11145" xr:uid="{EF61B654-2623-4CED-B2F0-CFB32A8A1DCC}"/>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2BE95DC9-8963-4A59-B8D1-1C8EB38C7C31}"/>
    <cellStyle name="Normal 5 2 3 8 2 3" xfId="13703" xr:uid="{0EE79585-017E-4301-B421-CD6542E3862D}"/>
    <cellStyle name="Normal 5 2 3 8 3" xfId="6449" xr:uid="{00000000-0005-0000-0000-0000CF180000}"/>
    <cellStyle name="Normal 5 2 3 8 3 2" xfId="15775" xr:uid="{21E7C0A9-C173-4E46-AB6F-5A0CBC9A4AAB}"/>
    <cellStyle name="Normal 5 2 3 8 4" xfId="11558" xr:uid="{BB790FDC-FFF9-4A5E-837B-C60818A008EC}"/>
    <cellStyle name="Normal 5 2 3 9" xfId="2579" xr:uid="{00000000-0005-0000-0000-0000D0180000}"/>
    <cellStyle name="Normal 5 2 3 9 2" xfId="6862" xr:uid="{00000000-0005-0000-0000-0000D1180000}"/>
    <cellStyle name="Normal 5 2 3 9 2 2" xfId="16188" xr:uid="{7BC40C8C-14C0-4B01-B052-6C931D015794}"/>
    <cellStyle name="Normal 5 2 3 9 3" xfId="11971" xr:uid="{FAD00FAC-C679-40D0-B6A1-C1BE28D714DA}"/>
    <cellStyle name="Normal 5 2 4" xfId="432" xr:uid="{00000000-0005-0000-0000-0000D2180000}"/>
    <cellStyle name="Normal 5 2 4 10" xfId="8827" xr:uid="{1EC4F605-F0BA-487E-A3C0-2CBAE7C22D8A}"/>
    <cellStyle name="Normal 5 2 4 10 2" xfId="18151" xr:uid="{37B8BF2F-5D26-4796-A75A-C7F8450FDA13}"/>
    <cellStyle name="Normal 5 2 4 11" xfId="9914" xr:uid="{14DFCAFD-3435-40D7-9966-51F1D43CC436}"/>
    <cellStyle name="Normal 5 2 4 2" xfId="433" xr:uid="{00000000-0005-0000-0000-0000D3180000}"/>
    <cellStyle name="Normal 5 2 4 2 10" xfId="9915" xr:uid="{D9157E8E-9CBE-4AAB-AD4B-752FC541BDD8}"/>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AE89DA3F-EC5D-47E9-A10F-C8F0C502B927}"/>
    <cellStyle name="Normal 5 2 4 2 2 2 2 3" xfId="12474" xr:uid="{AD6B27C1-71C5-47ED-B2DD-21D4D1819C7B}"/>
    <cellStyle name="Normal 5 2 4 2 2 2 3" xfId="5220" xr:uid="{00000000-0005-0000-0000-0000D8180000}"/>
    <cellStyle name="Normal 5 2 4 2 2 2 3 2" xfId="14546" xr:uid="{65351E15-3CBC-4F8C-B5BC-9770F6D246C8}"/>
    <cellStyle name="Normal 5 2 4 2 2 2 4" xfId="9562" xr:uid="{5E243FB4-F3B1-4B34-B377-1444454AD19E}"/>
    <cellStyle name="Normal 5 2 4 2 2 2 4 2" xfId="18877" xr:uid="{E0FACB6A-87A0-4F84-A80D-C9834E4D9043}"/>
    <cellStyle name="Normal 5 2 4 2 2 2 5" xfId="10329" xr:uid="{C0ED4DE3-A064-41C8-8252-964D5562709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25A839FE-4014-47E9-BA45-C3B29AC6B17E}"/>
    <cellStyle name="Normal 5 2 4 2 2 3 2 3" xfId="12887" xr:uid="{251595EF-5FC6-44D7-BD0E-9087735FA4C5}"/>
    <cellStyle name="Normal 5 2 4 2 2 3 3" xfId="5633" xr:uid="{00000000-0005-0000-0000-0000DC180000}"/>
    <cellStyle name="Normal 5 2 4 2 2 3 3 2" xfId="14959" xr:uid="{A535968E-8927-4388-A624-063AD7B562E1}"/>
    <cellStyle name="Normal 5 2 4 2 2 3 4" xfId="10742" xr:uid="{E65A742A-9CCE-4AEE-A3D5-55BEB17391AD}"/>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8C865045-8DD9-4E2A-85A2-599255B1EF8E}"/>
    <cellStyle name="Normal 5 2 4 2 2 4 2 3" xfId="13300" xr:uid="{EEC34ABD-DD1A-44CF-A5BF-B4B99F1ACE00}"/>
    <cellStyle name="Normal 5 2 4 2 2 4 3" xfId="6046" xr:uid="{00000000-0005-0000-0000-0000E0180000}"/>
    <cellStyle name="Normal 5 2 4 2 2 4 3 2" xfId="15372" xr:uid="{4A4CE0C0-2E4F-404B-BF95-674A58E3F4BC}"/>
    <cellStyle name="Normal 5 2 4 2 2 4 4" xfId="11155" xr:uid="{5766B8AF-96DB-451E-8C84-9AA731C7D01E}"/>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CA0C89AB-34C5-4DAA-ABF2-4BE156A078B3}"/>
    <cellStyle name="Normal 5 2 4 2 2 5 2 3" xfId="13713" xr:uid="{A95CF38E-BF32-484A-AA77-A6D3F5640682}"/>
    <cellStyle name="Normal 5 2 4 2 2 5 3" xfId="6459" xr:uid="{00000000-0005-0000-0000-0000E4180000}"/>
    <cellStyle name="Normal 5 2 4 2 2 5 3 2" xfId="15785" xr:uid="{2F8ED758-8F08-4D26-B437-88FCD940030F}"/>
    <cellStyle name="Normal 5 2 4 2 2 5 4" xfId="11568" xr:uid="{60F1F4BE-0EBD-4B69-9922-0862AC38937D}"/>
    <cellStyle name="Normal 5 2 4 2 2 6" xfId="2589" xr:uid="{00000000-0005-0000-0000-0000E5180000}"/>
    <cellStyle name="Normal 5 2 4 2 2 6 2" xfId="6872" xr:uid="{00000000-0005-0000-0000-0000E6180000}"/>
    <cellStyle name="Normal 5 2 4 2 2 6 2 2" xfId="16198" xr:uid="{4292BEC0-31FA-4900-8CAB-82D800C8E0E8}"/>
    <cellStyle name="Normal 5 2 4 2 2 6 3" xfId="11981" xr:uid="{602552D6-1227-4508-B64A-C2DFA12B55EA}"/>
    <cellStyle name="Normal 5 2 4 2 2 7" xfId="4807" xr:uid="{00000000-0005-0000-0000-0000E7180000}"/>
    <cellStyle name="Normal 5 2 4 2 2 7 2" xfId="14133" xr:uid="{D2C973A5-9442-404A-B84C-A83DE2547E5D}"/>
    <cellStyle name="Normal 5 2 4 2 2 8" xfId="9137" xr:uid="{C80E4B27-40CA-4953-ABB8-99E2C575F775}"/>
    <cellStyle name="Normal 5 2 4 2 2 8 2" xfId="18461" xr:uid="{DF34BE07-F8A8-4AA6-958C-AAFA2BCB63DD}"/>
    <cellStyle name="Normal 5 2 4 2 2 9" xfId="9916" xr:uid="{A50D4CA3-C641-471D-AC35-25516037764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3D6EBD67-CCB0-478C-B661-F038F7E85C80}"/>
    <cellStyle name="Normal 5 2 4 2 3 2 3" xfId="12473" xr:uid="{49621461-B50A-4DC1-BED7-19380069D6B1}"/>
    <cellStyle name="Normal 5 2 4 2 3 3" xfId="5219" xr:uid="{00000000-0005-0000-0000-0000EB180000}"/>
    <cellStyle name="Normal 5 2 4 2 3 3 2" xfId="14545" xr:uid="{84D2D8D9-8856-4144-9D47-39F1E933BBD2}"/>
    <cellStyle name="Normal 5 2 4 2 3 4" xfId="9355" xr:uid="{9D38A6AA-2F63-4275-9FB8-F86A15F6A4D3}"/>
    <cellStyle name="Normal 5 2 4 2 3 4 2" xfId="18670" xr:uid="{D7126AD1-96FD-4085-B031-7F37B0A755BD}"/>
    <cellStyle name="Normal 5 2 4 2 3 5" xfId="10328" xr:uid="{18F757A1-0FEE-488D-938F-5674BB75328F}"/>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B81C780C-0254-424C-B6C5-5678B8494118}"/>
    <cellStyle name="Normal 5 2 4 2 4 2 3" xfId="12886" xr:uid="{0186FFD5-710C-47DD-96BC-C90C3E611A74}"/>
    <cellStyle name="Normal 5 2 4 2 4 3" xfId="5632" xr:uid="{00000000-0005-0000-0000-0000EF180000}"/>
    <cellStyle name="Normal 5 2 4 2 4 3 2" xfId="14958" xr:uid="{CA1CFC39-2CB0-4A3B-9E60-EC7D9B8F917A}"/>
    <cellStyle name="Normal 5 2 4 2 4 4" xfId="10741" xr:uid="{8D721F27-6206-475E-A701-88AF7D5322EB}"/>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04672C8F-7AE6-434E-8E9B-C1D8276C15F7}"/>
    <cellStyle name="Normal 5 2 4 2 5 2 3" xfId="13299" xr:uid="{930A250A-52B4-4930-B538-40E53241E9B9}"/>
    <cellStyle name="Normal 5 2 4 2 5 3" xfId="6045" xr:uid="{00000000-0005-0000-0000-0000F3180000}"/>
    <cellStyle name="Normal 5 2 4 2 5 3 2" xfId="15371" xr:uid="{8082C96D-482B-4AC5-ADBF-C45ADF27BD80}"/>
    <cellStyle name="Normal 5 2 4 2 5 4" xfId="11154" xr:uid="{4EA75820-F3DC-4ADC-87A4-368154C30B98}"/>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F2E21CCA-0BAF-4F2A-8834-A9B64C0366C9}"/>
    <cellStyle name="Normal 5 2 4 2 6 2 3" xfId="13712" xr:uid="{397F6750-FA1D-47EB-814F-16D391694BB3}"/>
    <cellStyle name="Normal 5 2 4 2 6 3" xfId="6458" xr:uid="{00000000-0005-0000-0000-0000F7180000}"/>
    <cellStyle name="Normal 5 2 4 2 6 3 2" xfId="15784" xr:uid="{14CDE67A-5A24-4A29-A293-8A5F5C67015B}"/>
    <cellStyle name="Normal 5 2 4 2 6 4" xfId="11567" xr:uid="{7F9B4EFC-5D10-4DF5-9187-23422A01A140}"/>
    <cellStyle name="Normal 5 2 4 2 7" xfId="2588" xr:uid="{00000000-0005-0000-0000-0000F8180000}"/>
    <cellStyle name="Normal 5 2 4 2 7 2" xfId="6871" xr:uid="{00000000-0005-0000-0000-0000F9180000}"/>
    <cellStyle name="Normal 5 2 4 2 7 2 2" xfId="16197" xr:uid="{4D702444-B0DB-4744-B45C-E489464868D4}"/>
    <cellStyle name="Normal 5 2 4 2 7 3" xfId="11980" xr:uid="{E631C86E-86B8-4116-9575-D30858AE83A3}"/>
    <cellStyle name="Normal 5 2 4 2 8" xfId="4806" xr:uid="{00000000-0005-0000-0000-0000FA180000}"/>
    <cellStyle name="Normal 5 2 4 2 8 2" xfId="14132" xr:uid="{BA3B5145-3D25-4882-AD01-3622DF7DB628}"/>
    <cellStyle name="Normal 5 2 4 2 9" xfId="8930" xr:uid="{66B84ABA-CAF3-4BBE-9026-E7A47CB6006F}"/>
    <cellStyle name="Normal 5 2 4 2 9 2" xfId="18254" xr:uid="{65259C99-50D2-403F-8032-4E812C7E116C}"/>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5D370F35-B00B-4C56-AF42-854086CFE237}"/>
    <cellStyle name="Normal 5 2 4 3 2 2 3" xfId="12475" xr:uid="{BF4D129F-A122-4F0A-B985-467D23F73891}"/>
    <cellStyle name="Normal 5 2 4 3 2 3" xfId="5221" xr:uid="{00000000-0005-0000-0000-0000FF180000}"/>
    <cellStyle name="Normal 5 2 4 3 2 3 2" xfId="14547" xr:uid="{6DACC4EC-4C8B-4000-974D-538737B1A1C6}"/>
    <cellStyle name="Normal 5 2 4 3 2 4" xfId="9459" xr:uid="{ED2A936E-5624-4B26-A175-3FCE68E1BF5A}"/>
    <cellStyle name="Normal 5 2 4 3 2 4 2" xfId="18774" xr:uid="{7CC31158-975B-40B1-88E5-5D5D93CB3462}"/>
    <cellStyle name="Normal 5 2 4 3 2 5" xfId="10330" xr:uid="{47E07AC4-3D41-4FC8-8B04-112CA9CC56F5}"/>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EA7E0EA9-620B-4FE3-AE52-24932DD3230C}"/>
    <cellStyle name="Normal 5 2 4 3 3 2 3" xfId="12888" xr:uid="{1FA6F418-26E7-4793-B35C-F9FCC8733AB5}"/>
    <cellStyle name="Normal 5 2 4 3 3 3" xfId="5634" xr:uid="{00000000-0005-0000-0000-000003190000}"/>
    <cellStyle name="Normal 5 2 4 3 3 3 2" xfId="14960" xr:uid="{896B126A-8955-4556-A95B-6BAAE9D277DA}"/>
    <cellStyle name="Normal 5 2 4 3 3 4" xfId="10743" xr:uid="{20F816C7-F634-41D3-8A24-25CAB4740C0E}"/>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D2C7B07A-738B-4C6C-8922-0B87169DA6CC}"/>
    <cellStyle name="Normal 5 2 4 3 4 2 3" xfId="13301" xr:uid="{13079808-A267-4FEA-8689-7FF310422467}"/>
    <cellStyle name="Normal 5 2 4 3 4 3" xfId="6047" xr:uid="{00000000-0005-0000-0000-000007190000}"/>
    <cellStyle name="Normal 5 2 4 3 4 3 2" xfId="15373" xr:uid="{EE2F1CAA-42C6-42A2-BB55-93F6C96FED9C}"/>
    <cellStyle name="Normal 5 2 4 3 4 4" xfId="11156" xr:uid="{F6905C96-2EEA-45B9-8837-8EDF7C43FC61}"/>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FA9A8515-92E9-4C27-BF72-C9438D370197}"/>
    <cellStyle name="Normal 5 2 4 3 5 2 3" xfId="13714" xr:uid="{75DDBA94-1BD0-4A59-9DAA-6706BF66B805}"/>
    <cellStyle name="Normal 5 2 4 3 5 3" xfId="6460" xr:uid="{00000000-0005-0000-0000-00000B190000}"/>
    <cellStyle name="Normal 5 2 4 3 5 3 2" xfId="15786" xr:uid="{84773532-360E-4C8C-ADD7-FA86BF75D1A2}"/>
    <cellStyle name="Normal 5 2 4 3 5 4" xfId="11569" xr:uid="{203935C2-5407-41E4-82E8-5629B0690902}"/>
    <cellStyle name="Normal 5 2 4 3 6" xfId="2590" xr:uid="{00000000-0005-0000-0000-00000C190000}"/>
    <cellStyle name="Normal 5 2 4 3 6 2" xfId="6873" xr:uid="{00000000-0005-0000-0000-00000D190000}"/>
    <cellStyle name="Normal 5 2 4 3 6 2 2" xfId="16199" xr:uid="{B3C78EDA-7CF8-40DB-A2CB-F2E790E8CE01}"/>
    <cellStyle name="Normal 5 2 4 3 6 3" xfId="11982" xr:uid="{80AD350B-0200-4033-B4E7-53B298816D71}"/>
    <cellStyle name="Normal 5 2 4 3 7" xfId="4808" xr:uid="{00000000-0005-0000-0000-00000E190000}"/>
    <cellStyle name="Normal 5 2 4 3 7 2" xfId="14134" xr:uid="{CC38AD4F-EC0D-495A-B244-CDDDD820A473}"/>
    <cellStyle name="Normal 5 2 4 3 8" xfId="9034" xr:uid="{82D3DE5B-E868-4CF9-BA07-6E197DA4FAA5}"/>
    <cellStyle name="Normal 5 2 4 3 8 2" xfId="18358" xr:uid="{F9498050-25F5-4C54-A38C-B0DBB7712CB6}"/>
    <cellStyle name="Normal 5 2 4 3 9" xfId="9917" xr:uid="{9EB8C619-5AC7-425A-AE03-EED31FA72AB1}"/>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349F8D2B-D4B8-4D94-92EA-585A7A2020C0}"/>
    <cellStyle name="Normal 5 2 4 4 2 3" xfId="12472" xr:uid="{E014AD58-525E-4D9C-B062-EEBD16E8CD56}"/>
    <cellStyle name="Normal 5 2 4 4 3" xfId="5218" xr:uid="{00000000-0005-0000-0000-000012190000}"/>
    <cellStyle name="Normal 5 2 4 4 3 2" xfId="14544" xr:uid="{B4463D30-00C7-4398-B333-446FB497D402}"/>
    <cellStyle name="Normal 5 2 4 4 4" xfId="9252" xr:uid="{1D1A8EC4-7286-46A1-B40C-E987F273E760}"/>
    <cellStyle name="Normal 5 2 4 4 4 2" xfId="18567" xr:uid="{53B84333-FA2F-4C73-9D8D-76B80B3662DF}"/>
    <cellStyle name="Normal 5 2 4 4 5" xfId="10327" xr:uid="{72276DC4-46FF-4C29-B39B-740F837CA307}"/>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3021CF6F-C43F-43A6-B598-7912A3C38964}"/>
    <cellStyle name="Normal 5 2 4 5 2 3" xfId="12885" xr:uid="{956C9490-ED98-4D6A-8735-5B78802BD21F}"/>
    <cellStyle name="Normal 5 2 4 5 3" xfId="5631" xr:uid="{00000000-0005-0000-0000-000016190000}"/>
    <cellStyle name="Normal 5 2 4 5 3 2" xfId="14957" xr:uid="{1DE73150-43A5-4031-950C-84D555499CF5}"/>
    <cellStyle name="Normal 5 2 4 5 4" xfId="10740" xr:uid="{862A29EA-DC7A-4BAF-BA38-1DB465BF39BA}"/>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1F491E20-B423-43B5-A1A3-1F026EFE0449}"/>
    <cellStyle name="Normal 5 2 4 6 2 3" xfId="13298" xr:uid="{112D0336-580E-4FCC-9F87-0631E61DD167}"/>
    <cellStyle name="Normal 5 2 4 6 3" xfId="6044" xr:uid="{00000000-0005-0000-0000-00001A190000}"/>
    <cellStyle name="Normal 5 2 4 6 3 2" xfId="15370" xr:uid="{D4EC3E9B-2A3C-4D27-9DF4-919BE5EACB39}"/>
    <cellStyle name="Normal 5 2 4 6 4" xfId="11153" xr:uid="{16D9AA85-96AC-4699-93A8-D6D87B4D2905}"/>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BD405338-C3BD-475B-93CE-7BF5794C6C47}"/>
    <cellStyle name="Normal 5 2 4 7 2 3" xfId="13711" xr:uid="{CFC7CB5C-02DA-44E6-9035-CD6DA8A75A07}"/>
    <cellStyle name="Normal 5 2 4 7 3" xfId="6457" xr:uid="{00000000-0005-0000-0000-00001E190000}"/>
    <cellStyle name="Normal 5 2 4 7 3 2" xfId="15783" xr:uid="{000CC7B9-0D56-46E6-9A2E-BA79D7CE46B6}"/>
    <cellStyle name="Normal 5 2 4 7 4" xfId="11566" xr:uid="{CED06052-5B03-4890-B085-5286F94F3F24}"/>
    <cellStyle name="Normal 5 2 4 8" xfId="2587" xr:uid="{00000000-0005-0000-0000-00001F190000}"/>
    <cellStyle name="Normal 5 2 4 8 2" xfId="6870" xr:uid="{00000000-0005-0000-0000-000020190000}"/>
    <cellStyle name="Normal 5 2 4 8 2 2" xfId="16196" xr:uid="{B90A124A-BDCA-47AE-B0F4-25D2F469861B}"/>
    <cellStyle name="Normal 5 2 4 8 3" xfId="11979" xr:uid="{592E9996-64F9-4C9A-82A2-DC1D1E55F1AB}"/>
    <cellStyle name="Normal 5 2 4 9" xfId="4805" xr:uid="{00000000-0005-0000-0000-000021190000}"/>
    <cellStyle name="Normal 5 2 4 9 2" xfId="14131" xr:uid="{B415B20E-4B1C-44A3-A235-62C91E0152E4}"/>
    <cellStyle name="Normal 5 2 5" xfId="436" xr:uid="{00000000-0005-0000-0000-000022190000}"/>
    <cellStyle name="Normal 5 2 5 10" xfId="9918" xr:uid="{F195C4A2-18B7-48C2-B0AF-EA44EDC29794}"/>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AD1ED7AD-27E6-4794-B14F-ADEBD436A64D}"/>
    <cellStyle name="Normal 5 2 5 2 2 2 3" xfId="12477" xr:uid="{36998C86-4D8F-4EEC-8964-302C02380119}"/>
    <cellStyle name="Normal 5 2 5 2 2 3" xfId="5223" xr:uid="{00000000-0005-0000-0000-000027190000}"/>
    <cellStyle name="Normal 5 2 5 2 2 3 2" xfId="14549" xr:uid="{0DA17BCB-E785-4089-8DE1-19DD425413F2}"/>
    <cellStyle name="Normal 5 2 5 2 2 4" xfId="9479" xr:uid="{0DDFFFD4-5D62-4038-B6D4-9E9BD7CBA380}"/>
    <cellStyle name="Normal 5 2 5 2 2 4 2" xfId="18794" xr:uid="{C421BAA1-F68D-4CF8-9580-0C4AD19EC88A}"/>
    <cellStyle name="Normal 5 2 5 2 2 5" xfId="10332" xr:uid="{8D36C8E1-FBFC-4181-AA7F-BCB2EB92C729}"/>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DE9BB4AE-BFD2-48DF-B412-C69A544FD7C6}"/>
    <cellStyle name="Normal 5 2 5 2 3 2 3" xfId="12890" xr:uid="{419BC664-3ABF-499F-AEBD-9E5745F16053}"/>
    <cellStyle name="Normal 5 2 5 2 3 3" xfId="5636" xr:uid="{00000000-0005-0000-0000-00002B190000}"/>
    <cellStyle name="Normal 5 2 5 2 3 3 2" xfId="14962" xr:uid="{643A1541-FB94-40B3-A0F8-3C38F080A7BC}"/>
    <cellStyle name="Normal 5 2 5 2 3 4" xfId="10745" xr:uid="{F48DF909-8A27-4F48-A12B-03B26ACC3A8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B3E00E9E-0E1C-4A87-81D7-C848B07818AF}"/>
    <cellStyle name="Normal 5 2 5 2 4 2 3" xfId="13303" xr:uid="{A64EF09C-CA15-4680-8DD2-139EE3986925}"/>
    <cellStyle name="Normal 5 2 5 2 4 3" xfId="6049" xr:uid="{00000000-0005-0000-0000-00002F190000}"/>
    <cellStyle name="Normal 5 2 5 2 4 3 2" xfId="15375" xr:uid="{842DC86D-1E15-4D4E-A973-F3981FA20F2C}"/>
    <cellStyle name="Normal 5 2 5 2 4 4" xfId="11158" xr:uid="{EF0E4BE0-8003-4B48-A5F2-7F4AD45DCBB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6E6727F9-67DC-4324-9858-DC728FFCF855}"/>
    <cellStyle name="Normal 5 2 5 2 5 2 3" xfId="13716" xr:uid="{4B8E1BE8-7689-4E66-9132-F9406D32C48A}"/>
    <cellStyle name="Normal 5 2 5 2 5 3" xfId="6462" xr:uid="{00000000-0005-0000-0000-000033190000}"/>
    <cellStyle name="Normal 5 2 5 2 5 3 2" xfId="15788" xr:uid="{3E427CC3-A2AC-451C-8830-950243147C3B}"/>
    <cellStyle name="Normal 5 2 5 2 5 4" xfId="11571" xr:uid="{504D3EBD-A120-4924-8D5B-CD1F7B6F5AF2}"/>
    <cellStyle name="Normal 5 2 5 2 6" xfId="2592" xr:uid="{00000000-0005-0000-0000-000034190000}"/>
    <cellStyle name="Normal 5 2 5 2 6 2" xfId="6875" xr:uid="{00000000-0005-0000-0000-000035190000}"/>
    <cellStyle name="Normal 5 2 5 2 6 2 2" xfId="16201" xr:uid="{5D0AB3DA-DC66-4262-94FB-FDD4C0968D6A}"/>
    <cellStyle name="Normal 5 2 5 2 6 3" xfId="11984" xr:uid="{C3C23D30-CB7C-4925-9843-3ED390536C2D}"/>
    <cellStyle name="Normal 5 2 5 2 7" xfId="4810" xr:uid="{00000000-0005-0000-0000-000036190000}"/>
    <cellStyle name="Normal 5 2 5 2 7 2" xfId="14136" xr:uid="{62D3E386-0BC3-4B19-B8F7-396DEF504B12}"/>
    <cellStyle name="Normal 5 2 5 2 8" xfId="9054" xr:uid="{844F6476-DDB9-4C38-A2B2-83AB0DCF1773}"/>
    <cellStyle name="Normal 5 2 5 2 8 2" xfId="18378" xr:uid="{FD4CED28-78E6-4D90-AB6A-7476907311D8}"/>
    <cellStyle name="Normal 5 2 5 2 9" xfId="9919" xr:uid="{4D46799F-B7C0-4D7D-A5BB-F932EC60CA86}"/>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281D3A2A-43EE-4517-BC9A-AF96E5A32DB3}"/>
    <cellStyle name="Normal 5 2 5 3 2 3" xfId="12476" xr:uid="{007ED328-2CCF-4660-8E92-E377678E4D6A}"/>
    <cellStyle name="Normal 5 2 5 3 3" xfId="5222" xr:uid="{00000000-0005-0000-0000-00003A190000}"/>
    <cellStyle name="Normal 5 2 5 3 3 2" xfId="14548" xr:uid="{3F59450C-6946-4774-BF31-E3C0E76AB699}"/>
    <cellStyle name="Normal 5 2 5 3 4" xfId="9272" xr:uid="{8865498C-CC61-4C5F-A1F4-57A1D301E1CE}"/>
    <cellStyle name="Normal 5 2 5 3 4 2" xfId="18587" xr:uid="{77E5E672-6834-408C-BC00-95810E0F8281}"/>
    <cellStyle name="Normal 5 2 5 3 5" xfId="10331" xr:uid="{F7251173-B270-4236-9E3B-DDBBB597B0A0}"/>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F34B50A1-D9EC-4976-998B-6F0174E66C4B}"/>
    <cellStyle name="Normal 5 2 5 4 2 3" xfId="12889" xr:uid="{B90B96AE-A6A9-43F9-8FF4-0327AC2B7FC4}"/>
    <cellStyle name="Normal 5 2 5 4 3" xfId="5635" xr:uid="{00000000-0005-0000-0000-00003E190000}"/>
    <cellStyle name="Normal 5 2 5 4 3 2" xfId="14961" xr:uid="{29AA00FD-9EA7-4883-8C55-39B12FA20062}"/>
    <cellStyle name="Normal 5 2 5 4 4" xfId="10744" xr:uid="{EE68D6EC-C3BD-4810-A48D-CBBA1AC6AC2C}"/>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238A095D-3400-49D7-83F8-AD88EF6C064A}"/>
    <cellStyle name="Normal 5 2 5 5 2 3" xfId="13302" xr:uid="{287C8371-C945-4E69-BF4E-30EFD940AD57}"/>
    <cellStyle name="Normal 5 2 5 5 3" xfId="6048" xr:uid="{00000000-0005-0000-0000-000042190000}"/>
    <cellStyle name="Normal 5 2 5 5 3 2" xfId="15374" xr:uid="{700D5A40-8390-456E-9C4D-E3DBBCAE75AB}"/>
    <cellStyle name="Normal 5 2 5 5 4" xfId="11157" xr:uid="{75E5F319-9D0B-4169-AA77-90CADFFF453A}"/>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6119957C-D982-40BB-B350-E4EB48939F8E}"/>
    <cellStyle name="Normal 5 2 5 6 2 3" xfId="13715" xr:uid="{B7217B34-11A8-4BED-BA27-B1D8FDD8355A}"/>
    <cellStyle name="Normal 5 2 5 6 3" xfId="6461" xr:uid="{00000000-0005-0000-0000-000046190000}"/>
    <cellStyle name="Normal 5 2 5 6 3 2" xfId="15787" xr:uid="{AD24B2A7-7DCE-4B21-B0B3-FFC545760C06}"/>
    <cellStyle name="Normal 5 2 5 6 4" xfId="11570" xr:uid="{D943D2E7-A521-4F7F-809F-7EA10B48D4DE}"/>
    <cellStyle name="Normal 5 2 5 7" xfId="2591" xr:uid="{00000000-0005-0000-0000-000047190000}"/>
    <cellStyle name="Normal 5 2 5 7 2" xfId="6874" xr:uid="{00000000-0005-0000-0000-000048190000}"/>
    <cellStyle name="Normal 5 2 5 7 2 2" xfId="16200" xr:uid="{DB27CDD8-4F92-4268-BA07-254D28565BF9}"/>
    <cellStyle name="Normal 5 2 5 7 3" xfId="11983" xr:uid="{57F1734D-6968-4161-999F-C60C4C73EDAC}"/>
    <cellStyle name="Normal 5 2 5 8" xfId="4809" xr:uid="{00000000-0005-0000-0000-000049190000}"/>
    <cellStyle name="Normal 5 2 5 8 2" xfId="14135" xr:uid="{B433A5A6-299E-424A-8B7D-8F23AFEB467B}"/>
    <cellStyle name="Normal 5 2 5 9" xfId="8847" xr:uid="{504334B5-BB84-4906-81A5-68746D711AC3}"/>
    <cellStyle name="Normal 5 2 5 9 2" xfId="18171" xr:uid="{9BC564FC-EDD5-41AA-9AB7-8EE817FBEA9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29AB8B04-617C-4DE7-A8B5-A2A352CBAAEF}"/>
    <cellStyle name="Normal 5 2 6 2 2 3" xfId="12478" xr:uid="{1D767A8F-18F9-43BD-9B9B-22374643E60B}"/>
    <cellStyle name="Normal 5 2 6 2 3" xfId="5224" xr:uid="{00000000-0005-0000-0000-00004E190000}"/>
    <cellStyle name="Normal 5 2 6 2 3 2" xfId="14550" xr:uid="{9EB2D734-2E80-4FE7-B050-4177AE340B11}"/>
    <cellStyle name="Normal 5 2 6 2 4" xfId="9388" xr:uid="{38BE55A5-085B-499D-8766-DF826B77D03C}"/>
    <cellStyle name="Normal 5 2 6 2 4 2" xfId="18703" xr:uid="{7A024F36-45B6-4704-8AA4-BE6E5ACA0DC8}"/>
    <cellStyle name="Normal 5 2 6 2 5" xfId="10333" xr:uid="{EA7F8E72-DE5C-49DF-AF97-A80E92568444}"/>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9D34F137-5CD9-49C5-892B-81D27CCB2BE3}"/>
    <cellStyle name="Normal 5 2 6 3 2 3" xfId="12891" xr:uid="{B20C00BE-B56A-49A5-8C43-6ED7AB77EBB0}"/>
    <cellStyle name="Normal 5 2 6 3 3" xfId="5637" xr:uid="{00000000-0005-0000-0000-000052190000}"/>
    <cellStyle name="Normal 5 2 6 3 3 2" xfId="14963" xr:uid="{D370208A-688B-47A0-B2B1-FE1752A16E19}"/>
    <cellStyle name="Normal 5 2 6 3 4" xfId="10746" xr:uid="{CF68FB1E-683A-4CAC-ACC4-819E9DADF6AF}"/>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B1A95486-9184-44A9-BF21-3295C06D061B}"/>
    <cellStyle name="Normal 5 2 6 4 2 3" xfId="13304" xr:uid="{615C821F-2473-42DB-AC71-C0CAAC09217A}"/>
    <cellStyle name="Normal 5 2 6 4 3" xfId="6050" xr:uid="{00000000-0005-0000-0000-000056190000}"/>
    <cellStyle name="Normal 5 2 6 4 3 2" xfId="15376" xr:uid="{C40D14E5-7D97-44C4-9C2F-DD06A0559B75}"/>
    <cellStyle name="Normal 5 2 6 4 4" xfId="11159" xr:uid="{788D78D6-133C-4D65-8027-02569DABC4F4}"/>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9C8F4B59-C8E1-4957-A787-CA5A06DF3FC9}"/>
    <cellStyle name="Normal 5 2 6 5 2 3" xfId="13717" xr:uid="{225FC1F8-BA2F-48D7-9657-54365EFECE42}"/>
    <cellStyle name="Normal 5 2 6 5 3" xfId="6463" xr:uid="{00000000-0005-0000-0000-00005A190000}"/>
    <cellStyle name="Normal 5 2 6 5 3 2" xfId="15789" xr:uid="{9F5BC851-CE22-4E27-9F12-7DCA8D63E967}"/>
    <cellStyle name="Normal 5 2 6 5 4" xfId="11572" xr:uid="{70F44FBC-C90A-4100-A40D-2278AE1F68BB}"/>
    <cellStyle name="Normal 5 2 6 6" xfId="2593" xr:uid="{00000000-0005-0000-0000-00005B190000}"/>
    <cellStyle name="Normal 5 2 6 6 2" xfId="6876" xr:uid="{00000000-0005-0000-0000-00005C190000}"/>
    <cellStyle name="Normal 5 2 6 6 2 2" xfId="16202" xr:uid="{A2DBE2F8-3146-4FE0-9235-0D31668E0AF1}"/>
    <cellStyle name="Normal 5 2 6 6 3" xfId="11985" xr:uid="{AA1E9A2C-5BB6-4362-B520-B97DF68F1A1C}"/>
    <cellStyle name="Normal 5 2 6 7" xfId="4811" xr:uid="{00000000-0005-0000-0000-00005D190000}"/>
    <cellStyle name="Normal 5 2 6 7 2" xfId="14137" xr:uid="{D7976CC9-1A61-43F1-8361-2CBAA603903A}"/>
    <cellStyle name="Normal 5 2 6 8" xfId="8963" xr:uid="{01BDB756-0B70-4C0D-AC32-9959EE0C8F11}"/>
    <cellStyle name="Normal 5 2 6 8 2" xfId="18287" xr:uid="{B42EE383-DB48-4408-BFCD-487C19525A35}"/>
    <cellStyle name="Normal 5 2 6 9" xfId="9920" xr:uid="{88BBFF4D-1933-4E3F-865F-CAB4C1D66CDB}"/>
    <cellStyle name="Normal 5 2 7" xfId="881" xr:uid="{00000000-0005-0000-0000-00005E190000}"/>
    <cellStyle name="Normal 5 2 7 2" xfId="3116" xr:uid="{00000000-0005-0000-0000-00005F190000}"/>
    <cellStyle name="Normal 5 2 7 2 2" xfId="7338" xr:uid="{00000000-0005-0000-0000-000060190000}"/>
    <cellStyle name="Normal 5 2 7 2 2 2" xfId="16664" xr:uid="{B1689D85-3062-448C-A40F-CB2BD4D44770}"/>
    <cellStyle name="Normal 5 2 7 2 3" xfId="12447" xr:uid="{124CDD51-3811-4EC8-805B-1B389A25004F}"/>
    <cellStyle name="Normal 5 2 7 3" xfId="5193" xr:uid="{00000000-0005-0000-0000-000061190000}"/>
    <cellStyle name="Normal 5 2 7 3 2" xfId="14519" xr:uid="{A28E4E92-AF69-46FC-9D36-26BE7541DB81}"/>
    <cellStyle name="Normal 5 2 7 4" xfId="9166" xr:uid="{903BB692-5043-4803-B109-F7C532EB2A09}"/>
    <cellStyle name="Normal 5 2 7 4 2" xfId="18484" xr:uid="{FDC7BCA0-0BF0-4D64-8CF7-68C9F41B6831}"/>
    <cellStyle name="Normal 5 2 7 5" xfId="10302" xr:uid="{4DBADE15-07B0-4A6B-B9F5-6FE044A99CB9}"/>
    <cellStyle name="Normal 5 2 8" xfId="1299" xr:uid="{00000000-0005-0000-0000-000062190000}"/>
    <cellStyle name="Normal 5 2 8 2" xfId="3529" xr:uid="{00000000-0005-0000-0000-000063190000}"/>
    <cellStyle name="Normal 5 2 8 2 2" xfId="7751" xr:uid="{00000000-0005-0000-0000-000064190000}"/>
    <cellStyle name="Normal 5 2 8 2 2 2" xfId="17077" xr:uid="{D70AF609-12C9-4B67-92FB-4BD9BCA01CE7}"/>
    <cellStyle name="Normal 5 2 8 2 3" xfId="12860" xr:uid="{8C7CA594-D709-4084-9E90-59FB77EB3EB1}"/>
    <cellStyle name="Normal 5 2 8 3" xfId="5606" xr:uid="{00000000-0005-0000-0000-000065190000}"/>
    <cellStyle name="Normal 5 2 8 3 2" xfId="14932" xr:uid="{93DC7A18-6411-4F8D-8613-A9D281F904C5}"/>
    <cellStyle name="Normal 5 2 8 4" xfId="10715" xr:uid="{72B7B57A-8F10-46EA-984B-DBB03E94A95E}"/>
    <cellStyle name="Normal 5 2 9" xfId="1712" xr:uid="{00000000-0005-0000-0000-000066190000}"/>
    <cellStyle name="Normal 5 2 9 2" xfId="3942" xr:uid="{00000000-0005-0000-0000-000067190000}"/>
    <cellStyle name="Normal 5 2 9 2 2" xfId="8164" xr:uid="{00000000-0005-0000-0000-000068190000}"/>
    <cellStyle name="Normal 5 2 9 2 2 2" xfId="17490" xr:uid="{0F5935D1-2A7E-46F4-9A38-7A7547E4C414}"/>
    <cellStyle name="Normal 5 2 9 2 3" xfId="13273" xr:uid="{2EA81617-D044-45F8-A8C5-95200CCEA572}"/>
    <cellStyle name="Normal 5 2 9 3" xfId="6019" xr:uid="{00000000-0005-0000-0000-000069190000}"/>
    <cellStyle name="Normal 5 2 9 3 2" xfId="15345" xr:uid="{D0578623-C2FC-498C-82CB-C3421AAC928E}"/>
    <cellStyle name="Normal 5 2 9 4" xfId="11128" xr:uid="{91B19B4E-82D7-4EA4-93F3-8B4CF432CB26}"/>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23C10B47-6B65-4611-8CC5-E28DC0757F89}"/>
    <cellStyle name="Normal 5 3 10 2 3" xfId="13718" xr:uid="{F2CCA1D5-1656-4A6F-BB1E-DFF2289F493D}"/>
    <cellStyle name="Normal 5 3 10 3" xfId="6464" xr:uid="{00000000-0005-0000-0000-00006E190000}"/>
    <cellStyle name="Normal 5 3 10 3 2" xfId="15790" xr:uid="{913F22D0-05B3-4BEE-91E1-C873212137C6}"/>
    <cellStyle name="Normal 5 3 10 4" xfId="11573" xr:uid="{3C72A8BE-9C49-4F2F-8D37-2FF9CE47A321}"/>
    <cellStyle name="Normal 5 3 11" xfId="2594" xr:uid="{00000000-0005-0000-0000-00006F190000}"/>
    <cellStyle name="Normal 5 3 11 2" xfId="6877" xr:uid="{00000000-0005-0000-0000-000070190000}"/>
    <cellStyle name="Normal 5 3 11 2 2" xfId="16203" xr:uid="{635E7FBE-93BC-4817-81FB-D458A9C7262B}"/>
    <cellStyle name="Normal 5 3 11 3" xfId="11986" xr:uid="{260D05B8-1E8F-4AED-98F7-C365FE39F389}"/>
    <cellStyle name="Normal 5 3 12" xfId="4812" xr:uid="{00000000-0005-0000-0000-000071190000}"/>
    <cellStyle name="Normal 5 3 12 2" xfId="14138" xr:uid="{392DBA43-0620-4F55-9A66-94D4AE3FF414}"/>
    <cellStyle name="Normal 5 3 13" xfId="8750" xr:uid="{36957AEF-D081-4A23-AEE3-073A5901863C}"/>
    <cellStyle name="Normal 5 3 13 2" xfId="18074" xr:uid="{22E3765F-C546-4745-AD8D-27CA9850EB85}"/>
    <cellStyle name="Normal 5 3 14" xfId="9921" xr:uid="{9D7EAB23-C9BA-4E56-AC93-E0DA9CB153A6}"/>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F016E4E2-EE35-4BA0-BA11-6EB2ECB36A76}"/>
    <cellStyle name="Normal 5 3 3 11" xfId="8782" xr:uid="{4219AD28-469A-4693-BD0B-B0536AC433E5}"/>
    <cellStyle name="Normal 5 3 3 11 2" xfId="18106" xr:uid="{48E9F5B8-4726-49E8-B1A7-5F4DBE4B677F}"/>
    <cellStyle name="Normal 5 3 3 12" xfId="9922" xr:uid="{27119545-7F76-4AC8-A6B0-B77232DF8B2A}"/>
    <cellStyle name="Normal 5 3 3 2" xfId="442" xr:uid="{00000000-0005-0000-0000-000076190000}"/>
    <cellStyle name="Normal 5 3 3 2 10" xfId="8832" xr:uid="{03323DDB-E4E1-4078-8BBE-EA3DD4471E1B}"/>
    <cellStyle name="Normal 5 3 3 2 10 2" xfId="18156" xr:uid="{92C5256A-138F-4C5F-9345-58C1BEE221EE}"/>
    <cellStyle name="Normal 5 3 3 2 11" xfId="9923" xr:uid="{A027CB99-86C9-4B6B-A147-BA678542D9CB}"/>
    <cellStyle name="Normal 5 3 3 2 2" xfId="443" xr:uid="{00000000-0005-0000-0000-000077190000}"/>
    <cellStyle name="Normal 5 3 3 2 2 10" xfId="9924" xr:uid="{504626F1-CF2D-4266-B71A-0DD3D0BD6B76}"/>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B6F5A3FE-15B6-4DEF-A204-1C4E35F7AACD}"/>
    <cellStyle name="Normal 5 3 3 2 2 2 2 2 3" xfId="12483" xr:uid="{F0871D50-E605-4A66-8C84-A818BA587F01}"/>
    <cellStyle name="Normal 5 3 3 2 2 2 2 3" xfId="5229" xr:uid="{00000000-0005-0000-0000-00007C190000}"/>
    <cellStyle name="Normal 5 3 3 2 2 2 2 3 2" xfId="14555" xr:uid="{1F716EA0-9BDF-4359-8160-F19F9B60733E}"/>
    <cellStyle name="Normal 5 3 3 2 2 2 2 4" xfId="9567" xr:uid="{C2519486-6BC5-47D1-879F-EC6040BC9E9D}"/>
    <cellStyle name="Normal 5 3 3 2 2 2 2 4 2" xfId="18882" xr:uid="{ECF74EF9-501B-47D2-B1B2-6307A13B0F87}"/>
    <cellStyle name="Normal 5 3 3 2 2 2 2 5" xfId="10338" xr:uid="{4EC3AEFE-D9D2-477A-A55A-3FDCFF85C711}"/>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8C82ED9F-954F-41D5-AB64-5771EDE2C4DF}"/>
    <cellStyle name="Normal 5 3 3 2 2 2 3 2 3" xfId="12896" xr:uid="{E3B3BDA5-1F64-4C52-945B-D0C0CFB42B1C}"/>
    <cellStyle name="Normal 5 3 3 2 2 2 3 3" xfId="5642" xr:uid="{00000000-0005-0000-0000-000080190000}"/>
    <cellStyle name="Normal 5 3 3 2 2 2 3 3 2" xfId="14968" xr:uid="{C9BDEF40-F015-4367-90C8-4F4196B4F1D2}"/>
    <cellStyle name="Normal 5 3 3 2 2 2 3 4" xfId="10751" xr:uid="{781AE190-7666-4C48-BA0D-21BECC33C04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EEC07DBD-CE37-4AC8-A61A-D7831B003911}"/>
    <cellStyle name="Normal 5 3 3 2 2 2 4 2 3" xfId="13309" xr:uid="{73AF5DC6-169B-4C35-B688-BB18AC2F3356}"/>
    <cellStyle name="Normal 5 3 3 2 2 2 4 3" xfId="6055" xr:uid="{00000000-0005-0000-0000-000084190000}"/>
    <cellStyle name="Normal 5 3 3 2 2 2 4 3 2" xfId="15381" xr:uid="{E9348461-72E1-4D7F-8618-790E0DD157B7}"/>
    <cellStyle name="Normal 5 3 3 2 2 2 4 4" xfId="11164" xr:uid="{E1B65C48-766D-419F-A84E-0AB423C6E476}"/>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4303014A-9F19-465B-895A-68DF147BFBEB}"/>
    <cellStyle name="Normal 5 3 3 2 2 2 5 2 3" xfId="13722" xr:uid="{D4C09477-8E10-42C3-8FA9-C98B1AE729A0}"/>
    <cellStyle name="Normal 5 3 3 2 2 2 5 3" xfId="6468" xr:uid="{00000000-0005-0000-0000-000088190000}"/>
    <cellStyle name="Normal 5 3 3 2 2 2 5 3 2" xfId="15794" xr:uid="{6A39779A-C05C-4035-A23E-49463C02A972}"/>
    <cellStyle name="Normal 5 3 3 2 2 2 5 4" xfId="11577" xr:uid="{EB01223E-639D-4972-8ED0-1CC95D01E6B3}"/>
    <cellStyle name="Normal 5 3 3 2 2 2 6" xfId="2598" xr:uid="{00000000-0005-0000-0000-000089190000}"/>
    <cellStyle name="Normal 5 3 3 2 2 2 6 2" xfId="6881" xr:uid="{00000000-0005-0000-0000-00008A190000}"/>
    <cellStyle name="Normal 5 3 3 2 2 2 6 2 2" xfId="16207" xr:uid="{246EF8FE-EFB5-48C9-9ABF-D748DB7BBCC0}"/>
    <cellStyle name="Normal 5 3 3 2 2 2 6 3" xfId="11990" xr:uid="{99536110-E96E-47A6-A3CA-BF309CD56F41}"/>
    <cellStyle name="Normal 5 3 3 2 2 2 7" xfId="4816" xr:uid="{00000000-0005-0000-0000-00008B190000}"/>
    <cellStyle name="Normal 5 3 3 2 2 2 7 2" xfId="14142" xr:uid="{BF7270D8-DF99-47DB-9754-6A5224718F4B}"/>
    <cellStyle name="Normal 5 3 3 2 2 2 8" xfId="9142" xr:uid="{81CF9711-3A0B-4712-8E8F-033C974AA9E3}"/>
    <cellStyle name="Normal 5 3 3 2 2 2 8 2" xfId="18466" xr:uid="{0E6FF6F8-7CAB-45A2-AAEE-FE21FE006274}"/>
    <cellStyle name="Normal 5 3 3 2 2 2 9" xfId="9925" xr:uid="{998B3CD6-B416-4B83-AF1E-6789C0042EA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FADCBD54-87D9-48D5-94EC-80E84032BC03}"/>
    <cellStyle name="Normal 5 3 3 2 2 3 2 3" xfId="12482" xr:uid="{5E40F0BF-AE33-4758-9DF0-9A5791744150}"/>
    <cellStyle name="Normal 5 3 3 2 2 3 3" xfId="5228" xr:uid="{00000000-0005-0000-0000-00008F190000}"/>
    <cellStyle name="Normal 5 3 3 2 2 3 3 2" xfId="14554" xr:uid="{04B36C63-B799-4DB0-AADE-FE692E9530C2}"/>
    <cellStyle name="Normal 5 3 3 2 2 3 4" xfId="9360" xr:uid="{07447062-3C9B-4A41-BE9D-50DE495FF588}"/>
    <cellStyle name="Normal 5 3 3 2 2 3 4 2" xfId="18675" xr:uid="{5AD76BE7-E824-4C88-A2DE-B1C6CAE97D27}"/>
    <cellStyle name="Normal 5 3 3 2 2 3 5" xfId="10337" xr:uid="{490E8F29-D4EA-4DE3-A4E7-C22ABC184047}"/>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7C7188E2-7212-446C-BE91-0491056EEE70}"/>
    <cellStyle name="Normal 5 3 3 2 2 4 2 3" xfId="12895" xr:uid="{1C360682-541A-45CB-8838-300AF807C63D}"/>
    <cellStyle name="Normal 5 3 3 2 2 4 3" xfId="5641" xr:uid="{00000000-0005-0000-0000-000093190000}"/>
    <cellStyle name="Normal 5 3 3 2 2 4 3 2" xfId="14967" xr:uid="{E61C960C-CBE1-4988-9DA9-37F5D574647A}"/>
    <cellStyle name="Normal 5 3 3 2 2 4 4" xfId="10750" xr:uid="{08B3617E-1043-44B9-B36D-00CEED502C9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8184046A-A17E-4886-A61E-CD36C2F5456F}"/>
    <cellStyle name="Normal 5 3 3 2 2 5 2 3" xfId="13308" xr:uid="{099D3377-B889-44B2-A560-C560DDE14E28}"/>
    <cellStyle name="Normal 5 3 3 2 2 5 3" xfId="6054" xr:uid="{00000000-0005-0000-0000-000097190000}"/>
    <cellStyle name="Normal 5 3 3 2 2 5 3 2" xfId="15380" xr:uid="{759F486E-94EF-428C-9C1D-7B1CC17CBF17}"/>
    <cellStyle name="Normal 5 3 3 2 2 5 4" xfId="11163" xr:uid="{2183D0FB-33E0-4457-9BA3-C2B6462566E4}"/>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698260AC-587E-47AF-B67E-84D412C02B22}"/>
    <cellStyle name="Normal 5 3 3 2 2 6 2 3" xfId="13721" xr:uid="{6BDF0F47-33B3-42B5-B6F0-D08F7456A9FA}"/>
    <cellStyle name="Normal 5 3 3 2 2 6 3" xfId="6467" xr:uid="{00000000-0005-0000-0000-00009B190000}"/>
    <cellStyle name="Normal 5 3 3 2 2 6 3 2" xfId="15793" xr:uid="{68943A00-40F2-4AD8-B5C5-E4CAD8094754}"/>
    <cellStyle name="Normal 5 3 3 2 2 6 4" xfId="11576" xr:uid="{3F051DC7-1DDA-4F54-BBD3-86E3CF7168C3}"/>
    <cellStyle name="Normal 5 3 3 2 2 7" xfId="2597" xr:uid="{00000000-0005-0000-0000-00009C190000}"/>
    <cellStyle name="Normal 5 3 3 2 2 7 2" xfId="6880" xr:uid="{00000000-0005-0000-0000-00009D190000}"/>
    <cellStyle name="Normal 5 3 3 2 2 7 2 2" xfId="16206" xr:uid="{6FDD202A-F312-4F46-9AF8-E1FFCECADA39}"/>
    <cellStyle name="Normal 5 3 3 2 2 7 3" xfId="11989" xr:uid="{A6B2D430-A244-4658-8B71-0A5D87E6E9FE}"/>
    <cellStyle name="Normal 5 3 3 2 2 8" xfId="4815" xr:uid="{00000000-0005-0000-0000-00009E190000}"/>
    <cellStyle name="Normal 5 3 3 2 2 8 2" xfId="14141" xr:uid="{772552FA-1745-464A-BAEB-55EC7773DD5F}"/>
    <cellStyle name="Normal 5 3 3 2 2 9" xfId="8935" xr:uid="{94B8766B-0DD5-4CC7-9403-D37FC711344B}"/>
    <cellStyle name="Normal 5 3 3 2 2 9 2" xfId="18259" xr:uid="{20B89196-0270-4080-96AD-8F797027BE4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734C878D-94B5-4CFF-A73B-EEDB5BF653EB}"/>
    <cellStyle name="Normal 5 3 3 2 3 2 2 3" xfId="12484" xr:uid="{65727495-069C-429C-912A-D56665710CA3}"/>
    <cellStyle name="Normal 5 3 3 2 3 2 3" xfId="5230" xr:uid="{00000000-0005-0000-0000-0000A3190000}"/>
    <cellStyle name="Normal 5 3 3 2 3 2 3 2" xfId="14556" xr:uid="{236B86D5-DBA7-4E0A-ADFA-980D2EAE885E}"/>
    <cellStyle name="Normal 5 3 3 2 3 2 4" xfId="9464" xr:uid="{6A182EEF-0879-47AD-839A-17D560B4AF3D}"/>
    <cellStyle name="Normal 5 3 3 2 3 2 4 2" xfId="18779" xr:uid="{544C8E64-3ABC-4638-895B-89841248A74E}"/>
    <cellStyle name="Normal 5 3 3 2 3 2 5" xfId="10339" xr:uid="{DC4108D0-4DC5-400D-B572-6B20CE4C5D41}"/>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7AE807DF-A552-4AB8-9E3B-5AEC8E72F400}"/>
    <cellStyle name="Normal 5 3 3 2 3 3 2 3" xfId="12897" xr:uid="{FAC48C05-AFC8-467D-BF84-C45F49329795}"/>
    <cellStyle name="Normal 5 3 3 2 3 3 3" xfId="5643" xr:uid="{00000000-0005-0000-0000-0000A7190000}"/>
    <cellStyle name="Normal 5 3 3 2 3 3 3 2" xfId="14969" xr:uid="{58351FE8-9782-4D72-B2BC-34CBCF629539}"/>
    <cellStyle name="Normal 5 3 3 2 3 3 4" xfId="10752" xr:uid="{9FD8F7CC-EF87-4EA9-AD01-66DC93016C78}"/>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A39D07F4-40CB-4443-9555-4218CB59C4F3}"/>
    <cellStyle name="Normal 5 3 3 2 3 4 2 3" xfId="13310" xr:uid="{1F771C6D-7D37-4252-A092-316DD44004EF}"/>
    <cellStyle name="Normal 5 3 3 2 3 4 3" xfId="6056" xr:uid="{00000000-0005-0000-0000-0000AB190000}"/>
    <cellStyle name="Normal 5 3 3 2 3 4 3 2" xfId="15382" xr:uid="{D548330A-0CAC-495B-9D0B-A906AB60946C}"/>
    <cellStyle name="Normal 5 3 3 2 3 4 4" xfId="11165" xr:uid="{8628789F-E982-4D0B-B4D2-7670051F24A7}"/>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83FC31BB-F947-492C-9F03-1E03552E2272}"/>
    <cellStyle name="Normal 5 3 3 2 3 5 2 3" xfId="13723" xr:uid="{23BEC175-2B17-43C5-9082-27012A3B4033}"/>
    <cellStyle name="Normal 5 3 3 2 3 5 3" xfId="6469" xr:uid="{00000000-0005-0000-0000-0000AF190000}"/>
    <cellStyle name="Normal 5 3 3 2 3 5 3 2" xfId="15795" xr:uid="{5A944D8D-6DC3-4444-A642-FE3459BB88FF}"/>
    <cellStyle name="Normal 5 3 3 2 3 5 4" xfId="11578" xr:uid="{43C56E90-8A86-4625-A981-5155B05771A1}"/>
    <cellStyle name="Normal 5 3 3 2 3 6" xfId="2599" xr:uid="{00000000-0005-0000-0000-0000B0190000}"/>
    <cellStyle name="Normal 5 3 3 2 3 6 2" xfId="6882" xr:uid="{00000000-0005-0000-0000-0000B1190000}"/>
    <cellStyle name="Normal 5 3 3 2 3 6 2 2" xfId="16208" xr:uid="{0E39AB92-EF55-452A-BB0F-58B0A736A8D4}"/>
    <cellStyle name="Normal 5 3 3 2 3 6 3" xfId="11991" xr:uid="{2662CA70-2297-4CBF-937E-75F265F7D45D}"/>
    <cellStyle name="Normal 5 3 3 2 3 7" xfId="4817" xr:uid="{00000000-0005-0000-0000-0000B2190000}"/>
    <cellStyle name="Normal 5 3 3 2 3 7 2" xfId="14143" xr:uid="{F2CA19D0-6DCE-4349-B29A-82FCBD76A1A0}"/>
    <cellStyle name="Normal 5 3 3 2 3 8" xfId="9039" xr:uid="{84D80CE6-A0CA-4841-8673-26EA7EC6806D}"/>
    <cellStyle name="Normal 5 3 3 2 3 8 2" xfId="18363" xr:uid="{7F91F0EE-6483-48F5-B4D5-ADDF19E5E0C3}"/>
    <cellStyle name="Normal 5 3 3 2 3 9" xfId="9926" xr:uid="{032DB6F7-A6BF-4D78-A2F4-2227D86E891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5F77719A-AF97-414E-BBF1-7E9DCF143CBD}"/>
    <cellStyle name="Normal 5 3 3 2 4 2 3" xfId="12481" xr:uid="{692B67BD-10AC-4179-BF76-E88BC06C3050}"/>
    <cellStyle name="Normal 5 3 3 2 4 3" xfId="5227" xr:uid="{00000000-0005-0000-0000-0000B6190000}"/>
    <cellStyle name="Normal 5 3 3 2 4 3 2" xfId="14553" xr:uid="{4713B168-045C-4392-B7C5-35D497D58823}"/>
    <cellStyle name="Normal 5 3 3 2 4 4" xfId="9257" xr:uid="{E6656214-6E5B-491F-B1E3-227CB6568726}"/>
    <cellStyle name="Normal 5 3 3 2 4 4 2" xfId="18572" xr:uid="{4A6728AB-1660-420E-8E1F-6943082F0947}"/>
    <cellStyle name="Normal 5 3 3 2 4 5" xfId="10336" xr:uid="{5D0807FC-B542-478E-8621-C2CF2A14DCC5}"/>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2F560714-B422-4DB0-8736-9917730152AE}"/>
    <cellStyle name="Normal 5 3 3 2 5 2 3" xfId="12894" xr:uid="{6550DD8A-3246-459F-8EEB-5EBCB2B93147}"/>
    <cellStyle name="Normal 5 3 3 2 5 3" xfId="5640" xr:uid="{00000000-0005-0000-0000-0000BA190000}"/>
    <cellStyle name="Normal 5 3 3 2 5 3 2" xfId="14966" xr:uid="{5F6E5E30-9FF2-4FD2-A626-9B98A1B1339E}"/>
    <cellStyle name="Normal 5 3 3 2 5 4" xfId="10749" xr:uid="{9FF3F5AC-31B2-4F74-84DB-657DB371AFED}"/>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FB3127FA-F672-416F-9460-69C51240498F}"/>
    <cellStyle name="Normal 5 3 3 2 6 2 3" xfId="13307" xr:uid="{31813DFA-CD4F-4565-9D33-7119A177A0BB}"/>
    <cellStyle name="Normal 5 3 3 2 6 3" xfId="6053" xr:uid="{00000000-0005-0000-0000-0000BE190000}"/>
    <cellStyle name="Normal 5 3 3 2 6 3 2" xfId="15379" xr:uid="{26BEF276-D5F4-4702-88B7-3B9F94F80F91}"/>
    <cellStyle name="Normal 5 3 3 2 6 4" xfId="11162" xr:uid="{27E78C27-E715-44E9-931E-8D36249971B5}"/>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302DEAB9-34A5-45C7-B094-A51FFFB73C2D}"/>
    <cellStyle name="Normal 5 3 3 2 7 2 3" xfId="13720" xr:uid="{B85227ED-5C20-4C98-BC94-1EEAF54AD748}"/>
    <cellStyle name="Normal 5 3 3 2 7 3" xfId="6466" xr:uid="{00000000-0005-0000-0000-0000C2190000}"/>
    <cellStyle name="Normal 5 3 3 2 7 3 2" xfId="15792" xr:uid="{601651B6-7D99-43C2-830E-F840D5FE5449}"/>
    <cellStyle name="Normal 5 3 3 2 7 4" xfId="11575" xr:uid="{F27F176B-D347-4447-9C4E-C54D288EB8C4}"/>
    <cellStyle name="Normal 5 3 3 2 8" xfId="2596" xr:uid="{00000000-0005-0000-0000-0000C3190000}"/>
    <cellStyle name="Normal 5 3 3 2 8 2" xfId="6879" xr:uid="{00000000-0005-0000-0000-0000C4190000}"/>
    <cellStyle name="Normal 5 3 3 2 8 2 2" xfId="16205" xr:uid="{5DD80D5B-8FC2-459C-B4C7-3582ABDFC78D}"/>
    <cellStyle name="Normal 5 3 3 2 8 3" xfId="11988" xr:uid="{C7182AAB-E738-473E-8C9A-FDA2E6445391}"/>
    <cellStyle name="Normal 5 3 3 2 9" xfId="4814" xr:uid="{00000000-0005-0000-0000-0000C5190000}"/>
    <cellStyle name="Normal 5 3 3 2 9 2" xfId="14140" xr:uid="{42DA775D-08C2-4160-A87E-37DB688634C7}"/>
    <cellStyle name="Normal 5 3 3 3" xfId="446" xr:uid="{00000000-0005-0000-0000-0000C6190000}"/>
    <cellStyle name="Normal 5 3 3 3 10" xfId="9927" xr:uid="{6D7FA206-531F-4586-9C7F-9A4311B2BA37}"/>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3602206F-E46A-4749-A1A1-F6A357C0A329}"/>
    <cellStyle name="Normal 5 3 3 3 2 2 2 3" xfId="12486" xr:uid="{6CC00BBB-7DE2-4929-9109-07725A4E53D1}"/>
    <cellStyle name="Normal 5 3 3 3 2 2 3" xfId="5232" xr:uid="{00000000-0005-0000-0000-0000CB190000}"/>
    <cellStyle name="Normal 5 3 3 3 2 2 3 2" xfId="14558" xr:uid="{8410F009-5F53-4BA8-8B64-1B778084A456}"/>
    <cellStyle name="Normal 5 3 3 3 2 2 4" xfId="9517" xr:uid="{EA62A3B1-8ED5-4A6F-ACE0-B924BC16AA9E}"/>
    <cellStyle name="Normal 5 3 3 3 2 2 4 2" xfId="18832" xr:uid="{05D7CF67-061B-470E-BD89-D57EAA1EA7F4}"/>
    <cellStyle name="Normal 5 3 3 3 2 2 5" xfId="10341" xr:uid="{C27F4EDC-0543-4127-AA12-34A11C912A0A}"/>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758292C6-CFBA-4DF5-9328-3CD9AD4BA779}"/>
    <cellStyle name="Normal 5 3 3 3 2 3 2 3" xfId="12899" xr:uid="{3C63E010-6D51-4880-9808-81ACA2916B70}"/>
    <cellStyle name="Normal 5 3 3 3 2 3 3" xfId="5645" xr:uid="{00000000-0005-0000-0000-0000CF190000}"/>
    <cellStyle name="Normal 5 3 3 3 2 3 3 2" xfId="14971" xr:uid="{070EB868-1F95-4BAF-A914-9A42DF96DD9C}"/>
    <cellStyle name="Normal 5 3 3 3 2 3 4" xfId="10754" xr:uid="{5490D443-A1FA-4C75-9558-A6F6B2BB7D17}"/>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1DFD2E71-E23D-4E3B-B369-B24B301C0BB4}"/>
    <cellStyle name="Normal 5 3 3 3 2 4 2 3" xfId="13312" xr:uid="{6B60610C-9D05-4EC6-B9EE-CEF973271D51}"/>
    <cellStyle name="Normal 5 3 3 3 2 4 3" xfId="6058" xr:uid="{00000000-0005-0000-0000-0000D3190000}"/>
    <cellStyle name="Normal 5 3 3 3 2 4 3 2" xfId="15384" xr:uid="{223B54B0-ABF4-4CEB-AF15-8748DB649951}"/>
    <cellStyle name="Normal 5 3 3 3 2 4 4" xfId="11167" xr:uid="{C2957518-4AD2-49EE-B900-A860F22AF848}"/>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3E4EEF35-249E-479A-AA30-97B5B7FBB6E5}"/>
    <cellStyle name="Normal 5 3 3 3 2 5 2 3" xfId="13725" xr:uid="{5A2A9A94-FEFD-47AB-BCB0-CE59193BDB3D}"/>
    <cellStyle name="Normal 5 3 3 3 2 5 3" xfId="6471" xr:uid="{00000000-0005-0000-0000-0000D7190000}"/>
    <cellStyle name="Normal 5 3 3 3 2 5 3 2" xfId="15797" xr:uid="{7DE22213-C1AE-4B4D-989F-59275050BF67}"/>
    <cellStyle name="Normal 5 3 3 3 2 5 4" xfId="11580" xr:uid="{245EC7AF-0EBC-4C4F-A744-7B105B2FCB90}"/>
    <cellStyle name="Normal 5 3 3 3 2 6" xfId="2601" xr:uid="{00000000-0005-0000-0000-0000D8190000}"/>
    <cellStyle name="Normal 5 3 3 3 2 6 2" xfId="6884" xr:uid="{00000000-0005-0000-0000-0000D9190000}"/>
    <cellStyle name="Normal 5 3 3 3 2 6 2 2" xfId="16210" xr:uid="{53376D15-D4A9-4AFE-AE29-83E8B2EC3ED0}"/>
    <cellStyle name="Normal 5 3 3 3 2 6 3" xfId="11993" xr:uid="{FC72083C-2288-48CC-8810-F528EFF5DF18}"/>
    <cellStyle name="Normal 5 3 3 3 2 7" xfId="4819" xr:uid="{00000000-0005-0000-0000-0000DA190000}"/>
    <cellStyle name="Normal 5 3 3 3 2 7 2" xfId="14145" xr:uid="{C7D71095-F21F-4431-9041-02B449E85B67}"/>
    <cellStyle name="Normal 5 3 3 3 2 8" xfId="9092" xr:uid="{A018BC5E-3880-4BA4-8CFB-322C89A13B5F}"/>
    <cellStyle name="Normal 5 3 3 3 2 8 2" xfId="18416" xr:uid="{44D45EDC-9EC5-44C6-8BF0-CE36EDADFB94}"/>
    <cellStyle name="Normal 5 3 3 3 2 9" xfId="9928" xr:uid="{4851C18B-3670-48E4-915E-B17D19E59948}"/>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71A15474-985D-4AC3-93CD-A6E6B78C9B9D}"/>
    <cellStyle name="Normal 5 3 3 3 3 2 3" xfId="12485" xr:uid="{A27E4B06-7450-424E-8D13-676669A87FF5}"/>
    <cellStyle name="Normal 5 3 3 3 3 3" xfId="5231" xr:uid="{00000000-0005-0000-0000-0000DE190000}"/>
    <cellStyle name="Normal 5 3 3 3 3 3 2" xfId="14557" xr:uid="{67E3900A-AF8D-44FC-8C85-FDEF2EBB21F3}"/>
    <cellStyle name="Normal 5 3 3 3 3 4" xfId="9310" xr:uid="{D169C31A-17C5-4934-97DF-D90479FD2654}"/>
    <cellStyle name="Normal 5 3 3 3 3 4 2" xfId="18625" xr:uid="{7ECAECBB-CC2A-467A-ABD0-CB3C0F4D68EC}"/>
    <cellStyle name="Normal 5 3 3 3 3 5" xfId="10340" xr:uid="{0BA0D677-4E6A-4C2B-85FE-DA568A005F0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FBDD058D-F9FD-4ECF-BD3D-53F28508A1F9}"/>
    <cellStyle name="Normal 5 3 3 3 4 2 3" xfId="12898" xr:uid="{BFF4A245-ACFF-4BA2-9FC8-EDF2F69DA5C9}"/>
    <cellStyle name="Normal 5 3 3 3 4 3" xfId="5644" xr:uid="{00000000-0005-0000-0000-0000E2190000}"/>
    <cellStyle name="Normal 5 3 3 3 4 3 2" xfId="14970" xr:uid="{74004EDF-592C-4043-8687-7BFF63DC5607}"/>
    <cellStyle name="Normal 5 3 3 3 4 4" xfId="10753" xr:uid="{E8893D5F-3E65-41B5-86DA-865E46068B92}"/>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B1476E0B-F125-4237-822E-2B8E48554C1C}"/>
    <cellStyle name="Normal 5 3 3 3 5 2 3" xfId="13311" xr:uid="{3B5DBAF6-97F6-4A64-86F6-55CED5CEE678}"/>
    <cellStyle name="Normal 5 3 3 3 5 3" xfId="6057" xr:uid="{00000000-0005-0000-0000-0000E6190000}"/>
    <cellStyle name="Normal 5 3 3 3 5 3 2" xfId="15383" xr:uid="{A667E302-1C9E-4874-A585-9BC382E41381}"/>
    <cellStyle name="Normal 5 3 3 3 5 4" xfId="11166" xr:uid="{78AC32F3-6910-4ED8-9DCE-0B8AB5B82E8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230313CC-1FB5-4038-B46B-245169DD7518}"/>
    <cellStyle name="Normal 5 3 3 3 6 2 3" xfId="13724" xr:uid="{E48E339A-D0BF-47E6-9ADB-752816975D55}"/>
    <cellStyle name="Normal 5 3 3 3 6 3" xfId="6470" xr:uid="{00000000-0005-0000-0000-0000EA190000}"/>
    <cellStyle name="Normal 5 3 3 3 6 3 2" xfId="15796" xr:uid="{41458F1E-B76C-46D9-B21A-5663C8BD9EEB}"/>
    <cellStyle name="Normal 5 3 3 3 6 4" xfId="11579" xr:uid="{EA07E08E-9AC4-4499-BA84-77BAF289CD3D}"/>
    <cellStyle name="Normal 5 3 3 3 7" xfId="2600" xr:uid="{00000000-0005-0000-0000-0000EB190000}"/>
    <cellStyle name="Normal 5 3 3 3 7 2" xfId="6883" xr:uid="{00000000-0005-0000-0000-0000EC190000}"/>
    <cellStyle name="Normal 5 3 3 3 7 2 2" xfId="16209" xr:uid="{FCF1BC5C-A31A-4DF0-9E20-6147196C1126}"/>
    <cellStyle name="Normal 5 3 3 3 7 3" xfId="11992" xr:uid="{5A720F1B-9174-427A-98C9-6D4CFBA789D6}"/>
    <cellStyle name="Normal 5 3 3 3 8" xfId="4818" xr:uid="{00000000-0005-0000-0000-0000ED190000}"/>
    <cellStyle name="Normal 5 3 3 3 8 2" xfId="14144" xr:uid="{E676AA56-3503-47BD-A5EC-0805246B8E69}"/>
    <cellStyle name="Normal 5 3 3 3 9" xfId="8885" xr:uid="{BFA59703-C126-4DE9-A819-9190501D5C5B}"/>
    <cellStyle name="Normal 5 3 3 3 9 2" xfId="18209" xr:uid="{3252B99C-3F7C-4B29-991B-9E4724A46674}"/>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5668119C-BBE3-4133-BBAB-81E69EB3F7A5}"/>
    <cellStyle name="Normal 5 3 3 4 2 2 3" xfId="12487" xr:uid="{F415689F-A6C8-4B90-9495-BB8217170EFB}"/>
    <cellStyle name="Normal 5 3 3 4 2 3" xfId="5233" xr:uid="{00000000-0005-0000-0000-0000F2190000}"/>
    <cellStyle name="Normal 5 3 3 4 2 3 2" xfId="14559" xr:uid="{1D33A181-6928-4964-B132-97C0E122791A}"/>
    <cellStyle name="Normal 5 3 3 4 2 4" xfId="9414" xr:uid="{BD781A4C-FDA7-4D11-87F3-3D38EC19B37A}"/>
    <cellStyle name="Normal 5 3 3 4 2 4 2" xfId="18729" xr:uid="{D07A0B46-05A1-4433-A0DB-3D02D7BF01D2}"/>
    <cellStyle name="Normal 5 3 3 4 2 5" xfId="10342" xr:uid="{310AE542-F246-4B03-8064-BFC08C256F4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5293C851-68FF-41BB-88A5-8E1C866DA628}"/>
    <cellStyle name="Normal 5 3 3 4 3 2 3" xfId="12900" xr:uid="{B744E441-3DA9-4C78-8314-8DE26046FF03}"/>
    <cellStyle name="Normal 5 3 3 4 3 3" xfId="5646" xr:uid="{00000000-0005-0000-0000-0000F6190000}"/>
    <cellStyle name="Normal 5 3 3 4 3 3 2" xfId="14972" xr:uid="{7173D4F7-5E90-4A1B-B252-788B3F624BF0}"/>
    <cellStyle name="Normal 5 3 3 4 3 4" xfId="10755" xr:uid="{5FF6FFE1-3024-4605-9E83-A9C0590647A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8EB33466-B917-409F-B99C-0A1A021B74A5}"/>
    <cellStyle name="Normal 5 3 3 4 4 2 3" xfId="13313" xr:uid="{9AF9BD5D-1982-4ABB-AE86-7E8B60566D7C}"/>
    <cellStyle name="Normal 5 3 3 4 4 3" xfId="6059" xr:uid="{00000000-0005-0000-0000-0000FA190000}"/>
    <cellStyle name="Normal 5 3 3 4 4 3 2" xfId="15385" xr:uid="{1669D214-D7BB-4EB3-BA6D-6D52A1A73A1C}"/>
    <cellStyle name="Normal 5 3 3 4 4 4" xfId="11168" xr:uid="{948D7961-D760-4180-8DCF-B4C767118314}"/>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C831FBF2-C2FB-423E-AA3E-1A72E1B8FED4}"/>
    <cellStyle name="Normal 5 3 3 4 5 2 3" xfId="13726" xr:uid="{74F7B651-3290-408C-A178-5EE0E130120B}"/>
    <cellStyle name="Normal 5 3 3 4 5 3" xfId="6472" xr:uid="{00000000-0005-0000-0000-0000FE190000}"/>
    <cellStyle name="Normal 5 3 3 4 5 3 2" xfId="15798" xr:uid="{F2ED9421-99F0-4A2D-8424-A2AF416DD62B}"/>
    <cellStyle name="Normal 5 3 3 4 5 4" xfId="11581" xr:uid="{EC46FEE2-BE20-4003-8498-D26425B83172}"/>
    <cellStyle name="Normal 5 3 3 4 6" xfId="2602" xr:uid="{00000000-0005-0000-0000-0000FF190000}"/>
    <cellStyle name="Normal 5 3 3 4 6 2" xfId="6885" xr:uid="{00000000-0005-0000-0000-0000001A0000}"/>
    <cellStyle name="Normal 5 3 3 4 6 2 2" xfId="16211" xr:uid="{98D7E730-3302-41B9-BC3C-CE6CBFD574A2}"/>
    <cellStyle name="Normal 5 3 3 4 6 3" xfId="11994" xr:uid="{1E135F1C-2B99-4059-8366-97698AA3E070}"/>
    <cellStyle name="Normal 5 3 3 4 7" xfId="4820" xr:uid="{00000000-0005-0000-0000-0000011A0000}"/>
    <cellStyle name="Normal 5 3 3 4 7 2" xfId="14146" xr:uid="{4D3A51E9-F251-4A82-83A5-DA46725259E4}"/>
    <cellStyle name="Normal 5 3 3 4 8" xfId="8989" xr:uid="{20FA1483-98E6-46C4-B00B-4EAF7957981D}"/>
    <cellStyle name="Normal 5 3 3 4 8 2" xfId="18313" xr:uid="{048CBAAF-3FDA-443F-A6CA-CA7A54A6F976}"/>
    <cellStyle name="Normal 5 3 3 4 9" xfId="9929" xr:uid="{4FC0BA2A-2114-4070-8962-F434223CF554}"/>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D6FBACEC-9779-433E-AC46-F507C83C12C5}"/>
    <cellStyle name="Normal 5 3 3 5 2 3" xfId="12480" xr:uid="{05F46B9E-1B41-4B36-BF6E-A59C11F424A8}"/>
    <cellStyle name="Normal 5 3 3 5 3" xfId="5226" xr:uid="{00000000-0005-0000-0000-0000051A0000}"/>
    <cellStyle name="Normal 5 3 3 5 3 2" xfId="14552" xr:uid="{B6FFB462-C5DA-42EA-8422-FA2E0F3C8437}"/>
    <cellStyle name="Normal 5 3 3 5 4" xfId="9206" xr:uid="{CA749CBB-EAB5-483B-862D-D7B95A23D45C}"/>
    <cellStyle name="Normal 5 3 3 5 4 2" xfId="18522" xr:uid="{81F3FDBC-5D04-4E12-B10E-F30B1BBF51A8}"/>
    <cellStyle name="Normal 5 3 3 5 5" xfId="10335" xr:uid="{4E2283D6-607A-4600-8C25-C8B2325639FD}"/>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3D5E13F7-A68F-489B-B7C7-96036A079AEE}"/>
    <cellStyle name="Normal 5 3 3 6 2 3" xfId="12893" xr:uid="{75DBFD5E-C566-4D04-B3C8-571B341B8D7C}"/>
    <cellStyle name="Normal 5 3 3 6 3" xfId="5639" xr:uid="{00000000-0005-0000-0000-0000091A0000}"/>
    <cellStyle name="Normal 5 3 3 6 3 2" xfId="14965" xr:uid="{CC7CF4E1-5CB6-4CC1-A75B-BA83556DD010}"/>
    <cellStyle name="Normal 5 3 3 6 4" xfId="10748" xr:uid="{43A66429-F90A-44EF-9E89-23F82370F57F}"/>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53A378F-C537-428C-96C1-428B32E5E727}"/>
    <cellStyle name="Normal 5 3 3 7 2 3" xfId="13306" xr:uid="{B81C457A-EEFD-4A57-ADF5-4CE3B19A531A}"/>
    <cellStyle name="Normal 5 3 3 7 3" xfId="6052" xr:uid="{00000000-0005-0000-0000-00000D1A0000}"/>
    <cellStyle name="Normal 5 3 3 7 3 2" xfId="15378" xr:uid="{4E99F7A6-4E37-47F3-8159-EFBAD5B2B76E}"/>
    <cellStyle name="Normal 5 3 3 7 4" xfId="11161" xr:uid="{55B841FF-0679-4D1C-BC72-90763D98D19F}"/>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C5C498DE-1FC7-427E-94DD-5805AE9A192B}"/>
    <cellStyle name="Normal 5 3 3 8 2 3" xfId="13719" xr:uid="{166E8368-E498-4D57-A1F4-B73EA100CAE7}"/>
    <cellStyle name="Normal 5 3 3 8 3" xfId="6465" xr:uid="{00000000-0005-0000-0000-0000111A0000}"/>
    <cellStyle name="Normal 5 3 3 8 3 2" xfId="15791" xr:uid="{FF14020A-3FE1-413E-B5EB-48EEEC8879AC}"/>
    <cellStyle name="Normal 5 3 3 8 4" xfId="11574" xr:uid="{51DAC577-617A-4DFA-949A-2C2BD55EB54D}"/>
    <cellStyle name="Normal 5 3 3 9" xfId="2595" xr:uid="{00000000-0005-0000-0000-0000121A0000}"/>
    <cellStyle name="Normal 5 3 3 9 2" xfId="6878" xr:uid="{00000000-0005-0000-0000-0000131A0000}"/>
    <cellStyle name="Normal 5 3 3 9 2 2" xfId="16204" xr:uid="{096A6355-2570-4568-A877-6C964C327B68}"/>
    <cellStyle name="Normal 5 3 3 9 3" xfId="11987" xr:uid="{7EBCC7E8-AB6D-425F-A919-240EE13928E6}"/>
    <cellStyle name="Normal 5 3 4" xfId="449" xr:uid="{00000000-0005-0000-0000-0000141A0000}"/>
    <cellStyle name="Normal 5 3 4 10" xfId="8831" xr:uid="{39AD872D-FBC2-4C4A-B537-79F8014E4247}"/>
    <cellStyle name="Normal 5 3 4 10 2" xfId="18155" xr:uid="{4BA7AE84-9FC1-4EA8-8FEB-B2BED19C85CB}"/>
    <cellStyle name="Normal 5 3 4 11" xfId="9930" xr:uid="{5CC58EBE-A332-42DF-AE7C-8E10290B2455}"/>
    <cellStyle name="Normal 5 3 4 2" xfId="450" xr:uid="{00000000-0005-0000-0000-0000151A0000}"/>
    <cellStyle name="Normal 5 3 4 2 10" xfId="9931" xr:uid="{80EFFF18-F0FD-4EA7-B574-D7CC81AA58BB}"/>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95818EAA-1585-4093-A5ED-79CFE2213DC6}"/>
    <cellStyle name="Normal 5 3 4 2 2 2 2 3" xfId="12490" xr:uid="{5693F107-37C7-4C92-A9FF-30FA739BAB80}"/>
    <cellStyle name="Normal 5 3 4 2 2 2 3" xfId="5236" xr:uid="{00000000-0005-0000-0000-00001A1A0000}"/>
    <cellStyle name="Normal 5 3 4 2 2 2 3 2" xfId="14562" xr:uid="{1A1EE743-4050-499D-992F-16216DF69BAC}"/>
    <cellStyle name="Normal 5 3 4 2 2 2 4" xfId="9566" xr:uid="{D483C248-9680-462F-989C-42C712CD6EB7}"/>
    <cellStyle name="Normal 5 3 4 2 2 2 4 2" xfId="18881" xr:uid="{722520A0-3378-41AE-9013-DB2E68433577}"/>
    <cellStyle name="Normal 5 3 4 2 2 2 5" xfId="10345" xr:uid="{4EA79709-187A-45D1-A838-4F58E27110D9}"/>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C538E428-55F1-4F01-98AD-514032EC5E92}"/>
    <cellStyle name="Normal 5 3 4 2 2 3 2 3" xfId="12903" xr:uid="{13019D8F-3036-42B0-8352-89DF1A4A67B3}"/>
    <cellStyle name="Normal 5 3 4 2 2 3 3" xfId="5649" xr:uid="{00000000-0005-0000-0000-00001E1A0000}"/>
    <cellStyle name="Normal 5 3 4 2 2 3 3 2" xfId="14975" xr:uid="{FD1CC544-5CA6-46F9-9150-C5419DFC93B7}"/>
    <cellStyle name="Normal 5 3 4 2 2 3 4" xfId="10758" xr:uid="{0912474D-6EA8-4E54-AB2D-4836F4E8E46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D5ABDDD3-86FC-4777-AE83-3A0AF824DFB7}"/>
    <cellStyle name="Normal 5 3 4 2 2 4 2 3" xfId="13316" xr:uid="{B9C27304-2DF4-4B93-9601-9181D72DF0F2}"/>
    <cellStyle name="Normal 5 3 4 2 2 4 3" xfId="6062" xr:uid="{00000000-0005-0000-0000-0000221A0000}"/>
    <cellStyle name="Normal 5 3 4 2 2 4 3 2" xfId="15388" xr:uid="{BA0B8F77-B05E-42AB-BCC0-A67EAB3AAD78}"/>
    <cellStyle name="Normal 5 3 4 2 2 4 4" xfId="11171" xr:uid="{8904295C-6883-42BB-BDE4-5E217D79EA14}"/>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ABAE8C2F-C94A-44BA-947C-A460516C3E7A}"/>
    <cellStyle name="Normal 5 3 4 2 2 5 2 3" xfId="13729" xr:uid="{B009704B-65AB-4D83-B1B0-BEA154D361BE}"/>
    <cellStyle name="Normal 5 3 4 2 2 5 3" xfId="6475" xr:uid="{00000000-0005-0000-0000-0000261A0000}"/>
    <cellStyle name="Normal 5 3 4 2 2 5 3 2" xfId="15801" xr:uid="{8941443B-994E-45FE-979D-4BA2B5765D36}"/>
    <cellStyle name="Normal 5 3 4 2 2 5 4" xfId="11584" xr:uid="{E2696EC2-E0BB-4AC1-8858-43B50F89F66B}"/>
    <cellStyle name="Normal 5 3 4 2 2 6" xfId="2605" xr:uid="{00000000-0005-0000-0000-0000271A0000}"/>
    <cellStyle name="Normal 5 3 4 2 2 6 2" xfId="6888" xr:uid="{00000000-0005-0000-0000-0000281A0000}"/>
    <cellStyle name="Normal 5 3 4 2 2 6 2 2" xfId="16214" xr:uid="{C2E3C0E9-0E60-44FC-BDB3-4D1A3BDFBAE1}"/>
    <cellStyle name="Normal 5 3 4 2 2 6 3" xfId="11997" xr:uid="{96D19BD0-AAB7-4B10-B30E-0E566A5B0F71}"/>
    <cellStyle name="Normal 5 3 4 2 2 7" xfId="4823" xr:uid="{00000000-0005-0000-0000-0000291A0000}"/>
    <cellStyle name="Normal 5 3 4 2 2 7 2" xfId="14149" xr:uid="{74DB4738-EA41-4B3C-AB9C-6FAECE86F774}"/>
    <cellStyle name="Normal 5 3 4 2 2 8" xfId="9141" xr:uid="{6B63A6D0-0E60-498B-8E53-451D5144533A}"/>
    <cellStyle name="Normal 5 3 4 2 2 8 2" xfId="18465" xr:uid="{164AB9BA-DD67-40DC-A049-86503D9B852F}"/>
    <cellStyle name="Normal 5 3 4 2 2 9" xfId="9932" xr:uid="{6A238B18-8ECA-4B63-B855-8E6537AB09F8}"/>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E8689A49-E7F8-4111-A1AB-7312F7088027}"/>
    <cellStyle name="Normal 5 3 4 2 3 2 3" xfId="12489" xr:uid="{A4A34EE8-1818-4F7C-872E-53FAD9B21CA9}"/>
    <cellStyle name="Normal 5 3 4 2 3 3" xfId="5235" xr:uid="{00000000-0005-0000-0000-00002D1A0000}"/>
    <cellStyle name="Normal 5 3 4 2 3 3 2" xfId="14561" xr:uid="{57C87FD2-74F4-4707-BC17-9B499B008BDF}"/>
    <cellStyle name="Normal 5 3 4 2 3 4" xfId="9359" xr:uid="{FAC41203-2BC4-411F-9296-10781BA4F1AB}"/>
    <cellStyle name="Normal 5 3 4 2 3 4 2" xfId="18674" xr:uid="{799AE8FB-465D-43B0-8169-653ED379C6C0}"/>
    <cellStyle name="Normal 5 3 4 2 3 5" xfId="10344" xr:uid="{CCA0F3C1-1883-4FE9-A05A-E7227B906CE8}"/>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E591E22F-AE0F-438A-8192-E792ED92172D}"/>
    <cellStyle name="Normal 5 3 4 2 4 2 3" xfId="12902" xr:uid="{6F5969E4-5118-405D-B6D3-55EA74924F59}"/>
    <cellStyle name="Normal 5 3 4 2 4 3" xfId="5648" xr:uid="{00000000-0005-0000-0000-0000311A0000}"/>
    <cellStyle name="Normal 5 3 4 2 4 3 2" xfId="14974" xr:uid="{7E2887E8-0F4F-4D5E-BFF5-C222F988EB9C}"/>
    <cellStyle name="Normal 5 3 4 2 4 4" xfId="10757" xr:uid="{D7844B3C-D2E7-48BE-B2F6-69EBF49EA30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69E0E072-AB40-41D7-98CE-55E6EEBC695A}"/>
    <cellStyle name="Normal 5 3 4 2 5 2 3" xfId="13315" xr:uid="{93772BBA-DE17-4EAD-AE7D-213A41817C34}"/>
    <cellStyle name="Normal 5 3 4 2 5 3" xfId="6061" xr:uid="{00000000-0005-0000-0000-0000351A0000}"/>
    <cellStyle name="Normal 5 3 4 2 5 3 2" xfId="15387" xr:uid="{CBFBB679-4701-4EF1-87E4-D38B2A0BD27B}"/>
    <cellStyle name="Normal 5 3 4 2 5 4" xfId="11170" xr:uid="{F52F45AC-2091-472C-B6DB-F6CD52179ED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66BE4B73-C2A3-4540-B430-A20D57D4D1C1}"/>
    <cellStyle name="Normal 5 3 4 2 6 2 3" xfId="13728" xr:uid="{A59C101F-4140-41AE-915C-ECA500D181E7}"/>
    <cellStyle name="Normal 5 3 4 2 6 3" xfId="6474" xr:uid="{00000000-0005-0000-0000-0000391A0000}"/>
    <cellStyle name="Normal 5 3 4 2 6 3 2" xfId="15800" xr:uid="{92F0CED2-A6B7-49D9-AF40-381A5A003298}"/>
    <cellStyle name="Normal 5 3 4 2 6 4" xfId="11583" xr:uid="{55715D7C-C7FD-47DA-BDE6-98E344598713}"/>
    <cellStyle name="Normal 5 3 4 2 7" xfId="2604" xr:uid="{00000000-0005-0000-0000-00003A1A0000}"/>
    <cellStyle name="Normal 5 3 4 2 7 2" xfId="6887" xr:uid="{00000000-0005-0000-0000-00003B1A0000}"/>
    <cellStyle name="Normal 5 3 4 2 7 2 2" xfId="16213" xr:uid="{48DDCA7A-F90E-467A-8377-FDA24727E1AA}"/>
    <cellStyle name="Normal 5 3 4 2 7 3" xfId="11996" xr:uid="{0FC31CAC-847F-404C-8B43-6AEE63E294A7}"/>
    <cellStyle name="Normal 5 3 4 2 8" xfId="4822" xr:uid="{00000000-0005-0000-0000-00003C1A0000}"/>
    <cellStyle name="Normal 5 3 4 2 8 2" xfId="14148" xr:uid="{5BD130F2-A2BF-4F0F-BCA2-1067DFCB75DE}"/>
    <cellStyle name="Normal 5 3 4 2 9" xfId="8934" xr:uid="{D16D0DF9-4576-4200-8972-8AAD50545E0D}"/>
    <cellStyle name="Normal 5 3 4 2 9 2" xfId="18258" xr:uid="{0A2D46F2-FBC0-4694-B08E-5C652352CB4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EB2AB986-B348-4030-BCF4-0FA2A41605F2}"/>
    <cellStyle name="Normal 5 3 4 3 2 2 3" xfId="12491" xr:uid="{E6BF3843-B819-44EB-AD4D-395932040718}"/>
    <cellStyle name="Normal 5 3 4 3 2 3" xfId="5237" xr:uid="{00000000-0005-0000-0000-0000411A0000}"/>
    <cellStyle name="Normal 5 3 4 3 2 3 2" xfId="14563" xr:uid="{3AD40393-040C-424B-8FFD-34FA4156CF92}"/>
    <cellStyle name="Normal 5 3 4 3 2 4" xfId="9463" xr:uid="{1CC38E89-013B-404F-9F3E-11BABC37F656}"/>
    <cellStyle name="Normal 5 3 4 3 2 4 2" xfId="18778" xr:uid="{47975F81-0231-4102-B57F-CEA0F8FA647A}"/>
    <cellStyle name="Normal 5 3 4 3 2 5" xfId="10346" xr:uid="{99DE0879-A109-4DCF-8580-C5B75D4B64E2}"/>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C40B6EE6-0AA6-4D77-9D97-F1A05220C128}"/>
    <cellStyle name="Normal 5 3 4 3 3 2 3" xfId="12904" xr:uid="{B501E885-C969-470C-80F0-46E84B3FE97E}"/>
    <cellStyle name="Normal 5 3 4 3 3 3" xfId="5650" xr:uid="{00000000-0005-0000-0000-0000451A0000}"/>
    <cellStyle name="Normal 5 3 4 3 3 3 2" xfId="14976" xr:uid="{BF392B78-8242-4F60-8796-C896572F0B3A}"/>
    <cellStyle name="Normal 5 3 4 3 3 4" xfId="10759" xr:uid="{DAFFA050-4119-4C13-843A-B1D02C930D18}"/>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63DA52A5-5F64-4A2C-A28B-B43E826C9F3F}"/>
    <cellStyle name="Normal 5 3 4 3 4 2 3" xfId="13317" xr:uid="{EB0ED73D-6F93-4473-9C8C-2117AB4D9782}"/>
    <cellStyle name="Normal 5 3 4 3 4 3" xfId="6063" xr:uid="{00000000-0005-0000-0000-0000491A0000}"/>
    <cellStyle name="Normal 5 3 4 3 4 3 2" xfId="15389" xr:uid="{5B5E87F1-259F-4BBE-A056-290285CFFD59}"/>
    <cellStyle name="Normal 5 3 4 3 4 4" xfId="11172" xr:uid="{252FB33E-7D53-4202-BB86-5A49FC07CE7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FDE5BFDA-9672-42AB-8DE7-65068655172C}"/>
    <cellStyle name="Normal 5 3 4 3 5 2 3" xfId="13730" xr:uid="{FF159A45-12DF-4F71-9F02-13AEF6CB2A8C}"/>
    <cellStyle name="Normal 5 3 4 3 5 3" xfId="6476" xr:uid="{00000000-0005-0000-0000-00004D1A0000}"/>
    <cellStyle name="Normal 5 3 4 3 5 3 2" xfId="15802" xr:uid="{E58B3550-FBA0-40E8-B81D-8FE2CFAC69F2}"/>
    <cellStyle name="Normal 5 3 4 3 5 4" xfId="11585" xr:uid="{D96BB44E-F4E0-49C7-BB78-63C99C5330B6}"/>
    <cellStyle name="Normal 5 3 4 3 6" xfId="2606" xr:uid="{00000000-0005-0000-0000-00004E1A0000}"/>
    <cellStyle name="Normal 5 3 4 3 6 2" xfId="6889" xr:uid="{00000000-0005-0000-0000-00004F1A0000}"/>
    <cellStyle name="Normal 5 3 4 3 6 2 2" xfId="16215" xr:uid="{E782670F-8824-4FFA-8E10-B31E503437F0}"/>
    <cellStyle name="Normal 5 3 4 3 6 3" xfId="11998" xr:uid="{5BC441C4-ED72-4531-B705-F27B6A5E7367}"/>
    <cellStyle name="Normal 5 3 4 3 7" xfId="4824" xr:uid="{00000000-0005-0000-0000-0000501A0000}"/>
    <cellStyle name="Normal 5 3 4 3 7 2" xfId="14150" xr:uid="{78CC0C20-A301-418D-8A1B-BBECE79F9612}"/>
    <cellStyle name="Normal 5 3 4 3 8" xfId="9038" xr:uid="{15024032-E3C2-4FDD-B674-481D39A836C5}"/>
    <cellStyle name="Normal 5 3 4 3 8 2" xfId="18362" xr:uid="{00954091-7A51-4A7B-BBA5-22408ABBECBB}"/>
    <cellStyle name="Normal 5 3 4 3 9" xfId="9933" xr:uid="{67A5EE22-ECAA-41BB-9430-0C131EE05132}"/>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5AB67DC6-C3C6-4AB7-A9E3-C2BF72262F7E}"/>
    <cellStyle name="Normal 5 3 4 4 2 3" xfId="12488" xr:uid="{9CE18698-AE04-4E39-A1D1-D91919C4ACCE}"/>
    <cellStyle name="Normal 5 3 4 4 3" xfId="5234" xr:uid="{00000000-0005-0000-0000-0000541A0000}"/>
    <cellStyle name="Normal 5 3 4 4 3 2" xfId="14560" xr:uid="{AC9667E7-C82D-444B-A2C9-6B3A17C58C86}"/>
    <cellStyle name="Normal 5 3 4 4 4" xfId="9256" xr:uid="{69A14F57-2B46-4294-8CA5-E21858516C25}"/>
    <cellStyle name="Normal 5 3 4 4 4 2" xfId="18571" xr:uid="{CDB5744B-1208-4BA7-918E-D00F14ABC39A}"/>
    <cellStyle name="Normal 5 3 4 4 5" xfId="10343" xr:uid="{9A9E4F34-9E69-4E66-9020-B8B0332CBA2F}"/>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0026708A-E6C1-4080-A21F-DEF0D720C8CA}"/>
    <cellStyle name="Normal 5 3 4 5 2 3" xfId="12901" xr:uid="{39C14116-2178-437B-B901-63BBE6F3F05E}"/>
    <cellStyle name="Normal 5 3 4 5 3" xfId="5647" xr:uid="{00000000-0005-0000-0000-0000581A0000}"/>
    <cellStyle name="Normal 5 3 4 5 3 2" xfId="14973" xr:uid="{D0B72EB6-E345-4989-BF3D-F85D65050B11}"/>
    <cellStyle name="Normal 5 3 4 5 4" xfId="10756" xr:uid="{481E395D-F90E-4087-AEB5-31ED7FFA7C6A}"/>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5A0264A3-0C9C-4554-9FDA-C608BCA0F88C}"/>
    <cellStyle name="Normal 5 3 4 6 2 3" xfId="13314" xr:uid="{2B27515E-159D-4200-9BF2-A8554C8969D3}"/>
    <cellStyle name="Normal 5 3 4 6 3" xfId="6060" xr:uid="{00000000-0005-0000-0000-00005C1A0000}"/>
    <cellStyle name="Normal 5 3 4 6 3 2" xfId="15386" xr:uid="{B50986CC-2442-4708-A1CD-4F729379E7BE}"/>
    <cellStyle name="Normal 5 3 4 6 4" xfId="11169" xr:uid="{765421C0-7147-4CBD-A141-56AD26414C2E}"/>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218D9AC2-9280-4DEB-9C59-7EA94E7F1575}"/>
    <cellStyle name="Normal 5 3 4 7 2 3" xfId="13727" xr:uid="{63286F18-60E9-4D77-A245-1F0DF61B76FB}"/>
    <cellStyle name="Normal 5 3 4 7 3" xfId="6473" xr:uid="{00000000-0005-0000-0000-0000601A0000}"/>
    <cellStyle name="Normal 5 3 4 7 3 2" xfId="15799" xr:uid="{52CEA1B0-28C4-4CBD-81D5-731E22F89041}"/>
    <cellStyle name="Normal 5 3 4 7 4" xfId="11582" xr:uid="{89DCD0D8-7FC7-40AE-9CF2-1D601B49E1AA}"/>
    <cellStyle name="Normal 5 3 4 8" xfId="2603" xr:uid="{00000000-0005-0000-0000-0000611A0000}"/>
    <cellStyle name="Normal 5 3 4 8 2" xfId="6886" xr:uid="{00000000-0005-0000-0000-0000621A0000}"/>
    <cellStyle name="Normal 5 3 4 8 2 2" xfId="16212" xr:uid="{7DB7C4D8-6E39-4FCE-8676-B3807D558EC6}"/>
    <cellStyle name="Normal 5 3 4 8 3" xfId="11995" xr:uid="{1A148E4F-4D8A-40FF-8224-79B1F101137D}"/>
    <cellStyle name="Normal 5 3 4 9" xfId="4821" xr:uid="{00000000-0005-0000-0000-0000631A0000}"/>
    <cellStyle name="Normal 5 3 4 9 2" xfId="14147" xr:uid="{580E9349-B33E-44BA-A6DC-094824DEA20A}"/>
    <cellStyle name="Normal 5 3 5" xfId="453" xr:uid="{00000000-0005-0000-0000-0000641A0000}"/>
    <cellStyle name="Normal 5 3 5 10" xfId="9934" xr:uid="{2F799882-276E-48AD-9D20-301F36E386E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0F816120-3FAF-4DBD-BCC2-A52611C28507}"/>
    <cellStyle name="Normal 5 3 5 2 2 2 3" xfId="12493" xr:uid="{DEDBC6FF-32AC-45DF-9603-1972C0628AB3}"/>
    <cellStyle name="Normal 5 3 5 2 2 3" xfId="5239" xr:uid="{00000000-0005-0000-0000-0000691A0000}"/>
    <cellStyle name="Normal 5 3 5 2 2 3 2" xfId="14565" xr:uid="{235C08D0-005B-4371-8F69-9FB824A974CF}"/>
    <cellStyle name="Normal 5 3 5 2 2 4" xfId="9485" xr:uid="{E88A0512-4544-44F7-B02F-696DEB177F8E}"/>
    <cellStyle name="Normal 5 3 5 2 2 4 2" xfId="18800" xr:uid="{1E3B8956-B200-4BC5-A604-BE923FC2FA5F}"/>
    <cellStyle name="Normal 5 3 5 2 2 5" xfId="10348" xr:uid="{29BFEDD9-45A4-4FD8-82C7-1452D2657BF5}"/>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20A96B3F-D83D-4C32-8FFE-1041E3086AF1}"/>
    <cellStyle name="Normal 5 3 5 2 3 2 3" xfId="12906" xr:uid="{5A1435BB-95D6-42E9-9848-F60819CC56B2}"/>
    <cellStyle name="Normal 5 3 5 2 3 3" xfId="5652" xr:uid="{00000000-0005-0000-0000-00006D1A0000}"/>
    <cellStyle name="Normal 5 3 5 2 3 3 2" xfId="14978" xr:uid="{91356B3C-E888-472F-9E28-71910B4265CA}"/>
    <cellStyle name="Normal 5 3 5 2 3 4" xfId="10761" xr:uid="{609C785F-46F4-4F8F-8F9B-030A2E70DF4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1F23B3A8-C792-4F1F-9221-12BC6D3A626F}"/>
    <cellStyle name="Normal 5 3 5 2 4 2 3" xfId="13319" xr:uid="{77B91A8D-2348-43A2-8BFD-5B399C0B6586}"/>
    <cellStyle name="Normal 5 3 5 2 4 3" xfId="6065" xr:uid="{00000000-0005-0000-0000-0000711A0000}"/>
    <cellStyle name="Normal 5 3 5 2 4 3 2" xfId="15391" xr:uid="{4E3B5053-226A-41D7-9850-93918633241D}"/>
    <cellStyle name="Normal 5 3 5 2 4 4" xfId="11174" xr:uid="{40204834-6D49-447C-BED9-9C8CE48FC55C}"/>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4264C198-09FA-4D7C-AB7F-6768B22A2E09}"/>
    <cellStyle name="Normal 5 3 5 2 5 2 3" xfId="13732" xr:uid="{DFB219F5-EE3B-4407-941B-7E21B884446B}"/>
    <cellStyle name="Normal 5 3 5 2 5 3" xfId="6478" xr:uid="{00000000-0005-0000-0000-0000751A0000}"/>
    <cellStyle name="Normal 5 3 5 2 5 3 2" xfId="15804" xr:uid="{AF4356BD-14A9-4960-BE86-52753D0EFC27}"/>
    <cellStyle name="Normal 5 3 5 2 5 4" xfId="11587" xr:uid="{F1948CFB-0FF8-4681-9BE5-DBEF009A13CD}"/>
    <cellStyle name="Normal 5 3 5 2 6" xfId="2608" xr:uid="{00000000-0005-0000-0000-0000761A0000}"/>
    <cellStyle name="Normal 5 3 5 2 6 2" xfId="6891" xr:uid="{00000000-0005-0000-0000-0000771A0000}"/>
    <cellStyle name="Normal 5 3 5 2 6 2 2" xfId="16217" xr:uid="{5FD68216-0ACC-49A9-B06A-2FE8F4344920}"/>
    <cellStyle name="Normal 5 3 5 2 6 3" xfId="12000" xr:uid="{A34DFE49-6957-485D-A85A-1C91BF002AD9}"/>
    <cellStyle name="Normal 5 3 5 2 7" xfId="4826" xr:uid="{00000000-0005-0000-0000-0000781A0000}"/>
    <cellStyle name="Normal 5 3 5 2 7 2" xfId="14152" xr:uid="{C36AF0F5-94B9-4003-9C5B-1E4261CE96D1}"/>
    <cellStyle name="Normal 5 3 5 2 8" xfId="9060" xr:uid="{D76124DC-5753-46E4-97E7-1D76E6E20EEE}"/>
    <cellStyle name="Normal 5 3 5 2 8 2" xfId="18384" xr:uid="{EBE7C5A9-8F1C-43FE-9AEC-5D0099C39471}"/>
    <cellStyle name="Normal 5 3 5 2 9" xfId="9935" xr:uid="{F86A4BED-0F84-4097-A116-E2FEB10326AC}"/>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A9AA65A9-0A71-444E-9371-FD45BF833797}"/>
    <cellStyle name="Normal 5 3 5 3 2 3" xfId="12492" xr:uid="{2DDF6248-CE06-4D48-81A7-E494B67FFF32}"/>
    <cellStyle name="Normal 5 3 5 3 3" xfId="5238" xr:uid="{00000000-0005-0000-0000-00007C1A0000}"/>
    <cellStyle name="Normal 5 3 5 3 3 2" xfId="14564" xr:uid="{7CA16CEE-4E1C-4BB3-8878-17E1F9B137F0}"/>
    <cellStyle name="Normal 5 3 5 3 4" xfId="9278" xr:uid="{6197750A-97CA-41EF-A67C-63E25EE58E9E}"/>
    <cellStyle name="Normal 5 3 5 3 4 2" xfId="18593" xr:uid="{2803AB65-0E54-4EA2-8900-EBC9242CAA1B}"/>
    <cellStyle name="Normal 5 3 5 3 5" xfId="10347" xr:uid="{88723FE5-DCD3-404D-B6F1-BE1802D68B4E}"/>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8823A6DA-6E89-4928-B1F3-EDE30845C3BF}"/>
    <cellStyle name="Normal 5 3 5 4 2 3" xfId="12905" xr:uid="{EF4803B6-5CF0-436E-BD45-148F7D8270A8}"/>
    <cellStyle name="Normal 5 3 5 4 3" xfId="5651" xr:uid="{00000000-0005-0000-0000-0000801A0000}"/>
    <cellStyle name="Normal 5 3 5 4 3 2" xfId="14977" xr:uid="{6A502CC7-4D45-46A8-B20A-53749F1576C4}"/>
    <cellStyle name="Normal 5 3 5 4 4" xfId="10760" xr:uid="{BEC44405-F655-4AAC-9313-B21B02D241C9}"/>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63EAD060-63B4-4A45-9AAE-0D52C8A391B1}"/>
    <cellStyle name="Normal 5 3 5 5 2 3" xfId="13318" xr:uid="{40670E86-70DF-4A38-8369-596A5C3AE67D}"/>
    <cellStyle name="Normal 5 3 5 5 3" xfId="6064" xr:uid="{00000000-0005-0000-0000-0000841A0000}"/>
    <cellStyle name="Normal 5 3 5 5 3 2" xfId="15390" xr:uid="{CE5C3D70-97F9-49F1-91DD-5C9CC9795A6F}"/>
    <cellStyle name="Normal 5 3 5 5 4" xfId="11173" xr:uid="{AAF8E811-A226-413B-BA2A-A28684BA3589}"/>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0B1A6BA2-E338-4018-8BA5-5F83296D5D92}"/>
    <cellStyle name="Normal 5 3 5 6 2 3" xfId="13731" xr:uid="{DD5BC028-2CC6-4EB4-8734-0C8FA442BDA3}"/>
    <cellStyle name="Normal 5 3 5 6 3" xfId="6477" xr:uid="{00000000-0005-0000-0000-0000881A0000}"/>
    <cellStyle name="Normal 5 3 5 6 3 2" xfId="15803" xr:uid="{44F89848-BEF0-498B-B4E7-E7BA1C609864}"/>
    <cellStyle name="Normal 5 3 5 6 4" xfId="11586" xr:uid="{44A5AEF1-538A-46D4-9C0B-9F6736DC59D9}"/>
    <cellStyle name="Normal 5 3 5 7" xfId="2607" xr:uid="{00000000-0005-0000-0000-0000891A0000}"/>
    <cellStyle name="Normal 5 3 5 7 2" xfId="6890" xr:uid="{00000000-0005-0000-0000-00008A1A0000}"/>
    <cellStyle name="Normal 5 3 5 7 2 2" xfId="16216" xr:uid="{5DDAAEDA-D4B1-47F9-A122-2048DE5DA6E9}"/>
    <cellStyle name="Normal 5 3 5 7 3" xfId="11999" xr:uid="{15DADCE2-B82B-41C1-9F2A-810E9476EEB9}"/>
    <cellStyle name="Normal 5 3 5 8" xfId="4825" xr:uid="{00000000-0005-0000-0000-00008B1A0000}"/>
    <cellStyle name="Normal 5 3 5 8 2" xfId="14151" xr:uid="{7F668FD9-13A2-4004-A5D8-C2C49F952784}"/>
    <cellStyle name="Normal 5 3 5 9" xfId="8853" xr:uid="{049FA2CE-003F-47C1-A264-645323886F35}"/>
    <cellStyle name="Normal 5 3 5 9 2" xfId="18177" xr:uid="{4F329D55-89E0-4178-8BB7-721E6FF52264}"/>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235C072-AAEC-4169-A8A9-097190FDB2BF}"/>
    <cellStyle name="Normal 5 3 6 2 2 3" xfId="12494" xr:uid="{3E4957DB-3ABC-41EC-9198-94057DCB0B4E}"/>
    <cellStyle name="Normal 5 3 6 2 3" xfId="5240" xr:uid="{00000000-0005-0000-0000-0000901A0000}"/>
    <cellStyle name="Normal 5 3 6 2 3 2" xfId="14566" xr:uid="{D35B07AE-CAF1-41B6-906A-23532F9EB689}"/>
    <cellStyle name="Normal 5 3 6 2 4" xfId="9394" xr:uid="{040FDD8C-10C9-4583-9A6E-8F76047ECA0C}"/>
    <cellStyle name="Normal 5 3 6 2 4 2" xfId="18709" xr:uid="{38575A11-7AD9-42A0-8558-A00E3C2CC576}"/>
    <cellStyle name="Normal 5 3 6 2 5" xfId="10349" xr:uid="{92D9B97E-0ED9-443A-8184-695959110E61}"/>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B26BA54A-08D3-46F0-B4D5-443C7240AEA7}"/>
    <cellStyle name="Normal 5 3 6 3 2 3" xfId="12907" xr:uid="{8F28939F-7AA2-4E7C-A3AE-3F12260640A4}"/>
    <cellStyle name="Normal 5 3 6 3 3" xfId="5653" xr:uid="{00000000-0005-0000-0000-0000941A0000}"/>
    <cellStyle name="Normal 5 3 6 3 3 2" xfId="14979" xr:uid="{1EA6B389-E1A4-4DBC-B101-202B116B0890}"/>
    <cellStyle name="Normal 5 3 6 3 4" xfId="10762" xr:uid="{82A783E4-D447-4E9C-8E9A-EC3084423084}"/>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B0750F84-C8D3-4544-B0C3-B7B8FB17EEC4}"/>
    <cellStyle name="Normal 5 3 6 4 2 3" xfId="13320" xr:uid="{DEAD3DA3-7A59-499D-B933-4E91857036F6}"/>
    <cellStyle name="Normal 5 3 6 4 3" xfId="6066" xr:uid="{00000000-0005-0000-0000-0000981A0000}"/>
    <cellStyle name="Normal 5 3 6 4 3 2" xfId="15392" xr:uid="{5FC9BAC7-A9A9-4F33-86A6-4D6CD93AF4E6}"/>
    <cellStyle name="Normal 5 3 6 4 4" xfId="11175" xr:uid="{4263EEA1-B125-458A-B820-6A54A9178085}"/>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BE42737D-34C2-491B-BFBB-D308414C7B34}"/>
    <cellStyle name="Normal 5 3 6 5 2 3" xfId="13733" xr:uid="{0DAFE407-8B82-4492-B918-3269FD75A542}"/>
    <cellStyle name="Normal 5 3 6 5 3" xfId="6479" xr:uid="{00000000-0005-0000-0000-00009C1A0000}"/>
    <cellStyle name="Normal 5 3 6 5 3 2" xfId="15805" xr:uid="{C89ADFCD-3650-4067-9AE9-ADC066B8074E}"/>
    <cellStyle name="Normal 5 3 6 5 4" xfId="11588" xr:uid="{BD393BA4-AA02-40CA-B3E1-A1DB362714FD}"/>
    <cellStyle name="Normal 5 3 6 6" xfId="2609" xr:uid="{00000000-0005-0000-0000-00009D1A0000}"/>
    <cellStyle name="Normal 5 3 6 6 2" xfId="6892" xr:uid="{00000000-0005-0000-0000-00009E1A0000}"/>
    <cellStyle name="Normal 5 3 6 6 2 2" xfId="16218" xr:uid="{9E1111B7-50FA-4FA9-B507-B48F9C97B8D2}"/>
    <cellStyle name="Normal 5 3 6 6 3" xfId="12001" xr:uid="{D87979FF-ED24-4F8E-AD6B-B55A67814BE6}"/>
    <cellStyle name="Normal 5 3 6 7" xfId="4827" xr:uid="{00000000-0005-0000-0000-00009F1A0000}"/>
    <cellStyle name="Normal 5 3 6 7 2" xfId="14153" xr:uid="{BE767B07-DC2F-46B9-BC58-A0D8FE26317C}"/>
    <cellStyle name="Normal 5 3 6 8" xfId="8969" xr:uid="{FA7ABEAF-BFEA-4D3E-A53B-E23F3117BFD8}"/>
    <cellStyle name="Normal 5 3 6 8 2" xfId="18293" xr:uid="{FCA1C4B3-CBF4-4A1B-B50D-2E73A8A51C32}"/>
    <cellStyle name="Normal 5 3 6 9" xfId="9936" xr:uid="{E85500D6-528A-403C-A5C5-3EE8390D6D38}"/>
    <cellStyle name="Normal 5 3 7" xfId="913" xr:uid="{00000000-0005-0000-0000-0000A01A0000}"/>
    <cellStyle name="Normal 5 3 7 2" xfId="3148" xr:uid="{00000000-0005-0000-0000-0000A11A0000}"/>
    <cellStyle name="Normal 5 3 7 2 2" xfId="7370" xr:uid="{00000000-0005-0000-0000-0000A21A0000}"/>
    <cellStyle name="Normal 5 3 7 2 2 2" xfId="16696" xr:uid="{33B71AD4-13B5-4A3E-BF98-7595F61A9F6D}"/>
    <cellStyle name="Normal 5 3 7 2 3" xfId="12479" xr:uid="{373CFDCE-2446-4ED5-87E8-9E6BBA20057A}"/>
    <cellStyle name="Normal 5 3 7 3" xfId="5225" xr:uid="{00000000-0005-0000-0000-0000A31A0000}"/>
    <cellStyle name="Normal 5 3 7 3 2" xfId="14551" xr:uid="{BD9E3B72-B3CB-4988-9A97-0D4EF5E67C81}"/>
    <cellStyle name="Normal 5 3 7 4" xfId="9172" xr:uid="{5609ABAF-B913-41DD-9CCE-B28C6A880815}"/>
    <cellStyle name="Normal 5 3 7 4 2" xfId="18490" xr:uid="{65D456CF-F23A-49CE-BF48-A77836585DB2}"/>
    <cellStyle name="Normal 5 3 7 5" xfId="10334" xr:uid="{464712F3-B703-4CDE-AB41-D0B20F3602E5}"/>
    <cellStyle name="Normal 5 3 8" xfId="1331" xr:uid="{00000000-0005-0000-0000-0000A41A0000}"/>
    <cellStyle name="Normal 5 3 8 2" xfId="3561" xr:uid="{00000000-0005-0000-0000-0000A51A0000}"/>
    <cellStyle name="Normal 5 3 8 2 2" xfId="7783" xr:uid="{00000000-0005-0000-0000-0000A61A0000}"/>
    <cellStyle name="Normal 5 3 8 2 2 2" xfId="17109" xr:uid="{F46F6A5E-A6C2-4839-A0ED-B4ACE181886F}"/>
    <cellStyle name="Normal 5 3 8 2 3" xfId="12892" xr:uid="{9098178B-F17B-45A9-90DF-EA08577E88DB}"/>
    <cellStyle name="Normal 5 3 8 3" xfId="5638" xr:uid="{00000000-0005-0000-0000-0000A71A0000}"/>
    <cellStyle name="Normal 5 3 8 3 2" xfId="14964" xr:uid="{33078AF8-7B00-429B-8299-513CA9462472}"/>
    <cellStyle name="Normal 5 3 8 4" xfId="10747" xr:uid="{98F3D9E6-4F03-48F6-BDD4-F9B8B58020FB}"/>
    <cellStyle name="Normal 5 3 9" xfId="1744" xr:uid="{00000000-0005-0000-0000-0000A81A0000}"/>
    <cellStyle name="Normal 5 3 9 2" xfId="3974" xr:uid="{00000000-0005-0000-0000-0000A91A0000}"/>
    <cellStyle name="Normal 5 3 9 2 2" xfId="8196" xr:uid="{00000000-0005-0000-0000-0000AA1A0000}"/>
    <cellStyle name="Normal 5 3 9 2 2 2" xfId="17522" xr:uid="{8322FDF6-13DF-44D5-BF64-DD782D9AACF5}"/>
    <cellStyle name="Normal 5 3 9 2 3" xfId="13305" xr:uid="{BE3D9C50-2594-4DD6-8022-AE8273394C83}"/>
    <cellStyle name="Normal 5 3 9 3" xfId="6051" xr:uid="{00000000-0005-0000-0000-0000AB1A0000}"/>
    <cellStyle name="Normal 5 3 9 3 2" xfId="15377" xr:uid="{4FEB9771-118B-4BDE-B508-29A566A6818F}"/>
    <cellStyle name="Normal 5 3 9 4" xfId="11160" xr:uid="{73FC694D-9E82-4CA7-9E04-1F0135123B16}"/>
    <cellStyle name="Normal 5 4" xfId="456" xr:uid="{00000000-0005-0000-0000-0000AC1A0000}"/>
    <cellStyle name="Normal 5 4 10" xfId="4828" xr:uid="{00000000-0005-0000-0000-0000AD1A0000}"/>
    <cellStyle name="Normal 5 4 10 2" xfId="14154" xr:uid="{A8A23457-1227-427B-94DA-14F5158732B3}"/>
    <cellStyle name="Normal 5 4 11" xfId="8773" xr:uid="{50472F80-32FD-428C-B078-8DE338D6CA16}"/>
    <cellStyle name="Normal 5 4 11 2" xfId="18097" xr:uid="{5E325200-5F91-41D4-A070-BCAEABEF963C}"/>
    <cellStyle name="Normal 5 4 12" xfId="9937" xr:uid="{52604762-A504-4A0D-9AE0-F40E994EACC8}"/>
    <cellStyle name="Normal 5 4 2" xfId="457" xr:uid="{00000000-0005-0000-0000-0000AE1A0000}"/>
    <cellStyle name="Normal 5 4 2 10" xfId="8833" xr:uid="{6EA55230-8E5B-4EF6-B83C-8DF4202F8C31}"/>
    <cellStyle name="Normal 5 4 2 10 2" xfId="18157" xr:uid="{0D66494B-F33C-40F5-81E8-9629F8F0D383}"/>
    <cellStyle name="Normal 5 4 2 11" xfId="9938" xr:uid="{7EC352B7-8816-4646-97D3-46E55561A743}"/>
    <cellStyle name="Normal 5 4 2 2" xfId="458" xr:uid="{00000000-0005-0000-0000-0000AF1A0000}"/>
    <cellStyle name="Normal 5 4 2 2 10" xfId="9939" xr:uid="{C9CD8CCD-DD96-4C23-B271-2F7753D05B7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0BB6233E-F892-407D-A22A-C07287B385A1}"/>
    <cellStyle name="Normal 5 4 2 2 2 2 2 3" xfId="12498" xr:uid="{14242AA6-2F58-4392-928C-7CF8E6923439}"/>
    <cellStyle name="Normal 5 4 2 2 2 2 3" xfId="5244" xr:uid="{00000000-0005-0000-0000-0000B41A0000}"/>
    <cellStyle name="Normal 5 4 2 2 2 2 3 2" xfId="14570" xr:uid="{4FFD7E29-3778-4C2F-B701-2A774A1CEA0C}"/>
    <cellStyle name="Normal 5 4 2 2 2 2 4" xfId="9568" xr:uid="{C9922021-D284-4633-BD4E-F2DB1197482A}"/>
    <cellStyle name="Normal 5 4 2 2 2 2 4 2" xfId="18883" xr:uid="{EFCD255C-78CE-4901-A2FA-B5D2AD1D0C67}"/>
    <cellStyle name="Normal 5 4 2 2 2 2 5" xfId="10353" xr:uid="{479A7692-33F8-490B-8614-160FD40A653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3BABDD92-7C65-4B4F-A7B5-4A675E57A765}"/>
    <cellStyle name="Normal 5 4 2 2 2 3 2 3" xfId="12911" xr:uid="{0B4ECD83-7313-44A1-9C7A-AA483309AAD2}"/>
    <cellStyle name="Normal 5 4 2 2 2 3 3" xfId="5657" xr:uid="{00000000-0005-0000-0000-0000B81A0000}"/>
    <cellStyle name="Normal 5 4 2 2 2 3 3 2" xfId="14983" xr:uid="{DDD1C293-AAE7-4F57-B15D-D31308F05CDB}"/>
    <cellStyle name="Normal 5 4 2 2 2 3 4" xfId="10766" xr:uid="{670AA53D-0F6D-4E8F-A379-65777F3C846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07318A88-E09D-426E-812B-BE80BEF1DA8B}"/>
    <cellStyle name="Normal 5 4 2 2 2 4 2 3" xfId="13324" xr:uid="{8281CDB5-980A-4D92-A61A-09F08ECE543E}"/>
    <cellStyle name="Normal 5 4 2 2 2 4 3" xfId="6070" xr:uid="{00000000-0005-0000-0000-0000BC1A0000}"/>
    <cellStyle name="Normal 5 4 2 2 2 4 3 2" xfId="15396" xr:uid="{08E09397-AB9C-432E-96B9-FDD7F9D7C46E}"/>
    <cellStyle name="Normal 5 4 2 2 2 4 4" xfId="11179" xr:uid="{F4DAA336-F886-4598-9A25-21518DBB136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63AAD01F-C2A6-4D71-873D-FB9F4997D654}"/>
    <cellStyle name="Normal 5 4 2 2 2 5 2 3" xfId="13737" xr:uid="{07ECFB07-382B-437F-AE29-7684CA6CD14B}"/>
    <cellStyle name="Normal 5 4 2 2 2 5 3" xfId="6483" xr:uid="{00000000-0005-0000-0000-0000C01A0000}"/>
    <cellStyle name="Normal 5 4 2 2 2 5 3 2" xfId="15809" xr:uid="{419ECA9B-4922-4756-B9A4-2258D2C1B227}"/>
    <cellStyle name="Normal 5 4 2 2 2 5 4" xfId="11592" xr:uid="{9AD64227-1C64-4098-8C7A-F2EC4364D33E}"/>
    <cellStyle name="Normal 5 4 2 2 2 6" xfId="2613" xr:uid="{00000000-0005-0000-0000-0000C11A0000}"/>
    <cellStyle name="Normal 5 4 2 2 2 6 2" xfId="6896" xr:uid="{00000000-0005-0000-0000-0000C21A0000}"/>
    <cellStyle name="Normal 5 4 2 2 2 6 2 2" xfId="16222" xr:uid="{F1115F60-5A1D-432F-8B5B-B90691FE4E7F}"/>
    <cellStyle name="Normal 5 4 2 2 2 6 3" xfId="12005" xr:uid="{C44ECB17-FC9F-409F-9BFF-3CBF616A928A}"/>
    <cellStyle name="Normal 5 4 2 2 2 7" xfId="4831" xr:uid="{00000000-0005-0000-0000-0000C31A0000}"/>
    <cellStyle name="Normal 5 4 2 2 2 7 2" xfId="14157" xr:uid="{AF81FA76-A456-42D8-AC27-91EEA6B2C3C9}"/>
    <cellStyle name="Normal 5 4 2 2 2 8" xfId="9143" xr:uid="{C8F15FA9-FDFE-4358-95A8-17B14299B14C}"/>
    <cellStyle name="Normal 5 4 2 2 2 8 2" xfId="18467" xr:uid="{657F4A29-9A55-4C7D-987B-EFADF7C80393}"/>
    <cellStyle name="Normal 5 4 2 2 2 9" xfId="9940" xr:uid="{AD0B1C3A-4539-41C1-A4B5-496E56B439D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12536EBC-9D90-4526-B732-94D1B4F1FC73}"/>
    <cellStyle name="Normal 5 4 2 2 3 2 3" xfId="12497" xr:uid="{060AFC50-22F7-4B13-A6D3-C40A26EAAE84}"/>
    <cellStyle name="Normal 5 4 2 2 3 3" xfId="5243" xr:uid="{00000000-0005-0000-0000-0000C71A0000}"/>
    <cellStyle name="Normal 5 4 2 2 3 3 2" xfId="14569" xr:uid="{809F7CD7-6EA4-4C19-B7EB-B1BA5327CE83}"/>
    <cellStyle name="Normal 5 4 2 2 3 4" xfId="9361" xr:uid="{421F0FC8-8E8F-498F-BD31-B00CB58D5B43}"/>
    <cellStyle name="Normal 5 4 2 2 3 4 2" xfId="18676" xr:uid="{067D10C5-A563-416E-958B-9E91608B2421}"/>
    <cellStyle name="Normal 5 4 2 2 3 5" xfId="10352" xr:uid="{2205379D-B0C7-48D8-8704-838D5FE3FA2E}"/>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555AACD2-4742-4997-9720-AE24A8A0BA3A}"/>
    <cellStyle name="Normal 5 4 2 2 4 2 3" xfId="12910" xr:uid="{0B6A346F-B9D5-418C-89C5-6942423F3605}"/>
    <cellStyle name="Normal 5 4 2 2 4 3" xfId="5656" xr:uid="{00000000-0005-0000-0000-0000CB1A0000}"/>
    <cellStyle name="Normal 5 4 2 2 4 3 2" xfId="14982" xr:uid="{1087CD35-1A0C-45E3-BD30-1976A8064BA9}"/>
    <cellStyle name="Normal 5 4 2 2 4 4" xfId="10765" xr:uid="{0EE63CEA-A009-4FF7-9BE9-C8625BB2CD9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ECB3A6E1-33EA-4736-AEDB-B1BA32C4CE12}"/>
    <cellStyle name="Normal 5 4 2 2 5 2 3" xfId="13323" xr:uid="{49ADC833-B1F1-4383-AD4A-BA5E77B3EECA}"/>
    <cellStyle name="Normal 5 4 2 2 5 3" xfId="6069" xr:uid="{00000000-0005-0000-0000-0000CF1A0000}"/>
    <cellStyle name="Normal 5 4 2 2 5 3 2" xfId="15395" xr:uid="{A3D3B896-EA2F-4492-9970-647A1645FE33}"/>
    <cellStyle name="Normal 5 4 2 2 5 4" xfId="11178" xr:uid="{F7C2A0BD-6DEA-4053-9080-04E7D720D1D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9EAC2BC1-A6DE-4646-988B-A62C0924E55E}"/>
    <cellStyle name="Normal 5 4 2 2 6 2 3" xfId="13736" xr:uid="{B8A5AC25-40EC-4146-9F3B-A78EB800FFDC}"/>
    <cellStyle name="Normal 5 4 2 2 6 3" xfId="6482" xr:uid="{00000000-0005-0000-0000-0000D31A0000}"/>
    <cellStyle name="Normal 5 4 2 2 6 3 2" xfId="15808" xr:uid="{7C589F75-8939-456E-8B79-BA973F24841E}"/>
    <cellStyle name="Normal 5 4 2 2 6 4" xfId="11591" xr:uid="{8F33895F-64D0-49D6-A5DD-587735DBD715}"/>
    <cellStyle name="Normal 5 4 2 2 7" xfId="2612" xr:uid="{00000000-0005-0000-0000-0000D41A0000}"/>
    <cellStyle name="Normal 5 4 2 2 7 2" xfId="6895" xr:uid="{00000000-0005-0000-0000-0000D51A0000}"/>
    <cellStyle name="Normal 5 4 2 2 7 2 2" xfId="16221" xr:uid="{83EC3BB4-4564-4B63-A6A3-3012E740D4B1}"/>
    <cellStyle name="Normal 5 4 2 2 7 3" xfId="12004" xr:uid="{680C9BE0-C64B-444B-8381-A2BFF475E3B6}"/>
    <cellStyle name="Normal 5 4 2 2 8" xfId="4830" xr:uid="{00000000-0005-0000-0000-0000D61A0000}"/>
    <cellStyle name="Normal 5 4 2 2 8 2" xfId="14156" xr:uid="{60AF9182-20AB-45BC-8163-DC2388D76BB7}"/>
    <cellStyle name="Normal 5 4 2 2 9" xfId="8936" xr:uid="{31CF7A09-919D-40D2-B5FD-098CEA44D314}"/>
    <cellStyle name="Normal 5 4 2 2 9 2" xfId="18260" xr:uid="{D71AB9F3-54AA-41D3-835D-D6B213B0FFF3}"/>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4BFD01BB-C891-47A1-8CF9-57E83C873D19}"/>
    <cellStyle name="Normal 5 4 2 3 2 2 3" xfId="12499" xr:uid="{D8864FE6-DAE2-4E49-8159-32A99EFA37EF}"/>
    <cellStyle name="Normal 5 4 2 3 2 3" xfId="5245" xr:uid="{00000000-0005-0000-0000-0000DB1A0000}"/>
    <cellStyle name="Normal 5 4 2 3 2 3 2" xfId="14571" xr:uid="{86AB8334-CB98-41AE-A4BD-7DBAACEB2FA7}"/>
    <cellStyle name="Normal 5 4 2 3 2 4" xfId="9465" xr:uid="{B8459C73-266B-467B-A163-FFDFF015A460}"/>
    <cellStyle name="Normal 5 4 2 3 2 4 2" xfId="18780" xr:uid="{4EAA7F32-2EF6-45AB-ABDD-13A2FCA01220}"/>
    <cellStyle name="Normal 5 4 2 3 2 5" xfId="10354" xr:uid="{3C0ED817-C527-41E8-9653-EC45FF20683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7FC54FE0-E9EA-4760-942E-E46CEE067EFA}"/>
    <cellStyle name="Normal 5 4 2 3 3 2 3" xfId="12912" xr:uid="{96A8C8FD-0B8D-4576-91E6-F4D1137E50E9}"/>
    <cellStyle name="Normal 5 4 2 3 3 3" xfId="5658" xr:uid="{00000000-0005-0000-0000-0000DF1A0000}"/>
    <cellStyle name="Normal 5 4 2 3 3 3 2" xfId="14984" xr:uid="{061E02B0-D270-4815-8812-3E43036DC5C3}"/>
    <cellStyle name="Normal 5 4 2 3 3 4" xfId="10767" xr:uid="{AAB552B7-34AE-48D5-840D-7830AF19A15D}"/>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241F2D1D-068C-4077-AAB6-5C6B44E73C4F}"/>
    <cellStyle name="Normal 5 4 2 3 4 2 3" xfId="13325" xr:uid="{E921970D-949E-4B87-A7B6-D966CA64DB09}"/>
    <cellStyle name="Normal 5 4 2 3 4 3" xfId="6071" xr:uid="{00000000-0005-0000-0000-0000E31A0000}"/>
    <cellStyle name="Normal 5 4 2 3 4 3 2" xfId="15397" xr:uid="{C7F78204-40CC-4271-B084-D3A882D4B57F}"/>
    <cellStyle name="Normal 5 4 2 3 4 4" xfId="11180" xr:uid="{431E5BD3-4FE3-4A34-99C0-3B4BFEC904F6}"/>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F17DA99B-4B05-4789-BDF6-2B3DB152AD8D}"/>
    <cellStyle name="Normal 5 4 2 3 5 2 3" xfId="13738" xr:uid="{D4696606-89C5-4A06-8F33-05648193DBCE}"/>
    <cellStyle name="Normal 5 4 2 3 5 3" xfId="6484" xr:uid="{00000000-0005-0000-0000-0000E71A0000}"/>
    <cellStyle name="Normal 5 4 2 3 5 3 2" xfId="15810" xr:uid="{3AB685AA-7D9F-47DD-A867-33715F925F03}"/>
    <cellStyle name="Normal 5 4 2 3 5 4" xfId="11593" xr:uid="{D2B3904A-DB3A-4EE5-9809-E765002C5B4B}"/>
    <cellStyle name="Normal 5 4 2 3 6" xfId="2614" xr:uid="{00000000-0005-0000-0000-0000E81A0000}"/>
    <cellStyle name="Normal 5 4 2 3 6 2" xfId="6897" xr:uid="{00000000-0005-0000-0000-0000E91A0000}"/>
    <cellStyle name="Normal 5 4 2 3 6 2 2" xfId="16223" xr:uid="{BE92AE4B-6FEF-438B-A1D9-F2E00B7E4A4A}"/>
    <cellStyle name="Normal 5 4 2 3 6 3" xfId="12006" xr:uid="{33AC82C7-C5F4-4B28-ADB2-E2179D7390E6}"/>
    <cellStyle name="Normal 5 4 2 3 7" xfId="4832" xr:uid="{00000000-0005-0000-0000-0000EA1A0000}"/>
    <cellStyle name="Normal 5 4 2 3 7 2" xfId="14158" xr:uid="{BA9AFF3A-6AF0-44B2-ACAA-0B5F72DC87E0}"/>
    <cellStyle name="Normal 5 4 2 3 8" xfId="9040" xr:uid="{D68CAB17-BB41-4D9B-AA76-76FE511392DC}"/>
    <cellStyle name="Normal 5 4 2 3 8 2" xfId="18364" xr:uid="{6C514D40-4B6F-4352-8229-15635EFED078}"/>
    <cellStyle name="Normal 5 4 2 3 9" xfId="9941" xr:uid="{AAA3A268-3C24-4352-A4C5-E1996F04F35A}"/>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82F48847-5E68-4509-AA5D-BC4D3DE7E9B8}"/>
    <cellStyle name="Normal 5 4 2 4 2 3" xfId="12496" xr:uid="{419F8B6B-8DE9-4F6A-B0DA-F5E9F318C516}"/>
    <cellStyle name="Normal 5 4 2 4 3" xfId="5242" xr:uid="{00000000-0005-0000-0000-0000EE1A0000}"/>
    <cellStyle name="Normal 5 4 2 4 3 2" xfId="14568" xr:uid="{1B3C1498-0C13-48CD-BCF2-0CAEBA8C1B34}"/>
    <cellStyle name="Normal 5 4 2 4 4" xfId="9258" xr:uid="{971C48A9-8200-405B-A9BE-B3AFD2CDDA76}"/>
    <cellStyle name="Normal 5 4 2 4 4 2" xfId="18573" xr:uid="{467D9BE3-C5C8-4ABA-97A1-3EE832C350AA}"/>
    <cellStyle name="Normal 5 4 2 4 5" xfId="10351" xr:uid="{73205ABD-4832-4C49-AC1A-BD265DA7CF34}"/>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304264E7-5CCC-4F6F-BDC2-9C4841A6E7F7}"/>
    <cellStyle name="Normal 5 4 2 5 2 3" xfId="12909" xr:uid="{2E39E374-A1C7-483B-AD1A-984589527D94}"/>
    <cellStyle name="Normal 5 4 2 5 3" xfId="5655" xr:uid="{00000000-0005-0000-0000-0000F21A0000}"/>
    <cellStyle name="Normal 5 4 2 5 3 2" xfId="14981" xr:uid="{A26D225C-1E80-4F5D-8AFB-7C10AE49C578}"/>
    <cellStyle name="Normal 5 4 2 5 4" xfId="10764" xr:uid="{BE87D93B-2BB1-49C0-93E8-D4EF5A1FC19D}"/>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55185FF4-990D-41E0-BC26-4D0D5A38014A}"/>
    <cellStyle name="Normal 5 4 2 6 2 3" xfId="13322" xr:uid="{DFF1B9FC-0249-4614-9361-6765BB191C13}"/>
    <cellStyle name="Normal 5 4 2 6 3" xfId="6068" xr:uid="{00000000-0005-0000-0000-0000F61A0000}"/>
    <cellStyle name="Normal 5 4 2 6 3 2" xfId="15394" xr:uid="{3B42627F-11C9-41C1-B827-5D0ADAF203B6}"/>
    <cellStyle name="Normal 5 4 2 6 4" xfId="11177" xr:uid="{E5E62CBB-41DB-4F20-A8E6-70FA561ACE0B}"/>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1CF8D1B6-8191-4EE3-947C-0204762A7BEA}"/>
    <cellStyle name="Normal 5 4 2 7 2 3" xfId="13735" xr:uid="{527F2D8C-44E8-4008-8AC2-01859E68DF87}"/>
    <cellStyle name="Normal 5 4 2 7 3" xfId="6481" xr:uid="{00000000-0005-0000-0000-0000FA1A0000}"/>
    <cellStyle name="Normal 5 4 2 7 3 2" xfId="15807" xr:uid="{3862A11D-B21D-459E-B1E8-B68BC86B41A2}"/>
    <cellStyle name="Normal 5 4 2 7 4" xfId="11590" xr:uid="{0580CFB0-D205-4817-BD31-0615B86EF47D}"/>
    <cellStyle name="Normal 5 4 2 8" xfId="2611" xr:uid="{00000000-0005-0000-0000-0000FB1A0000}"/>
    <cellStyle name="Normal 5 4 2 8 2" xfId="6894" xr:uid="{00000000-0005-0000-0000-0000FC1A0000}"/>
    <cellStyle name="Normal 5 4 2 8 2 2" xfId="16220" xr:uid="{DB63B988-B11C-44E6-B892-3DD249EB35C2}"/>
    <cellStyle name="Normal 5 4 2 8 3" xfId="12003" xr:uid="{850CAD76-D6EE-4CA1-9D70-CB3D381BEDAC}"/>
    <cellStyle name="Normal 5 4 2 9" xfId="4829" xr:uid="{00000000-0005-0000-0000-0000FD1A0000}"/>
    <cellStyle name="Normal 5 4 2 9 2" xfId="14155" xr:uid="{FEBF8836-109D-4ABA-AC3D-421A3DE69463}"/>
    <cellStyle name="Normal 5 4 3" xfId="461" xr:uid="{00000000-0005-0000-0000-0000FE1A0000}"/>
    <cellStyle name="Normal 5 4 3 10" xfId="9942" xr:uid="{4EA5DC7A-861F-4B30-9DF6-358F5E714F8C}"/>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6CAD2B90-145C-4833-A63D-DB08EFD39AAC}"/>
    <cellStyle name="Normal 5 4 3 2 2 2 3" xfId="12501" xr:uid="{1A4F66A8-ADB0-4189-A3BE-E40BF054D835}"/>
    <cellStyle name="Normal 5 4 3 2 2 3" xfId="5247" xr:uid="{00000000-0005-0000-0000-0000031B0000}"/>
    <cellStyle name="Normal 5 4 3 2 2 3 2" xfId="14573" xr:uid="{02C6089A-F962-4627-93AC-FEEF79FC5300}"/>
    <cellStyle name="Normal 5 4 3 2 2 4" xfId="9508" xr:uid="{1F9B5A8F-2A45-43C5-9422-E8BC84424A55}"/>
    <cellStyle name="Normal 5 4 3 2 2 4 2" xfId="18823" xr:uid="{01E76EF1-8C42-4DB8-8613-51F76D7D7FD8}"/>
    <cellStyle name="Normal 5 4 3 2 2 5" xfId="10356" xr:uid="{83ECCAE0-39AF-4B07-A141-1EE8A132859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9BC7A6FB-F322-453E-AE67-8CD52BAE0AA5}"/>
    <cellStyle name="Normal 5 4 3 2 3 2 3" xfId="12914" xr:uid="{38FBAF1A-42F1-411A-8FEC-38F2680E2454}"/>
    <cellStyle name="Normal 5 4 3 2 3 3" xfId="5660" xr:uid="{00000000-0005-0000-0000-0000071B0000}"/>
    <cellStyle name="Normal 5 4 3 2 3 3 2" xfId="14986" xr:uid="{8AEA1E8D-330A-496D-A5C3-443DE38309D5}"/>
    <cellStyle name="Normal 5 4 3 2 3 4" xfId="10769" xr:uid="{55040BFB-5CBF-4D0E-B5FD-AF155C20C323}"/>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369E0BD8-45B0-465D-B7C9-67B0729F7FF6}"/>
    <cellStyle name="Normal 5 4 3 2 4 2 3" xfId="13327" xr:uid="{C23842A6-6732-473B-BA6F-FD89374773EB}"/>
    <cellStyle name="Normal 5 4 3 2 4 3" xfId="6073" xr:uid="{00000000-0005-0000-0000-00000B1B0000}"/>
    <cellStyle name="Normal 5 4 3 2 4 3 2" xfId="15399" xr:uid="{F2A0FF4A-6622-46EA-A2CE-8F39E5851711}"/>
    <cellStyle name="Normal 5 4 3 2 4 4" xfId="11182" xr:uid="{77E7BB6F-FFA9-41C0-854C-667D07C7382A}"/>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3E31FF8B-7325-49C2-85FA-405CFEDA4541}"/>
    <cellStyle name="Normal 5 4 3 2 5 2 3" xfId="13740" xr:uid="{BD1F60F4-D93A-425A-9667-0CD18940A540}"/>
    <cellStyle name="Normal 5 4 3 2 5 3" xfId="6486" xr:uid="{00000000-0005-0000-0000-00000F1B0000}"/>
    <cellStyle name="Normal 5 4 3 2 5 3 2" xfId="15812" xr:uid="{8A3FBBBB-E13F-4922-9102-8167B07E4476}"/>
    <cellStyle name="Normal 5 4 3 2 5 4" xfId="11595" xr:uid="{F484AC11-1E9A-4718-8B81-8872135499AB}"/>
    <cellStyle name="Normal 5 4 3 2 6" xfId="2616" xr:uid="{00000000-0005-0000-0000-0000101B0000}"/>
    <cellStyle name="Normal 5 4 3 2 6 2" xfId="6899" xr:uid="{00000000-0005-0000-0000-0000111B0000}"/>
    <cellStyle name="Normal 5 4 3 2 6 2 2" xfId="16225" xr:uid="{BF88603A-6B7A-408A-B8BD-00B2E3BC4AD9}"/>
    <cellStyle name="Normal 5 4 3 2 6 3" xfId="12008" xr:uid="{456B399A-B69C-4C33-BBA7-D8869B7EB07D}"/>
    <cellStyle name="Normal 5 4 3 2 7" xfId="4834" xr:uid="{00000000-0005-0000-0000-0000121B0000}"/>
    <cellStyle name="Normal 5 4 3 2 7 2" xfId="14160" xr:uid="{9E99020D-A143-4AD6-BB8F-F4C7B06E3AB1}"/>
    <cellStyle name="Normal 5 4 3 2 8" xfId="9083" xr:uid="{206384C8-6AD8-4D28-8F99-3033A80D68FC}"/>
    <cellStyle name="Normal 5 4 3 2 8 2" xfId="18407" xr:uid="{57371C5C-3CD5-4721-8FED-AEF86107FBB3}"/>
    <cellStyle name="Normal 5 4 3 2 9" xfId="9943" xr:uid="{B4AE0615-1F0F-4119-ADE2-D60308EDA025}"/>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A53365FE-29DE-4059-B365-1635891E94ED}"/>
    <cellStyle name="Normal 5 4 3 3 2 3" xfId="12500" xr:uid="{BD8CFF7D-33D7-4B0F-8F39-523B45E816C7}"/>
    <cellStyle name="Normal 5 4 3 3 3" xfId="5246" xr:uid="{00000000-0005-0000-0000-0000161B0000}"/>
    <cellStyle name="Normal 5 4 3 3 3 2" xfId="14572" xr:uid="{29643A27-D6BA-4679-AE91-4FCD5C6FF082}"/>
    <cellStyle name="Normal 5 4 3 3 4" xfId="9301" xr:uid="{CB02BBE7-2E3D-4C67-A62E-BA84DE882039}"/>
    <cellStyle name="Normal 5 4 3 3 4 2" xfId="18616" xr:uid="{6CC1B784-D69F-4B60-8502-5E0E5597B3DD}"/>
    <cellStyle name="Normal 5 4 3 3 5" xfId="10355" xr:uid="{85B3D8A7-21FB-4E85-AB59-93AAD913AB13}"/>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54BC723C-6C1F-4139-8555-824FD3D4E40F}"/>
    <cellStyle name="Normal 5 4 3 4 2 3" xfId="12913" xr:uid="{13B3FA08-F6A0-4CE2-B96C-C7CAB72B2B3E}"/>
    <cellStyle name="Normal 5 4 3 4 3" xfId="5659" xr:uid="{00000000-0005-0000-0000-00001A1B0000}"/>
    <cellStyle name="Normal 5 4 3 4 3 2" xfId="14985" xr:uid="{7B1F9ACC-8D8B-4221-8E18-41D4B6C1D2F1}"/>
    <cellStyle name="Normal 5 4 3 4 4" xfId="10768" xr:uid="{B3727C86-1EE2-4C6B-A1EC-1B041B7C5531}"/>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254250EA-C3AE-461F-BE43-98CA1DD25561}"/>
    <cellStyle name="Normal 5 4 3 5 2 3" xfId="13326" xr:uid="{016B5CF2-847A-414F-A382-76E78D7BFD50}"/>
    <cellStyle name="Normal 5 4 3 5 3" xfId="6072" xr:uid="{00000000-0005-0000-0000-00001E1B0000}"/>
    <cellStyle name="Normal 5 4 3 5 3 2" xfId="15398" xr:uid="{626DDFFC-6E59-4CCC-B531-07B4446DBDE2}"/>
    <cellStyle name="Normal 5 4 3 5 4" xfId="11181" xr:uid="{670AE138-458D-4479-AC06-A354162B4AFB}"/>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0F6C1DBF-2289-4E5E-BB8E-DB6BA78BA159}"/>
    <cellStyle name="Normal 5 4 3 6 2 3" xfId="13739" xr:uid="{14774E3D-B5D2-441F-B66F-EF9551DEC301}"/>
    <cellStyle name="Normal 5 4 3 6 3" xfId="6485" xr:uid="{00000000-0005-0000-0000-0000221B0000}"/>
    <cellStyle name="Normal 5 4 3 6 3 2" xfId="15811" xr:uid="{602EAEC9-5CD7-49A3-B7B5-8DCAE1130ADE}"/>
    <cellStyle name="Normal 5 4 3 6 4" xfId="11594" xr:uid="{97C53110-05B3-48F4-9C62-BA376A7F0CF8}"/>
    <cellStyle name="Normal 5 4 3 7" xfId="2615" xr:uid="{00000000-0005-0000-0000-0000231B0000}"/>
    <cellStyle name="Normal 5 4 3 7 2" xfId="6898" xr:uid="{00000000-0005-0000-0000-0000241B0000}"/>
    <cellStyle name="Normal 5 4 3 7 2 2" xfId="16224" xr:uid="{D74A49C1-E636-4038-8EE9-1100C1691993}"/>
    <cellStyle name="Normal 5 4 3 7 3" xfId="12007" xr:uid="{5CCDA367-D9E3-4F82-85E3-17F52CED4AB3}"/>
    <cellStyle name="Normal 5 4 3 8" xfId="4833" xr:uid="{00000000-0005-0000-0000-0000251B0000}"/>
    <cellStyle name="Normal 5 4 3 8 2" xfId="14159" xr:uid="{352FDD4B-08EB-4E2B-B453-5E74C8378F4A}"/>
    <cellStyle name="Normal 5 4 3 9" xfId="8876" xr:uid="{D636A598-175F-46A4-8005-1A20EC6CCEC9}"/>
    <cellStyle name="Normal 5 4 3 9 2" xfId="18200" xr:uid="{80F8A6ED-CFD8-4DEC-B251-E3DE67755858}"/>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A0E08D4F-669D-4135-B423-1046FB9FCF88}"/>
    <cellStyle name="Normal 5 4 4 2 2 3" xfId="12502" xr:uid="{755011E9-D3B1-49D5-877D-6A05485EE6C0}"/>
    <cellStyle name="Normal 5 4 4 2 3" xfId="5248" xr:uid="{00000000-0005-0000-0000-00002A1B0000}"/>
    <cellStyle name="Normal 5 4 4 2 3 2" xfId="14574" xr:uid="{7BD81BB8-697C-4387-AE1F-FAD44CFFD401}"/>
    <cellStyle name="Normal 5 4 4 2 4" xfId="9405" xr:uid="{F05DE0DC-A0AA-4CEB-9ABC-0D70F781B819}"/>
    <cellStyle name="Normal 5 4 4 2 4 2" xfId="18720" xr:uid="{67A1DC09-FD5A-4BA3-8027-613AB5ECBFF9}"/>
    <cellStyle name="Normal 5 4 4 2 5" xfId="10357" xr:uid="{E9035B4F-4DA6-49AF-890A-0C0B2F9DDDA9}"/>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1F0152F4-33C2-4261-B040-4142E4F88AF2}"/>
    <cellStyle name="Normal 5 4 4 3 2 3" xfId="12915" xr:uid="{31C0488E-7862-4523-874B-6144B859207F}"/>
    <cellStyle name="Normal 5 4 4 3 3" xfId="5661" xr:uid="{00000000-0005-0000-0000-00002E1B0000}"/>
    <cellStyle name="Normal 5 4 4 3 3 2" xfId="14987" xr:uid="{B6BB4863-63A4-41E8-939B-EEFDD800F717}"/>
    <cellStyle name="Normal 5 4 4 3 4" xfId="10770" xr:uid="{B6492F14-D4D0-4C95-9F84-3AB4FAD1C592}"/>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955756E9-0D55-4E39-85FD-305224A172F8}"/>
    <cellStyle name="Normal 5 4 4 4 2 3" xfId="13328" xr:uid="{65167F62-5B84-408F-AE30-BE19C27BD899}"/>
    <cellStyle name="Normal 5 4 4 4 3" xfId="6074" xr:uid="{00000000-0005-0000-0000-0000321B0000}"/>
    <cellStyle name="Normal 5 4 4 4 3 2" xfId="15400" xr:uid="{8F027B96-41A2-4EA3-83A4-C7D0ADB4E214}"/>
    <cellStyle name="Normal 5 4 4 4 4" xfId="11183" xr:uid="{7A3F7E07-0204-4C41-A561-B166EB057DF8}"/>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35CA17C8-DDE6-4E2E-9B26-B31A07C4D1B8}"/>
    <cellStyle name="Normal 5 4 4 5 2 3" xfId="13741" xr:uid="{A2C32D82-C3FF-4468-951C-5A1C95A6006D}"/>
    <cellStyle name="Normal 5 4 4 5 3" xfId="6487" xr:uid="{00000000-0005-0000-0000-0000361B0000}"/>
    <cellStyle name="Normal 5 4 4 5 3 2" xfId="15813" xr:uid="{D6E30826-98C8-47FB-888C-DC9FAA985662}"/>
    <cellStyle name="Normal 5 4 4 5 4" xfId="11596" xr:uid="{0545FA2F-5DCC-4211-8676-554DC88EFCB3}"/>
    <cellStyle name="Normal 5 4 4 6" xfId="2617" xr:uid="{00000000-0005-0000-0000-0000371B0000}"/>
    <cellStyle name="Normal 5 4 4 6 2" xfId="6900" xr:uid="{00000000-0005-0000-0000-0000381B0000}"/>
    <cellStyle name="Normal 5 4 4 6 2 2" xfId="16226" xr:uid="{67D7F1AE-7524-4C77-A07B-EBE90FE4D791}"/>
    <cellStyle name="Normal 5 4 4 6 3" xfId="12009" xr:uid="{4F8A9829-023B-41EA-8FC3-9FDBB6FEBE41}"/>
    <cellStyle name="Normal 5 4 4 7" xfId="4835" xr:uid="{00000000-0005-0000-0000-0000391B0000}"/>
    <cellStyle name="Normal 5 4 4 7 2" xfId="14161" xr:uid="{20A78172-CC03-4A57-B6E8-C84611265E63}"/>
    <cellStyle name="Normal 5 4 4 8" xfId="8980" xr:uid="{B1DB48A4-94CB-4CC2-8D4B-8FD478363D48}"/>
    <cellStyle name="Normal 5 4 4 8 2" xfId="18304" xr:uid="{7704E7EF-4D59-4AA6-9C9A-AF726EA7A3AB}"/>
    <cellStyle name="Normal 5 4 4 9" xfId="9944" xr:uid="{570923CB-F658-49A5-8133-090F120F0B39}"/>
    <cellStyle name="Normal 5 4 5" xfId="930" xr:uid="{00000000-0005-0000-0000-00003A1B0000}"/>
    <cellStyle name="Normal 5 4 5 2" xfId="3164" xr:uid="{00000000-0005-0000-0000-00003B1B0000}"/>
    <cellStyle name="Normal 5 4 5 2 2" xfId="7386" xr:uid="{00000000-0005-0000-0000-00003C1B0000}"/>
    <cellStyle name="Normal 5 4 5 2 2 2" xfId="16712" xr:uid="{F5B36346-7116-4390-9755-1446E53482C4}"/>
    <cellStyle name="Normal 5 4 5 2 3" xfId="12495" xr:uid="{8C2BA434-E1CD-48E5-BD07-13738A1FE3F7}"/>
    <cellStyle name="Normal 5 4 5 3" xfId="5241" xr:uid="{00000000-0005-0000-0000-00003D1B0000}"/>
    <cellStyle name="Normal 5 4 5 3 2" xfId="14567" xr:uid="{2F8C948E-251D-4259-9E0B-C71972584048}"/>
    <cellStyle name="Normal 5 4 5 4" xfId="9197" xr:uid="{44FF0EFB-444B-4C40-B695-8C256ADB5563}"/>
    <cellStyle name="Normal 5 4 5 4 2" xfId="18513" xr:uid="{BD65D5E7-8229-4088-AAFC-E3116DC31A5A}"/>
    <cellStyle name="Normal 5 4 5 5" xfId="10350" xr:uid="{CE7EBB07-7B5B-42A1-A180-198E81763D90}"/>
    <cellStyle name="Normal 5 4 6" xfId="1347" xr:uid="{00000000-0005-0000-0000-00003E1B0000}"/>
    <cellStyle name="Normal 5 4 6 2" xfId="3577" xr:uid="{00000000-0005-0000-0000-00003F1B0000}"/>
    <cellStyle name="Normal 5 4 6 2 2" xfId="7799" xr:uid="{00000000-0005-0000-0000-0000401B0000}"/>
    <cellStyle name="Normal 5 4 6 2 2 2" xfId="17125" xr:uid="{CE802C77-313E-4C75-9966-0F6F05F20A56}"/>
    <cellStyle name="Normal 5 4 6 2 3" xfId="12908" xr:uid="{1F37CDB1-CA2A-44B2-A8EB-8E069757619D}"/>
    <cellStyle name="Normal 5 4 6 3" xfId="5654" xr:uid="{00000000-0005-0000-0000-0000411B0000}"/>
    <cellStyle name="Normal 5 4 6 3 2" xfId="14980" xr:uid="{42A0FCC5-8655-4D73-A945-F1CC78AC84C4}"/>
    <cellStyle name="Normal 5 4 6 4" xfId="10763" xr:uid="{42D92D6E-9C10-4AD5-B077-124F908B2F0F}"/>
    <cellStyle name="Normal 5 4 7" xfId="1760" xr:uid="{00000000-0005-0000-0000-0000421B0000}"/>
    <cellStyle name="Normal 5 4 7 2" xfId="3990" xr:uid="{00000000-0005-0000-0000-0000431B0000}"/>
    <cellStyle name="Normal 5 4 7 2 2" xfId="8212" xr:uid="{00000000-0005-0000-0000-0000441B0000}"/>
    <cellStyle name="Normal 5 4 7 2 2 2" xfId="17538" xr:uid="{3AD076FC-56CF-40ED-AF56-E7B69619D2C4}"/>
    <cellStyle name="Normal 5 4 7 2 3" xfId="13321" xr:uid="{ED74DBF0-EFC1-40BC-A874-03B2A0FEFDC5}"/>
    <cellStyle name="Normal 5 4 7 3" xfId="6067" xr:uid="{00000000-0005-0000-0000-0000451B0000}"/>
    <cellStyle name="Normal 5 4 7 3 2" xfId="15393" xr:uid="{28BB69BD-1231-48B7-86E4-EE8343F05C90}"/>
    <cellStyle name="Normal 5 4 7 4" xfId="11176" xr:uid="{C463B77D-3048-41D2-913B-5414EC519893}"/>
    <cellStyle name="Normal 5 4 8" xfId="2174" xr:uid="{00000000-0005-0000-0000-0000461B0000}"/>
    <cellStyle name="Normal 5 4 8 2" xfId="4403" xr:uid="{00000000-0005-0000-0000-0000471B0000}"/>
    <cellStyle name="Normal 5 4 8 2 2" xfId="8625" xr:uid="{00000000-0005-0000-0000-0000481B0000}"/>
    <cellStyle name="Normal 5 4 8 2 2 2" xfId="17951" xr:uid="{07D4E913-FA70-4ED4-B640-E05BB6A61A9B}"/>
    <cellStyle name="Normal 5 4 8 2 3" xfId="13734" xr:uid="{A7A9BFB5-EF0E-4293-8E8E-5CE319B1933C}"/>
    <cellStyle name="Normal 5 4 8 3" xfId="6480" xr:uid="{00000000-0005-0000-0000-0000491B0000}"/>
    <cellStyle name="Normal 5 4 8 3 2" xfId="15806" xr:uid="{8D0F2A5C-D093-44BB-81A9-53DA8F0668E8}"/>
    <cellStyle name="Normal 5 4 8 4" xfId="11589" xr:uid="{B3639E01-F999-4541-898D-5B8EA3B3A0AD}"/>
    <cellStyle name="Normal 5 4 9" xfId="2610" xr:uid="{00000000-0005-0000-0000-00004A1B0000}"/>
    <cellStyle name="Normal 5 4 9 2" xfId="6893" xr:uid="{00000000-0005-0000-0000-00004B1B0000}"/>
    <cellStyle name="Normal 5 4 9 2 2" xfId="16219" xr:uid="{D9C1B142-D76F-4FCB-81F6-7E6804AC2D75}"/>
    <cellStyle name="Normal 5 4 9 3" xfId="12002" xr:uid="{A9A9425E-D368-4D45-AF26-DAAB9058A8AE}"/>
    <cellStyle name="Normal 5 5" xfId="464" xr:uid="{00000000-0005-0000-0000-00004C1B0000}"/>
    <cellStyle name="Normal 5 5 10" xfId="8826" xr:uid="{5746674A-546A-44BF-97FB-6D298BF3AD61}"/>
    <cellStyle name="Normal 5 5 10 2" xfId="18150" xr:uid="{049625BC-D2F6-4D4E-B5D2-A9B672F67FEF}"/>
    <cellStyle name="Normal 5 5 11" xfId="9945" xr:uid="{6FE19B22-D759-49B9-A6C5-D92871F9F998}"/>
    <cellStyle name="Normal 5 5 2" xfId="465" xr:uid="{00000000-0005-0000-0000-00004D1B0000}"/>
    <cellStyle name="Normal 5 5 2 10" xfId="9946" xr:uid="{08C005A5-44AC-462D-AEF9-B62842E1FE6F}"/>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BC5644E0-580D-48CC-A25A-AC306FF87FAF}"/>
    <cellStyle name="Normal 5 5 2 2 2 2 3" xfId="12505" xr:uid="{BF43BCC5-25F5-4967-B276-166E23F9C95F}"/>
    <cellStyle name="Normal 5 5 2 2 2 3" xfId="5251" xr:uid="{00000000-0005-0000-0000-0000521B0000}"/>
    <cellStyle name="Normal 5 5 2 2 2 3 2" xfId="14577" xr:uid="{FB15AAA1-33E8-480B-837C-52802E7177D4}"/>
    <cellStyle name="Normal 5 5 2 2 2 4" xfId="9561" xr:uid="{FF1EB4DD-E23E-4228-816B-D59B021F724D}"/>
    <cellStyle name="Normal 5 5 2 2 2 4 2" xfId="18876" xr:uid="{AEC8F4E4-8083-4186-BFEE-F113A95D75F8}"/>
    <cellStyle name="Normal 5 5 2 2 2 5" xfId="10360" xr:uid="{67E7575E-5E7F-4E5C-8027-3786D66D4A30}"/>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342E3B8F-E024-4543-BB23-71709B979EA0}"/>
    <cellStyle name="Normal 5 5 2 2 3 2 3" xfId="12918" xr:uid="{41D93882-ADAA-428C-8AC2-C426C20504B1}"/>
    <cellStyle name="Normal 5 5 2 2 3 3" xfId="5664" xr:uid="{00000000-0005-0000-0000-0000561B0000}"/>
    <cellStyle name="Normal 5 5 2 2 3 3 2" xfId="14990" xr:uid="{E9FE4C7D-EC96-4BB8-AFC5-147B0C853DC8}"/>
    <cellStyle name="Normal 5 5 2 2 3 4" xfId="10773" xr:uid="{C1765373-D14A-4552-9C06-9D954B92FF45}"/>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636FC0D4-4E9B-4243-B823-EDC4A92EA65A}"/>
    <cellStyle name="Normal 5 5 2 2 4 2 3" xfId="13331" xr:uid="{6BF2836E-6FD2-4FCF-AF62-6F9292A771D0}"/>
    <cellStyle name="Normal 5 5 2 2 4 3" xfId="6077" xr:uid="{00000000-0005-0000-0000-00005A1B0000}"/>
    <cellStyle name="Normal 5 5 2 2 4 3 2" xfId="15403" xr:uid="{820596A0-8935-47B0-AE17-FC978DE33F57}"/>
    <cellStyle name="Normal 5 5 2 2 4 4" xfId="11186" xr:uid="{AE2EFB79-F2D5-4123-B169-19B030165347}"/>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8C5F276D-4B97-49FF-874E-37DB9BD02484}"/>
    <cellStyle name="Normal 5 5 2 2 5 2 3" xfId="13744" xr:uid="{D24240BC-E8C6-4D5F-9BD2-4002ADCA7089}"/>
    <cellStyle name="Normal 5 5 2 2 5 3" xfId="6490" xr:uid="{00000000-0005-0000-0000-00005E1B0000}"/>
    <cellStyle name="Normal 5 5 2 2 5 3 2" xfId="15816" xr:uid="{2090FC34-F23B-4BB8-B3E6-AD09FFF00EC9}"/>
    <cellStyle name="Normal 5 5 2 2 5 4" xfId="11599" xr:uid="{98ADBCEA-F1FC-4B7A-88DE-328D0989A720}"/>
    <cellStyle name="Normal 5 5 2 2 6" xfId="2620" xr:uid="{00000000-0005-0000-0000-00005F1B0000}"/>
    <cellStyle name="Normal 5 5 2 2 6 2" xfId="6903" xr:uid="{00000000-0005-0000-0000-0000601B0000}"/>
    <cellStyle name="Normal 5 5 2 2 6 2 2" xfId="16229" xr:uid="{1DF99FF7-ED1E-4760-9DB9-D0EC23E5212A}"/>
    <cellStyle name="Normal 5 5 2 2 6 3" xfId="12012" xr:uid="{D0856B95-7C48-4C38-8092-351718288746}"/>
    <cellStyle name="Normal 5 5 2 2 7" xfId="4838" xr:uid="{00000000-0005-0000-0000-0000611B0000}"/>
    <cellStyle name="Normal 5 5 2 2 7 2" xfId="14164" xr:uid="{C15AA9CA-64D1-4454-9408-88473262DC67}"/>
    <cellStyle name="Normal 5 5 2 2 8" xfId="9136" xr:uid="{D41453B5-3BE6-4F01-B336-45A274529844}"/>
    <cellStyle name="Normal 5 5 2 2 8 2" xfId="18460" xr:uid="{06CCD55A-F385-4E5C-B3BE-B880A0434640}"/>
    <cellStyle name="Normal 5 5 2 2 9" xfId="9947" xr:uid="{D5EC4A34-E0AA-44DF-B91B-AF8BDB3F0940}"/>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5F534A3C-7738-4F77-B179-FB14F5BC7E2D}"/>
    <cellStyle name="Normal 5 5 2 3 2 3" xfId="12504" xr:uid="{569C0C68-47AA-4B89-9DC9-16D8D80DEBB0}"/>
    <cellStyle name="Normal 5 5 2 3 3" xfId="5250" xr:uid="{00000000-0005-0000-0000-0000651B0000}"/>
    <cellStyle name="Normal 5 5 2 3 3 2" xfId="14576" xr:uid="{021D36BF-F373-4945-9493-2DEC2D81132C}"/>
    <cellStyle name="Normal 5 5 2 3 4" xfId="9354" xr:uid="{3251F49D-E700-469D-9840-28045D408641}"/>
    <cellStyle name="Normal 5 5 2 3 4 2" xfId="18669" xr:uid="{85CE75B5-CF01-41BA-B291-97E757F538BC}"/>
    <cellStyle name="Normal 5 5 2 3 5" xfId="10359" xr:uid="{DE33F22C-CC32-4AA5-B7FF-90B8619AB849}"/>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39F8EF3F-8513-48B3-A84D-4361C5C2AEC5}"/>
    <cellStyle name="Normal 5 5 2 4 2 3" xfId="12917" xr:uid="{35F6B5F0-3AB6-44EA-BCF0-3101417A3B7D}"/>
    <cellStyle name="Normal 5 5 2 4 3" xfId="5663" xr:uid="{00000000-0005-0000-0000-0000691B0000}"/>
    <cellStyle name="Normal 5 5 2 4 3 2" xfId="14989" xr:uid="{B7E9F4D8-1A94-4921-88EB-73F030F1D6FA}"/>
    <cellStyle name="Normal 5 5 2 4 4" xfId="10772" xr:uid="{A12D1225-FDA9-480A-A23D-526E169C837A}"/>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6EEDC9CF-3DB5-4448-88F8-4FD05D7B389C}"/>
    <cellStyle name="Normal 5 5 2 5 2 3" xfId="13330" xr:uid="{7189684F-D765-409A-A67F-80BD2D0BBE5F}"/>
    <cellStyle name="Normal 5 5 2 5 3" xfId="6076" xr:uid="{00000000-0005-0000-0000-00006D1B0000}"/>
    <cellStyle name="Normal 5 5 2 5 3 2" xfId="15402" xr:uid="{613AD4CB-A2AD-4684-8F39-BC4C362F369A}"/>
    <cellStyle name="Normal 5 5 2 5 4" xfId="11185" xr:uid="{05DEBF2A-6382-4D0E-B9DD-61DD69FE4CC8}"/>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861F56B5-B465-48D4-A4CD-457F58D17989}"/>
    <cellStyle name="Normal 5 5 2 6 2 3" xfId="13743" xr:uid="{E976373B-4C45-4979-AF61-3C9BF34697BE}"/>
    <cellStyle name="Normal 5 5 2 6 3" xfId="6489" xr:uid="{00000000-0005-0000-0000-0000711B0000}"/>
    <cellStyle name="Normal 5 5 2 6 3 2" xfId="15815" xr:uid="{346348BE-1F78-4C56-A9FF-B147088C6354}"/>
    <cellStyle name="Normal 5 5 2 6 4" xfId="11598" xr:uid="{ED52BF16-C661-4064-A7C2-C516878B02CB}"/>
    <cellStyle name="Normal 5 5 2 7" xfId="2619" xr:uid="{00000000-0005-0000-0000-0000721B0000}"/>
    <cellStyle name="Normal 5 5 2 7 2" xfId="6902" xr:uid="{00000000-0005-0000-0000-0000731B0000}"/>
    <cellStyle name="Normal 5 5 2 7 2 2" xfId="16228" xr:uid="{830B9558-B05D-4443-879B-ADFA0F22450F}"/>
    <cellStyle name="Normal 5 5 2 7 3" xfId="12011" xr:uid="{A1F25805-F48D-4F29-AD9F-895DAD4FC956}"/>
    <cellStyle name="Normal 5 5 2 8" xfId="4837" xr:uid="{00000000-0005-0000-0000-0000741B0000}"/>
    <cellStyle name="Normal 5 5 2 8 2" xfId="14163" xr:uid="{5F2AAE6E-AA12-43BF-9C19-58855FD5E18D}"/>
    <cellStyle name="Normal 5 5 2 9" xfId="8929" xr:uid="{918246BA-1946-46D4-8BAF-6DC0C4DC8AC3}"/>
    <cellStyle name="Normal 5 5 2 9 2" xfId="18253" xr:uid="{42F01764-3331-4448-8730-B9B4F125B958}"/>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65B608CD-52A7-445E-9ED6-924B7456A5E2}"/>
    <cellStyle name="Normal 5 5 3 2 2 3" xfId="12506" xr:uid="{2EA7B9F3-CA46-42F5-B436-69F19AE89303}"/>
    <cellStyle name="Normal 5 5 3 2 3" xfId="5252" xr:uid="{00000000-0005-0000-0000-0000791B0000}"/>
    <cellStyle name="Normal 5 5 3 2 3 2" xfId="14578" xr:uid="{D9BD20ED-BD67-459F-A767-127AF88AD686}"/>
    <cellStyle name="Normal 5 5 3 2 4" xfId="9458" xr:uid="{8AD16727-CFBF-4DB5-B58F-04D48E2B564D}"/>
    <cellStyle name="Normal 5 5 3 2 4 2" xfId="18773" xr:uid="{23E258EB-EFC8-427E-A3C4-43AC0D368D50}"/>
    <cellStyle name="Normal 5 5 3 2 5" xfId="10361" xr:uid="{0C472285-EB2C-4C77-AA08-9E86C5AD8FA4}"/>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BBF5869B-DA24-4522-A720-173ED493CF03}"/>
    <cellStyle name="Normal 5 5 3 3 2 3" xfId="12919" xr:uid="{360B1294-EF7E-4915-AA8E-96552A1CFB75}"/>
    <cellStyle name="Normal 5 5 3 3 3" xfId="5665" xr:uid="{00000000-0005-0000-0000-00007D1B0000}"/>
    <cellStyle name="Normal 5 5 3 3 3 2" xfId="14991" xr:uid="{C1211E2B-1E5A-4CB6-97CD-FBC6B7179F49}"/>
    <cellStyle name="Normal 5 5 3 3 4" xfId="10774" xr:uid="{063579EC-65D5-4C01-9E64-A04E9BB4F6B1}"/>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677D8CBC-83CE-41F2-94D5-56C6898A0F8F}"/>
    <cellStyle name="Normal 5 5 3 4 2 3" xfId="13332" xr:uid="{396E1FC2-64E7-4025-9577-865BB62BE6E0}"/>
    <cellStyle name="Normal 5 5 3 4 3" xfId="6078" xr:uid="{00000000-0005-0000-0000-0000811B0000}"/>
    <cellStyle name="Normal 5 5 3 4 3 2" xfId="15404" xr:uid="{E2D75C58-C823-4727-B17A-C79E367CBE10}"/>
    <cellStyle name="Normal 5 5 3 4 4" xfId="11187" xr:uid="{03AAEBAC-5B43-4FFD-9E6F-C495A7069836}"/>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955D0402-5E2E-42C6-B6A0-61B8E2E9ABC5}"/>
    <cellStyle name="Normal 5 5 3 5 2 3" xfId="13745" xr:uid="{C246C62F-459A-42E8-9729-D67B5FD4D9B7}"/>
    <cellStyle name="Normal 5 5 3 5 3" xfId="6491" xr:uid="{00000000-0005-0000-0000-0000851B0000}"/>
    <cellStyle name="Normal 5 5 3 5 3 2" xfId="15817" xr:uid="{5DA93081-D3AE-4038-99F1-9C7C0000C651}"/>
    <cellStyle name="Normal 5 5 3 5 4" xfId="11600" xr:uid="{738EF5EB-29E3-418F-A0D1-3DE963155169}"/>
    <cellStyle name="Normal 5 5 3 6" xfId="2621" xr:uid="{00000000-0005-0000-0000-0000861B0000}"/>
    <cellStyle name="Normal 5 5 3 6 2" xfId="6904" xr:uid="{00000000-0005-0000-0000-0000871B0000}"/>
    <cellStyle name="Normal 5 5 3 6 2 2" xfId="16230" xr:uid="{049A8E27-3054-4334-AD71-0D3E1E5298B5}"/>
    <cellStyle name="Normal 5 5 3 6 3" xfId="12013" xr:uid="{22973DD4-3761-4AAC-A3A2-7F99356767ED}"/>
    <cellStyle name="Normal 5 5 3 7" xfId="4839" xr:uid="{00000000-0005-0000-0000-0000881B0000}"/>
    <cellStyle name="Normal 5 5 3 7 2" xfId="14165" xr:uid="{9C2E5EFD-3355-446F-8886-4B0D09620C53}"/>
    <cellStyle name="Normal 5 5 3 8" xfId="9033" xr:uid="{08F77EF7-8D03-42D9-B538-FE3582C4B971}"/>
    <cellStyle name="Normal 5 5 3 8 2" xfId="18357" xr:uid="{011E980E-67D0-4136-955D-7CFDAAF74E0A}"/>
    <cellStyle name="Normal 5 5 3 9" xfId="9948" xr:uid="{D6619EA6-1914-47F6-B953-DA77F7387B1A}"/>
    <cellStyle name="Normal 5 5 4" xfId="938" xr:uid="{00000000-0005-0000-0000-0000891B0000}"/>
    <cellStyle name="Normal 5 5 4 2" xfId="3172" xr:uid="{00000000-0005-0000-0000-00008A1B0000}"/>
    <cellStyle name="Normal 5 5 4 2 2" xfId="7394" xr:uid="{00000000-0005-0000-0000-00008B1B0000}"/>
    <cellStyle name="Normal 5 5 4 2 2 2" xfId="16720" xr:uid="{890C2FA5-2A9C-4906-8DFE-490C27C87B21}"/>
    <cellStyle name="Normal 5 5 4 2 3" xfId="12503" xr:uid="{D8CD904D-E43A-4A7F-81B8-42F2436EBA05}"/>
    <cellStyle name="Normal 5 5 4 3" xfId="5249" xr:uid="{00000000-0005-0000-0000-00008C1B0000}"/>
    <cellStyle name="Normal 5 5 4 3 2" xfId="14575" xr:uid="{9106909A-8CF4-414F-BB14-C209DADD0C77}"/>
    <cellStyle name="Normal 5 5 4 4" xfId="9251" xr:uid="{4EAD9E35-D3C9-46BE-AE4D-29A1C6D5A6F7}"/>
    <cellStyle name="Normal 5 5 4 4 2" xfId="18566" xr:uid="{7F31E0E7-F02D-446F-9CC8-3D456C8DFE94}"/>
    <cellStyle name="Normal 5 5 4 5" xfId="10358" xr:uid="{7912E86C-80C5-4291-9876-01534931D231}"/>
    <cellStyle name="Normal 5 5 5" xfId="1355" xr:uid="{00000000-0005-0000-0000-00008D1B0000}"/>
    <cellStyle name="Normal 5 5 5 2" xfId="3585" xr:uid="{00000000-0005-0000-0000-00008E1B0000}"/>
    <cellStyle name="Normal 5 5 5 2 2" xfId="7807" xr:uid="{00000000-0005-0000-0000-00008F1B0000}"/>
    <cellStyle name="Normal 5 5 5 2 2 2" xfId="17133" xr:uid="{EA7D25F8-BAC8-4BA3-979F-D525D39764E1}"/>
    <cellStyle name="Normal 5 5 5 2 3" xfId="12916" xr:uid="{3D19E9FD-1BA5-4EE2-87D4-A9E1E8C0A013}"/>
    <cellStyle name="Normal 5 5 5 3" xfId="5662" xr:uid="{00000000-0005-0000-0000-0000901B0000}"/>
    <cellStyle name="Normal 5 5 5 3 2" xfId="14988" xr:uid="{76E77CB4-1554-4E27-BCB6-6FEC96CB1B48}"/>
    <cellStyle name="Normal 5 5 5 4" xfId="10771" xr:uid="{D2FA0CA8-E5C7-4E62-A8F3-172C574536DA}"/>
    <cellStyle name="Normal 5 5 6" xfId="1768" xr:uid="{00000000-0005-0000-0000-0000911B0000}"/>
    <cellStyle name="Normal 5 5 6 2" xfId="3998" xr:uid="{00000000-0005-0000-0000-0000921B0000}"/>
    <cellStyle name="Normal 5 5 6 2 2" xfId="8220" xr:uid="{00000000-0005-0000-0000-0000931B0000}"/>
    <cellStyle name="Normal 5 5 6 2 2 2" xfId="17546" xr:uid="{0F162F4A-780D-4404-B193-AD6328BE1991}"/>
    <cellStyle name="Normal 5 5 6 2 3" xfId="13329" xr:uid="{A6C4FC7A-C275-4540-8FA6-541490A7FDEA}"/>
    <cellStyle name="Normal 5 5 6 3" xfId="6075" xr:uid="{00000000-0005-0000-0000-0000941B0000}"/>
    <cellStyle name="Normal 5 5 6 3 2" xfId="15401" xr:uid="{2526002C-39FB-4A29-A9A3-4AF612FAF258}"/>
    <cellStyle name="Normal 5 5 6 4" xfId="11184" xr:uid="{7EEFDB3B-B30F-4928-B5B3-747E60FCEF6A}"/>
    <cellStyle name="Normal 5 5 7" xfId="2182" xr:uid="{00000000-0005-0000-0000-0000951B0000}"/>
    <cellStyle name="Normal 5 5 7 2" xfId="4411" xr:uid="{00000000-0005-0000-0000-0000961B0000}"/>
    <cellStyle name="Normal 5 5 7 2 2" xfId="8633" xr:uid="{00000000-0005-0000-0000-0000971B0000}"/>
    <cellStyle name="Normal 5 5 7 2 2 2" xfId="17959" xr:uid="{869DB79C-E0BB-4A11-A776-532F11B8257B}"/>
    <cellStyle name="Normal 5 5 7 2 3" xfId="13742" xr:uid="{4C9E9B05-D2FD-4967-A522-4B094C0AD06B}"/>
    <cellStyle name="Normal 5 5 7 3" xfId="6488" xr:uid="{00000000-0005-0000-0000-0000981B0000}"/>
    <cellStyle name="Normal 5 5 7 3 2" xfId="15814" xr:uid="{3EF17102-5C3C-483E-932B-F3F15A679013}"/>
    <cellStyle name="Normal 5 5 7 4" xfId="11597" xr:uid="{68DF5141-C9B8-41B4-8E90-F76D1E8FE27E}"/>
    <cellStyle name="Normal 5 5 8" xfId="2618" xr:uid="{00000000-0005-0000-0000-0000991B0000}"/>
    <cellStyle name="Normal 5 5 8 2" xfId="6901" xr:uid="{00000000-0005-0000-0000-00009A1B0000}"/>
    <cellStyle name="Normal 5 5 8 2 2" xfId="16227" xr:uid="{3F62B9C3-8C2C-49D2-99EE-9DA9D52CF947}"/>
    <cellStyle name="Normal 5 5 8 3" xfId="12010" xr:uid="{59EF747D-9C84-4DD6-AAB6-7DC9B4C1544F}"/>
    <cellStyle name="Normal 5 5 9" xfId="4836" xr:uid="{00000000-0005-0000-0000-00009B1B0000}"/>
    <cellStyle name="Normal 5 5 9 2" xfId="14162" xr:uid="{305837F8-DE4C-4F6C-9A79-8BE7D291CE44}"/>
    <cellStyle name="Normal 5 6" xfId="468" xr:uid="{00000000-0005-0000-0000-00009C1B0000}"/>
    <cellStyle name="Normal 5 6 10" xfId="9949" xr:uid="{B3586BF2-B60E-45AC-B4C5-752198013DE4}"/>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1657C5A2-E8D5-4DC9-AFEA-D9DFE62FFD3C}"/>
    <cellStyle name="Normal 5 6 2 2 2 3" xfId="12508" xr:uid="{EADB05FC-8364-4CA2-8B2A-8323B0C5879F}"/>
    <cellStyle name="Normal 5 6 2 2 3" xfId="5254" xr:uid="{00000000-0005-0000-0000-0000A11B0000}"/>
    <cellStyle name="Normal 5 6 2 2 3 2" xfId="14580" xr:uid="{B94D24FD-6251-4242-B7C2-01CE25369575}"/>
    <cellStyle name="Normal 5 6 2 2 4" xfId="9476" xr:uid="{3B3E6CA1-4D97-4B11-99D5-4F82314AA0E0}"/>
    <cellStyle name="Normal 5 6 2 2 4 2" xfId="18791" xr:uid="{F484168B-5FE6-4AC4-8ACC-466705B3D7DF}"/>
    <cellStyle name="Normal 5 6 2 2 5" xfId="10363" xr:uid="{23F667A5-7542-4CA1-806E-BABAEEF12BE2}"/>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A39B2C2E-E9A4-4775-B19A-7BF054C1227D}"/>
    <cellStyle name="Normal 5 6 2 3 2 3" xfId="12921" xr:uid="{B28B2D1E-57AC-40B5-AC4E-D57AB3E554DF}"/>
    <cellStyle name="Normal 5 6 2 3 3" xfId="5667" xr:uid="{00000000-0005-0000-0000-0000A51B0000}"/>
    <cellStyle name="Normal 5 6 2 3 3 2" xfId="14993" xr:uid="{B9DB82DA-5309-4E13-9E63-CC1CC51C76A8}"/>
    <cellStyle name="Normal 5 6 2 3 4" xfId="10776" xr:uid="{C56EE97C-FE9F-4CC6-81A5-F95F1B59806B}"/>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FAB6AF23-D19C-4CAB-913E-F77182CCCEA2}"/>
    <cellStyle name="Normal 5 6 2 4 2 3" xfId="13334" xr:uid="{63EDF16E-9E88-4B22-AEDE-190562F297F0}"/>
    <cellStyle name="Normal 5 6 2 4 3" xfId="6080" xr:uid="{00000000-0005-0000-0000-0000A91B0000}"/>
    <cellStyle name="Normal 5 6 2 4 3 2" xfId="15406" xr:uid="{B09FDACF-1346-478B-9E0B-0C7574A246F5}"/>
    <cellStyle name="Normal 5 6 2 4 4" xfId="11189" xr:uid="{C4DA0256-4946-4D6B-9A8C-80A33D424D53}"/>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AB598F8F-5350-47D1-A3B3-30B14BE1FC20}"/>
    <cellStyle name="Normal 5 6 2 5 2 3" xfId="13747" xr:uid="{436B8458-17C7-4777-BD51-BC30F517DEFF}"/>
    <cellStyle name="Normal 5 6 2 5 3" xfId="6493" xr:uid="{00000000-0005-0000-0000-0000AD1B0000}"/>
    <cellStyle name="Normal 5 6 2 5 3 2" xfId="15819" xr:uid="{ECC0A698-E7FF-4D87-8A75-5CCDFA23FFD7}"/>
    <cellStyle name="Normal 5 6 2 5 4" xfId="11602" xr:uid="{732C2A67-C33E-43A7-B5FF-1F32E80978D6}"/>
    <cellStyle name="Normal 5 6 2 6" xfId="2623" xr:uid="{00000000-0005-0000-0000-0000AE1B0000}"/>
    <cellStyle name="Normal 5 6 2 6 2" xfId="6906" xr:uid="{00000000-0005-0000-0000-0000AF1B0000}"/>
    <cellStyle name="Normal 5 6 2 6 2 2" xfId="16232" xr:uid="{0675D3D6-017F-4367-866F-57012FFC194F}"/>
    <cellStyle name="Normal 5 6 2 6 3" xfId="12015" xr:uid="{2BDC3660-F991-4B71-A1A5-549D08B8A4FF}"/>
    <cellStyle name="Normal 5 6 2 7" xfId="4841" xr:uid="{00000000-0005-0000-0000-0000B01B0000}"/>
    <cellStyle name="Normal 5 6 2 7 2" xfId="14167" xr:uid="{13C7358A-2FC2-4E51-8DA2-70CD73FB9A01}"/>
    <cellStyle name="Normal 5 6 2 8" xfId="9051" xr:uid="{97C72229-9AC1-4DA9-8A0B-8B4B6D970DE8}"/>
    <cellStyle name="Normal 5 6 2 8 2" xfId="18375" xr:uid="{CA35F9E7-7B73-45F1-A424-37B3FE409E6E}"/>
    <cellStyle name="Normal 5 6 2 9" xfId="9950" xr:uid="{5169E79A-4DB7-427B-8F31-BDB7EAB2057C}"/>
    <cellStyle name="Normal 5 6 3" xfId="942" xr:uid="{00000000-0005-0000-0000-0000B11B0000}"/>
    <cellStyle name="Normal 5 6 3 2" xfId="3176" xr:uid="{00000000-0005-0000-0000-0000B21B0000}"/>
    <cellStyle name="Normal 5 6 3 2 2" xfId="7398" xr:uid="{00000000-0005-0000-0000-0000B31B0000}"/>
    <cellStyle name="Normal 5 6 3 2 2 2" xfId="16724" xr:uid="{B0F4DE84-2EB5-4B44-8F62-8B80CC0F2214}"/>
    <cellStyle name="Normal 5 6 3 2 3" xfId="12507" xr:uid="{7A4674D6-7607-470E-BAC4-21FA5AA835FE}"/>
    <cellStyle name="Normal 5 6 3 3" xfId="5253" xr:uid="{00000000-0005-0000-0000-0000B41B0000}"/>
    <cellStyle name="Normal 5 6 3 3 2" xfId="14579" xr:uid="{97349C88-6D34-4A1D-B646-9A8F69B3F301}"/>
    <cellStyle name="Normal 5 6 3 4" xfId="9269" xr:uid="{7D6728A0-C210-4F3F-8114-143B9AE0BFB4}"/>
    <cellStyle name="Normal 5 6 3 4 2" xfId="18584" xr:uid="{C9483989-0A67-4FB1-B1B0-4DF45259BDAB}"/>
    <cellStyle name="Normal 5 6 3 5" xfId="10362" xr:uid="{CE551DA1-F523-4FB3-8D3F-562621F1AFCB}"/>
    <cellStyle name="Normal 5 6 4" xfId="1359" xr:uid="{00000000-0005-0000-0000-0000B51B0000}"/>
    <cellStyle name="Normal 5 6 4 2" xfId="3589" xr:uid="{00000000-0005-0000-0000-0000B61B0000}"/>
    <cellStyle name="Normal 5 6 4 2 2" xfId="7811" xr:uid="{00000000-0005-0000-0000-0000B71B0000}"/>
    <cellStyle name="Normal 5 6 4 2 2 2" xfId="17137" xr:uid="{3F4BF29D-5327-453B-AD32-3F02CF75648F}"/>
    <cellStyle name="Normal 5 6 4 2 3" xfId="12920" xr:uid="{4534AF3A-C437-4A07-81D8-1EE1FAC4EB9A}"/>
    <cellStyle name="Normal 5 6 4 3" xfId="5666" xr:uid="{00000000-0005-0000-0000-0000B81B0000}"/>
    <cellStyle name="Normal 5 6 4 3 2" xfId="14992" xr:uid="{91034C52-3073-4769-BEC1-CE65564ACABC}"/>
    <cellStyle name="Normal 5 6 4 4" xfId="10775" xr:uid="{B8F286BB-6FD6-478D-98F0-2C11F90F7FCE}"/>
    <cellStyle name="Normal 5 6 5" xfId="1772" xr:uid="{00000000-0005-0000-0000-0000B91B0000}"/>
    <cellStyle name="Normal 5 6 5 2" xfId="4002" xr:uid="{00000000-0005-0000-0000-0000BA1B0000}"/>
    <cellStyle name="Normal 5 6 5 2 2" xfId="8224" xr:uid="{00000000-0005-0000-0000-0000BB1B0000}"/>
    <cellStyle name="Normal 5 6 5 2 2 2" xfId="17550" xr:uid="{E14B3F76-88B9-48E8-8BD2-F27F7FA3C6D3}"/>
    <cellStyle name="Normal 5 6 5 2 3" xfId="13333" xr:uid="{2C48B431-08AC-4C8E-B1F8-C0AF25FD7E64}"/>
    <cellStyle name="Normal 5 6 5 3" xfId="6079" xr:uid="{00000000-0005-0000-0000-0000BC1B0000}"/>
    <cellStyle name="Normal 5 6 5 3 2" xfId="15405" xr:uid="{712DF722-009F-4413-B89D-F0CAED29C750}"/>
    <cellStyle name="Normal 5 6 5 4" xfId="11188" xr:uid="{381CD1D2-B1AE-498C-BA52-A870EFE35181}"/>
    <cellStyle name="Normal 5 6 6" xfId="2186" xr:uid="{00000000-0005-0000-0000-0000BD1B0000}"/>
    <cellStyle name="Normal 5 6 6 2" xfId="4415" xr:uid="{00000000-0005-0000-0000-0000BE1B0000}"/>
    <cellStyle name="Normal 5 6 6 2 2" xfId="8637" xr:uid="{00000000-0005-0000-0000-0000BF1B0000}"/>
    <cellStyle name="Normal 5 6 6 2 2 2" xfId="17963" xr:uid="{5C4CB174-8FB0-4594-9E86-BADBED9FBBB8}"/>
    <cellStyle name="Normal 5 6 6 2 3" xfId="13746" xr:uid="{12BDB177-398C-4C64-B660-983D78544C33}"/>
    <cellStyle name="Normal 5 6 6 3" xfId="6492" xr:uid="{00000000-0005-0000-0000-0000C01B0000}"/>
    <cellStyle name="Normal 5 6 6 3 2" xfId="15818" xr:uid="{5058EF86-3CF9-4985-87AC-AF974207C12F}"/>
    <cellStyle name="Normal 5 6 6 4" xfId="11601" xr:uid="{D0CB6599-58FB-44CC-8F89-08A578EE76EE}"/>
    <cellStyle name="Normal 5 6 7" xfId="2622" xr:uid="{00000000-0005-0000-0000-0000C11B0000}"/>
    <cellStyle name="Normal 5 6 7 2" xfId="6905" xr:uid="{00000000-0005-0000-0000-0000C21B0000}"/>
    <cellStyle name="Normal 5 6 7 2 2" xfId="16231" xr:uid="{47CBC5EB-5AF7-497D-A047-130315B30F7C}"/>
    <cellStyle name="Normal 5 6 7 3" xfId="12014" xr:uid="{F49F1D4C-836C-449F-841E-E487D66A84D9}"/>
    <cellStyle name="Normal 5 6 8" xfId="4840" xr:uid="{00000000-0005-0000-0000-0000C31B0000}"/>
    <cellStyle name="Normal 5 6 8 2" xfId="14166" xr:uid="{5E442399-E20E-4CFE-A3DE-F4483794ADDC}"/>
    <cellStyle name="Normal 5 6 9" xfId="8844" xr:uid="{91B947E4-8FF0-409F-B157-688724766D9F}"/>
    <cellStyle name="Normal 5 6 9 2" xfId="18168" xr:uid="{AB5F4127-D5BE-4599-8803-2A1892BB998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B117B2A8-3760-4C64-9545-29F1981EFF48}"/>
    <cellStyle name="Normal 5 7 2 2 3" xfId="12509" xr:uid="{E8486EA9-7710-4203-A814-2B5EE07039A7}"/>
    <cellStyle name="Normal 5 7 2 3" xfId="5255" xr:uid="{00000000-0005-0000-0000-0000C81B0000}"/>
    <cellStyle name="Normal 5 7 2 3 2" xfId="14581" xr:uid="{4A0B3559-1848-441D-A07A-035F698E20A8}"/>
    <cellStyle name="Normal 5 7 2 4" xfId="9385" xr:uid="{2E4A3B0A-2E42-41AC-9564-09D1598995A2}"/>
    <cellStyle name="Normal 5 7 2 4 2" xfId="18700" xr:uid="{88F16EA9-44D6-4B43-A76D-1B8800F58B6B}"/>
    <cellStyle name="Normal 5 7 2 5" xfId="10364" xr:uid="{ED61B16D-1C35-41D0-9BD1-FB305E26A5B1}"/>
    <cellStyle name="Normal 5 7 3" xfId="1361" xr:uid="{00000000-0005-0000-0000-0000C91B0000}"/>
    <cellStyle name="Normal 5 7 3 2" xfId="3591" xr:uid="{00000000-0005-0000-0000-0000CA1B0000}"/>
    <cellStyle name="Normal 5 7 3 2 2" xfId="7813" xr:uid="{00000000-0005-0000-0000-0000CB1B0000}"/>
    <cellStyle name="Normal 5 7 3 2 2 2" xfId="17139" xr:uid="{53DBBDD9-2964-4576-863C-FCA8FA316770}"/>
    <cellStyle name="Normal 5 7 3 2 3" xfId="12922" xr:uid="{6A9E9C73-2BC8-4016-86C7-FDC7497DA9DD}"/>
    <cellStyle name="Normal 5 7 3 3" xfId="5668" xr:uid="{00000000-0005-0000-0000-0000CC1B0000}"/>
    <cellStyle name="Normal 5 7 3 3 2" xfId="14994" xr:uid="{BA179800-B119-4773-B3D6-1FB0E8DA4233}"/>
    <cellStyle name="Normal 5 7 3 4" xfId="10777" xr:uid="{8C5C9ADD-F1FE-4DDA-8FC7-35714B9EB03A}"/>
    <cellStyle name="Normal 5 7 4" xfId="1774" xr:uid="{00000000-0005-0000-0000-0000CD1B0000}"/>
    <cellStyle name="Normal 5 7 4 2" xfId="4004" xr:uid="{00000000-0005-0000-0000-0000CE1B0000}"/>
    <cellStyle name="Normal 5 7 4 2 2" xfId="8226" xr:uid="{00000000-0005-0000-0000-0000CF1B0000}"/>
    <cellStyle name="Normal 5 7 4 2 2 2" xfId="17552" xr:uid="{46AE7397-85DF-4900-BA83-4DDED40DD9F2}"/>
    <cellStyle name="Normal 5 7 4 2 3" xfId="13335" xr:uid="{D767F691-1E84-4770-8119-5EB062765F0C}"/>
    <cellStyle name="Normal 5 7 4 3" xfId="6081" xr:uid="{00000000-0005-0000-0000-0000D01B0000}"/>
    <cellStyle name="Normal 5 7 4 3 2" xfId="15407" xr:uid="{6D50E7AF-A047-419F-AB3E-E8E500BC297C}"/>
    <cellStyle name="Normal 5 7 4 4" xfId="11190" xr:uid="{EB1F612A-E737-470F-8128-8467C4CFD4A8}"/>
    <cellStyle name="Normal 5 7 5" xfId="2188" xr:uid="{00000000-0005-0000-0000-0000D11B0000}"/>
    <cellStyle name="Normal 5 7 5 2" xfId="4417" xr:uid="{00000000-0005-0000-0000-0000D21B0000}"/>
    <cellStyle name="Normal 5 7 5 2 2" xfId="8639" xr:uid="{00000000-0005-0000-0000-0000D31B0000}"/>
    <cellStyle name="Normal 5 7 5 2 2 2" xfId="17965" xr:uid="{E0B51CD0-16EB-40E8-9D23-223AC31B0B24}"/>
    <cellStyle name="Normal 5 7 5 2 3" xfId="13748" xr:uid="{D2CA750D-4E87-4F82-AF98-762AD19B3EEB}"/>
    <cellStyle name="Normal 5 7 5 3" xfId="6494" xr:uid="{00000000-0005-0000-0000-0000D41B0000}"/>
    <cellStyle name="Normal 5 7 5 3 2" xfId="15820" xr:uid="{9FD96895-EC55-4119-87E8-5854CE5DE92B}"/>
    <cellStyle name="Normal 5 7 5 4" xfId="11603" xr:uid="{7C5B2E73-DDAD-4ADA-B7FB-90189955CAE1}"/>
    <cellStyle name="Normal 5 7 6" xfId="2624" xr:uid="{00000000-0005-0000-0000-0000D51B0000}"/>
    <cellStyle name="Normal 5 7 6 2" xfId="6907" xr:uid="{00000000-0005-0000-0000-0000D61B0000}"/>
    <cellStyle name="Normal 5 7 6 2 2" xfId="16233" xr:uid="{B18CBD38-977A-408A-BB1B-903C54EC7740}"/>
    <cellStyle name="Normal 5 7 6 3" xfId="12016" xr:uid="{EBC8E4CD-6348-436A-8878-8BA74487DE91}"/>
    <cellStyle name="Normal 5 7 7" xfId="4842" xr:uid="{00000000-0005-0000-0000-0000D71B0000}"/>
    <cellStyle name="Normal 5 7 7 2" xfId="14168" xr:uid="{E59348B2-75E8-47E7-94C0-487BBCB61392}"/>
    <cellStyle name="Normal 5 7 8" xfId="8960" xr:uid="{F4BEC964-53C9-4393-B7F1-69B47FC1FF25}"/>
    <cellStyle name="Normal 5 7 8 2" xfId="18284" xr:uid="{7B93D7CC-7147-4239-9912-37F765B69502}"/>
    <cellStyle name="Normal 5 7 9" xfId="9951" xr:uid="{9F9D23C2-FB83-4008-A037-532FC303A3B9}"/>
    <cellStyle name="Normal 5 8" xfId="880" xr:uid="{00000000-0005-0000-0000-0000D81B0000}"/>
    <cellStyle name="Normal 5 8 2" xfId="3115" xr:uid="{00000000-0005-0000-0000-0000D91B0000}"/>
    <cellStyle name="Normal 5 8 2 2" xfId="7337" xr:uid="{00000000-0005-0000-0000-0000DA1B0000}"/>
    <cellStyle name="Normal 5 8 2 2 2" xfId="16663" xr:uid="{DBD39EA4-DFB5-4A0D-ABE4-34FB476A7826}"/>
    <cellStyle name="Normal 5 8 2 3" xfId="12446" xr:uid="{7375CA15-3C7C-4032-8B49-7BF3ACBCA569}"/>
    <cellStyle name="Normal 5 8 3" xfId="5192" xr:uid="{00000000-0005-0000-0000-0000DB1B0000}"/>
    <cellStyle name="Normal 5 8 3 2" xfId="14518" xr:uid="{B290E0A9-0DF1-4BE6-9413-9C9675B95795}"/>
    <cellStyle name="Normal 5 8 4" xfId="9163" xr:uid="{44C7CAD4-DD7C-48E0-9142-8ED22123C662}"/>
    <cellStyle name="Normal 5 8 4 2" xfId="18481" xr:uid="{870C0BEE-8FA8-4710-B3DD-F3714E11D2CC}"/>
    <cellStyle name="Normal 5 8 5" xfId="10301" xr:uid="{D6D230F8-718F-4DDC-A6B3-9548EFC40194}"/>
    <cellStyle name="Normal 5 9" xfId="1298" xr:uid="{00000000-0005-0000-0000-0000DC1B0000}"/>
    <cellStyle name="Normal 5 9 2" xfId="3528" xr:uid="{00000000-0005-0000-0000-0000DD1B0000}"/>
    <cellStyle name="Normal 5 9 2 2" xfId="7750" xr:uid="{00000000-0005-0000-0000-0000DE1B0000}"/>
    <cellStyle name="Normal 5 9 2 2 2" xfId="17076" xr:uid="{B2F6BAB6-3E88-4320-9097-10AFF0726484}"/>
    <cellStyle name="Normal 5 9 2 3" xfId="12859" xr:uid="{0A5D4975-75AE-4690-8A98-5F974E48931C}"/>
    <cellStyle name="Normal 5 9 3" xfId="5605" xr:uid="{00000000-0005-0000-0000-0000DF1B0000}"/>
    <cellStyle name="Normal 5 9 3 2" xfId="14931" xr:uid="{DAAAB7BF-42A4-480F-83DF-C11CF975ABC1}"/>
    <cellStyle name="Normal 5 9 4" xfId="10714" xr:uid="{F849E7D4-AB7A-4F92-BD5E-97780BEEF25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B186E0E2-3EFC-42D4-8FA8-BB4EC195865A}"/>
    <cellStyle name="Normal 8 10 2 3" xfId="13749" xr:uid="{F0F92EB8-2C62-45E5-BDE9-86E3C246CDC1}"/>
    <cellStyle name="Normal 8 10 3" xfId="6495" xr:uid="{00000000-0005-0000-0000-0000EB1B0000}"/>
    <cellStyle name="Normal 8 10 3 2" xfId="15821" xr:uid="{57FC5709-095C-488A-B17D-965DA4B19349}"/>
    <cellStyle name="Normal 8 10 4" xfId="11604" xr:uid="{E64459A0-3EEB-4DA4-AA49-C10F94B8147A}"/>
    <cellStyle name="Normal 8 11" xfId="2625" xr:uid="{00000000-0005-0000-0000-0000EC1B0000}"/>
    <cellStyle name="Normal 8 11 2" xfId="6908" xr:uid="{00000000-0005-0000-0000-0000ED1B0000}"/>
    <cellStyle name="Normal 8 11 2 2" xfId="16234" xr:uid="{3518D785-61D0-4661-BE0B-47E2264F13B7}"/>
    <cellStyle name="Normal 8 11 3" xfId="12017" xr:uid="{F0DBBEB6-2C25-4E59-B38D-F974653B8BFC}"/>
    <cellStyle name="Normal 8 12" xfId="4843" xr:uid="{00000000-0005-0000-0000-0000EE1B0000}"/>
    <cellStyle name="Normal 8 12 2" xfId="14169" xr:uid="{9B9A98D2-E868-4BF2-9626-DF436C56E48E}"/>
    <cellStyle name="Normal 8 13" xfId="8742" xr:uid="{AF36CBBC-3EEB-4AC8-923B-65C7C2418AB0}"/>
    <cellStyle name="Normal 8 13 2" xfId="18066" xr:uid="{C7E72FE1-6FB8-47AF-AEC4-552082B501F7}"/>
    <cellStyle name="Normal 8 14" xfId="9952" xr:uid="{3F596C86-FCC5-491F-AFDF-92E179BAAEEC}"/>
    <cellStyle name="Normal 8 2" xfId="479" xr:uid="{00000000-0005-0000-0000-0000EF1B0000}"/>
    <cellStyle name="Normal 8 2 10" xfId="2626" xr:uid="{00000000-0005-0000-0000-0000F01B0000}"/>
    <cellStyle name="Normal 8 2 10 2" xfId="6909" xr:uid="{00000000-0005-0000-0000-0000F11B0000}"/>
    <cellStyle name="Normal 8 2 10 2 2" xfId="16235" xr:uid="{B00B766C-D129-48FA-AC54-E7BA54198E5E}"/>
    <cellStyle name="Normal 8 2 10 3" xfId="12018" xr:uid="{D9BAAAEC-2D67-429E-A52F-EBD652F3E021}"/>
    <cellStyle name="Normal 8 2 11" xfId="4844" xr:uid="{00000000-0005-0000-0000-0000F21B0000}"/>
    <cellStyle name="Normal 8 2 11 2" xfId="14170" xr:uid="{E58561A5-5A87-4417-BE4D-6BC63AB66C12}"/>
    <cellStyle name="Normal 8 2 12" xfId="8751" xr:uid="{476D0553-3387-4D9F-B05B-56EC7A36F7A1}"/>
    <cellStyle name="Normal 8 2 12 2" xfId="18075" xr:uid="{4DB365CF-DC13-4FA6-AC8D-295653C1B436}"/>
    <cellStyle name="Normal 8 2 13" xfId="9953" xr:uid="{436B428B-8CC9-4869-82F3-08697C81BB67}"/>
    <cellStyle name="Normal 8 2 2" xfId="480" xr:uid="{00000000-0005-0000-0000-0000F31B0000}"/>
    <cellStyle name="Normal 8 2 2 10" xfId="4845" xr:uid="{00000000-0005-0000-0000-0000F41B0000}"/>
    <cellStyle name="Normal 8 2 2 10 2" xfId="14171" xr:uid="{061D7A1F-9A2D-4894-AB5B-843B442169A1}"/>
    <cellStyle name="Normal 8 2 2 11" xfId="8783" xr:uid="{3C426022-C415-47DA-A8EF-1D6CE72527BD}"/>
    <cellStyle name="Normal 8 2 2 11 2" xfId="18107" xr:uid="{3D4CA66D-1D8F-4436-BDDD-6C7B3EC6F368}"/>
    <cellStyle name="Normal 8 2 2 12" xfId="9954" xr:uid="{5679DA34-CC7B-4A5B-A41B-B3BED175B530}"/>
    <cellStyle name="Normal 8 2 2 2" xfId="481" xr:uid="{00000000-0005-0000-0000-0000F51B0000}"/>
    <cellStyle name="Normal 8 2 2 2 10" xfId="8836" xr:uid="{870E50AF-610D-4E0C-BDE0-389D6B32A0FA}"/>
    <cellStyle name="Normal 8 2 2 2 10 2" xfId="18160" xr:uid="{745B31BE-EC30-43C6-8AEB-278127BE0CD4}"/>
    <cellStyle name="Normal 8 2 2 2 11" xfId="9955" xr:uid="{2CDF4DF2-160A-4DE7-B422-10283B753656}"/>
    <cellStyle name="Normal 8 2 2 2 2" xfId="482" xr:uid="{00000000-0005-0000-0000-0000F61B0000}"/>
    <cellStyle name="Normal 8 2 2 2 2 10" xfId="9956" xr:uid="{E1B46329-C21F-4458-BAA4-3B2D9C5A0D56}"/>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74F1FF0A-C88C-4C49-9676-A4F54FE84EAC}"/>
    <cellStyle name="Normal 8 2 2 2 2 2 2 2 3" xfId="12515" xr:uid="{870086DD-4B15-468A-9EA1-325893D7A330}"/>
    <cellStyle name="Normal 8 2 2 2 2 2 2 3" xfId="5261" xr:uid="{00000000-0005-0000-0000-0000FB1B0000}"/>
    <cellStyle name="Normal 8 2 2 2 2 2 2 3 2" xfId="14587" xr:uid="{728D42BA-2F7B-4959-B95F-0EB99F29E553}"/>
    <cellStyle name="Normal 8 2 2 2 2 2 2 4" xfId="9571" xr:uid="{B467C179-FE08-45F9-B1E6-E66379D80EBC}"/>
    <cellStyle name="Normal 8 2 2 2 2 2 2 4 2" xfId="18886" xr:uid="{0EE21201-F6F6-44D8-91E6-10BDA1ADCA90}"/>
    <cellStyle name="Normal 8 2 2 2 2 2 2 5" xfId="10370" xr:uid="{06FB27C8-32D2-4F26-A52E-4F77B5D563D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7A8318C7-8418-45D9-BA42-6764AA8409E8}"/>
    <cellStyle name="Normal 8 2 2 2 2 2 3 2 3" xfId="12928" xr:uid="{9169D067-B2E4-41FA-96C7-AD5A46759E53}"/>
    <cellStyle name="Normal 8 2 2 2 2 2 3 3" xfId="5674" xr:uid="{00000000-0005-0000-0000-0000FF1B0000}"/>
    <cellStyle name="Normal 8 2 2 2 2 2 3 3 2" xfId="15000" xr:uid="{DB9870A6-C517-49F3-992B-EE3C041D905A}"/>
    <cellStyle name="Normal 8 2 2 2 2 2 3 4" xfId="10783" xr:uid="{CC1F4D7D-7837-487E-8DD5-7CA20DACB717}"/>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39274C2D-7E54-4DDB-B899-80055FFF2134}"/>
    <cellStyle name="Normal 8 2 2 2 2 2 4 2 3" xfId="13341" xr:uid="{E3E03334-6F73-49B7-86F7-EBD4B2DEBEBC}"/>
    <cellStyle name="Normal 8 2 2 2 2 2 4 3" xfId="6087" xr:uid="{00000000-0005-0000-0000-0000031C0000}"/>
    <cellStyle name="Normal 8 2 2 2 2 2 4 3 2" xfId="15413" xr:uid="{2163A8AD-2C9F-47A9-8A24-CA1FD0155A30}"/>
    <cellStyle name="Normal 8 2 2 2 2 2 4 4" xfId="11196" xr:uid="{760DC763-22FC-4767-818F-E03A17ACBF1B}"/>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AC3BEB37-CF16-42D1-8EB2-D0B66C2E8BCB}"/>
    <cellStyle name="Normal 8 2 2 2 2 2 5 2 3" xfId="13754" xr:uid="{3EF2F682-CCF2-496C-AA12-9388CAD81821}"/>
    <cellStyle name="Normal 8 2 2 2 2 2 5 3" xfId="6500" xr:uid="{00000000-0005-0000-0000-0000071C0000}"/>
    <cellStyle name="Normal 8 2 2 2 2 2 5 3 2" xfId="15826" xr:uid="{5E65E4AE-3FFB-4B95-A993-E9149CCA5FE3}"/>
    <cellStyle name="Normal 8 2 2 2 2 2 5 4" xfId="11609" xr:uid="{FA79BB29-D089-4EFA-844C-309BFE90AAD5}"/>
    <cellStyle name="Normal 8 2 2 2 2 2 6" xfId="2630" xr:uid="{00000000-0005-0000-0000-0000081C0000}"/>
    <cellStyle name="Normal 8 2 2 2 2 2 6 2" xfId="6913" xr:uid="{00000000-0005-0000-0000-0000091C0000}"/>
    <cellStyle name="Normal 8 2 2 2 2 2 6 2 2" xfId="16239" xr:uid="{78409591-6B3D-4917-B21F-8119112183DE}"/>
    <cellStyle name="Normal 8 2 2 2 2 2 6 3" xfId="12022" xr:uid="{08586B7C-1DBF-4D6D-8124-F6B55C07B114}"/>
    <cellStyle name="Normal 8 2 2 2 2 2 7" xfId="4848" xr:uid="{00000000-0005-0000-0000-00000A1C0000}"/>
    <cellStyle name="Normal 8 2 2 2 2 2 7 2" xfId="14174" xr:uid="{94B65955-26C7-4C31-9883-AA0B80A2B738}"/>
    <cellStyle name="Normal 8 2 2 2 2 2 8" xfId="9146" xr:uid="{0E570703-055D-406D-8BD9-575AF6037A75}"/>
    <cellStyle name="Normal 8 2 2 2 2 2 8 2" xfId="18470" xr:uid="{524F9784-B128-4870-BB06-672EFD52B2DE}"/>
    <cellStyle name="Normal 8 2 2 2 2 2 9" xfId="9957" xr:uid="{CDA48DD0-8496-426E-A853-FA78AA03C33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D631CD94-B8D0-4536-9009-AB8B776F2C53}"/>
    <cellStyle name="Normal 8 2 2 2 2 3 2 3" xfId="12514" xr:uid="{B0719649-73FE-4606-8696-2CD632F3D450}"/>
    <cellStyle name="Normal 8 2 2 2 2 3 3" xfId="5260" xr:uid="{00000000-0005-0000-0000-00000E1C0000}"/>
    <cellStyle name="Normal 8 2 2 2 2 3 3 2" xfId="14586" xr:uid="{6FAFCED4-1966-4DF3-A15B-9EF8E7587BE2}"/>
    <cellStyle name="Normal 8 2 2 2 2 3 4" xfId="9364" xr:uid="{21426B7C-FC96-483C-B560-AC4767107497}"/>
    <cellStyle name="Normal 8 2 2 2 2 3 4 2" xfId="18679" xr:uid="{DFA3F0E8-A730-4BF5-9C77-611AE57DA6DF}"/>
    <cellStyle name="Normal 8 2 2 2 2 3 5" xfId="10369" xr:uid="{A71F71E6-1D13-4D02-8476-DF2AFA0CCD84}"/>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7DA24847-DC17-4805-96FC-89A0F2A2B795}"/>
    <cellStyle name="Normal 8 2 2 2 2 4 2 3" xfId="12927" xr:uid="{9A19D25E-A10D-4EE2-9D2D-A4519FA57989}"/>
    <cellStyle name="Normal 8 2 2 2 2 4 3" xfId="5673" xr:uid="{00000000-0005-0000-0000-0000121C0000}"/>
    <cellStyle name="Normal 8 2 2 2 2 4 3 2" xfId="14999" xr:uid="{039E7CB6-1318-419E-AB52-64E7E40F9E64}"/>
    <cellStyle name="Normal 8 2 2 2 2 4 4" xfId="10782" xr:uid="{520F7C05-5420-48B2-AA64-20BC70B5149E}"/>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AEF4B45-0651-4E75-A4BC-FF4783E2AD76}"/>
    <cellStyle name="Normal 8 2 2 2 2 5 2 3" xfId="13340" xr:uid="{AF5C754F-AEB9-4CDA-BB40-A2AA1D6A98E6}"/>
    <cellStyle name="Normal 8 2 2 2 2 5 3" xfId="6086" xr:uid="{00000000-0005-0000-0000-0000161C0000}"/>
    <cellStyle name="Normal 8 2 2 2 2 5 3 2" xfId="15412" xr:uid="{EAD0A491-93EC-4AA8-94C0-E35806D97410}"/>
    <cellStyle name="Normal 8 2 2 2 2 5 4" xfId="11195" xr:uid="{06D9304B-5057-4694-B43E-2FD155D0756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14597C8D-3A7F-4F30-A946-7F0B99350203}"/>
    <cellStyle name="Normal 8 2 2 2 2 6 2 3" xfId="13753" xr:uid="{96165EFE-1A8E-4AAF-A7A5-2A1D48C41B5A}"/>
    <cellStyle name="Normal 8 2 2 2 2 6 3" xfId="6499" xr:uid="{00000000-0005-0000-0000-00001A1C0000}"/>
    <cellStyle name="Normal 8 2 2 2 2 6 3 2" xfId="15825" xr:uid="{2239A22B-F179-4658-B9F3-A39F80FB9316}"/>
    <cellStyle name="Normal 8 2 2 2 2 6 4" xfId="11608" xr:uid="{065A689A-D8AC-4421-88D3-ABCB2BE37F62}"/>
    <cellStyle name="Normal 8 2 2 2 2 7" xfId="2629" xr:uid="{00000000-0005-0000-0000-00001B1C0000}"/>
    <cellStyle name="Normal 8 2 2 2 2 7 2" xfId="6912" xr:uid="{00000000-0005-0000-0000-00001C1C0000}"/>
    <cellStyle name="Normal 8 2 2 2 2 7 2 2" xfId="16238" xr:uid="{F5DABC45-1F36-4724-9189-0835B18EB0D6}"/>
    <cellStyle name="Normal 8 2 2 2 2 7 3" xfId="12021" xr:uid="{97E5CAC6-39FD-4E35-AF2C-596409DB7825}"/>
    <cellStyle name="Normal 8 2 2 2 2 8" xfId="4847" xr:uid="{00000000-0005-0000-0000-00001D1C0000}"/>
    <cellStyle name="Normal 8 2 2 2 2 8 2" xfId="14173" xr:uid="{1BEB56CE-5AE8-4F7B-B861-BE99AE5AE2AA}"/>
    <cellStyle name="Normal 8 2 2 2 2 9" xfId="8939" xr:uid="{385BAC75-25D1-414A-8E33-9B6DCCA130DE}"/>
    <cellStyle name="Normal 8 2 2 2 2 9 2" xfId="18263" xr:uid="{11C991F8-C661-4197-9087-188DFCE406D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BA7BBB5C-836C-4F02-8EAB-ADE707067C27}"/>
    <cellStyle name="Normal 8 2 2 2 3 2 2 3" xfId="12516" xr:uid="{32967AFD-FC88-423F-AD9A-0F85359296FE}"/>
    <cellStyle name="Normal 8 2 2 2 3 2 3" xfId="5262" xr:uid="{00000000-0005-0000-0000-0000221C0000}"/>
    <cellStyle name="Normal 8 2 2 2 3 2 3 2" xfId="14588" xr:uid="{A374E803-EF80-4AFC-8EA9-E14BB9C9978F}"/>
    <cellStyle name="Normal 8 2 2 2 3 2 4" xfId="9468" xr:uid="{8CC4AD0E-72B4-4935-8967-B171D7B5EF8D}"/>
    <cellStyle name="Normal 8 2 2 2 3 2 4 2" xfId="18783" xr:uid="{814750BD-CE59-41AA-B0FA-BBB0F3A2F253}"/>
    <cellStyle name="Normal 8 2 2 2 3 2 5" xfId="10371" xr:uid="{6AD47850-4DE3-4765-8C73-61596666D667}"/>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ECAFE3D9-520F-49F1-8976-06CFC4AAAAAE}"/>
    <cellStyle name="Normal 8 2 2 2 3 3 2 3" xfId="12929" xr:uid="{125D4E9A-A70F-482A-A3EC-6E43FDF1BC12}"/>
    <cellStyle name="Normal 8 2 2 2 3 3 3" xfId="5675" xr:uid="{00000000-0005-0000-0000-0000261C0000}"/>
    <cellStyle name="Normal 8 2 2 2 3 3 3 2" xfId="15001" xr:uid="{02975E16-7161-469E-BA6A-D597251B01A3}"/>
    <cellStyle name="Normal 8 2 2 2 3 3 4" xfId="10784" xr:uid="{F50CEEC7-3005-477B-B3C8-06C0DBEA247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0C7BDFA9-163F-4778-B5D6-67C2F39B63AA}"/>
    <cellStyle name="Normal 8 2 2 2 3 4 2 3" xfId="13342" xr:uid="{871E11C7-7D20-45A9-9BA4-7B20B945BB22}"/>
    <cellStyle name="Normal 8 2 2 2 3 4 3" xfId="6088" xr:uid="{00000000-0005-0000-0000-00002A1C0000}"/>
    <cellStyle name="Normal 8 2 2 2 3 4 3 2" xfId="15414" xr:uid="{B4FB08DE-DAC8-4CB6-91EA-6FF49CA3C0FC}"/>
    <cellStyle name="Normal 8 2 2 2 3 4 4" xfId="11197" xr:uid="{913140E1-29F1-4A2F-B8BD-9F8127E749C4}"/>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C3ABC07F-665F-4615-BE14-A1D572F7E55D}"/>
    <cellStyle name="Normal 8 2 2 2 3 5 2 3" xfId="13755" xr:uid="{9A7D4241-AE17-42E1-BC95-40C5E7022349}"/>
    <cellStyle name="Normal 8 2 2 2 3 5 3" xfId="6501" xr:uid="{00000000-0005-0000-0000-00002E1C0000}"/>
    <cellStyle name="Normal 8 2 2 2 3 5 3 2" xfId="15827" xr:uid="{E87A14FD-7212-46AC-B449-5E7F66269A4D}"/>
    <cellStyle name="Normal 8 2 2 2 3 5 4" xfId="11610" xr:uid="{0D960A5A-15CD-4683-B0D5-06471FA86BDD}"/>
    <cellStyle name="Normal 8 2 2 2 3 6" xfId="2631" xr:uid="{00000000-0005-0000-0000-00002F1C0000}"/>
    <cellStyle name="Normal 8 2 2 2 3 6 2" xfId="6914" xr:uid="{00000000-0005-0000-0000-0000301C0000}"/>
    <cellStyle name="Normal 8 2 2 2 3 6 2 2" xfId="16240" xr:uid="{C9A5CE77-63E6-4E01-9C58-A9788B11F94E}"/>
    <cellStyle name="Normal 8 2 2 2 3 6 3" xfId="12023" xr:uid="{91ABB066-876F-4972-A039-CC194815A9C8}"/>
    <cellStyle name="Normal 8 2 2 2 3 7" xfId="4849" xr:uid="{00000000-0005-0000-0000-0000311C0000}"/>
    <cellStyle name="Normal 8 2 2 2 3 7 2" xfId="14175" xr:uid="{985B79D7-6EFB-490F-B67D-319489C2023C}"/>
    <cellStyle name="Normal 8 2 2 2 3 8" xfId="9043" xr:uid="{BAC463DF-40A7-4F07-ADD3-7274E57F505C}"/>
    <cellStyle name="Normal 8 2 2 2 3 8 2" xfId="18367" xr:uid="{05594F5B-0D42-4BE1-A0E2-4726E6440B4F}"/>
    <cellStyle name="Normal 8 2 2 2 3 9" xfId="9958" xr:uid="{A77CB515-C6F5-44E0-A163-3C31784AC5E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659F3D74-F9CE-408E-AE69-10ECDC17C11B}"/>
    <cellStyle name="Normal 8 2 2 2 4 2 3" xfId="12513" xr:uid="{B460ED22-A090-4F2B-A2C6-7F817F4F6FD4}"/>
    <cellStyle name="Normal 8 2 2 2 4 3" xfId="5259" xr:uid="{00000000-0005-0000-0000-0000351C0000}"/>
    <cellStyle name="Normal 8 2 2 2 4 3 2" xfId="14585" xr:uid="{D924BB92-2A56-4355-A3AE-08010B3DED9D}"/>
    <cellStyle name="Normal 8 2 2 2 4 4" xfId="9261" xr:uid="{70C29865-A6DE-4682-9EB1-83E4E07FD0A7}"/>
    <cellStyle name="Normal 8 2 2 2 4 4 2" xfId="18576" xr:uid="{5E416CA9-0AA5-4693-B6A2-E1191B1D9D23}"/>
    <cellStyle name="Normal 8 2 2 2 4 5" xfId="10368" xr:uid="{7E3EBB3C-9FFE-4194-B7B4-4E872A0C02B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6F5B59E1-7044-4728-A5CE-77CAFA2E408C}"/>
    <cellStyle name="Normal 8 2 2 2 5 2 3" xfId="12926" xr:uid="{71C2FC98-D98F-4279-ACD2-E36DD4939FC2}"/>
    <cellStyle name="Normal 8 2 2 2 5 3" xfId="5672" xr:uid="{00000000-0005-0000-0000-0000391C0000}"/>
    <cellStyle name="Normal 8 2 2 2 5 3 2" xfId="14998" xr:uid="{FBCF65EC-C95E-4FC9-8736-374E6B28AEDB}"/>
    <cellStyle name="Normal 8 2 2 2 5 4" xfId="10781" xr:uid="{5566EB55-9054-4A20-828B-1D0E2D00C09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EE62CC1E-0807-4A56-8CC0-EC6741450A65}"/>
    <cellStyle name="Normal 8 2 2 2 6 2 3" xfId="13339" xr:uid="{2511B57E-164C-4C1F-A604-D47A2B235067}"/>
    <cellStyle name="Normal 8 2 2 2 6 3" xfId="6085" xr:uid="{00000000-0005-0000-0000-00003D1C0000}"/>
    <cellStyle name="Normal 8 2 2 2 6 3 2" xfId="15411" xr:uid="{7DEB2FEC-B30A-4FA9-AC66-0A453461F466}"/>
    <cellStyle name="Normal 8 2 2 2 6 4" xfId="11194" xr:uid="{4B0C4D72-CC0A-4A1C-B841-67C61572A2D4}"/>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4F0D28DF-ABCE-40D9-B45E-73440C47CC0D}"/>
    <cellStyle name="Normal 8 2 2 2 7 2 3" xfId="13752" xr:uid="{13DB5C25-A876-4111-98A1-0FBA60436865}"/>
    <cellStyle name="Normal 8 2 2 2 7 3" xfId="6498" xr:uid="{00000000-0005-0000-0000-0000411C0000}"/>
    <cellStyle name="Normal 8 2 2 2 7 3 2" xfId="15824" xr:uid="{EF8DB499-0148-4DFA-8857-AE7181CFE5B5}"/>
    <cellStyle name="Normal 8 2 2 2 7 4" xfId="11607" xr:uid="{2FF91AA1-BBE4-433A-BDD7-0894A6F02CF4}"/>
    <cellStyle name="Normal 8 2 2 2 8" xfId="2628" xr:uid="{00000000-0005-0000-0000-0000421C0000}"/>
    <cellStyle name="Normal 8 2 2 2 8 2" xfId="6911" xr:uid="{00000000-0005-0000-0000-0000431C0000}"/>
    <cellStyle name="Normal 8 2 2 2 8 2 2" xfId="16237" xr:uid="{1CE284E8-1DC6-47EB-B6E4-A5EDA751BA90}"/>
    <cellStyle name="Normal 8 2 2 2 8 3" xfId="12020" xr:uid="{0315BB44-AD7D-4F85-870E-2979A641A8CE}"/>
    <cellStyle name="Normal 8 2 2 2 9" xfId="4846" xr:uid="{00000000-0005-0000-0000-0000441C0000}"/>
    <cellStyle name="Normal 8 2 2 2 9 2" xfId="14172" xr:uid="{68F551D1-8698-476D-8622-2332436C801A}"/>
    <cellStyle name="Normal 8 2 2 3" xfId="485" xr:uid="{00000000-0005-0000-0000-0000451C0000}"/>
    <cellStyle name="Normal 8 2 2 3 10" xfId="9959" xr:uid="{A5E862B8-04FB-4FBC-885C-3E400E46846E}"/>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0450EEC8-DC0B-479E-B428-123322527EBA}"/>
    <cellStyle name="Normal 8 2 2 3 2 2 2 3" xfId="12518" xr:uid="{D4E9611B-0721-4BEC-9E93-B5F5ACAD26E8}"/>
    <cellStyle name="Normal 8 2 2 3 2 2 3" xfId="5264" xr:uid="{00000000-0005-0000-0000-00004A1C0000}"/>
    <cellStyle name="Normal 8 2 2 3 2 2 3 2" xfId="14590" xr:uid="{A392849D-646B-4E08-A6C4-5D1F4B37EC2E}"/>
    <cellStyle name="Normal 8 2 2 3 2 2 4" xfId="9518" xr:uid="{FDE93D5E-A6D1-456B-8726-FC2AB8FD16A4}"/>
    <cellStyle name="Normal 8 2 2 3 2 2 4 2" xfId="18833" xr:uid="{A04C7526-5223-47D4-81D4-2131EF97126A}"/>
    <cellStyle name="Normal 8 2 2 3 2 2 5" xfId="10373" xr:uid="{C584B561-D688-413D-B424-D21088D31EFA}"/>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B4A9E130-25A3-44A0-BA72-82AF002A4D5A}"/>
    <cellStyle name="Normal 8 2 2 3 2 3 2 3" xfId="12931" xr:uid="{92B8E607-2C77-403E-AF12-CBC4C9092E45}"/>
    <cellStyle name="Normal 8 2 2 3 2 3 3" xfId="5677" xr:uid="{00000000-0005-0000-0000-00004E1C0000}"/>
    <cellStyle name="Normal 8 2 2 3 2 3 3 2" xfId="15003" xr:uid="{7A222512-441D-4641-AB1E-B159083A0FC5}"/>
    <cellStyle name="Normal 8 2 2 3 2 3 4" xfId="10786" xr:uid="{7A48FB49-468A-48E3-87CA-9EEE991D047F}"/>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A466D3C0-F676-4E1E-9929-8F6592F3F33E}"/>
    <cellStyle name="Normal 8 2 2 3 2 4 2 3" xfId="13344" xr:uid="{5C68356F-A3BD-46BF-B460-2E04BCD0B731}"/>
    <cellStyle name="Normal 8 2 2 3 2 4 3" xfId="6090" xr:uid="{00000000-0005-0000-0000-0000521C0000}"/>
    <cellStyle name="Normal 8 2 2 3 2 4 3 2" xfId="15416" xr:uid="{3AF26A9E-4787-4CC9-A96E-C9CF08192A16}"/>
    <cellStyle name="Normal 8 2 2 3 2 4 4" xfId="11199" xr:uid="{7F064A95-DFF3-492F-9005-BFB9C27FD9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347CB545-3BEF-4EA0-A4CD-2572E4F712CD}"/>
    <cellStyle name="Normal 8 2 2 3 2 5 2 3" xfId="13757" xr:uid="{4F55C462-203B-472F-B410-6E3EFC0508DA}"/>
    <cellStyle name="Normal 8 2 2 3 2 5 3" xfId="6503" xr:uid="{00000000-0005-0000-0000-0000561C0000}"/>
    <cellStyle name="Normal 8 2 2 3 2 5 3 2" xfId="15829" xr:uid="{75F9EED1-5809-46D0-ADC6-F672073E2685}"/>
    <cellStyle name="Normal 8 2 2 3 2 5 4" xfId="11612" xr:uid="{53D661BD-64B9-4413-B628-2FF3734AB26B}"/>
    <cellStyle name="Normal 8 2 2 3 2 6" xfId="2633" xr:uid="{00000000-0005-0000-0000-0000571C0000}"/>
    <cellStyle name="Normal 8 2 2 3 2 6 2" xfId="6916" xr:uid="{00000000-0005-0000-0000-0000581C0000}"/>
    <cellStyle name="Normal 8 2 2 3 2 6 2 2" xfId="16242" xr:uid="{E8E46E9E-77DB-462F-A6A0-78256886E5EB}"/>
    <cellStyle name="Normal 8 2 2 3 2 6 3" xfId="12025" xr:uid="{C14AEF33-9E04-487D-A7C2-DF6832682C99}"/>
    <cellStyle name="Normal 8 2 2 3 2 7" xfId="4851" xr:uid="{00000000-0005-0000-0000-0000591C0000}"/>
    <cellStyle name="Normal 8 2 2 3 2 7 2" xfId="14177" xr:uid="{1D5ED8C8-55E4-4241-BFA3-AB72DA80B7D8}"/>
    <cellStyle name="Normal 8 2 2 3 2 8" xfId="9093" xr:uid="{ADE34C72-BCCB-477C-B66A-BE7159CEB281}"/>
    <cellStyle name="Normal 8 2 2 3 2 8 2" xfId="18417" xr:uid="{E7F088DE-782D-4D80-90E8-0C9C5B08C735}"/>
    <cellStyle name="Normal 8 2 2 3 2 9" xfId="9960" xr:uid="{015BD242-8D08-4335-B825-DD60FE8818C2}"/>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FB679C50-A6C4-406F-A504-9CDF6C827AB3}"/>
    <cellStyle name="Normal 8 2 2 3 3 2 3" xfId="12517" xr:uid="{CAB30D00-DC40-47F2-BE3C-F310056769C9}"/>
    <cellStyle name="Normal 8 2 2 3 3 3" xfId="5263" xr:uid="{00000000-0005-0000-0000-00005D1C0000}"/>
    <cellStyle name="Normal 8 2 2 3 3 3 2" xfId="14589" xr:uid="{C6E1252A-A964-433D-9B4B-3491111324CC}"/>
    <cellStyle name="Normal 8 2 2 3 3 4" xfId="9311" xr:uid="{F4618F1E-1235-4269-B5C6-B09BE5034F6C}"/>
    <cellStyle name="Normal 8 2 2 3 3 4 2" xfId="18626" xr:uid="{5145FF3F-B0EB-44A1-920C-3E2F7D615EEE}"/>
    <cellStyle name="Normal 8 2 2 3 3 5" xfId="10372" xr:uid="{92A7B93E-2BE7-493E-8B2B-02AAFD82B5BF}"/>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9B4F96C5-5B7F-4CA8-8DC1-D638129E08FA}"/>
    <cellStyle name="Normal 8 2 2 3 4 2 3" xfId="12930" xr:uid="{7532CECA-DD43-478E-AABB-339C1CE8E2B2}"/>
    <cellStyle name="Normal 8 2 2 3 4 3" xfId="5676" xr:uid="{00000000-0005-0000-0000-0000611C0000}"/>
    <cellStyle name="Normal 8 2 2 3 4 3 2" xfId="15002" xr:uid="{D6805668-7565-4595-9FC8-71A9B939E402}"/>
    <cellStyle name="Normal 8 2 2 3 4 4" xfId="10785" xr:uid="{EF22B1A4-0F80-42A8-97D9-44D98B757CE5}"/>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044C2CFE-FDD3-4714-8473-B4E3436FA903}"/>
    <cellStyle name="Normal 8 2 2 3 5 2 3" xfId="13343" xr:uid="{E21F4FBA-A371-4070-B78D-E05C2EA40AFD}"/>
    <cellStyle name="Normal 8 2 2 3 5 3" xfId="6089" xr:uid="{00000000-0005-0000-0000-0000651C0000}"/>
    <cellStyle name="Normal 8 2 2 3 5 3 2" xfId="15415" xr:uid="{E54C4F44-7494-4F95-A5D1-748E8D0E3CF9}"/>
    <cellStyle name="Normal 8 2 2 3 5 4" xfId="11198" xr:uid="{22C132FB-8A2A-441E-AFB8-04508575E12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E6DC17B5-7763-4B79-B5F4-DB8F0F3B0F8E}"/>
    <cellStyle name="Normal 8 2 2 3 6 2 3" xfId="13756" xr:uid="{55B40076-2D10-4F3A-A042-F1EAC03CFC26}"/>
    <cellStyle name="Normal 8 2 2 3 6 3" xfId="6502" xr:uid="{00000000-0005-0000-0000-0000691C0000}"/>
    <cellStyle name="Normal 8 2 2 3 6 3 2" xfId="15828" xr:uid="{EE25ED39-86A1-4076-92F5-4BC419D946C0}"/>
    <cellStyle name="Normal 8 2 2 3 6 4" xfId="11611" xr:uid="{10540F81-76B4-4110-8B87-58C051C41954}"/>
    <cellStyle name="Normal 8 2 2 3 7" xfId="2632" xr:uid="{00000000-0005-0000-0000-00006A1C0000}"/>
    <cellStyle name="Normal 8 2 2 3 7 2" xfId="6915" xr:uid="{00000000-0005-0000-0000-00006B1C0000}"/>
    <cellStyle name="Normal 8 2 2 3 7 2 2" xfId="16241" xr:uid="{D39374C6-99B3-4246-8975-8866E9EF63C4}"/>
    <cellStyle name="Normal 8 2 2 3 7 3" xfId="12024" xr:uid="{BF59EA82-495E-4F54-9559-D8DBC70247CA}"/>
    <cellStyle name="Normal 8 2 2 3 8" xfId="4850" xr:uid="{00000000-0005-0000-0000-00006C1C0000}"/>
    <cellStyle name="Normal 8 2 2 3 8 2" xfId="14176" xr:uid="{14FC7519-801B-4485-B470-CA2F1CDA727F}"/>
    <cellStyle name="Normal 8 2 2 3 9" xfId="8886" xr:uid="{B2A45ACA-2377-4A40-A818-E7106AD46E30}"/>
    <cellStyle name="Normal 8 2 2 3 9 2" xfId="18210" xr:uid="{A19BC32F-7911-4B9D-9007-C91A0E76D705}"/>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BA48435C-28EF-4C20-96FC-0031B81D36B6}"/>
    <cellStyle name="Normal 8 2 2 4 2 2 3" xfId="12519" xr:uid="{4254BF50-8EBB-443E-BB3E-D237EB2D693E}"/>
    <cellStyle name="Normal 8 2 2 4 2 3" xfId="5265" xr:uid="{00000000-0005-0000-0000-0000711C0000}"/>
    <cellStyle name="Normal 8 2 2 4 2 3 2" xfId="14591" xr:uid="{CF2BC15B-26F3-467B-87C9-0AC8F2B862ED}"/>
    <cellStyle name="Normal 8 2 2 4 2 4" xfId="9415" xr:uid="{88D7FF95-DEA9-4369-BE01-487FC7B2B7E8}"/>
    <cellStyle name="Normal 8 2 2 4 2 4 2" xfId="18730" xr:uid="{93077A5C-733F-4864-B441-F38486216223}"/>
    <cellStyle name="Normal 8 2 2 4 2 5" xfId="10374" xr:uid="{74AC1F5E-AB69-4500-854D-50E247B909B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011D57BA-8089-4CD5-9A9D-B3ADEEDA7E6A}"/>
    <cellStyle name="Normal 8 2 2 4 3 2 3" xfId="12932" xr:uid="{A7D80157-CAA0-4FAF-AFC8-E0CE2BBD1EAD}"/>
    <cellStyle name="Normal 8 2 2 4 3 3" xfId="5678" xr:uid="{00000000-0005-0000-0000-0000751C0000}"/>
    <cellStyle name="Normal 8 2 2 4 3 3 2" xfId="15004" xr:uid="{F1C916D8-6192-4C2C-9E73-7AFEE1C89CC6}"/>
    <cellStyle name="Normal 8 2 2 4 3 4" xfId="10787" xr:uid="{1CCE2E91-F1E2-46B3-9F4C-F21EADC7BF2E}"/>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7664DD81-FF73-4362-9556-683826A6B8F4}"/>
    <cellStyle name="Normal 8 2 2 4 4 2 3" xfId="13345" xr:uid="{0DC9A037-B867-4840-AFBA-2B5B24F31A1C}"/>
    <cellStyle name="Normal 8 2 2 4 4 3" xfId="6091" xr:uid="{00000000-0005-0000-0000-0000791C0000}"/>
    <cellStyle name="Normal 8 2 2 4 4 3 2" xfId="15417" xr:uid="{F58D05C7-856B-4A8A-A759-EC0FF01325E2}"/>
    <cellStyle name="Normal 8 2 2 4 4 4" xfId="11200" xr:uid="{82AC6331-139A-46A9-945B-320A1FA7045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2E262077-0AF5-422C-B09D-AF7B49DD7A8B}"/>
    <cellStyle name="Normal 8 2 2 4 5 2 3" xfId="13758" xr:uid="{91BD56C6-FAAD-46D4-A4C1-2EE85C76C31C}"/>
    <cellStyle name="Normal 8 2 2 4 5 3" xfId="6504" xr:uid="{00000000-0005-0000-0000-00007D1C0000}"/>
    <cellStyle name="Normal 8 2 2 4 5 3 2" xfId="15830" xr:uid="{106B19DF-6892-4EED-ACD0-CD1943C101C2}"/>
    <cellStyle name="Normal 8 2 2 4 5 4" xfId="11613" xr:uid="{613C11F1-8184-43F0-B77C-A6C574EAB122}"/>
    <cellStyle name="Normal 8 2 2 4 6" xfId="2634" xr:uid="{00000000-0005-0000-0000-00007E1C0000}"/>
    <cellStyle name="Normal 8 2 2 4 6 2" xfId="6917" xr:uid="{00000000-0005-0000-0000-00007F1C0000}"/>
    <cellStyle name="Normal 8 2 2 4 6 2 2" xfId="16243" xr:uid="{688A191D-E059-4B65-857B-D81C6D14FC7E}"/>
    <cellStyle name="Normal 8 2 2 4 6 3" xfId="12026" xr:uid="{2534F681-96A1-42A8-BB96-C8524DCF58F1}"/>
    <cellStyle name="Normal 8 2 2 4 7" xfId="4852" xr:uid="{00000000-0005-0000-0000-0000801C0000}"/>
    <cellStyle name="Normal 8 2 2 4 7 2" xfId="14178" xr:uid="{350D5602-1F0E-49AC-A57A-10F38ABB19A6}"/>
    <cellStyle name="Normal 8 2 2 4 8" xfId="8990" xr:uid="{F08D85C9-EB04-4227-BEA0-1B51DDB63DFA}"/>
    <cellStyle name="Normal 8 2 2 4 8 2" xfId="18314" xr:uid="{99D280C5-8F39-4D5C-8953-9642A3D08853}"/>
    <cellStyle name="Normal 8 2 2 4 9" xfId="9961" xr:uid="{D38FA690-8FB4-48B7-A5D2-9C3A26186BEC}"/>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8513AFC4-6AA8-4374-AA71-69D00C4C1EC4}"/>
    <cellStyle name="Normal 8 2 2 5 2 3" xfId="12512" xr:uid="{E4116E09-DD92-4E80-A3DE-DD9FE3657995}"/>
    <cellStyle name="Normal 8 2 2 5 3" xfId="5258" xr:uid="{00000000-0005-0000-0000-0000841C0000}"/>
    <cellStyle name="Normal 8 2 2 5 3 2" xfId="14584" xr:uid="{97B67260-BA40-4871-9D9E-67D096D36E6E}"/>
    <cellStyle name="Normal 8 2 2 5 4" xfId="9207" xr:uid="{D4CDC4D2-5794-400F-B850-1B259D26C1FE}"/>
    <cellStyle name="Normal 8 2 2 5 4 2" xfId="18523" xr:uid="{C6C8F372-A669-406A-B77E-45AA4BD5ED58}"/>
    <cellStyle name="Normal 8 2 2 5 5" xfId="10367" xr:uid="{40FCD851-3A8D-4569-A795-841B53CA149C}"/>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95E74770-81CD-40E2-B983-4FDD549D98B7}"/>
    <cellStyle name="Normal 8 2 2 6 2 3" xfId="12925" xr:uid="{2DFD60CA-5894-4AD2-AFC6-4FDC3B60F379}"/>
    <cellStyle name="Normal 8 2 2 6 3" xfId="5671" xr:uid="{00000000-0005-0000-0000-0000881C0000}"/>
    <cellStyle name="Normal 8 2 2 6 3 2" xfId="14997" xr:uid="{BD3E9036-2431-42C8-BC75-4FAF3D6F087B}"/>
    <cellStyle name="Normal 8 2 2 6 4" xfId="10780" xr:uid="{E9E61E23-FEDA-4C4E-AE1C-CBFF91DF07C1}"/>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5B38E53C-49B4-48E3-A8D2-8E249F4211B3}"/>
    <cellStyle name="Normal 8 2 2 7 2 3" xfId="13338" xr:uid="{1FC73A5F-D132-4E7A-8F9B-AC8B18B08B30}"/>
    <cellStyle name="Normal 8 2 2 7 3" xfId="6084" xr:uid="{00000000-0005-0000-0000-00008C1C0000}"/>
    <cellStyle name="Normal 8 2 2 7 3 2" xfId="15410" xr:uid="{A2707583-7190-4443-911A-39B459C99B9A}"/>
    <cellStyle name="Normal 8 2 2 7 4" xfId="11193" xr:uid="{4D44602E-C010-4927-BF17-B0C7AD71F89C}"/>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3589D834-8136-4F3C-99E4-0B3AD5503EC6}"/>
    <cellStyle name="Normal 8 2 2 8 2 3" xfId="13751" xr:uid="{6B74C4A0-2D3F-4B9B-9AA8-0402BB0138EC}"/>
    <cellStyle name="Normal 8 2 2 8 3" xfId="6497" xr:uid="{00000000-0005-0000-0000-0000901C0000}"/>
    <cellStyle name="Normal 8 2 2 8 3 2" xfId="15823" xr:uid="{28E924AF-AE3C-4CDF-888A-0A678552AE0F}"/>
    <cellStyle name="Normal 8 2 2 8 4" xfId="11606" xr:uid="{A37B297E-BF00-4AD7-8664-1357729B1E3B}"/>
    <cellStyle name="Normal 8 2 2 9" xfId="2627" xr:uid="{00000000-0005-0000-0000-0000911C0000}"/>
    <cellStyle name="Normal 8 2 2 9 2" xfId="6910" xr:uid="{00000000-0005-0000-0000-0000921C0000}"/>
    <cellStyle name="Normal 8 2 2 9 2 2" xfId="16236" xr:uid="{009AB256-98A1-4F68-8744-8D30AB338F66}"/>
    <cellStyle name="Normal 8 2 2 9 3" xfId="12019" xr:uid="{44D62216-B4CD-4E94-B4CA-01B712E20AD1}"/>
    <cellStyle name="Normal 8 2 3" xfId="488" xr:uid="{00000000-0005-0000-0000-0000931C0000}"/>
    <cellStyle name="Normal 8 2 3 10" xfId="8835" xr:uid="{2F0FB8B3-D08B-41EB-93AB-2D83A1BD6036}"/>
    <cellStyle name="Normal 8 2 3 10 2" xfId="18159" xr:uid="{8743E801-CA2D-4522-8D7B-CCCABDBA68B2}"/>
    <cellStyle name="Normal 8 2 3 11" xfId="9962" xr:uid="{FFF5030A-BAB7-438D-81D6-A4D16A33EE31}"/>
    <cellStyle name="Normal 8 2 3 2" xfId="489" xr:uid="{00000000-0005-0000-0000-0000941C0000}"/>
    <cellStyle name="Normal 8 2 3 2 10" xfId="9963" xr:uid="{618D18E0-0F51-4923-B717-F8B5B27FC135}"/>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EAA3165A-D9EE-475E-9616-44709EE681B7}"/>
    <cellStyle name="Normal 8 2 3 2 2 2 2 3" xfId="12522" xr:uid="{FF1F965D-04B9-4D6C-9437-E5D4714B4A64}"/>
    <cellStyle name="Normal 8 2 3 2 2 2 3" xfId="5268" xr:uid="{00000000-0005-0000-0000-0000991C0000}"/>
    <cellStyle name="Normal 8 2 3 2 2 2 3 2" xfId="14594" xr:uid="{23752B15-6F27-4238-B08E-C3836902A3EE}"/>
    <cellStyle name="Normal 8 2 3 2 2 2 4" xfId="9570" xr:uid="{BA9732E0-D9E4-47DB-882D-D871A821FA55}"/>
    <cellStyle name="Normal 8 2 3 2 2 2 4 2" xfId="18885" xr:uid="{482D1E50-0252-47D7-8E20-7F90C3C3FC63}"/>
    <cellStyle name="Normal 8 2 3 2 2 2 5" xfId="10377" xr:uid="{35715543-E603-4E57-B9AF-E398E96443D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569ADA7F-E47F-4313-89AC-2CBD6E9348FA}"/>
    <cellStyle name="Normal 8 2 3 2 2 3 2 3" xfId="12935" xr:uid="{14CBA19C-985F-4697-AC44-9A7756D55A22}"/>
    <cellStyle name="Normal 8 2 3 2 2 3 3" xfId="5681" xr:uid="{00000000-0005-0000-0000-00009D1C0000}"/>
    <cellStyle name="Normal 8 2 3 2 2 3 3 2" xfId="15007" xr:uid="{8DD3496D-7BFA-4833-BB74-6627577E8B7A}"/>
    <cellStyle name="Normal 8 2 3 2 2 3 4" xfId="10790" xr:uid="{CAC8C55E-183B-4C64-8F83-CA8AE1E806C9}"/>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A5910D97-EB08-40F6-87EF-F0F16D66A680}"/>
    <cellStyle name="Normal 8 2 3 2 2 4 2 3" xfId="13348" xr:uid="{DAAA4717-ACEA-47B0-95C8-6AA4E2365A6B}"/>
    <cellStyle name="Normal 8 2 3 2 2 4 3" xfId="6094" xr:uid="{00000000-0005-0000-0000-0000A11C0000}"/>
    <cellStyle name="Normal 8 2 3 2 2 4 3 2" xfId="15420" xr:uid="{5A54DB15-0723-475C-A099-391694A70E32}"/>
    <cellStyle name="Normal 8 2 3 2 2 4 4" xfId="11203" xr:uid="{7FCB21BA-2043-40A0-BB4A-49594A90FA5D}"/>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C0497535-548C-4E29-8CA8-8B2F02274A1B}"/>
    <cellStyle name="Normal 8 2 3 2 2 5 2 3" xfId="13761" xr:uid="{EDBB15EF-8BB9-419F-9D3E-609EE5DF1C55}"/>
    <cellStyle name="Normal 8 2 3 2 2 5 3" xfId="6507" xr:uid="{00000000-0005-0000-0000-0000A51C0000}"/>
    <cellStyle name="Normal 8 2 3 2 2 5 3 2" xfId="15833" xr:uid="{064E9CEE-CE65-415D-A501-A88863A0CCAE}"/>
    <cellStyle name="Normal 8 2 3 2 2 5 4" xfId="11616" xr:uid="{2DA0D63B-942E-401E-B905-E696C562F8D3}"/>
    <cellStyle name="Normal 8 2 3 2 2 6" xfId="2637" xr:uid="{00000000-0005-0000-0000-0000A61C0000}"/>
    <cellStyle name="Normal 8 2 3 2 2 6 2" xfId="6920" xr:uid="{00000000-0005-0000-0000-0000A71C0000}"/>
    <cellStyle name="Normal 8 2 3 2 2 6 2 2" xfId="16246" xr:uid="{D382C404-CB4D-405A-83F1-72629A38C75F}"/>
    <cellStyle name="Normal 8 2 3 2 2 6 3" xfId="12029" xr:uid="{1B67AF21-8F93-47EA-A555-B8EEFF745C4A}"/>
    <cellStyle name="Normal 8 2 3 2 2 7" xfId="4855" xr:uid="{00000000-0005-0000-0000-0000A81C0000}"/>
    <cellStyle name="Normal 8 2 3 2 2 7 2" xfId="14181" xr:uid="{BE9C0F74-715D-4116-8BD7-042DA2B829BD}"/>
    <cellStyle name="Normal 8 2 3 2 2 8" xfId="9145" xr:uid="{C71E6005-187D-4837-92B4-619AF06B3A3B}"/>
    <cellStyle name="Normal 8 2 3 2 2 8 2" xfId="18469" xr:uid="{61B29913-8CAC-4049-A4BA-8E27D87F3B52}"/>
    <cellStyle name="Normal 8 2 3 2 2 9" xfId="9964" xr:uid="{0EB81C76-0FA5-4B09-BC94-BAEFE4D3459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A5CA5D08-05E8-405D-8A52-FA40045D2B8E}"/>
    <cellStyle name="Normal 8 2 3 2 3 2 3" xfId="12521" xr:uid="{AACAAE1A-4CBF-4EB4-A1F5-50862966F757}"/>
    <cellStyle name="Normal 8 2 3 2 3 3" xfId="5267" xr:uid="{00000000-0005-0000-0000-0000AC1C0000}"/>
    <cellStyle name="Normal 8 2 3 2 3 3 2" xfId="14593" xr:uid="{AE7E6DFC-E230-409B-B7EC-B0B0BAB7D041}"/>
    <cellStyle name="Normal 8 2 3 2 3 4" xfId="9363" xr:uid="{C94C6C98-A8BC-4AC9-B084-0D2219E89AA8}"/>
    <cellStyle name="Normal 8 2 3 2 3 4 2" xfId="18678" xr:uid="{76146756-A35C-4899-994A-E4E10CFE6ABD}"/>
    <cellStyle name="Normal 8 2 3 2 3 5" xfId="10376" xr:uid="{9B4B19FA-4A07-4568-8718-77F172955501}"/>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0F8EB23B-27ED-44CC-95F6-EC79C69900DA}"/>
    <cellStyle name="Normal 8 2 3 2 4 2 3" xfId="12934" xr:uid="{335C746D-A6C5-4554-ABD5-11A5B273B8BF}"/>
    <cellStyle name="Normal 8 2 3 2 4 3" xfId="5680" xr:uid="{00000000-0005-0000-0000-0000B01C0000}"/>
    <cellStyle name="Normal 8 2 3 2 4 3 2" xfId="15006" xr:uid="{47169061-A85A-4E8E-8AFD-5BE24124B7CB}"/>
    <cellStyle name="Normal 8 2 3 2 4 4" xfId="10789" xr:uid="{C723829A-89AD-4F84-B23F-2BBCD3C6A737}"/>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ABC644EE-406D-4399-B56C-254E846A0F4B}"/>
    <cellStyle name="Normal 8 2 3 2 5 2 3" xfId="13347" xr:uid="{3E41EBF6-0308-4D18-8D16-47D33EC96C06}"/>
    <cellStyle name="Normal 8 2 3 2 5 3" xfId="6093" xr:uid="{00000000-0005-0000-0000-0000B41C0000}"/>
    <cellStyle name="Normal 8 2 3 2 5 3 2" xfId="15419" xr:uid="{DDC4B51D-717C-4F2F-A362-9F573E00AF98}"/>
    <cellStyle name="Normal 8 2 3 2 5 4" xfId="11202" xr:uid="{40895929-7AF3-4098-AC8B-792B6A6F55DA}"/>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806CD008-99CE-4423-81D8-94488885A17C}"/>
    <cellStyle name="Normal 8 2 3 2 6 2 3" xfId="13760" xr:uid="{D444CBB5-5AA0-499A-8050-FAF50E3AE517}"/>
    <cellStyle name="Normal 8 2 3 2 6 3" xfId="6506" xr:uid="{00000000-0005-0000-0000-0000B81C0000}"/>
    <cellStyle name="Normal 8 2 3 2 6 3 2" xfId="15832" xr:uid="{0FD3959E-AF26-46E8-BFD7-0E5ECC384261}"/>
    <cellStyle name="Normal 8 2 3 2 6 4" xfId="11615" xr:uid="{302787A6-9361-40E0-A86F-451816B9C080}"/>
    <cellStyle name="Normal 8 2 3 2 7" xfId="2636" xr:uid="{00000000-0005-0000-0000-0000B91C0000}"/>
    <cellStyle name="Normal 8 2 3 2 7 2" xfId="6919" xr:uid="{00000000-0005-0000-0000-0000BA1C0000}"/>
    <cellStyle name="Normal 8 2 3 2 7 2 2" xfId="16245" xr:uid="{EE19F9B0-B665-4374-AD2B-6A38D8DDFCB3}"/>
    <cellStyle name="Normal 8 2 3 2 7 3" xfId="12028" xr:uid="{09732076-6ED3-4874-B517-E3AD3A46EE1A}"/>
    <cellStyle name="Normal 8 2 3 2 8" xfId="4854" xr:uid="{00000000-0005-0000-0000-0000BB1C0000}"/>
    <cellStyle name="Normal 8 2 3 2 8 2" xfId="14180" xr:uid="{257987D3-01DA-404E-98BB-3716B00D1E62}"/>
    <cellStyle name="Normal 8 2 3 2 9" xfId="8938" xr:uid="{1EAF77CE-4DC3-40DC-AA9D-31320D478EE9}"/>
    <cellStyle name="Normal 8 2 3 2 9 2" xfId="18262" xr:uid="{7FC01B0C-1FC8-4800-8B65-60AD45104B98}"/>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F9234F3F-2A3C-4C44-A80C-FC32898A710F}"/>
    <cellStyle name="Normal 8 2 3 3 2 2 3" xfId="12523" xr:uid="{E43E1BBC-FA0F-4E8C-BF04-2E820E145892}"/>
    <cellStyle name="Normal 8 2 3 3 2 3" xfId="5269" xr:uid="{00000000-0005-0000-0000-0000C01C0000}"/>
    <cellStyle name="Normal 8 2 3 3 2 3 2" xfId="14595" xr:uid="{BCFB85D4-9673-4061-8735-DE606DD19A40}"/>
    <cellStyle name="Normal 8 2 3 3 2 4" xfId="9467" xr:uid="{C16001D7-8508-4511-808F-E990F8EA0FE3}"/>
    <cellStyle name="Normal 8 2 3 3 2 4 2" xfId="18782" xr:uid="{4140CAD9-E0B0-46EC-ADD3-B7B37FD76CA1}"/>
    <cellStyle name="Normal 8 2 3 3 2 5" xfId="10378" xr:uid="{58F7C1C5-B4EF-47EF-96FB-CC5CEDBFA600}"/>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7889B5C3-6E82-467F-8E0F-3A3322E9878D}"/>
    <cellStyle name="Normal 8 2 3 3 3 2 3" xfId="12936" xr:uid="{3304F3F4-735F-4730-8FF3-8E34D108B56B}"/>
    <cellStyle name="Normal 8 2 3 3 3 3" xfId="5682" xr:uid="{00000000-0005-0000-0000-0000C41C0000}"/>
    <cellStyle name="Normal 8 2 3 3 3 3 2" xfId="15008" xr:uid="{EA44CAFD-68A2-41C2-AFE0-5D5787F1A935}"/>
    <cellStyle name="Normal 8 2 3 3 3 4" xfId="10791" xr:uid="{25014B8B-9BE1-4EB9-AC9C-2763B9C66BE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03E04FEF-158A-4BD1-A959-4A327FDE2388}"/>
    <cellStyle name="Normal 8 2 3 3 4 2 3" xfId="13349" xr:uid="{5843FE14-7DF6-415E-AF62-C258B12F6E86}"/>
    <cellStyle name="Normal 8 2 3 3 4 3" xfId="6095" xr:uid="{00000000-0005-0000-0000-0000C81C0000}"/>
    <cellStyle name="Normal 8 2 3 3 4 3 2" xfId="15421" xr:uid="{096D4490-DBDB-49BA-A0B2-4167097B01F9}"/>
    <cellStyle name="Normal 8 2 3 3 4 4" xfId="11204" xr:uid="{E143D1C8-D7B1-4F02-AC06-9A000C57188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39DF2C55-D820-4F85-8B48-58AC392D68F7}"/>
    <cellStyle name="Normal 8 2 3 3 5 2 3" xfId="13762" xr:uid="{17C8B6F3-9BB8-4140-A43B-D5765396C874}"/>
    <cellStyle name="Normal 8 2 3 3 5 3" xfId="6508" xr:uid="{00000000-0005-0000-0000-0000CC1C0000}"/>
    <cellStyle name="Normal 8 2 3 3 5 3 2" xfId="15834" xr:uid="{661D6D7B-4657-4271-BAD1-AACD4A599191}"/>
    <cellStyle name="Normal 8 2 3 3 5 4" xfId="11617" xr:uid="{9E20F5F9-3994-465D-92E8-ADEBD6699A70}"/>
    <cellStyle name="Normal 8 2 3 3 6" xfId="2638" xr:uid="{00000000-0005-0000-0000-0000CD1C0000}"/>
    <cellStyle name="Normal 8 2 3 3 6 2" xfId="6921" xr:uid="{00000000-0005-0000-0000-0000CE1C0000}"/>
    <cellStyle name="Normal 8 2 3 3 6 2 2" xfId="16247" xr:uid="{33EAC7E8-AF92-4C08-992F-97D09A008975}"/>
    <cellStyle name="Normal 8 2 3 3 6 3" xfId="12030" xr:uid="{AD40864A-0039-49EB-A357-A8E882C87A2D}"/>
    <cellStyle name="Normal 8 2 3 3 7" xfId="4856" xr:uid="{00000000-0005-0000-0000-0000CF1C0000}"/>
    <cellStyle name="Normal 8 2 3 3 7 2" xfId="14182" xr:uid="{76466F28-377C-4E32-8545-9612A76750FD}"/>
    <cellStyle name="Normal 8 2 3 3 8" xfId="9042" xr:uid="{D820ED39-BAB1-48C1-A68D-2017E247E432}"/>
    <cellStyle name="Normal 8 2 3 3 8 2" xfId="18366" xr:uid="{DBDAC598-72A9-476D-81F6-319DEAC31569}"/>
    <cellStyle name="Normal 8 2 3 3 9" xfId="9965" xr:uid="{90F5D477-144E-49C1-A4AB-62F24BB1578C}"/>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D6DBA3D4-EE32-4A05-B740-751171E1048E}"/>
    <cellStyle name="Normal 8 2 3 4 2 3" xfId="12520" xr:uid="{3332FC37-8F64-4E96-AD6E-BAB72AF0A3A8}"/>
    <cellStyle name="Normal 8 2 3 4 3" xfId="5266" xr:uid="{00000000-0005-0000-0000-0000D31C0000}"/>
    <cellStyle name="Normal 8 2 3 4 3 2" xfId="14592" xr:uid="{7E826E90-2F9E-451E-9644-0864EC844668}"/>
    <cellStyle name="Normal 8 2 3 4 4" xfId="9260" xr:uid="{70FF5A16-C89A-42B7-A603-E23A7C2F443C}"/>
    <cellStyle name="Normal 8 2 3 4 4 2" xfId="18575" xr:uid="{1D17C584-75DF-463A-8395-5A326DB62FA0}"/>
    <cellStyle name="Normal 8 2 3 4 5" xfId="10375" xr:uid="{AE70E1EB-51EC-4E53-87E5-6843C873F943}"/>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6C6EBD69-7CF0-466E-BC65-980FB3548841}"/>
    <cellStyle name="Normal 8 2 3 5 2 3" xfId="12933" xr:uid="{B59C0470-B2CE-4423-98E6-B38EAF493333}"/>
    <cellStyle name="Normal 8 2 3 5 3" xfId="5679" xr:uid="{00000000-0005-0000-0000-0000D71C0000}"/>
    <cellStyle name="Normal 8 2 3 5 3 2" xfId="15005" xr:uid="{AB45CA69-077D-44E4-8E03-3941CADA75CC}"/>
    <cellStyle name="Normal 8 2 3 5 4" xfId="10788" xr:uid="{A2A0B0D7-F386-4FB7-8C2F-95E3235B98B9}"/>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5932836E-3C50-4CF6-826F-BD822D35BE11}"/>
    <cellStyle name="Normal 8 2 3 6 2 3" xfId="13346" xr:uid="{D901EB0B-E4B3-4CED-AB4F-66A779F7FC66}"/>
    <cellStyle name="Normal 8 2 3 6 3" xfId="6092" xr:uid="{00000000-0005-0000-0000-0000DB1C0000}"/>
    <cellStyle name="Normal 8 2 3 6 3 2" xfId="15418" xr:uid="{28B58A21-D04A-4E05-8F39-138EF804FAD4}"/>
    <cellStyle name="Normal 8 2 3 6 4" xfId="11201" xr:uid="{24548671-B146-47DF-954C-CB90584EEE2B}"/>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A456017E-15ED-4707-B6BB-5DEE90A75665}"/>
    <cellStyle name="Normal 8 2 3 7 2 3" xfId="13759" xr:uid="{A2ACDACD-EA2E-49DF-8338-FD9FAC02487B}"/>
    <cellStyle name="Normal 8 2 3 7 3" xfId="6505" xr:uid="{00000000-0005-0000-0000-0000DF1C0000}"/>
    <cellStyle name="Normal 8 2 3 7 3 2" xfId="15831" xr:uid="{842F2560-00C5-4385-B591-76E42469E84C}"/>
    <cellStyle name="Normal 8 2 3 7 4" xfId="11614" xr:uid="{9B8D9B69-2998-47F4-B471-1194153F8B3D}"/>
    <cellStyle name="Normal 8 2 3 8" xfId="2635" xr:uid="{00000000-0005-0000-0000-0000E01C0000}"/>
    <cellStyle name="Normal 8 2 3 8 2" xfId="6918" xr:uid="{00000000-0005-0000-0000-0000E11C0000}"/>
    <cellStyle name="Normal 8 2 3 8 2 2" xfId="16244" xr:uid="{2A2D53CF-D39D-45E2-99A7-4816F094C8CA}"/>
    <cellStyle name="Normal 8 2 3 8 3" xfId="12027" xr:uid="{994E4AC3-EE92-43C2-AA94-E9CCB799B703}"/>
    <cellStyle name="Normal 8 2 3 9" xfId="4853" xr:uid="{00000000-0005-0000-0000-0000E21C0000}"/>
    <cellStyle name="Normal 8 2 3 9 2" xfId="14179" xr:uid="{CB11B4BE-B657-4EA3-B0E4-0C1DA9F8F153}"/>
    <cellStyle name="Normal 8 2 4" xfId="492" xr:uid="{00000000-0005-0000-0000-0000E31C0000}"/>
    <cellStyle name="Normal 8 2 4 10" xfId="9966" xr:uid="{3BA9CACE-A829-4D82-9684-5E257DF33407}"/>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1761B7C9-8070-466E-B29F-0D96AB04AA5B}"/>
    <cellStyle name="Normal 8 2 4 2 2 2 3" xfId="12525" xr:uid="{85A0B514-BC5B-4E8C-86EB-962FEC74558E}"/>
    <cellStyle name="Normal 8 2 4 2 2 3" xfId="5271" xr:uid="{00000000-0005-0000-0000-0000E81C0000}"/>
    <cellStyle name="Normal 8 2 4 2 2 3 2" xfId="14597" xr:uid="{45A9CFBE-8068-432B-A86F-745C42A5E3FD}"/>
    <cellStyle name="Normal 8 2 4 2 2 4" xfId="9486" xr:uid="{9F6EBE4C-F02F-43A6-A388-D5EACB1B3099}"/>
    <cellStyle name="Normal 8 2 4 2 2 4 2" xfId="18801" xr:uid="{44249453-3885-481C-B369-308AA3736246}"/>
    <cellStyle name="Normal 8 2 4 2 2 5" xfId="10380" xr:uid="{EE0D2372-52CC-41AB-B9A9-A3A97A1D229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91700B58-F722-403C-9F5B-B35AD9EA0ABE}"/>
    <cellStyle name="Normal 8 2 4 2 3 2 3" xfId="12938" xr:uid="{9AE714B9-C74D-4593-8DC4-0591A6935D47}"/>
    <cellStyle name="Normal 8 2 4 2 3 3" xfId="5684" xr:uid="{00000000-0005-0000-0000-0000EC1C0000}"/>
    <cellStyle name="Normal 8 2 4 2 3 3 2" xfId="15010" xr:uid="{2DE4EB1C-E1E6-46AC-B2B3-7016AFAB0A63}"/>
    <cellStyle name="Normal 8 2 4 2 3 4" xfId="10793" xr:uid="{A8B66E3B-37C8-47C1-AB12-1C6FF23D574D}"/>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999DD3B8-0114-4CB8-A401-AFB15C60FC65}"/>
    <cellStyle name="Normal 8 2 4 2 4 2 3" xfId="13351" xr:uid="{46F43FFE-4D79-4CD8-944A-7923CB3F3148}"/>
    <cellStyle name="Normal 8 2 4 2 4 3" xfId="6097" xr:uid="{00000000-0005-0000-0000-0000F01C0000}"/>
    <cellStyle name="Normal 8 2 4 2 4 3 2" xfId="15423" xr:uid="{941503E8-E99E-4E91-9C00-5AF8DA935DDA}"/>
    <cellStyle name="Normal 8 2 4 2 4 4" xfId="11206" xr:uid="{90B803CF-44DE-43CD-8CD1-97C3CC4AE5EF}"/>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47EFF521-0C7B-496E-8FBD-9DD6592A3762}"/>
    <cellStyle name="Normal 8 2 4 2 5 2 3" xfId="13764" xr:uid="{E74023C0-6FA3-40F7-8EBF-3FFD159EEAC9}"/>
    <cellStyle name="Normal 8 2 4 2 5 3" xfId="6510" xr:uid="{00000000-0005-0000-0000-0000F41C0000}"/>
    <cellStyle name="Normal 8 2 4 2 5 3 2" xfId="15836" xr:uid="{1FFC22BB-2B89-4D19-8E6E-605AD0456020}"/>
    <cellStyle name="Normal 8 2 4 2 5 4" xfId="11619" xr:uid="{83B01677-B11B-4F95-9191-D51D258067B5}"/>
    <cellStyle name="Normal 8 2 4 2 6" xfId="2640" xr:uid="{00000000-0005-0000-0000-0000F51C0000}"/>
    <cellStyle name="Normal 8 2 4 2 6 2" xfId="6923" xr:uid="{00000000-0005-0000-0000-0000F61C0000}"/>
    <cellStyle name="Normal 8 2 4 2 6 2 2" xfId="16249" xr:uid="{49AD46CA-9286-43DE-BB1A-33425B0AE795}"/>
    <cellStyle name="Normal 8 2 4 2 6 3" xfId="12032" xr:uid="{36DC2281-8E9B-4599-91F3-903FC7D63167}"/>
    <cellStyle name="Normal 8 2 4 2 7" xfId="4858" xr:uid="{00000000-0005-0000-0000-0000F71C0000}"/>
    <cellStyle name="Normal 8 2 4 2 7 2" xfId="14184" xr:uid="{F6A0CA7F-3895-42EE-9AF5-D716A0F6BF35}"/>
    <cellStyle name="Normal 8 2 4 2 8" xfId="9061" xr:uid="{7295DB82-9441-436C-AA3E-91B68F6E59B3}"/>
    <cellStyle name="Normal 8 2 4 2 8 2" xfId="18385" xr:uid="{D6ECEBAC-E131-4D52-846D-864BD073A566}"/>
    <cellStyle name="Normal 8 2 4 2 9" xfId="9967" xr:uid="{C2A5C443-6B4F-4B57-BEE1-67ABFF0BB8C2}"/>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FD500FB8-96F8-492B-A849-6BF2B9E7C3A3}"/>
    <cellStyle name="Normal 8 2 4 3 2 3" xfId="12524" xr:uid="{59A1EE0C-3058-4242-9ED5-176D47946154}"/>
    <cellStyle name="Normal 8 2 4 3 3" xfId="5270" xr:uid="{00000000-0005-0000-0000-0000FB1C0000}"/>
    <cellStyle name="Normal 8 2 4 3 3 2" xfId="14596" xr:uid="{E682F417-25F1-4CD2-9120-0E2B179D0D8D}"/>
    <cellStyle name="Normal 8 2 4 3 4" xfId="9279" xr:uid="{BA09D30D-BEBA-4223-83E6-57FB46A1EFA8}"/>
    <cellStyle name="Normal 8 2 4 3 4 2" xfId="18594" xr:uid="{4C7DE272-DED9-4EDD-97A4-3F24875407AD}"/>
    <cellStyle name="Normal 8 2 4 3 5" xfId="10379" xr:uid="{473288E9-9EC6-4519-99DB-39CA568B8AED}"/>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6F4DAAE7-4088-4B7C-A776-1FAFF4BBE624}"/>
    <cellStyle name="Normal 8 2 4 4 2 3" xfId="12937" xr:uid="{2EBD57B1-5F4B-41AD-8C4E-3EA1278956B0}"/>
    <cellStyle name="Normal 8 2 4 4 3" xfId="5683" xr:uid="{00000000-0005-0000-0000-0000FF1C0000}"/>
    <cellStyle name="Normal 8 2 4 4 3 2" xfId="15009" xr:uid="{926ADC88-BCE7-484A-A024-D9ABD237482A}"/>
    <cellStyle name="Normal 8 2 4 4 4" xfId="10792" xr:uid="{BF0EA9AB-B026-4232-8FED-5C8A4DD98384}"/>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FF13F482-0B6C-434A-847F-CEB20A29906A}"/>
    <cellStyle name="Normal 8 2 4 5 2 3" xfId="13350" xr:uid="{FA91CAE7-8D9B-4F91-824F-6AC408FFC9A9}"/>
    <cellStyle name="Normal 8 2 4 5 3" xfId="6096" xr:uid="{00000000-0005-0000-0000-0000031D0000}"/>
    <cellStyle name="Normal 8 2 4 5 3 2" xfId="15422" xr:uid="{74A4AACC-5C9A-4CAE-A87E-596BA4BB0231}"/>
    <cellStyle name="Normal 8 2 4 5 4" xfId="11205" xr:uid="{DFB02ABC-28CA-4C9F-A68F-177A832E9DCD}"/>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6263D4D6-B8C6-4209-A95D-33DEB8CBCFE1}"/>
    <cellStyle name="Normal 8 2 4 6 2 3" xfId="13763" xr:uid="{13102E05-FF46-4AC8-83A4-C998336AECD0}"/>
    <cellStyle name="Normal 8 2 4 6 3" xfId="6509" xr:uid="{00000000-0005-0000-0000-0000071D0000}"/>
    <cellStyle name="Normal 8 2 4 6 3 2" xfId="15835" xr:uid="{F399AF4E-4659-4A95-92C5-A6F3A764D5D8}"/>
    <cellStyle name="Normal 8 2 4 6 4" xfId="11618" xr:uid="{ACB22442-8121-4D80-873B-3B60DF7F630A}"/>
    <cellStyle name="Normal 8 2 4 7" xfId="2639" xr:uid="{00000000-0005-0000-0000-0000081D0000}"/>
    <cellStyle name="Normal 8 2 4 7 2" xfId="6922" xr:uid="{00000000-0005-0000-0000-0000091D0000}"/>
    <cellStyle name="Normal 8 2 4 7 2 2" xfId="16248" xr:uid="{138DD4AD-5525-46ED-B469-3C3461DD422D}"/>
    <cellStyle name="Normal 8 2 4 7 3" xfId="12031" xr:uid="{90A0076B-7ABC-4F94-8C36-DDF32DBAB7F5}"/>
    <cellStyle name="Normal 8 2 4 8" xfId="4857" xr:uid="{00000000-0005-0000-0000-00000A1D0000}"/>
    <cellStyle name="Normal 8 2 4 8 2" xfId="14183" xr:uid="{EB794156-D1F8-4CCF-9512-DEFF9E3128D4}"/>
    <cellStyle name="Normal 8 2 4 9" xfId="8854" xr:uid="{F1F9C500-F3E2-475A-983E-BD697F4BACD1}"/>
    <cellStyle name="Normal 8 2 4 9 2" xfId="18178" xr:uid="{13EBF719-BC80-4A10-8506-1D69990D072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CFCAC263-AF91-4BCD-94B1-DFC88002CC83}"/>
    <cellStyle name="Normal 8 2 5 2 2 3" xfId="12526" xr:uid="{AC359BE7-BCF2-48C4-9487-13D385CA2C2E}"/>
    <cellStyle name="Normal 8 2 5 2 3" xfId="5272" xr:uid="{00000000-0005-0000-0000-00000F1D0000}"/>
    <cellStyle name="Normal 8 2 5 2 3 2" xfId="14598" xr:uid="{7F237BB3-BF25-40A0-ACE1-AE5687C5271B}"/>
    <cellStyle name="Normal 8 2 5 2 4" xfId="9395" xr:uid="{D5766EF3-6042-484F-B510-7448518CF571}"/>
    <cellStyle name="Normal 8 2 5 2 4 2" xfId="18710" xr:uid="{FE7315C4-49CD-4413-818B-E174C78E59FC}"/>
    <cellStyle name="Normal 8 2 5 2 5" xfId="10381" xr:uid="{2BB37E78-D8B7-4890-8E2E-8202248DD3C4}"/>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B854B3A6-A595-4951-907E-D253E98F7BC2}"/>
    <cellStyle name="Normal 8 2 5 3 2 3" xfId="12939" xr:uid="{3A4A05E5-4426-4BF8-86DE-CE2B30C40912}"/>
    <cellStyle name="Normal 8 2 5 3 3" xfId="5685" xr:uid="{00000000-0005-0000-0000-0000131D0000}"/>
    <cellStyle name="Normal 8 2 5 3 3 2" xfId="15011" xr:uid="{7AF63CBD-6958-489F-9F7B-93B2EC5B79D6}"/>
    <cellStyle name="Normal 8 2 5 3 4" xfId="10794" xr:uid="{29F5AAB3-7F70-4E19-ABB2-42FCF1ED49E6}"/>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7DF17ED5-6420-44D5-BB1A-AE579536A512}"/>
    <cellStyle name="Normal 8 2 5 4 2 3" xfId="13352" xr:uid="{0E2AABC0-6E55-4B74-A0C7-895DC9F2CD7F}"/>
    <cellStyle name="Normal 8 2 5 4 3" xfId="6098" xr:uid="{00000000-0005-0000-0000-0000171D0000}"/>
    <cellStyle name="Normal 8 2 5 4 3 2" xfId="15424" xr:uid="{6A51AFFE-6A14-4A23-801B-70115ED4562F}"/>
    <cellStyle name="Normal 8 2 5 4 4" xfId="11207" xr:uid="{5A65CE99-D0FE-47B3-9514-AFEFA2E546FF}"/>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AF9F49B6-9955-4813-9C81-F2FB79798FC2}"/>
    <cellStyle name="Normal 8 2 5 5 2 3" xfId="13765" xr:uid="{8AA4E7C3-32BC-4AF1-857C-DA8353461A2C}"/>
    <cellStyle name="Normal 8 2 5 5 3" xfId="6511" xr:uid="{00000000-0005-0000-0000-00001B1D0000}"/>
    <cellStyle name="Normal 8 2 5 5 3 2" xfId="15837" xr:uid="{7205DF0F-56F8-4F99-B362-23BE83BFAB08}"/>
    <cellStyle name="Normal 8 2 5 5 4" xfId="11620" xr:uid="{C9FEDCC1-608E-435F-A3AA-A0E58F65E395}"/>
    <cellStyle name="Normal 8 2 5 6" xfId="2641" xr:uid="{00000000-0005-0000-0000-00001C1D0000}"/>
    <cellStyle name="Normal 8 2 5 6 2" xfId="6924" xr:uid="{00000000-0005-0000-0000-00001D1D0000}"/>
    <cellStyle name="Normal 8 2 5 6 2 2" xfId="16250" xr:uid="{EDAE9E92-3874-4E31-8564-1C13D7A18359}"/>
    <cellStyle name="Normal 8 2 5 6 3" xfId="12033" xr:uid="{5AEAA24E-0BBB-46C1-958C-2FF9BFA88A40}"/>
    <cellStyle name="Normal 8 2 5 7" xfId="4859" xr:uid="{00000000-0005-0000-0000-00001E1D0000}"/>
    <cellStyle name="Normal 8 2 5 7 2" xfId="14185" xr:uid="{BA9FEA14-5212-485B-AB85-2B9D166A398D}"/>
    <cellStyle name="Normal 8 2 5 8" xfId="8970" xr:uid="{7E9ACEFF-1680-45D8-BC32-8CA9BA1D63D4}"/>
    <cellStyle name="Normal 8 2 5 8 2" xfId="18294" xr:uid="{0C2CE0E6-BAFD-4D28-837C-805841C1EAC7}"/>
    <cellStyle name="Normal 8 2 5 9" xfId="9968" xr:uid="{9E7B7244-5615-4FC7-A439-860EF78719E0}"/>
    <cellStyle name="Normal 8 2 6" xfId="946" xr:uid="{00000000-0005-0000-0000-00001F1D0000}"/>
    <cellStyle name="Normal 8 2 6 2" xfId="3180" xr:uid="{00000000-0005-0000-0000-0000201D0000}"/>
    <cellStyle name="Normal 8 2 6 2 2" xfId="7402" xr:uid="{00000000-0005-0000-0000-0000211D0000}"/>
    <cellStyle name="Normal 8 2 6 2 2 2" xfId="16728" xr:uid="{819E9029-ED17-43E8-B63E-AAEBEA4E5CC3}"/>
    <cellStyle name="Normal 8 2 6 2 3" xfId="12511" xr:uid="{8B5C98DE-124C-4377-97C7-30AC25B9B643}"/>
    <cellStyle name="Normal 8 2 6 3" xfId="5257" xr:uid="{00000000-0005-0000-0000-0000221D0000}"/>
    <cellStyle name="Normal 8 2 6 3 2" xfId="14583" xr:uid="{0924F133-205F-41E2-8156-7D562768C12E}"/>
    <cellStyle name="Normal 8 2 6 4" xfId="9173" xr:uid="{C36295B3-E6F0-4A6D-AEE5-72C8177C13EE}"/>
    <cellStyle name="Normal 8 2 6 4 2" xfId="18491" xr:uid="{9478B270-3E74-4CB9-B60F-B2D20CCD95F3}"/>
    <cellStyle name="Normal 8 2 6 5" xfId="10366" xr:uid="{17803AA3-6EA9-421C-B127-6A64F6C61C28}"/>
    <cellStyle name="Normal 8 2 7" xfId="1363" xr:uid="{00000000-0005-0000-0000-0000231D0000}"/>
    <cellStyle name="Normal 8 2 7 2" xfId="3593" xr:uid="{00000000-0005-0000-0000-0000241D0000}"/>
    <cellStyle name="Normal 8 2 7 2 2" xfId="7815" xr:uid="{00000000-0005-0000-0000-0000251D0000}"/>
    <cellStyle name="Normal 8 2 7 2 2 2" xfId="17141" xr:uid="{7E1FCBFE-89BD-4C9D-A777-B6E51A72AF96}"/>
    <cellStyle name="Normal 8 2 7 2 3" xfId="12924" xr:uid="{889DDCF0-9095-41C2-B485-2E0235B83B82}"/>
    <cellStyle name="Normal 8 2 7 3" xfId="5670" xr:uid="{00000000-0005-0000-0000-0000261D0000}"/>
    <cellStyle name="Normal 8 2 7 3 2" xfId="14996" xr:uid="{F2A23065-D4F5-48C1-A61A-95B8D0E7127C}"/>
    <cellStyle name="Normal 8 2 7 4" xfId="10779" xr:uid="{99F790E3-E51B-4E34-A223-D3B8D9FC2124}"/>
    <cellStyle name="Normal 8 2 8" xfId="1776" xr:uid="{00000000-0005-0000-0000-0000271D0000}"/>
    <cellStyle name="Normal 8 2 8 2" xfId="4006" xr:uid="{00000000-0005-0000-0000-0000281D0000}"/>
    <cellStyle name="Normal 8 2 8 2 2" xfId="8228" xr:uid="{00000000-0005-0000-0000-0000291D0000}"/>
    <cellStyle name="Normal 8 2 8 2 2 2" xfId="17554" xr:uid="{897E5BD6-5CCB-4B53-B6CC-B524E29C5FD4}"/>
    <cellStyle name="Normal 8 2 8 2 3" xfId="13337" xr:uid="{EC059968-321E-4407-8B67-79174FE2C5B6}"/>
    <cellStyle name="Normal 8 2 8 3" xfId="6083" xr:uid="{00000000-0005-0000-0000-00002A1D0000}"/>
    <cellStyle name="Normal 8 2 8 3 2" xfId="15409" xr:uid="{A2E2C5F6-9080-4493-86BA-7516D185C97F}"/>
    <cellStyle name="Normal 8 2 8 4" xfId="11192" xr:uid="{8347B6FD-2C08-4B3B-836B-89EA055BB955}"/>
    <cellStyle name="Normal 8 2 9" xfId="2190" xr:uid="{00000000-0005-0000-0000-00002B1D0000}"/>
    <cellStyle name="Normal 8 2 9 2" xfId="4419" xr:uid="{00000000-0005-0000-0000-00002C1D0000}"/>
    <cellStyle name="Normal 8 2 9 2 2" xfId="8641" xr:uid="{00000000-0005-0000-0000-00002D1D0000}"/>
    <cellStyle name="Normal 8 2 9 2 2 2" xfId="17967" xr:uid="{0E3555ED-EDA4-4B5A-A5CB-C4473E1BF9ED}"/>
    <cellStyle name="Normal 8 2 9 2 3" xfId="13750" xr:uid="{C54D23B4-2483-4191-97BD-7025B2AA2471}"/>
    <cellStyle name="Normal 8 2 9 3" xfId="6496" xr:uid="{00000000-0005-0000-0000-00002E1D0000}"/>
    <cellStyle name="Normal 8 2 9 3 2" xfId="15822" xr:uid="{BC20D83F-B10A-4F97-84B1-CFDCCCD7314E}"/>
    <cellStyle name="Normal 8 2 9 4" xfId="11605" xr:uid="{6DD4C8AC-30C4-44AC-A448-B3BAE99A51D3}"/>
    <cellStyle name="Normal 8 3" xfId="495" xr:uid="{00000000-0005-0000-0000-00002F1D0000}"/>
    <cellStyle name="Normal 8 3 10" xfId="4860" xr:uid="{00000000-0005-0000-0000-0000301D0000}"/>
    <cellStyle name="Normal 8 3 10 2" xfId="14186" xr:uid="{19DB4C79-5342-497E-B8D0-FB59ED5D3D2D}"/>
    <cellStyle name="Normal 8 3 11" xfId="8774" xr:uid="{81BDDADD-940D-4F3A-BD6C-7E4719C8A3D2}"/>
    <cellStyle name="Normal 8 3 11 2" xfId="18098" xr:uid="{87FB56CE-314F-4769-9591-DAD6A968C40D}"/>
    <cellStyle name="Normal 8 3 12" xfId="9969" xr:uid="{B41B1078-88F9-4C2F-9B87-DA3E421FCF5C}"/>
    <cellStyle name="Normal 8 3 2" xfId="496" xr:uid="{00000000-0005-0000-0000-0000311D0000}"/>
    <cellStyle name="Normal 8 3 2 10" xfId="8837" xr:uid="{392842AA-84B1-4A71-AE94-A1B631487B7E}"/>
    <cellStyle name="Normal 8 3 2 10 2" xfId="18161" xr:uid="{C7042A6C-7914-45EB-9BFB-1024327B0A61}"/>
    <cellStyle name="Normal 8 3 2 11" xfId="9970" xr:uid="{26C2284E-D61E-4332-A3CD-1687A2BB6FD6}"/>
    <cellStyle name="Normal 8 3 2 2" xfId="497" xr:uid="{00000000-0005-0000-0000-0000321D0000}"/>
    <cellStyle name="Normal 8 3 2 2 10" xfId="9971" xr:uid="{FDB3CA46-1F1E-45A8-8815-C1DB8815741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B6E303A1-F19B-4C95-A005-B800960809C4}"/>
    <cellStyle name="Normal 8 3 2 2 2 2 2 3" xfId="12530" xr:uid="{1728D572-6D02-40D4-9865-D8C09550B758}"/>
    <cellStyle name="Normal 8 3 2 2 2 2 3" xfId="5276" xr:uid="{00000000-0005-0000-0000-0000371D0000}"/>
    <cellStyle name="Normal 8 3 2 2 2 2 3 2" xfId="14602" xr:uid="{BFAE5F34-9664-475A-8D2B-DE5BF725E74C}"/>
    <cellStyle name="Normal 8 3 2 2 2 2 4" xfId="9572" xr:uid="{83269435-2305-4677-BD8B-8CB801DC108A}"/>
    <cellStyle name="Normal 8 3 2 2 2 2 4 2" xfId="18887" xr:uid="{A8E480B8-D87D-4B28-9706-D04001839AEB}"/>
    <cellStyle name="Normal 8 3 2 2 2 2 5" xfId="10385" xr:uid="{5629DE27-1F70-4968-981F-169D768070E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520E66AA-0292-4578-B1CE-09B06B51F29E}"/>
    <cellStyle name="Normal 8 3 2 2 2 3 2 3" xfId="12943" xr:uid="{8D272A51-1F08-454E-9529-F87BA59E395A}"/>
    <cellStyle name="Normal 8 3 2 2 2 3 3" xfId="5689" xr:uid="{00000000-0005-0000-0000-00003B1D0000}"/>
    <cellStyle name="Normal 8 3 2 2 2 3 3 2" xfId="15015" xr:uid="{05EC56CA-8BD4-4364-BDBB-33FFAF41D566}"/>
    <cellStyle name="Normal 8 3 2 2 2 3 4" xfId="10798" xr:uid="{83CA573C-C3AE-40FB-95B9-A16C5194D92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B0B0F3B0-4E5B-457D-8B76-CA6BD4E72674}"/>
    <cellStyle name="Normal 8 3 2 2 2 4 2 3" xfId="13356" xr:uid="{C2E38211-7671-4079-9D17-BEBDE8F929B0}"/>
    <cellStyle name="Normal 8 3 2 2 2 4 3" xfId="6102" xr:uid="{00000000-0005-0000-0000-00003F1D0000}"/>
    <cellStyle name="Normal 8 3 2 2 2 4 3 2" xfId="15428" xr:uid="{731C01E7-FE6A-43CF-AFFF-BD755134B135}"/>
    <cellStyle name="Normal 8 3 2 2 2 4 4" xfId="11211" xr:uid="{124C019C-C60B-4717-95B6-976056D665B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9E5DC0DD-AB1B-4689-93E0-F23050EC8B42}"/>
    <cellStyle name="Normal 8 3 2 2 2 5 2 3" xfId="13769" xr:uid="{32E40D33-0206-492B-8896-1A4F64D35CA2}"/>
    <cellStyle name="Normal 8 3 2 2 2 5 3" xfId="6515" xr:uid="{00000000-0005-0000-0000-0000431D0000}"/>
    <cellStyle name="Normal 8 3 2 2 2 5 3 2" xfId="15841" xr:uid="{4D490152-0B0A-4D67-92BF-366CFA35861D}"/>
    <cellStyle name="Normal 8 3 2 2 2 5 4" xfId="11624" xr:uid="{2A510D2D-934D-4859-AAA0-74428C800445}"/>
    <cellStyle name="Normal 8 3 2 2 2 6" xfId="2645" xr:uid="{00000000-0005-0000-0000-0000441D0000}"/>
    <cellStyle name="Normal 8 3 2 2 2 6 2" xfId="6928" xr:uid="{00000000-0005-0000-0000-0000451D0000}"/>
    <cellStyle name="Normal 8 3 2 2 2 6 2 2" xfId="16254" xr:uid="{5612E08E-003A-479E-8645-A04B00854A8A}"/>
    <cellStyle name="Normal 8 3 2 2 2 6 3" xfId="12037" xr:uid="{E444A9F9-A230-4F2C-9797-586EB692F3E4}"/>
    <cellStyle name="Normal 8 3 2 2 2 7" xfId="4863" xr:uid="{00000000-0005-0000-0000-0000461D0000}"/>
    <cellStyle name="Normal 8 3 2 2 2 7 2" xfId="14189" xr:uid="{1EAAB441-F907-41C7-9AEF-43378163B52A}"/>
    <cellStyle name="Normal 8 3 2 2 2 8" xfId="9147" xr:uid="{16780743-13F5-44BF-919B-157B86988913}"/>
    <cellStyle name="Normal 8 3 2 2 2 8 2" xfId="18471" xr:uid="{183DDF0D-113E-4DE6-AB58-829A88C5C780}"/>
    <cellStyle name="Normal 8 3 2 2 2 9" xfId="9972" xr:uid="{811AE8AE-EE5A-4D5B-B8BD-8D6B6A9475D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B185DCE7-6523-48FA-8585-194673F03E91}"/>
    <cellStyle name="Normal 8 3 2 2 3 2 3" xfId="12529" xr:uid="{08A57CBD-0101-4334-B801-80B19B4F8DD1}"/>
    <cellStyle name="Normal 8 3 2 2 3 3" xfId="5275" xr:uid="{00000000-0005-0000-0000-00004A1D0000}"/>
    <cellStyle name="Normal 8 3 2 2 3 3 2" xfId="14601" xr:uid="{CB1726F0-79D2-4427-A693-018CD2D91972}"/>
    <cellStyle name="Normal 8 3 2 2 3 4" xfId="9365" xr:uid="{47FF7C14-7484-41B9-856F-11398F7B2C7C}"/>
    <cellStyle name="Normal 8 3 2 2 3 4 2" xfId="18680" xr:uid="{D7151E2E-90DC-429D-89AB-27A9D1025351}"/>
    <cellStyle name="Normal 8 3 2 2 3 5" xfId="10384" xr:uid="{0D9E1953-760A-4ED9-AE19-E7722FFA4332}"/>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66DC54C3-DEAD-469D-9DF9-47E2A87F5A35}"/>
    <cellStyle name="Normal 8 3 2 2 4 2 3" xfId="12942" xr:uid="{38986CAE-9EAC-4CCC-8CC3-F2676396B9BD}"/>
    <cellStyle name="Normal 8 3 2 2 4 3" xfId="5688" xr:uid="{00000000-0005-0000-0000-00004E1D0000}"/>
    <cellStyle name="Normal 8 3 2 2 4 3 2" xfId="15014" xr:uid="{DB090912-71CF-4930-9893-682B6348285E}"/>
    <cellStyle name="Normal 8 3 2 2 4 4" xfId="10797" xr:uid="{950DC4C6-9CAB-42CD-8312-6E00610C0B0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3083A21E-DD2B-49C8-8BE6-65832124D33D}"/>
    <cellStyle name="Normal 8 3 2 2 5 2 3" xfId="13355" xr:uid="{CFA2C854-7B09-46E6-BEEE-9FC5EE81C18F}"/>
    <cellStyle name="Normal 8 3 2 2 5 3" xfId="6101" xr:uid="{00000000-0005-0000-0000-0000521D0000}"/>
    <cellStyle name="Normal 8 3 2 2 5 3 2" xfId="15427" xr:uid="{48AAD95F-D643-44A6-9C6F-F2605D749311}"/>
    <cellStyle name="Normal 8 3 2 2 5 4" xfId="11210" xr:uid="{64BBC851-FC86-406E-8919-399CFE6EE0F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B6270F2C-BAA9-416F-8608-74C54251DAAF}"/>
    <cellStyle name="Normal 8 3 2 2 6 2 3" xfId="13768" xr:uid="{FF29D6C0-E862-4313-8593-44805BD20FD1}"/>
    <cellStyle name="Normal 8 3 2 2 6 3" xfId="6514" xr:uid="{00000000-0005-0000-0000-0000561D0000}"/>
    <cellStyle name="Normal 8 3 2 2 6 3 2" xfId="15840" xr:uid="{B2440A5D-B21A-4618-8A50-0FA2A5BE90B9}"/>
    <cellStyle name="Normal 8 3 2 2 6 4" xfId="11623" xr:uid="{A8746112-65D9-4228-BB79-F4953CC1C633}"/>
    <cellStyle name="Normal 8 3 2 2 7" xfId="2644" xr:uid="{00000000-0005-0000-0000-0000571D0000}"/>
    <cellStyle name="Normal 8 3 2 2 7 2" xfId="6927" xr:uid="{00000000-0005-0000-0000-0000581D0000}"/>
    <cellStyle name="Normal 8 3 2 2 7 2 2" xfId="16253" xr:uid="{C98C7421-3D21-4218-AACB-DD329AA34CA6}"/>
    <cellStyle name="Normal 8 3 2 2 7 3" xfId="12036" xr:uid="{E214892B-20FD-4ACE-BC6B-D5255147682D}"/>
    <cellStyle name="Normal 8 3 2 2 8" xfId="4862" xr:uid="{00000000-0005-0000-0000-0000591D0000}"/>
    <cellStyle name="Normal 8 3 2 2 8 2" xfId="14188" xr:uid="{9520529B-67A1-42C5-A6C0-0E203F60A675}"/>
    <cellStyle name="Normal 8 3 2 2 9" xfId="8940" xr:uid="{63944EF0-E10A-4406-A758-3BD135650136}"/>
    <cellStyle name="Normal 8 3 2 2 9 2" xfId="18264" xr:uid="{63E0B049-3285-41D0-A446-F3FC2398A25A}"/>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6A66DCE5-2A20-4B07-A71E-765427379401}"/>
    <cellStyle name="Normal 8 3 2 3 2 2 3" xfId="12531" xr:uid="{950EA72D-DFA5-4923-83F2-9739AA4A3938}"/>
    <cellStyle name="Normal 8 3 2 3 2 3" xfId="5277" xr:uid="{00000000-0005-0000-0000-00005E1D0000}"/>
    <cellStyle name="Normal 8 3 2 3 2 3 2" xfId="14603" xr:uid="{65473219-B1E4-42C3-9740-0C1CC44551F2}"/>
    <cellStyle name="Normal 8 3 2 3 2 4" xfId="9469" xr:uid="{7CA6C380-A6E9-4AF4-A29A-E40C8E9B5B5F}"/>
    <cellStyle name="Normal 8 3 2 3 2 4 2" xfId="18784" xr:uid="{48D7D229-4B46-4E4A-919A-117B54883CDB}"/>
    <cellStyle name="Normal 8 3 2 3 2 5" xfId="10386" xr:uid="{3A794B64-152B-4430-AC86-89CC2D0EA04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5D50B24A-C4B8-4C4F-8BCF-78EA18D9C38C}"/>
    <cellStyle name="Normal 8 3 2 3 3 2 3" xfId="12944" xr:uid="{7B9FEF5C-E96B-4999-ACC2-2329EEA44D95}"/>
    <cellStyle name="Normal 8 3 2 3 3 3" xfId="5690" xr:uid="{00000000-0005-0000-0000-0000621D0000}"/>
    <cellStyle name="Normal 8 3 2 3 3 3 2" xfId="15016" xr:uid="{911734BB-941A-4357-A551-0FC725134C24}"/>
    <cellStyle name="Normal 8 3 2 3 3 4" xfId="10799" xr:uid="{1F2FC7DB-62EA-4802-BA4B-445BD54255ED}"/>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BD7AC792-4168-457F-83DB-D148FD06A1F3}"/>
    <cellStyle name="Normal 8 3 2 3 4 2 3" xfId="13357" xr:uid="{B815794B-1A5F-4B7C-BC4A-6316D7C1B2D4}"/>
    <cellStyle name="Normal 8 3 2 3 4 3" xfId="6103" xr:uid="{00000000-0005-0000-0000-0000661D0000}"/>
    <cellStyle name="Normal 8 3 2 3 4 3 2" xfId="15429" xr:uid="{AABFB900-D3AD-44D6-ABA1-EE88C913FF50}"/>
    <cellStyle name="Normal 8 3 2 3 4 4" xfId="11212" xr:uid="{DC9E852D-DA54-4608-AF8F-7D28BA7C4DC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D2A9ABE6-1786-46C6-834B-FEB612D0D36D}"/>
    <cellStyle name="Normal 8 3 2 3 5 2 3" xfId="13770" xr:uid="{718A8C6B-0266-4F16-A74B-15C48C29C3D9}"/>
    <cellStyle name="Normal 8 3 2 3 5 3" xfId="6516" xr:uid="{00000000-0005-0000-0000-00006A1D0000}"/>
    <cellStyle name="Normal 8 3 2 3 5 3 2" xfId="15842" xr:uid="{C6462F25-9EB4-467B-948E-24B2E297FFF3}"/>
    <cellStyle name="Normal 8 3 2 3 5 4" xfId="11625" xr:uid="{9396D369-35E6-41DA-A05B-8FC943A53808}"/>
    <cellStyle name="Normal 8 3 2 3 6" xfId="2646" xr:uid="{00000000-0005-0000-0000-00006B1D0000}"/>
    <cellStyle name="Normal 8 3 2 3 6 2" xfId="6929" xr:uid="{00000000-0005-0000-0000-00006C1D0000}"/>
    <cellStyle name="Normal 8 3 2 3 6 2 2" xfId="16255" xr:uid="{5F1C9A8C-388A-4957-8FC7-FB680886D383}"/>
    <cellStyle name="Normal 8 3 2 3 6 3" xfId="12038" xr:uid="{2D14519A-D746-465B-8A91-D9B17BC9F64A}"/>
    <cellStyle name="Normal 8 3 2 3 7" xfId="4864" xr:uid="{00000000-0005-0000-0000-00006D1D0000}"/>
    <cellStyle name="Normal 8 3 2 3 7 2" xfId="14190" xr:uid="{69EC3779-C217-4CAF-A702-62BCD1F3C005}"/>
    <cellStyle name="Normal 8 3 2 3 8" xfId="9044" xr:uid="{5ED49706-9CA9-4EE9-B01D-112CD1DB587C}"/>
    <cellStyle name="Normal 8 3 2 3 8 2" xfId="18368" xr:uid="{82213579-EE08-4F1B-B02D-963D36A75F96}"/>
    <cellStyle name="Normal 8 3 2 3 9" xfId="9973" xr:uid="{77B0795B-E304-46EB-B006-B88D4E7D6444}"/>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BF3344C2-B01A-46A4-9E84-25811ED997E7}"/>
    <cellStyle name="Normal 8 3 2 4 2 3" xfId="12528" xr:uid="{2EF49DDC-51B0-4C31-9DF3-2FBDD93F60E2}"/>
    <cellStyle name="Normal 8 3 2 4 3" xfId="5274" xr:uid="{00000000-0005-0000-0000-0000711D0000}"/>
    <cellStyle name="Normal 8 3 2 4 3 2" xfId="14600" xr:uid="{327301A0-68ED-4390-9EDB-26725859F11D}"/>
    <cellStyle name="Normal 8 3 2 4 4" xfId="9262" xr:uid="{8842595C-CD28-4B10-9BE6-37883B4C2AA9}"/>
    <cellStyle name="Normal 8 3 2 4 4 2" xfId="18577" xr:uid="{67F339C8-6057-4573-9C14-0105248B73DC}"/>
    <cellStyle name="Normal 8 3 2 4 5" xfId="10383" xr:uid="{5D85CAB6-CB2F-4E57-94D7-ED52A035071C}"/>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EA9440AF-5C4F-411B-8974-CC84A8A05EFE}"/>
    <cellStyle name="Normal 8 3 2 5 2 3" xfId="12941" xr:uid="{7A7A5AF6-9BDB-4929-8842-66983B9A1486}"/>
    <cellStyle name="Normal 8 3 2 5 3" xfId="5687" xr:uid="{00000000-0005-0000-0000-0000751D0000}"/>
    <cellStyle name="Normal 8 3 2 5 3 2" xfId="15013" xr:uid="{30DE75C4-4248-4BA1-93CC-9142F13CFD34}"/>
    <cellStyle name="Normal 8 3 2 5 4" xfId="10796" xr:uid="{ECF4CC72-92BE-48B3-AE94-540D4AE75058}"/>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75A2B1C4-D435-42C9-AA9B-A5541284054E}"/>
    <cellStyle name="Normal 8 3 2 6 2 3" xfId="13354" xr:uid="{AA9F1A96-7DD9-4FEE-859D-696D00FD4462}"/>
    <cellStyle name="Normal 8 3 2 6 3" xfId="6100" xr:uid="{00000000-0005-0000-0000-0000791D0000}"/>
    <cellStyle name="Normal 8 3 2 6 3 2" xfId="15426" xr:uid="{0B680BF7-9DF7-4B00-B997-7B3D8D47A7B4}"/>
    <cellStyle name="Normal 8 3 2 6 4" xfId="11209" xr:uid="{3AC75225-EB7A-4448-9DD7-33FE95BE83CA}"/>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B1216686-84A4-475D-96F1-37AF7D83FF1F}"/>
    <cellStyle name="Normal 8 3 2 7 2 3" xfId="13767" xr:uid="{8E6FF645-3F34-47BE-8CFD-F2F4F9F74B7D}"/>
    <cellStyle name="Normal 8 3 2 7 3" xfId="6513" xr:uid="{00000000-0005-0000-0000-00007D1D0000}"/>
    <cellStyle name="Normal 8 3 2 7 3 2" xfId="15839" xr:uid="{F39D5E25-AD05-4DD9-8485-6DCCCAAC78BD}"/>
    <cellStyle name="Normal 8 3 2 7 4" xfId="11622" xr:uid="{2157DB89-F674-42F2-AABD-A3E7234EDD3E}"/>
    <cellStyle name="Normal 8 3 2 8" xfId="2643" xr:uid="{00000000-0005-0000-0000-00007E1D0000}"/>
    <cellStyle name="Normal 8 3 2 8 2" xfId="6926" xr:uid="{00000000-0005-0000-0000-00007F1D0000}"/>
    <cellStyle name="Normal 8 3 2 8 2 2" xfId="16252" xr:uid="{5457006C-B410-40A7-A69E-E669F4342623}"/>
    <cellStyle name="Normal 8 3 2 8 3" xfId="12035" xr:uid="{20F013BC-7F44-4DCB-B27A-D3F5B92C4837}"/>
    <cellStyle name="Normal 8 3 2 9" xfId="4861" xr:uid="{00000000-0005-0000-0000-0000801D0000}"/>
    <cellStyle name="Normal 8 3 2 9 2" xfId="14187" xr:uid="{920FDCC6-BAC8-43BE-8495-144CFECDD376}"/>
    <cellStyle name="Normal 8 3 3" xfId="500" xr:uid="{00000000-0005-0000-0000-0000811D0000}"/>
    <cellStyle name="Normal 8 3 3 10" xfId="9974" xr:uid="{1828F981-8C38-4C51-80C9-7869E5CBE7D6}"/>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4ABC5CFA-4927-46DC-9B52-105E402B6218}"/>
    <cellStyle name="Normal 8 3 3 2 2 2 3" xfId="12533" xr:uid="{E94D0E0F-D85F-481E-A16A-B794080B8FD0}"/>
    <cellStyle name="Normal 8 3 3 2 2 3" xfId="5279" xr:uid="{00000000-0005-0000-0000-0000861D0000}"/>
    <cellStyle name="Normal 8 3 3 2 2 3 2" xfId="14605" xr:uid="{603B7162-CABC-4C8C-A32F-55CB89104693}"/>
    <cellStyle name="Normal 8 3 3 2 2 4" xfId="9509" xr:uid="{3B4378D3-7C51-4B91-822B-758528BFF352}"/>
    <cellStyle name="Normal 8 3 3 2 2 4 2" xfId="18824" xr:uid="{34A47448-1465-4421-B929-0B5BE8C33F5D}"/>
    <cellStyle name="Normal 8 3 3 2 2 5" xfId="10388" xr:uid="{5536E6ED-FE75-4A1B-853A-D9AB2EB38FBC}"/>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4C3317F6-6597-47D6-903D-67FB738FD187}"/>
    <cellStyle name="Normal 8 3 3 2 3 2 3" xfId="12946" xr:uid="{2C1FD3C2-0519-4F17-8E88-C38E8CD011B2}"/>
    <cellStyle name="Normal 8 3 3 2 3 3" xfId="5692" xr:uid="{00000000-0005-0000-0000-00008A1D0000}"/>
    <cellStyle name="Normal 8 3 3 2 3 3 2" xfId="15018" xr:uid="{DC0C585B-D824-42F1-B7B0-E46448066317}"/>
    <cellStyle name="Normal 8 3 3 2 3 4" xfId="10801" xr:uid="{80C42476-C4E2-41DC-800A-965005F7F852}"/>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A921EFEE-0BC4-41B0-A08A-50D7D4172D6A}"/>
    <cellStyle name="Normal 8 3 3 2 4 2 3" xfId="13359" xr:uid="{D13375B8-3F74-447C-8F7E-D0266DFBAD95}"/>
    <cellStyle name="Normal 8 3 3 2 4 3" xfId="6105" xr:uid="{00000000-0005-0000-0000-00008E1D0000}"/>
    <cellStyle name="Normal 8 3 3 2 4 3 2" xfId="15431" xr:uid="{54373E65-5926-4C0D-BBFF-1DA281AE66D4}"/>
    <cellStyle name="Normal 8 3 3 2 4 4" xfId="11214" xr:uid="{8D8E00FE-BC2C-4620-AC8B-4943DD8E9396}"/>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1F9AC703-E14A-4940-8753-E9495A95ECEA}"/>
    <cellStyle name="Normal 8 3 3 2 5 2 3" xfId="13772" xr:uid="{298288E3-1CC7-4A7B-A47F-23B4FE534663}"/>
    <cellStyle name="Normal 8 3 3 2 5 3" xfId="6518" xr:uid="{00000000-0005-0000-0000-0000921D0000}"/>
    <cellStyle name="Normal 8 3 3 2 5 3 2" xfId="15844" xr:uid="{1FB77497-9FE2-4BDA-A187-ECE338703FAD}"/>
    <cellStyle name="Normal 8 3 3 2 5 4" xfId="11627" xr:uid="{AF570C9F-2152-402C-A93D-6FA24E9A6139}"/>
    <cellStyle name="Normal 8 3 3 2 6" xfId="2648" xr:uid="{00000000-0005-0000-0000-0000931D0000}"/>
    <cellStyle name="Normal 8 3 3 2 6 2" xfId="6931" xr:uid="{00000000-0005-0000-0000-0000941D0000}"/>
    <cellStyle name="Normal 8 3 3 2 6 2 2" xfId="16257" xr:uid="{F7B20D2D-4815-4A0E-82F3-F02FDA7A5C7B}"/>
    <cellStyle name="Normal 8 3 3 2 6 3" xfId="12040" xr:uid="{470587C5-A3C2-4CD6-9476-B745C9692831}"/>
    <cellStyle name="Normal 8 3 3 2 7" xfId="4866" xr:uid="{00000000-0005-0000-0000-0000951D0000}"/>
    <cellStyle name="Normal 8 3 3 2 7 2" xfId="14192" xr:uid="{F7A2F807-C4BC-4537-B44A-D5D425A9A70F}"/>
    <cellStyle name="Normal 8 3 3 2 8" xfId="9084" xr:uid="{94243AB7-0454-4C95-8E94-054E46718167}"/>
    <cellStyle name="Normal 8 3 3 2 8 2" xfId="18408" xr:uid="{CCEDB568-9D6C-40D6-B00C-CEBC86C57272}"/>
    <cellStyle name="Normal 8 3 3 2 9" xfId="9975" xr:uid="{AB1D1257-79CC-41DB-BC68-2EA2DD400797}"/>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86607FB1-DF78-422A-B53E-7AFF42EB4476}"/>
    <cellStyle name="Normal 8 3 3 3 2 3" xfId="12532" xr:uid="{47045661-A132-45E0-A903-E936D0CF1541}"/>
    <cellStyle name="Normal 8 3 3 3 3" xfId="5278" xr:uid="{00000000-0005-0000-0000-0000991D0000}"/>
    <cellStyle name="Normal 8 3 3 3 3 2" xfId="14604" xr:uid="{5CB645E8-69EE-4846-B2D5-93A521911045}"/>
    <cellStyle name="Normal 8 3 3 3 4" xfId="9302" xr:uid="{3985B908-2B56-4F9B-BEA3-8962926FD004}"/>
    <cellStyle name="Normal 8 3 3 3 4 2" xfId="18617" xr:uid="{EC23A8CE-F4E9-46F6-BE92-BB5279A68058}"/>
    <cellStyle name="Normal 8 3 3 3 5" xfId="10387" xr:uid="{EEDEFEB2-C446-4B03-BC02-3070DF7247B0}"/>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E117F77-2673-4CE0-BCAF-894E3C298122}"/>
    <cellStyle name="Normal 8 3 3 4 2 3" xfId="12945" xr:uid="{909522B3-201A-4DE3-B663-7C85633B5C51}"/>
    <cellStyle name="Normal 8 3 3 4 3" xfId="5691" xr:uid="{00000000-0005-0000-0000-00009D1D0000}"/>
    <cellStyle name="Normal 8 3 3 4 3 2" xfId="15017" xr:uid="{8D875DCB-5F0C-4A76-84AB-D03E0F473138}"/>
    <cellStyle name="Normal 8 3 3 4 4" xfId="10800" xr:uid="{417D7ADC-7CDF-416F-8272-34DED2B5FD56}"/>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0EF24357-0B4A-49E0-8AA8-8DA074CACA24}"/>
    <cellStyle name="Normal 8 3 3 5 2 3" xfId="13358" xr:uid="{513407B9-4761-45C3-A6F1-CA980E53F949}"/>
    <cellStyle name="Normal 8 3 3 5 3" xfId="6104" xr:uid="{00000000-0005-0000-0000-0000A11D0000}"/>
    <cellStyle name="Normal 8 3 3 5 3 2" xfId="15430" xr:uid="{E3B14B51-D99D-484C-88C0-1DBB215EC2A7}"/>
    <cellStyle name="Normal 8 3 3 5 4" xfId="11213" xr:uid="{ADC1A91D-32D9-4BB7-AE04-D1021A30D408}"/>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04986FF9-FCB7-40BE-A699-0F4443FBC0BC}"/>
    <cellStyle name="Normal 8 3 3 6 2 3" xfId="13771" xr:uid="{049B6A47-BAF5-4ECE-8FA3-02B28FF9846E}"/>
    <cellStyle name="Normal 8 3 3 6 3" xfId="6517" xr:uid="{00000000-0005-0000-0000-0000A51D0000}"/>
    <cellStyle name="Normal 8 3 3 6 3 2" xfId="15843" xr:uid="{05EE73BE-32C8-4A23-A00A-CA3D23389E0A}"/>
    <cellStyle name="Normal 8 3 3 6 4" xfId="11626" xr:uid="{68AA4CA2-832A-40C1-A810-F1426387A95E}"/>
    <cellStyle name="Normal 8 3 3 7" xfId="2647" xr:uid="{00000000-0005-0000-0000-0000A61D0000}"/>
    <cellStyle name="Normal 8 3 3 7 2" xfId="6930" xr:uid="{00000000-0005-0000-0000-0000A71D0000}"/>
    <cellStyle name="Normal 8 3 3 7 2 2" xfId="16256" xr:uid="{C61171D5-A92F-4FCE-9CC4-3A7050775AFE}"/>
    <cellStyle name="Normal 8 3 3 7 3" xfId="12039" xr:uid="{B7E121C4-0D43-48B3-BA59-A284C56B79BC}"/>
    <cellStyle name="Normal 8 3 3 8" xfId="4865" xr:uid="{00000000-0005-0000-0000-0000A81D0000}"/>
    <cellStyle name="Normal 8 3 3 8 2" xfId="14191" xr:uid="{205F3EA3-30E4-4357-B01F-8A3E7D97308A}"/>
    <cellStyle name="Normal 8 3 3 9" xfId="8877" xr:uid="{4F8231E3-800E-43E7-B1B6-9633EBFFFFE1}"/>
    <cellStyle name="Normal 8 3 3 9 2" xfId="18201" xr:uid="{B4BA3BE3-A61B-4680-9236-464429C6EE78}"/>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9543E434-2EB4-411F-A593-5A28A809DDD7}"/>
    <cellStyle name="Normal 8 3 4 2 2 3" xfId="12534" xr:uid="{D594829F-A16D-4B2E-ADF6-AFA6766DA8BF}"/>
    <cellStyle name="Normal 8 3 4 2 3" xfId="5280" xr:uid="{00000000-0005-0000-0000-0000AD1D0000}"/>
    <cellStyle name="Normal 8 3 4 2 3 2" xfId="14606" xr:uid="{E41EDF1B-BEBA-49FE-8ADE-81C7C056604E}"/>
    <cellStyle name="Normal 8 3 4 2 4" xfId="9406" xr:uid="{8751BE45-E47B-4A0A-B0DE-04C14FAEA88D}"/>
    <cellStyle name="Normal 8 3 4 2 4 2" xfId="18721" xr:uid="{53C656F3-F903-4BFB-956A-97E0BE09C831}"/>
    <cellStyle name="Normal 8 3 4 2 5" xfId="10389" xr:uid="{EDA19A73-2989-4DD5-8A0F-CC7C5096238F}"/>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A683CC13-FD0B-44EE-B1B6-C1A0F5058F66}"/>
    <cellStyle name="Normal 8 3 4 3 2 3" xfId="12947" xr:uid="{9F4E0517-050E-49DE-9731-126A26006DF2}"/>
    <cellStyle name="Normal 8 3 4 3 3" xfId="5693" xr:uid="{00000000-0005-0000-0000-0000B11D0000}"/>
    <cellStyle name="Normal 8 3 4 3 3 2" xfId="15019" xr:uid="{E3BEDF63-D816-46E6-ADED-2E4665481A2F}"/>
    <cellStyle name="Normal 8 3 4 3 4" xfId="10802" xr:uid="{31769BB1-6E58-4D7A-A2DB-1F652A35466C}"/>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6636A306-0BD3-4AC4-A035-AA46F20E5E34}"/>
    <cellStyle name="Normal 8 3 4 4 2 3" xfId="13360" xr:uid="{B1E0EE08-B7B3-4814-8913-5282A1BA60F0}"/>
    <cellStyle name="Normal 8 3 4 4 3" xfId="6106" xr:uid="{00000000-0005-0000-0000-0000B51D0000}"/>
    <cellStyle name="Normal 8 3 4 4 3 2" xfId="15432" xr:uid="{88CA09E0-03F3-435A-9F72-4A6882C04105}"/>
    <cellStyle name="Normal 8 3 4 4 4" xfId="11215" xr:uid="{13D93387-B996-4FF8-A6FE-440CF714D575}"/>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C2B69AF9-54B1-4375-B74E-1931C343A67A}"/>
    <cellStyle name="Normal 8 3 4 5 2 3" xfId="13773" xr:uid="{DE2A358D-5433-4BC8-9B34-C9E4E55CC445}"/>
    <cellStyle name="Normal 8 3 4 5 3" xfId="6519" xr:uid="{00000000-0005-0000-0000-0000B91D0000}"/>
    <cellStyle name="Normal 8 3 4 5 3 2" xfId="15845" xr:uid="{22FCB3D2-DB30-476B-A086-76E1B9D23F31}"/>
    <cellStyle name="Normal 8 3 4 5 4" xfId="11628" xr:uid="{5AF85895-9EAC-4C0E-BADB-CF780E8161C0}"/>
    <cellStyle name="Normal 8 3 4 6" xfId="2649" xr:uid="{00000000-0005-0000-0000-0000BA1D0000}"/>
    <cellStyle name="Normal 8 3 4 6 2" xfId="6932" xr:uid="{00000000-0005-0000-0000-0000BB1D0000}"/>
    <cellStyle name="Normal 8 3 4 6 2 2" xfId="16258" xr:uid="{8733C0CD-D67C-4B35-AE7E-5FE17E9C1A3E}"/>
    <cellStyle name="Normal 8 3 4 6 3" xfId="12041" xr:uid="{E4C18508-4802-44F5-B8E0-4C353314E736}"/>
    <cellStyle name="Normal 8 3 4 7" xfId="4867" xr:uid="{00000000-0005-0000-0000-0000BC1D0000}"/>
    <cellStyle name="Normal 8 3 4 7 2" xfId="14193" xr:uid="{A4ED11AF-9291-4431-B704-9FB3A92AA24B}"/>
    <cellStyle name="Normal 8 3 4 8" xfId="8981" xr:uid="{BEE184E9-ECE6-4107-B29A-CC8BC7F28FA3}"/>
    <cellStyle name="Normal 8 3 4 8 2" xfId="18305" xr:uid="{3AB951EA-2277-4FE0-B3F9-F9424A9F285E}"/>
    <cellStyle name="Normal 8 3 4 9" xfId="9976" xr:uid="{A77A716B-C242-42C5-874C-48B80F3F6ED5}"/>
    <cellStyle name="Normal 8 3 5" xfId="962" xr:uid="{00000000-0005-0000-0000-0000BD1D0000}"/>
    <cellStyle name="Normal 8 3 5 2" xfId="3196" xr:uid="{00000000-0005-0000-0000-0000BE1D0000}"/>
    <cellStyle name="Normal 8 3 5 2 2" xfId="7418" xr:uid="{00000000-0005-0000-0000-0000BF1D0000}"/>
    <cellStyle name="Normal 8 3 5 2 2 2" xfId="16744" xr:uid="{4C69066B-3E56-4EE2-8748-D1C0A149ADB0}"/>
    <cellStyle name="Normal 8 3 5 2 3" xfId="12527" xr:uid="{557265F0-A6ED-4FD3-BBB6-B7F530985C34}"/>
    <cellStyle name="Normal 8 3 5 3" xfId="5273" xr:uid="{00000000-0005-0000-0000-0000C01D0000}"/>
    <cellStyle name="Normal 8 3 5 3 2" xfId="14599" xr:uid="{E32E1D60-F486-49C2-9849-19F0FF916152}"/>
    <cellStyle name="Normal 8 3 5 4" xfId="9198" xr:uid="{FA5A5C79-C3AC-4E17-9344-90C4E411EE0B}"/>
    <cellStyle name="Normal 8 3 5 4 2" xfId="18514" xr:uid="{7DBFE884-9B30-4FE6-9D86-0859EF0B9835}"/>
    <cellStyle name="Normal 8 3 5 5" xfId="10382" xr:uid="{8F101E66-D1CB-4922-8447-61FE125692E0}"/>
    <cellStyle name="Normal 8 3 6" xfId="1379" xr:uid="{00000000-0005-0000-0000-0000C11D0000}"/>
    <cellStyle name="Normal 8 3 6 2" xfId="3609" xr:uid="{00000000-0005-0000-0000-0000C21D0000}"/>
    <cellStyle name="Normal 8 3 6 2 2" xfId="7831" xr:uid="{00000000-0005-0000-0000-0000C31D0000}"/>
    <cellStyle name="Normal 8 3 6 2 2 2" xfId="17157" xr:uid="{193CB397-FAD3-42FA-BC55-CE2B9AA26203}"/>
    <cellStyle name="Normal 8 3 6 2 3" xfId="12940" xr:uid="{89CCF007-6578-4EAA-B4E3-52E71EA23DDF}"/>
    <cellStyle name="Normal 8 3 6 3" xfId="5686" xr:uid="{00000000-0005-0000-0000-0000C41D0000}"/>
    <cellStyle name="Normal 8 3 6 3 2" xfId="15012" xr:uid="{2F97756D-0078-4724-87FD-20F6E4995CE2}"/>
    <cellStyle name="Normal 8 3 6 4" xfId="10795" xr:uid="{808900CD-DFF8-4B4F-B236-6C61539D61DA}"/>
    <cellStyle name="Normal 8 3 7" xfId="1792" xr:uid="{00000000-0005-0000-0000-0000C51D0000}"/>
    <cellStyle name="Normal 8 3 7 2" xfId="4022" xr:uid="{00000000-0005-0000-0000-0000C61D0000}"/>
    <cellStyle name="Normal 8 3 7 2 2" xfId="8244" xr:uid="{00000000-0005-0000-0000-0000C71D0000}"/>
    <cellStyle name="Normal 8 3 7 2 2 2" xfId="17570" xr:uid="{3EFB0CF9-3E48-4372-8AEF-C8F769C21563}"/>
    <cellStyle name="Normal 8 3 7 2 3" xfId="13353" xr:uid="{46A91E29-F04B-46A9-B4F9-772C8899433D}"/>
    <cellStyle name="Normal 8 3 7 3" xfId="6099" xr:uid="{00000000-0005-0000-0000-0000C81D0000}"/>
    <cellStyle name="Normal 8 3 7 3 2" xfId="15425" xr:uid="{3C7D5737-5E1C-4A1B-9BF0-A5E6881EB0DA}"/>
    <cellStyle name="Normal 8 3 7 4" xfId="11208" xr:uid="{15594672-60D3-4982-BB20-02EDC63E0A5C}"/>
    <cellStyle name="Normal 8 3 8" xfId="2206" xr:uid="{00000000-0005-0000-0000-0000C91D0000}"/>
    <cellStyle name="Normal 8 3 8 2" xfId="4435" xr:uid="{00000000-0005-0000-0000-0000CA1D0000}"/>
    <cellStyle name="Normal 8 3 8 2 2" xfId="8657" xr:uid="{00000000-0005-0000-0000-0000CB1D0000}"/>
    <cellStyle name="Normal 8 3 8 2 2 2" xfId="17983" xr:uid="{DE3FF094-B28E-4544-9FA2-170E786F8772}"/>
    <cellStyle name="Normal 8 3 8 2 3" xfId="13766" xr:uid="{2DD0FABA-B67F-4B79-9470-9774CB03568F}"/>
    <cellStyle name="Normal 8 3 8 3" xfId="6512" xr:uid="{00000000-0005-0000-0000-0000CC1D0000}"/>
    <cellStyle name="Normal 8 3 8 3 2" xfId="15838" xr:uid="{3960B73C-319C-488F-B04D-BA4A5D61AEE2}"/>
    <cellStyle name="Normal 8 3 8 4" xfId="11621" xr:uid="{F0EB6DDA-48DC-4EA6-B6BA-E1ED9AC7903B}"/>
    <cellStyle name="Normal 8 3 9" xfId="2642" xr:uid="{00000000-0005-0000-0000-0000CD1D0000}"/>
    <cellStyle name="Normal 8 3 9 2" xfId="6925" xr:uid="{00000000-0005-0000-0000-0000CE1D0000}"/>
    <cellStyle name="Normal 8 3 9 2 2" xfId="16251" xr:uid="{8775CDC7-DB07-43E6-8F52-57E05BFA7074}"/>
    <cellStyle name="Normal 8 3 9 3" xfId="12034" xr:uid="{7594B2BC-7137-45FF-B542-88EC770225C9}"/>
    <cellStyle name="Normal 8 4" xfId="503" xr:uid="{00000000-0005-0000-0000-0000CF1D0000}"/>
    <cellStyle name="Normal 8 4 10" xfId="8834" xr:uid="{78848A4E-06FA-4050-B553-A3A7DEA1B047}"/>
    <cellStyle name="Normal 8 4 10 2" xfId="18158" xr:uid="{F7F09154-4987-4CF4-831A-C0BB8375078F}"/>
    <cellStyle name="Normal 8 4 11" xfId="9977" xr:uid="{E5A056F7-3068-4434-BE9E-AD1EC4ABAA46}"/>
    <cellStyle name="Normal 8 4 2" xfId="504" xr:uid="{00000000-0005-0000-0000-0000D01D0000}"/>
    <cellStyle name="Normal 8 4 2 10" xfId="9978" xr:uid="{55468985-A159-4B6E-9DB7-9C1D2E9272BC}"/>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02B4BD02-457B-4E3A-BFD8-3665812586FC}"/>
    <cellStyle name="Normal 8 4 2 2 2 2 3" xfId="12537" xr:uid="{4EA59347-35F9-4C6C-B9D4-61E6641BD0BC}"/>
    <cellStyle name="Normal 8 4 2 2 2 3" xfId="5283" xr:uid="{00000000-0005-0000-0000-0000D51D0000}"/>
    <cellStyle name="Normal 8 4 2 2 2 3 2" xfId="14609" xr:uid="{0A58648E-E87B-4FBF-8082-834799ADC909}"/>
    <cellStyle name="Normal 8 4 2 2 2 4" xfId="9569" xr:uid="{F21122F8-27BB-4D46-891E-281F736F5353}"/>
    <cellStyle name="Normal 8 4 2 2 2 4 2" xfId="18884" xr:uid="{EC0681D2-B4DC-4916-ACB2-88FDB2C4780B}"/>
    <cellStyle name="Normal 8 4 2 2 2 5" xfId="10392" xr:uid="{0E6774FA-CE25-46E7-B310-9FE409FF5D55}"/>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406C22BA-D183-4D23-879C-278B9B136EDE}"/>
    <cellStyle name="Normal 8 4 2 2 3 2 3" xfId="12950" xr:uid="{2E29EE91-5CA2-4B59-9818-975D194368BD}"/>
    <cellStyle name="Normal 8 4 2 2 3 3" xfId="5696" xr:uid="{00000000-0005-0000-0000-0000D91D0000}"/>
    <cellStyle name="Normal 8 4 2 2 3 3 2" xfId="15022" xr:uid="{7333F78F-21D1-4179-A853-AFF677E3850C}"/>
    <cellStyle name="Normal 8 4 2 2 3 4" xfId="10805" xr:uid="{57DEBBD0-9596-49F0-BB44-49784C121CEE}"/>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208A5867-7B4E-497C-BF2C-428F4EDB69DD}"/>
    <cellStyle name="Normal 8 4 2 2 4 2 3" xfId="13363" xr:uid="{1C336EF5-A2EC-4297-96C8-893E1849B5F0}"/>
    <cellStyle name="Normal 8 4 2 2 4 3" xfId="6109" xr:uid="{00000000-0005-0000-0000-0000DD1D0000}"/>
    <cellStyle name="Normal 8 4 2 2 4 3 2" xfId="15435" xr:uid="{86472999-7F4A-401E-A448-3EBE00CAA4E2}"/>
    <cellStyle name="Normal 8 4 2 2 4 4" xfId="11218" xr:uid="{08182A6C-CDDE-446C-9C5B-24C04706818C}"/>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077967F0-784E-4048-9CCC-009838D3EE8E}"/>
    <cellStyle name="Normal 8 4 2 2 5 2 3" xfId="13776" xr:uid="{046EA54B-D543-49CF-921D-A783DB3B8634}"/>
    <cellStyle name="Normal 8 4 2 2 5 3" xfId="6522" xr:uid="{00000000-0005-0000-0000-0000E11D0000}"/>
    <cellStyle name="Normal 8 4 2 2 5 3 2" xfId="15848" xr:uid="{3ED51CEF-1A9E-465E-8E26-E704A2BCD63A}"/>
    <cellStyle name="Normal 8 4 2 2 5 4" xfId="11631" xr:uid="{5DB792B5-3AF1-4B61-90B3-71DBCA1C1B67}"/>
    <cellStyle name="Normal 8 4 2 2 6" xfId="2652" xr:uid="{00000000-0005-0000-0000-0000E21D0000}"/>
    <cellStyle name="Normal 8 4 2 2 6 2" xfId="6935" xr:uid="{00000000-0005-0000-0000-0000E31D0000}"/>
    <cellStyle name="Normal 8 4 2 2 6 2 2" xfId="16261" xr:uid="{54AD7B0E-7485-48A2-8103-DE1866E522F0}"/>
    <cellStyle name="Normal 8 4 2 2 6 3" xfId="12044" xr:uid="{0BC59A3B-36C1-4AD0-9CAC-7C8B2EACE617}"/>
    <cellStyle name="Normal 8 4 2 2 7" xfId="4870" xr:uid="{00000000-0005-0000-0000-0000E41D0000}"/>
    <cellStyle name="Normal 8 4 2 2 7 2" xfId="14196" xr:uid="{07469669-EB87-40A6-AC06-AA6AEBAA8399}"/>
    <cellStyle name="Normal 8 4 2 2 8" xfId="9144" xr:uid="{EF6B0978-3DE8-47DC-990C-0B47AAC8F1DC}"/>
    <cellStyle name="Normal 8 4 2 2 8 2" xfId="18468" xr:uid="{B8801F57-ABF8-4CE5-951D-1FC83A88CC63}"/>
    <cellStyle name="Normal 8 4 2 2 9" xfId="9979" xr:uid="{BCD11ECB-E8FB-4A4B-AE92-6788754B43F7}"/>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F01B98AD-44FD-4BB5-B55A-FC2CE8374DB0}"/>
    <cellStyle name="Normal 8 4 2 3 2 3" xfId="12536" xr:uid="{F058AD76-6032-41EC-AFA5-E649EFA01010}"/>
    <cellStyle name="Normal 8 4 2 3 3" xfId="5282" xr:uid="{00000000-0005-0000-0000-0000E81D0000}"/>
    <cellStyle name="Normal 8 4 2 3 3 2" xfId="14608" xr:uid="{42D48F53-6CDB-40F7-A8D4-ECB02E09E1D3}"/>
    <cellStyle name="Normal 8 4 2 3 4" xfId="9362" xr:uid="{206856BB-FDDB-4012-ABFE-5E991E477A14}"/>
    <cellStyle name="Normal 8 4 2 3 4 2" xfId="18677" xr:uid="{40C9E187-BA2B-4A44-BAB3-3D998F4989CF}"/>
    <cellStyle name="Normal 8 4 2 3 5" xfId="10391" xr:uid="{5FE0CD70-7800-4C84-B460-E2E0B437C688}"/>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F93BEEA6-5A14-431D-853D-EA30F5D4E70C}"/>
    <cellStyle name="Normal 8 4 2 4 2 3" xfId="12949" xr:uid="{2D7FADAF-24CC-469A-953A-9D9E4801329B}"/>
    <cellStyle name="Normal 8 4 2 4 3" xfId="5695" xr:uid="{00000000-0005-0000-0000-0000EC1D0000}"/>
    <cellStyle name="Normal 8 4 2 4 3 2" xfId="15021" xr:uid="{CC724E27-B6F7-484D-8BB8-668405AA74A2}"/>
    <cellStyle name="Normal 8 4 2 4 4" xfId="10804" xr:uid="{B45EC945-A16E-4615-8827-B69717D81748}"/>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6268F1D5-3D3A-4D40-A7CC-CD97182662C3}"/>
    <cellStyle name="Normal 8 4 2 5 2 3" xfId="13362" xr:uid="{44E57396-43AF-43E2-9174-761B779D0ECA}"/>
    <cellStyle name="Normal 8 4 2 5 3" xfId="6108" xr:uid="{00000000-0005-0000-0000-0000F01D0000}"/>
    <cellStyle name="Normal 8 4 2 5 3 2" xfId="15434" xr:uid="{42FE6414-7AD5-48B6-9442-70646693FBAE}"/>
    <cellStyle name="Normal 8 4 2 5 4" xfId="11217" xr:uid="{D5A98745-027A-4B40-B21F-DC76E2CFDA1B}"/>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EC6329CC-DB9C-45FD-BD94-714AD52EFD57}"/>
    <cellStyle name="Normal 8 4 2 6 2 3" xfId="13775" xr:uid="{6D0AF763-A6E0-4022-94EF-AFCD30F1FE6B}"/>
    <cellStyle name="Normal 8 4 2 6 3" xfId="6521" xr:uid="{00000000-0005-0000-0000-0000F41D0000}"/>
    <cellStyle name="Normal 8 4 2 6 3 2" xfId="15847" xr:uid="{9E1B25BE-0A51-4CBB-BA66-F6D165E5E1F5}"/>
    <cellStyle name="Normal 8 4 2 6 4" xfId="11630" xr:uid="{5AABA473-410B-4AE4-8058-5C87AB2ECE64}"/>
    <cellStyle name="Normal 8 4 2 7" xfId="2651" xr:uid="{00000000-0005-0000-0000-0000F51D0000}"/>
    <cellStyle name="Normal 8 4 2 7 2" xfId="6934" xr:uid="{00000000-0005-0000-0000-0000F61D0000}"/>
    <cellStyle name="Normal 8 4 2 7 2 2" xfId="16260" xr:uid="{A41B683A-0A8B-4265-8892-E3D4BA0E0E77}"/>
    <cellStyle name="Normal 8 4 2 7 3" xfId="12043" xr:uid="{998D2464-C237-489D-932F-58F21CD80B63}"/>
    <cellStyle name="Normal 8 4 2 8" xfId="4869" xr:uid="{00000000-0005-0000-0000-0000F71D0000}"/>
    <cellStyle name="Normal 8 4 2 8 2" xfId="14195" xr:uid="{EB791E5F-CC4E-45D1-9375-A48D06A16091}"/>
    <cellStyle name="Normal 8 4 2 9" xfId="8937" xr:uid="{B425CDA4-C1C1-4A6C-AB85-CE28E324A88F}"/>
    <cellStyle name="Normal 8 4 2 9 2" xfId="18261" xr:uid="{2DD65281-B9A1-466A-BA3D-5A7399F23BB4}"/>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2DD0F5C9-8585-4701-8227-CA9DA5568C8A}"/>
    <cellStyle name="Normal 8 4 3 2 2 3" xfId="12538" xr:uid="{F3C2A302-AA59-46B0-BAFF-32C28666FD8B}"/>
    <cellStyle name="Normal 8 4 3 2 3" xfId="5284" xr:uid="{00000000-0005-0000-0000-0000FC1D0000}"/>
    <cellStyle name="Normal 8 4 3 2 3 2" xfId="14610" xr:uid="{633271CC-99F5-48DC-861D-87CFB1608207}"/>
    <cellStyle name="Normal 8 4 3 2 4" xfId="9466" xr:uid="{4C42748F-6D34-4D0D-8AE2-FFD5C0CBE26F}"/>
    <cellStyle name="Normal 8 4 3 2 4 2" xfId="18781" xr:uid="{55355FF9-EEB0-4388-8C4B-6F0EA6A19D08}"/>
    <cellStyle name="Normal 8 4 3 2 5" xfId="10393" xr:uid="{7DCB161B-B338-4A5B-A20E-B930DA769F0D}"/>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C5D9D216-4B9B-490C-98C8-D19C40BA9D52}"/>
    <cellStyle name="Normal 8 4 3 3 2 3" xfId="12951" xr:uid="{80B35669-480E-4CB8-A871-0E7BE7F18E02}"/>
    <cellStyle name="Normal 8 4 3 3 3" xfId="5697" xr:uid="{00000000-0005-0000-0000-0000001E0000}"/>
    <cellStyle name="Normal 8 4 3 3 3 2" xfId="15023" xr:uid="{C38C73DD-4D07-4059-97D9-AC0D70146942}"/>
    <cellStyle name="Normal 8 4 3 3 4" xfId="10806" xr:uid="{149276BC-8D93-425D-8E9C-2818634B2ECA}"/>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D9797F45-9CC3-4873-98D4-302AA3643E3C}"/>
    <cellStyle name="Normal 8 4 3 4 2 3" xfId="13364" xr:uid="{BB92F556-A877-4434-8610-D0C499BA6058}"/>
    <cellStyle name="Normal 8 4 3 4 3" xfId="6110" xr:uid="{00000000-0005-0000-0000-0000041E0000}"/>
    <cellStyle name="Normal 8 4 3 4 3 2" xfId="15436" xr:uid="{779C97F1-2881-49D7-B875-68BEBA10D87F}"/>
    <cellStyle name="Normal 8 4 3 4 4" xfId="11219" xr:uid="{F8A6A4D0-6F5B-4816-B684-3F47CAA354F1}"/>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E2F63BAF-544B-433B-97DA-D374AA7CE736}"/>
    <cellStyle name="Normal 8 4 3 5 2 3" xfId="13777" xr:uid="{0B135AA8-83CD-4866-B3F1-261D1CCF10E2}"/>
    <cellStyle name="Normal 8 4 3 5 3" xfId="6523" xr:uid="{00000000-0005-0000-0000-0000081E0000}"/>
    <cellStyle name="Normal 8 4 3 5 3 2" xfId="15849" xr:uid="{A0A09A2B-7E0F-4B21-9F86-AF8E72545436}"/>
    <cellStyle name="Normal 8 4 3 5 4" xfId="11632" xr:uid="{1EF3E87E-B426-4231-8839-7EFDC59AD449}"/>
    <cellStyle name="Normal 8 4 3 6" xfId="2653" xr:uid="{00000000-0005-0000-0000-0000091E0000}"/>
    <cellStyle name="Normal 8 4 3 6 2" xfId="6936" xr:uid="{00000000-0005-0000-0000-00000A1E0000}"/>
    <cellStyle name="Normal 8 4 3 6 2 2" xfId="16262" xr:uid="{619F01E5-8E45-4E5A-9B43-E86A2E9340B6}"/>
    <cellStyle name="Normal 8 4 3 6 3" xfId="12045" xr:uid="{1D2BADF3-20BA-4635-B417-4C8168A07FD7}"/>
    <cellStyle name="Normal 8 4 3 7" xfId="4871" xr:uid="{00000000-0005-0000-0000-00000B1E0000}"/>
    <cellStyle name="Normal 8 4 3 7 2" xfId="14197" xr:uid="{A4A6AA2E-DEA9-4AFD-B662-5CD69CDBEBE1}"/>
    <cellStyle name="Normal 8 4 3 8" xfId="9041" xr:uid="{3EA15F1E-D38A-4BB8-BEC6-98D9A94BB79B}"/>
    <cellStyle name="Normal 8 4 3 8 2" xfId="18365" xr:uid="{17E6C7CF-DFA2-411E-B88B-26DF458B2535}"/>
    <cellStyle name="Normal 8 4 3 9" xfId="9980" xr:uid="{F9684F47-6F6B-47CF-AEB8-CABF047F32C7}"/>
    <cellStyle name="Normal 8 4 4" xfId="970" xr:uid="{00000000-0005-0000-0000-00000C1E0000}"/>
    <cellStyle name="Normal 8 4 4 2" xfId="3204" xr:uid="{00000000-0005-0000-0000-00000D1E0000}"/>
    <cellStyle name="Normal 8 4 4 2 2" xfId="7426" xr:uid="{00000000-0005-0000-0000-00000E1E0000}"/>
    <cellStyle name="Normal 8 4 4 2 2 2" xfId="16752" xr:uid="{B5FB966A-1E0C-4AF0-9147-DFAC1C0C79AC}"/>
    <cellStyle name="Normal 8 4 4 2 3" xfId="12535" xr:uid="{7DDCE4CD-4F9C-4FFF-A61D-1338E17EF6AB}"/>
    <cellStyle name="Normal 8 4 4 3" xfId="5281" xr:uid="{00000000-0005-0000-0000-00000F1E0000}"/>
    <cellStyle name="Normal 8 4 4 3 2" xfId="14607" xr:uid="{4ADE17D9-AA62-4E03-9EC1-3D4A23AC72EC}"/>
    <cellStyle name="Normal 8 4 4 4" xfId="9259" xr:uid="{45904BAA-3C39-482B-A2B6-0FB84C0B889C}"/>
    <cellStyle name="Normal 8 4 4 4 2" xfId="18574" xr:uid="{01E36F1A-3C40-44A4-9CE7-207A21A241D1}"/>
    <cellStyle name="Normal 8 4 4 5" xfId="10390" xr:uid="{D56FFC6F-3AA5-4285-AD39-1F6016CA0352}"/>
    <cellStyle name="Normal 8 4 5" xfId="1387" xr:uid="{00000000-0005-0000-0000-0000101E0000}"/>
    <cellStyle name="Normal 8 4 5 2" xfId="3617" xr:uid="{00000000-0005-0000-0000-0000111E0000}"/>
    <cellStyle name="Normal 8 4 5 2 2" xfId="7839" xr:uid="{00000000-0005-0000-0000-0000121E0000}"/>
    <cellStyle name="Normal 8 4 5 2 2 2" xfId="17165" xr:uid="{41985C03-575E-478A-8F56-84A76F07F3AC}"/>
    <cellStyle name="Normal 8 4 5 2 3" xfId="12948" xr:uid="{50DDBA8A-DAE0-481D-81F1-BEEB2A96F1AB}"/>
    <cellStyle name="Normal 8 4 5 3" xfId="5694" xr:uid="{00000000-0005-0000-0000-0000131E0000}"/>
    <cellStyle name="Normal 8 4 5 3 2" xfId="15020" xr:uid="{9E90CEBE-9314-4547-8CFC-B8986A32725F}"/>
    <cellStyle name="Normal 8 4 5 4" xfId="10803" xr:uid="{909AE278-D958-4B5F-80C1-F468484582CE}"/>
    <cellStyle name="Normal 8 4 6" xfId="1800" xr:uid="{00000000-0005-0000-0000-0000141E0000}"/>
    <cellStyle name="Normal 8 4 6 2" xfId="4030" xr:uid="{00000000-0005-0000-0000-0000151E0000}"/>
    <cellStyle name="Normal 8 4 6 2 2" xfId="8252" xr:uid="{00000000-0005-0000-0000-0000161E0000}"/>
    <cellStyle name="Normal 8 4 6 2 2 2" xfId="17578" xr:uid="{0DEE3BFB-1D5A-4FB6-9EDA-FC8172D7BFCA}"/>
    <cellStyle name="Normal 8 4 6 2 3" xfId="13361" xr:uid="{D38A10EC-CB94-4101-B252-A3BA15B978EA}"/>
    <cellStyle name="Normal 8 4 6 3" xfId="6107" xr:uid="{00000000-0005-0000-0000-0000171E0000}"/>
    <cellStyle name="Normal 8 4 6 3 2" xfId="15433" xr:uid="{DAE3F1F9-FE26-4EBF-B0E6-4F5897240E69}"/>
    <cellStyle name="Normal 8 4 6 4" xfId="11216" xr:uid="{B100733C-0B59-4743-AED0-462229239B89}"/>
    <cellStyle name="Normal 8 4 7" xfId="2214" xr:uid="{00000000-0005-0000-0000-0000181E0000}"/>
    <cellStyle name="Normal 8 4 7 2" xfId="4443" xr:uid="{00000000-0005-0000-0000-0000191E0000}"/>
    <cellStyle name="Normal 8 4 7 2 2" xfId="8665" xr:uid="{00000000-0005-0000-0000-00001A1E0000}"/>
    <cellStyle name="Normal 8 4 7 2 2 2" xfId="17991" xr:uid="{52E020B7-A80B-412B-8275-C4CAA7E2F647}"/>
    <cellStyle name="Normal 8 4 7 2 3" xfId="13774" xr:uid="{01FA5C76-B67B-483D-A2DD-C5B42E4C29A7}"/>
    <cellStyle name="Normal 8 4 7 3" xfId="6520" xr:uid="{00000000-0005-0000-0000-00001B1E0000}"/>
    <cellStyle name="Normal 8 4 7 3 2" xfId="15846" xr:uid="{0143F765-4730-45A5-9581-F77C813D33A9}"/>
    <cellStyle name="Normal 8 4 7 4" xfId="11629" xr:uid="{7ED1E2A1-3643-4F7A-8714-4EB3743CC4A5}"/>
    <cellStyle name="Normal 8 4 8" xfId="2650" xr:uid="{00000000-0005-0000-0000-00001C1E0000}"/>
    <cellStyle name="Normal 8 4 8 2" xfId="6933" xr:uid="{00000000-0005-0000-0000-00001D1E0000}"/>
    <cellStyle name="Normal 8 4 8 2 2" xfId="16259" xr:uid="{02946801-7408-4B8E-9EE1-098B1D0CA19E}"/>
    <cellStyle name="Normal 8 4 8 3" xfId="12042" xr:uid="{FF91F783-1266-4627-B4D9-A0AD997A3848}"/>
    <cellStyle name="Normal 8 4 9" xfId="4868" xr:uid="{00000000-0005-0000-0000-00001E1E0000}"/>
    <cellStyle name="Normal 8 4 9 2" xfId="14194" xr:uid="{8EAF1250-CBD4-4991-83EE-D6F3084EDCF2}"/>
    <cellStyle name="Normal 8 5" xfId="507" xr:uid="{00000000-0005-0000-0000-00001F1E0000}"/>
    <cellStyle name="Normal 8 5 10" xfId="9981" xr:uid="{935E9036-3D36-4821-8FD3-E75A882D03F9}"/>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27255B27-E36C-4850-9A50-D573DD05CA07}"/>
    <cellStyle name="Normal 8 5 2 2 2 3" xfId="12540" xr:uid="{2C0E78E9-7B7C-40A9-BDD1-2A0CF45AD571}"/>
    <cellStyle name="Normal 8 5 2 2 3" xfId="5286" xr:uid="{00000000-0005-0000-0000-0000241E0000}"/>
    <cellStyle name="Normal 8 5 2 2 3 2" xfId="14612" xr:uid="{5A46F8F1-9ABA-4709-9B11-44EFC65879E4}"/>
    <cellStyle name="Normal 8 5 2 2 4" xfId="9477" xr:uid="{62ED1F43-6081-4B0B-94C3-5999D37D11C7}"/>
    <cellStyle name="Normal 8 5 2 2 4 2" xfId="18792" xr:uid="{29A8AE47-684B-4B06-B210-FF87BD517A9F}"/>
    <cellStyle name="Normal 8 5 2 2 5" xfId="10395" xr:uid="{21FF9426-95B0-4D38-90C8-EFEF1A95BF63}"/>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4FF85C16-AE22-46EA-849D-13C0866556C5}"/>
    <cellStyle name="Normal 8 5 2 3 2 3" xfId="12953" xr:uid="{C6F15415-E718-47E0-AF71-3F45D0478119}"/>
    <cellStyle name="Normal 8 5 2 3 3" xfId="5699" xr:uid="{00000000-0005-0000-0000-0000281E0000}"/>
    <cellStyle name="Normal 8 5 2 3 3 2" xfId="15025" xr:uid="{79A4D5E1-76E7-443E-9218-6D801244CE44}"/>
    <cellStyle name="Normal 8 5 2 3 4" xfId="10808" xr:uid="{3678FAE5-FB79-4487-A7CE-28F58C7992A9}"/>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77F72FF0-DD20-4F21-9EEF-E5CB3E41D6B9}"/>
    <cellStyle name="Normal 8 5 2 4 2 3" xfId="13366" xr:uid="{AE6E2655-ED80-4D33-B971-28D602DC2D0C}"/>
    <cellStyle name="Normal 8 5 2 4 3" xfId="6112" xr:uid="{00000000-0005-0000-0000-00002C1E0000}"/>
    <cellStyle name="Normal 8 5 2 4 3 2" xfId="15438" xr:uid="{8BE62EED-ACF9-4FC8-87E8-EF9D4AB80A06}"/>
    <cellStyle name="Normal 8 5 2 4 4" xfId="11221" xr:uid="{FE443402-5FE5-473C-AEBC-55CD498CA4E2}"/>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473FD329-4545-46B7-AC24-E1B63C524AD7}"/>
    <cellStyle name="Normal 8 5 2 5 2 3" xfId="13779" xr:uid="{D08DD268-EEBD-47AD-AEFF-596BD00A1598}"/>
    <cellStyle name="Normal 8 5 2 5 3" xfId="6525" xr:uid="{00000000-0005-0000-0000-0000301E0000}"/>
    <cellStyle name="Normal 8 5 2 5 3 2" xfId="15851" xr:uid="{284693A5-45C1-4689-A8B9-CEC0F4330D12}"/>
    <cellStyle name="Normal 8 5 2 5 4" xfId="11634" xr:uid="{22E46427-8B54-48C6-864A-4A8911BBE02C}"/>
    <cellStyle name="Normal 8 5 2 6" xfId="2655" xr:uid="{00000000-0005-0000-0000-0000311E0000}"/>
    <cellStyle name="Normal 8 5 2 6 2" xfId="6938" xr:uid="{00000000-0005-0000-0000-0000321E0000}"/>
    <cellStyle name="Normal 8 5 2 6 2 2" xfId="16264" xr:uid="{9D1C03D3-5B4C-464E-AC3F-AB1D8F5292C8}"/>
    <cellStyle name="Normal 8 5 2 6 3" xfId="12047" xr:uid="{610AE4C6-EE69-4F7F-BF06-CC8A4E439FC5}"/>
    <cellStyle name="Normal 8 5 2 7" xfId="4873" xr:uid="{00000000-0005-0000-0000-0000331E0000}"/>
    <cellStyle name="Normal 8 5 2 7 2" xfId="14199" xr:uid="{103169EC-7715-46A2-ADB3-98DF4447BFA1}"/>
    <cellStyle name="Normal 8 5 2 8" xfId="9052" xr:uid="{D754D15A-EECE-4975-9542-AF3C340304E3}"/>
    <cellStyle name="Normal 8 5 2 8 2" xfId="18376" xr:uid="{88EEF973-6EBE-4B5B-B4FC-72718174E2C4}"/>
    <cellStyle name="Normal 8 5 2 9" xfId="9982" xr:uid="{DBDA9C61-FE9D-4937-A9E5-B82FE5A1882A}"/>
    <cellStyle name="Normal 8 5 3" xfId="974" xr:uid="{00000000-0005-0000-0000-0000341E0000}"/>
    <cellStyle name="Normal 8 5 3 2" xfId="3208" xr:uid="{00000000-0005-0000-0000-0000351E0000}"/>
    <cellStyle name="Normal 8 5 3 2 2" xfId="7430" xr:uid="{00000000-0005-0000-0000-0000361E0000}"/>
    <cellStyle name="Normal 8 5 3 2 2 2" xfId="16756" xr:uid="{DC6E92A8-BB6C-42C1-8799-DAE6D68841A5}"/>
    <cellStyle name="Normal 8 5 3 2 3" xfId="12539" xr:uid="{B62B941F-E1CC-4B55-B6A3-81756E7B2595}"/>
    <cellStyle name="Normal 8 5 3 3" xfId="5285" xr:uid="{00000000-0005-0000-0000-0000371E0000}"/>
    <cellStyle name="Normal 8 5 3 3 2" xfId="14611" xr:uid="{C2C142AE-3A59-4B5C-81B7-BC5BAAFBD83B}"/>
    <cellStyle name="Normal 8 5 3 4" xfId="9270" xr:uid="{88F9D262-71F2-4DD2-A7F6-B0DCE74ABD45}"/>
    <cellStyle name="Normal 8 5 3 4 2" xfId="18585" xr:uid="{792E0D46-CDC8-417C-97B0-4B299DA3DD36}"/>
    <cellStyle name="Normal 8 5 3 5" xfId="10394" xr:uid="{6B39A3C7-1040-48E9-937D-E60B323777BA}"/>
    <cellStyle name="Normal 8 5 4" xfId="1391" xr:uid="{00000000-0005-0000-0000-0000381E0000}"/>
    <cellStyle name="Normal 8 5 4 2" xfId="3621" xr:uid="{00000000-0005-0000-0000-0000391E0000}"/>
    <cellStyle name="Normal 8 5 4 2 2" xfId="7843" xr:uid="{00000000-0005-0000-0000-00003A1E0000}"/>
    <cellStyle name="Normal 8 5 4 2 2 2" xfId="17169" xr:uid="{A22AB9F3-5301-491F-B741-2701C61E274E}"/>
    <cellStyle name="Normal 8 5 4 2 3" xfId="12952" xr:uid="{75CF4E12-B232-40C2-BCA5-F855FD13E2C5}"/>
    <cellStyle name="Normal 8 5 4 3" xfId="5698" xr:uid="{00000000-0005-0000-0000-00003B1E0000}"/>
    <cellStyle name="Normal 8 5 4 3 2" xfId="15024" xr:uid="{6A701288-A38B-4739-88FA-8356D36B686A}"/>
    <cellStyle name="Normal 8 5 4 4" xfId="10807" xr:uid="{769C9C26-15E2-4E51-B6F0-3555788FD17D}"/>
    <cellStyle name="Normal 8 5 5" xfId="1804" xr:uid="{00000000-0005-0000-0000-00003C1E0000}"/>
    <cellStyle name="Normal 8 5 5 2" xfId="4034" xr:uid="{00000000-0005-0000-0000-00003D1E0000}"/>
    <cellStyle name="Normal 8 5 5 2 2" xfId="8256" xr:uid="{00000000-0005-0000-0000-00003E1E0000}"/>
    <cellStyle name="Normal 8 5 5 2 2 2" xfId="17582" xr:uid="{3D03383C-3446-426C-B144-52CB02107628}"/>
    <cellStyle name="Normal 8 5 5 2 3" xfId="13365" xr:uid="{C0535649-5F68-4D4D-B1C8-D40FAAAEACF3}"/>
    <cellStyle name="Normal 8 5 5 3" xfId="6111" xr:uid="{00000000-0005-0000-0000-00003F1E0000}"/>
    <cellStyle name="Normal 8 5 5 3 2" xfId="15437" xr:uid="{8BD52775-8046-4F90-8A84-3997098EFFB0}"/>
    <cellStyle name="Normal 8 5 5 4" xfId="11220" xr:uid="{AFC8A586-B778-4DCB-8A1D-DA0CA2215AAB}"/>
    <cellStyle name="Normal 8 5 6" xfId="2218" xr:uid="{00000000-0005-0000-0000-0000401E0000}"/>
    <cellStyle name="Normal 8 5 6 2" xfId="4447" xr:uid="{00000000-0005-0000-0000-0000411E0000}"/>
    <cellStyle name="Normal 8 5 6 2 2" xfId="8669" xr:uid="{00000000-0005-0000-0000-0000421E0000}"/>
    <cellStyle name="Normal 8 5 6 2 2 2" xfId="17995" xr:uid="{2257074C-CDEC-459C-BCC1-D89E10D718DE}"/>
    <cellStyle name="Normal 8 5 6 2 3" xfId="13778" xr:uid="{FCDC1D23-D085-4D6F-ACC8-0DFDF32E69DA}"/>
    <cellStyle name="Normal 8 5 6 3" xfId="6524" xr:uid="{00000000-0005-0000-0000-0000431E0000}"/>
    <cellStyle name="Normal 8 5 6 3 2" xfId="15850" xr:uid="{30E68F67-05C1-44CF-8D97-55C25F6CFC11}"/>
    <cellStyle name="Normal 8 5 6 4" xfId="11633" xr:uid="{238D79B8-296A-401A-9300-CE2A971D4C3C}"/>
    <cellStyle name="Normal 8 5 7" xfId="2654" xr:uid="{00000000-0005-0000-0000-0000441E0000}"/>
    <cellStyle name="Normal 8 5 7 2" xfId="6937" xr:uid="{00000000-0005-0000-0000-0000451E0000}"/>
    <cellStyle name="Normal 8 5 7 2 2" xfId="16263" xr:uid="{D322314F-D46F-42F8-93BD-B37EDABAE4FF}"/>
    <cellStyle name="Normal 8 5 7 3" xfId="12046" xr:uid="{B4B2B865-6C59-49D3-8083-4EB267FD36A6}"/>
    <cellStyle name="Normal 8 5 8" xfId="4872" xr:uid="{00000000-0005-0000-0000-0000461E0000}"/>
    <cellStyle name="Normal 8 5 8 2" xfId="14198" xr:uid="{71439267-6420-439E-9E06-7CEDF8E5FFA7}"/>
    <cellStyle name="Normal 8 5 9" xfId="8845" xr:uid="{C8167C67-59BC-42DE-816D-718433EFB28C}"/>
    <cellStyle name="Normal 8 5 9 2" xfId="18169" xr:uid="{C4676818-F5E4-466F-8198-0F2D291F8AF8}"/>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3A206D58-A5ED-4789-83E3-4945FD213F14}"/>
    <cellStyle name="Normal 8 6 2 2 3" xfId="12541" xr:uid="{4F68E955-F626-4DF5-AE5E-AACFAED24A3C}"/>
    <cellStyle name="Normal 8 6 2 3" xfId="5287" xr:uid="{00000000-0005-0000-0000-00004B1E0000}"/>
    <cellStyle name="Normal 8 6 2 3 2" xfId="14613" xr:uid="{79FB0901-99C5-4FF0-9284-460DCDBC8807}"/>
    <cellStyle name="Normal 8 6 2 4" xfId="9386" xr:uid="{45A5CE0D-B006-45BB-A53E-22B23F4367E3}"/>
    <cellStyle name="Normal 8 6 2 4 2" xfId="18701" xr:uid="{CBEA46B2-4710-4F8F-A9D3-E1C7E2C6BBFB}"/>
    <cellStyle name="Normal 8 6 2 5" xfId="10396" xr:uid="{AEA807B2-1E36-4D36-8DAD-A2F1EC2039B9}"/>
    <cellStyle name="Normal 8 6 3" xfId="1393" xr:uid="{00000000-0005-0000-0000-00004C1E0000}"/>
    <cellStyle name="Normal 8 6 3 2" xfId="3623" xr:uid="{00000000-0005-0000-0000-00004D1E0000}"/>
    <cellStyle name="Normal 8 6 3 2 2" xfId="7845" xr:uid="{00000000-0005-0000-0000-00004E1E0000}"/>
    <cellStyle name="Normal 8 6 3 2 2 2" xfId="17171" xr:uid="{6D7C29DE-4CC9-4195-A315-3FF45447B482}"/>
    <cellStyle name="Normal 8 6 3 2 3" xfId="12954" xr:uid="{1AE9CA8B-7975-45DE-B0D8-A3EB48CD290B}"/>
    <cellStyle name="Normal 8 6 3 3" xfId="5700" xr:uid="{00000000-0005-0000-0000-00004F1E0000}"/>
    <cellStyle name="Normal 8 6 3 3 2" xfId="15026" xr:uid="{4CAA8A9D-8EBD-47E5-A160-E6905CE7FCE8}"/>
    <cellStyle name="Normal 8 6 3 4" xfId="10809" xr:uid="{754B5F13-BD66-4A01-8D68-B08B3E3DA52B}"/>
    <cellStyle name="Normal 8 6 4" xfId="1806" xr:uid="{00000000-0005-0000-0000-0000501E0000}"/>
    <cellStyle name="Normal 8 6 4 2" xfId="4036" xr:uid="{00000000-0005-0000-0000-0000511E0000}"/>
    <cellStyle name="Normal 8 6 4 2 2" xfId="8258" xr:uid="{00000000-0005-0000-0000-0000521E0000}"/>
    <cellStyle name="Normal 8 6 4 2 2 2" xfId="17584" xr:uid="{88DF3AC8-F363-46DC-92C0-6B41496AC309}"/>
    <cellStyle name="Normal 8 6 4 2 3" xfId="13367" xr:uid="{E3362129-EEF3-442D-AD45-FFCF6ACBD9D2}"/>
    <cellStyle name="Normal 8 6 4 3" xfId="6113" xr:uid="{00000000-0005-0000-0000-0000531E0000}"/>
    <cellStyle name="Normal 8 6 4 3 2" xfId="15439" xr:uid="{80A19551-0628-4270-96B9-CC21EA39A6EA}"/>
    <cellStyle name="Normal 8 6 4 4" xfId="11222" xr:uid="{3B7265D3-1377-4EFE-85AE-039632CEB4F1}"/>
    <cellStyle name="Normal 8 6 5" xfId="2220" xr:uid="{00000000-0005-0000-0000-0000541E0000}"/>
    <cellStyle name="Normal 8 6 5 2" xfId="4449" xr:uid="{00000000-0005-0000-0000-0000551E0000}"/>
    <cellStyle name="Normal 8 6 5 2 2" xfId="8671" xr:uid="{00000000-0005-0000-0000-0000561E0000}"/>
    <cellStyle name="Normal 8 6 5 2 2 2" xfId="17997" xr:uid="{CAC58A0D-106D-426E-9DD5-C11EF814E92A}"/>
    <cellStyle name="Normal 8 6 5 2 3" xfId="13780" xr:uid="{061E0F51-6888-4D6A-9642-D73CB102FC29}"/>
    <cellStyle name="Normal 8 6 5 3" xfId="6526" xr:uid="{00000000-0005-0000-0000-0000571E0000}"/>
    <cellStyle name="Normal 8 6 5 3 2" xfId="15852" xr:uid="{24C618EA-7A83-4ADA-AA18-FBE48CA679E1}"/>
    <cellStyle name="Normal 8 6 5 4" xfId="11635" xr:uid="{6A5AAC53-3C22-4D48-8C67-8660C705D625}"/>
    <cellStyle name="Normal 8 6 6" xfId="2656" xr:uid="{00000000-0005-0000-0000-0000581E0000}"/>
    <cellStyle name="Normal 8 6 6 2" xfId="6939" xr:uid="{00000000-0005-0000-0000-0000591E0000}"/>
    <cellStyle name="Normal 8 6 6 2 2" xfId="16265" xr:uid="{5C209838-EE56-4DFE-AF44-A4CDB66A9E02}"/>
    <cellStyle name="Normal 8 6 6 3" xfId="12048" xr:uid="{74FBD49D-720B-4E0C-966D-5F11E6AB4234}"/>
    <cellStyle name="Normal 8 6 7" xfId="4874" xr:uid="{00000000-0005-0000-0000-00005A1E0000}"/>
    <cellStyle name="Normal 8 6 7 2" xfId="14200" xr:uid="{2D48433C-7AAA-4A6A-97EF-6676F1863910}"/>
    <cellStyle name="Normal 8 6 8" xfId="8961" xr:uid="{36060843-7B38-46C3-B2F1-7172ECB11EEE}"/>
    <cellStyle name="Normal 8 6 8 2" xfId="18285" xr:uid="{7E15A8E6-F95F-4082-903F-81C5251774C3}"/>
    <cellStyle name="Normal 8 6 9" xfId="9983" xr:uid="{6354DC71-E538-4810-8D12-D99ABC7651E5}"/>
    <cellStyle name="Normal 8 7" xfId="945" xr:uid="{00000000-0005-0000-0000-00005B1E0000}"/>
    <cellStyle name="Normal 8 7 2" xfId="3179" xr:uid="{00000000-0005-0000-0000-00005C1E0000}"/>
    <cellStyle name="Normal 8 7 2 2" xfId="7401" xr:uid="{00000000-0005-0000-0000-00005D1E0000}"/>
    <cellStyle name="Normal 8 7 2 2 2" xfId="16727" xr:uid="{1412D525-2F24-422B-9006-37FD8935AB18}"/>
    <cellStyle name="Normal 8 7 2 3" xfId="12510" xr:uid="{7ED663E7-FE6B-463C-AF30-E886879F6A4C}"/>
    <cellStyle name="Normal 8 7 3" xfId="5256" xr:uid="{00000000-0005-0000-0000-00005E1E0000}"/>
    <cellStyle name="Normal 8 7 3 2" xfId="14582" xr:uid="{6F55269E-CDC0-4A52-9498-9A4085AA0859}"/>
    <cellStyle name="Normal 8 7 4" xfId="9164" xr:uid="{EA2ADDDA-E9AC-4FF8-B08B-61B1D6489A46}"/>
    <cellStyle name="Normal 8 7 4 2" xfId="18482" xr:uid="{65383929-702E-4FF0-ADFD-995564BAE007}"/>
    <cellStyle name="Normal 8 7 5" xfId="10365" xr:uid="{D4CD3F4A-C2DF-4D33-B900-4FC8EA425061}"/>
    <cellStyle name="Normal 8 8" xfId="1362" xr:uid="{00000000-0005-0000-0000-00005F1E0000}"/>
    <cellStyle name="Normal 8 8 2" xfId="3592" xr:uid="{00000000-0005-0000-0000-0000601E0000}"/>
    <cellStyle name="Normal 8 8 2 2" xfId="7814" xr:uid="{00000000-0005-0000-0000-0000611E0000}"/>
    <cellStyle name="Normal 8 8 2 2 2" xfId="17140" xr:uid="{9F725B2C-99A3-400D-9550-C8824E52614D}"/>
    <cellStyle name="Normal 8 8 2 3" xfId="12923" xr:uid="{FF80C1F3-1A0F-4155-ACCC-3E8E0D2CF2B4}"/>
    <cellStyle name="Normal 8 8 3" xfId="5669" xr:uid="{00000000-0005-0000-0000-0000621E0000}"/>
    <cellStyle name="Normal 8 8 3 2" xfId="14995" xr:uid="{6E6C1A08-7781-4350-8202-080A85F35919}"/>
    <cellStyle name="Normal 8 8 4" xfId="10778" xr:uid="{C7DE2B02-D7E4-4E2A-AACB-31E8465D6799}"/>
    <cellStyle name="Normal 8 9" xfId="1775" xr:uid="{00000000-0005-0000-0000-0000631E0000}"/>
    <cellStyle name="Normal 8 9 2" xfId="4005" xr:uid="{00000000-0005-0000-0000-0000641E0000}"/>
    <cellStyle name="Normal 8 9 2 2" xfId="8227" xr:uid="{00000000-0005-0000-0000-0000651E0000}"/>
    <cellStyle name="Normal 8 9 2 2 2" xfId="17553" xr:uid="{A8B0FE13-9EF7-4349-9C90-EE853005FFC0}"/>
    <cellStyle name="Normal 8 9 2 3" xfId="13336" xr:uid="{0D30FBAB-CA67-48D9-ACDB-B142F8654D48}"/>
    <cellStyle name="Normal 8 9 3" xfId="6082" xr:uid="{00000000-0005-0000-0000-0000661E0000}"/>
    <cellStyle name="Normal 8 9 3 2" xfId="15408" xr:uid="{0E5BF473-4C5D-4C52-A3FB-DFC708B89A6C}"/>
    <cellStyle name="Normal 8 9 4" xfId="11191" xr:uid="{1C29EA89-3165-4BC6-BF38-B07134949D03}"/>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75E3BC23-CA12-45AC-8547-CDD000FA7765}"/>
    <cellStyle name="Normal 9 2 10 3" xfId="12049" xr:uid="{283300FE-7D73-423F-AAB9-D4E2959D7F40}"/>
    <cellStyle name="Normal 9 2 11" xfId="4875" xr:uid="{00000000-0005-0000-0000-00006B1E0000}"/>
    <cellStyle name="Normal 9 2 11 2" xfId="14201" xr:uid="{A6407869-91D7-444B-9505-9D8CC67DA279}"/>
    <cellStyle name="Normal 9 2 12" xfId="8754" xr:uid="{9024D06A-4C5F-4C89-BCDB-29B8C924FF52}"/>
    <cellStyle name="Normal 9 2 12 2" xfId="18078" xr:uid="{1E9DE3F8-1B87-493B-8331-8343129A949F}"/>
    <cellStyle name="Normal 9 2 13" xfId="9984" xr:uid="{481632A6-459B-45B7-822C-EFE9D771684F}"/>
    <cellStyle name="Normal 9 2 2" xfId="512" xr:uid="{00000000-0005-0000-0000-00006C1E0000}"/>
    <cellStyle name="Normal 9 2 2 10" xfId="4876" xr:uid="{00000000-0005-0000-0000-00006D1E0000}"/>
    <cellStyle name="Normal 9 2 2 10 2" xfId="14202" xr:uid="{DBD97317-5605-4609-B2B8-98F3854D3EF1}"/>
    <cellStyle name="Normal 9 2 2 11" xfId="8785" xr:uid="{3048542E-ED39-45ED-9C91-0140D2CF60D9}"/>
    <cellStyle name="Normal 9 2 2 11 2" xfId="18109" xr:uid="{25742EA5-1C20-4198-9333-D3968DB344AC}"/>
    <cellStyle name="Normal 9 2 2 12" xfId="9985" xr:uid="{56F193B7-65DB-447B-BCF4-86EB8FE97ABC}"/>
    <cellStyle name="Normal 9 2 2 2" xfId="513" xr:uid="{00000000-0005-0000-0000-00006E1E0000}"/>
    <cellStyle name="Normal 9 2 2 2 10" xfId="8839" xr:uid="{3B2DC7F4-4F49-4AE2-9279-EFD4857A149B}"/>
    <cellStyle name="Normal 9 2 2 2 10 2" xfId="18163" xr:uid="{38784F4B-0D74-42A7-8CD3-AD6CA311F1C7}"/>
    <cellStyle name="Normal 9 2 2 2 11" xfId="9986" xr:uid="{7E2E7A13-BAD6-4934-B2E0-3332E43BCD3C}"/>
    <cellStyle name="Normal 9 2 2 2 2" xfId="514" xr:uid="{00000000-0005-0000-0000-00006F1E0000}"/>
    <cellStyle name="Normal 9 2 2 2 2 10" xfId="9987" xr:uid="{F1093B06-70E1-448E-9ABC-C818C9572D53}"/>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E8DBBCA4-7E24-4955-8CAE-77907B036DA2}"/>
    <cellStyle name="Normal 9 2 2 2 2 2 2 2 3" xfId="12546" xr:uid="{D107A861-7014-443F-9B76-28B14B4B723E}"/>
    <cellStyle name="Normal 9 2 2 2 2 2 2 3" xfId="5292" xr:uid="{00000000-0005-0000-0000-0000741E0000}"/>
    <cellStyle name="Normal 9 2 2 2 2 2 2 3 2" xfId="14618" xr:uid="{72C5A282-7FE5-4844-84B4-D1975190E2C9}"/>
    <cellStyle name="Normal 9 2 2 2 2 2 2 4" xfId="9574" xr:uid="{00EB170D-8A20-4280-B781-E452C3590555}"/>
    <cellStyle name="Normal 9 2 2 2 2 2 2 4 2" xfId="18889" xr:uid="{A121446A-82EB-47B0-AF79-1F910896608F}"/>
    <cellStyle name="Normal 9 2 2 2 2 2 2 5" xfId="10401" xr:uid="{FA3AF367-CF20-4FD0-9065-CA4C8D34927D}"/>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E13F3A92-5F5D-4926-9EF4-A427108A0D05}"/>
    <cellStyle name="Normal 9 2 2 2 2 2 3 2 3" xfId="12959" xr:uid="{6A1ABC5A-25D0-4D31-848F-54C23A916CB2}"/>
    <cellStyle name="Normal 9 2 2 2 2 2 3 3" xfId="5705" xr:uid="{00000000-0005-0000-0000-0000781E0000}"/>
    <cellStyle name="Normal 9 2 2 2 2 2 3 3 2" xfId="15031" xr:uid="{D4AE6527-33FC-4894-B638-4F7664D35798}"/>
    <cellStyle name="Normal 9 2 2 2 2 2 3 4" xfId="10814" xr:uid="{D5E70C90-05C7-42CF-97F3-8BD8208A4E86}"/>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6670CD5-F3E8-4F54-9842-540071CCC6BE}"/>
    <cellStyle name="Normal 9 2 2 2 2 2 4 2 3" xfId="13372" xr:uid="{664A7537-4780-45D7-A792-4397D67D7E95}"/>
    <cellStyle name="Normal 9 2 2 2 2 2 4 3" xfId="6118" xr:uid="{00000000-0005-0000-0000-00007C1E0000}"/>
    <cellStyle name="Normal 9 2 2 2 2 2 4 3 2" xfId="15444" xr:uid="{91970A2E-9431-46BD-8EAD-3FF2E401350D}"/>
    <cellStyle name="Normal 9 2 2 2 2 2 4 4" xfId="11227" xr:uid="{3086A51D-72AB-4969-887E-9179ED03FC2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3FF84F18-5206-4298-82A8-D914D8F97758}"/>
    <cellStyle name="Normal 9 2 2 2 2 2 5 2 3" xfId="13785" xr:uid="{060BC205-EBD8-4B1E-BC1C-E8E05505AD20}"/>
    <cellStyle name="Normal 9 2 2 2 2 2 5 3" xfId="6531" xr:uid="{00000000-0005-0000-0000-0000801E0000}"/>
    <cellStyle name="Normal 9 2 2 2 2 2 5 3 2" xfId="15857" xr:uid="{A4E6A0C3-B2C2-4CCC-ACBB-326B9572A957}"/>
    <cellStyle name="Normal 9 2 2 2 2 2 5 4" xfId="11640" xr:uid="{A88A97BF-596B-479D-930E-D37F6C561BF2}"/>
    <cellStyle name="Normal 9 2 2 2 2 2 6" xfId="2661" xr:uid="{00000000-0005-0000-0000-0000811E0000}"/>
    <cellStyle name="Normal 9 2 2 2 2 2 6 2" xfId="6944" xr:uid="{00000000-0005-0000-0000-0000821E0000}"/>
    <cellStyle name="Normal 9 2 2 2 2 2 6 2 2" xfId="16270" xr:uid="{69156DC9-7A4F-42AC-A30E-9C0AC907CC67}"/>
    <cellStyle name="Normal 9 2 2 2 2 2 6 3" xfId="12053" xr:uid="{4DD5A0D9-2345-4E7D-ADCD-2BEEF0D81484}"/>
    <cellStyle name="Normal 9 2 2 2 2 2 7" xfId="4879" xr:uid="{00000000-0005-0000-0000-0000831E0000}"/>
    <cellStyle name="Normal 9 2 2 2 2 2 7 2" xfId="14205" xr:uid="{636345D3-0102-4AA6-A3B4-1B3145C27DE7}"/>
    <cellStyle name="Normal 9 2 2 2 2 2 8" xfId="9149" xr:uid="{6C0BEC1E-EE3B-4956-830C-8775C93DB46A}"/>
    <cellStyle name="Normal 9 2 2 2 2 2 8 2" xfId="18473" xr:uid="{C2A116A6-F2C1-48A4-9F66-D5F464C5769B}"/>
    <cellStyle name="Normal 9 2 2 2 2 2 9" xfId="9988" xr:uid="{DD4609C9-6AB6-4B18-B29D-C8C83163323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D522AE88-21F9-436D-99CE-BE8E011D5F32}"/>
    <cellStyle name="Normal 9 2 2 2 2 3 2 3" xfId="12545" xr:uid="{749308D0-76C5-4800-9839-981773370F39}"/>
    <cellStyle name="Normal 9 2 2 2 2 3 3" xfId="5291" xr:uid="{00000000-0005-0000-0000-0000871E0000}"/>
    <cellStyle name="Normal 9 2 2 2 2 3 3 2" xfId="14617" xr:uid="{9B5D521B-ABA6-4CC6-AEF3-4AC5C4995C38}"/>
    <cellStyle name="Normal 9 2 2 2 2 3 4" xfId="9367" xr:uid="{4A654E22-020A-4B0F-8753-639C44EA908A}"/>
    <cellStyle name="Normal 9 2 2 2 2 3 4 2" xfId="18682" xr:uid="{DE38BDDE-75D2-4CE1-852E-39497B31FB5E}"/>
    <cellStyle name="Normal 9 2 2 2 2 3 5" xfId="10400" xr:uid="{70C2F791-8987-4A6E-BD9F-70CA1A7AC751}"/>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05E529C2-6D04-40A5-ABDB-CA7ECB9A2E6D}"/>
    <cellStyle name="Normal 9 2 2 2 2 4 2 3" xfId="12958" xr:uid="{AE839EC1-6424-488C-B455-293772746139}"/>
    <cellStyle name="Normal 9 2 2 2 2 4 3" xfId="5704" xr:uid="{00000000-0005-0000-0000-00008B1E0000}"/>
    <cellStyle name="Normal 9 2 2 2 2 4 3 2" xfId="15030" xr:uid="{03F6A8E1-6120-4967-9ECD-A83786D9CAA2}"/>
    <cellStyle name="Normal 9 2 2 2 2 4 4" xfId="10813" xr:uid="{CA641BF1-DDEF-4F05-864D-73139E14315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5A654C36-CF91-4171-A25F-0C3711E69CE2}"/>
    <cellStyle name="Normal 9 2 2 2 2 5 2 3" xfId="13371" xr:uid="{3C64E4E3-6375-4C87-8F88-FD1EEB7E2DE4}"/>
    <cellStyle name="Normal 9 2 2 2 2 5 3" xfId="6117" xr:uid="{00000000-0005-0000-0000-00008F1E0000}"/>
    <cellStyle name="Normal 9 2 2 2 2 5 3 2" xfId="15443" xr:uid="{C70DC90C-C55C-49BC-9D7E-C2483CC9EF7B}"/>
    <cellStyle name="Normal 9 2 2 2 2 5 4" xfId="11226" xr:uid="{B83C26EB-5858-4F73-9B4A-19276E8AC893}"/>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73CBEF88-233A-48D7-9115-DBC59CCB68B4}"/>
    <cellStyle name="Normal 9 2 2 2 2 6 2 3" xfId="13784" xr:uid="{E42D7548-16B1-4BBD-8B51-79309D078C4F}"/>
    <cellStyle name="Normal 9 2 2 2 2 6 3" xfId="6530" xr:uid="{00000000-0005-0000-0000-0000931E0000}"/>
    <cellStyle name="Normal 9 2 2 2 2 6 3 2" xfId="15856" xr:uid="{94F7098B-EFB8-427E-B71B-57F35F746B1D}"/>
    <cellStyle name="Normal 9 2 2 2 2 6 4" xfId="11639" xr:uid="{4DAFDE5D-E066-4F83-960B-1EA499F99BD3}"/>
    <cellStyle name="Normal 9 2 2 2 2 7" xfId="2660" xr:uid="{00000000-0005-0000-0000-0000941E0000}"/>
    <cellStyle name="Normal 9 2 2 2 2 7 2" xfId="6943" xr:uid="{00000000-0005-0000-0000-0000951E0000}"/>
    <cellStyle name="Normal 9 2 2 2 2 7 2 2" xfId="16269" xr:uid="{7723C50D-D942-4CE2-8962-EB06185D8128}"/>
    <cellStyle name="Normal 9 2 2 2 2 7 3" xfId="12052" xr:uid="{F8F234C5-28F1-40DA-B876-1F2686F5F6BA}"/>
    <cellStyle name="Normal 9 2 2 2 2 8" xfId="4878" xr:uid="{00000000-0005-0000-0000-0000961E0000}"/>
    <cellStyle name="Normal 9 2 2 2 2 8 2" xfId="14204" xr:uid="{2F6AD89B-E239-4A63-8F78-AFED9A0F0D2E}"/>
    <cellStyle name="Normal 9 2 2 2 2 9" xfId="8942" xr:uid="{0DE8A022-819C-4D6A-B102-31C1C7F429A5}"/>
    <cellStyle name="Normal 9 2 2 2 2 9 2" xfId="18266" xr:uid="{FA3F4474-03FF-433D-A587-6B25364F3273}"/>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4ABA37D2-AE37-44F3-B500-720471D8A88F}"/>
    <cellStyle name="Normal 9 2 2 2 3 2 2 3" xfId="12547" xr:uid="{69B1EC3E-BA16-4967-842E-8499A8299BA3}"/>
    <cellStyle name="Normal 9 2 2 2 3 2 3" xfId="5293" xr:uid="{00000000-0005-0000-0000-00009B1E0000}"/>
    <cellStyle name="Normal 9 2 2 2 3 2 3 2" xfId="14619" xr:uid="{3999FF67-0ED4-4D50-B1FD-E2CEB557F7A2}"/>
    <cellStyle name="Normal 9 2 2 2 3 2 4" xfId="9471" xr:uid="{E472D827-532E-42C0-B781-9E63FEBCFCF5}"/>
    <cellStyle name="Normal 9 2 2 2 3 2 4 2" xfId="18786" xr:uid="{FC7E7654-1439-4A51-A21A-0F7063659C8C}"/>
    <cellStyle name="Normal 9 2 2 2 3 2 5" xfId="10402" xr:uid="{F4E4EEC8-15B6-4B3F-B043-5805B63ABB2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A9BF00D7-635D-4946-A7DF-10ACFEE59E12}"/>
    <cellStyle name="Normal 9 2 2 2 3 3 2 3" xfId="12960" xr:uid="{86F6291D-6927-4421-8381-99CBDE39F7B5}"/>
    <cellStyle name="Normal 9 2 2 2 3 3 3" xfId="5706" xr:uid="{00000000-0005-0000-0000-00009F1E0000}"/>
    <cellStyle name="Normal 9 2 2 2 3 3 3 2" xfId="15032" xr:uid="{3E792555-BC89-4B69-875B-B369FAFAEBB6}"/>
    <cellStyle name="Normal 9 2 2 2 3 3 4" xfId="10815" xr:uid="{6101E5A3-6C29-4D89-A0F5-94738CC2B9EE}"/>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CDCE7DFA-718D-4400-9F82-1C996508CD2B}"/>
    <cellStyle name="Normal 9 2 2 2 3 4 2 3" xfId="13373" xr:uid="{02F13DC2-015B-438E-8BBE-22998424AA8E}"/>
    <cellStyle name="Normal 9 2 2 2 3 4 3" xfId="6119" xr:uid="{00000000-0005-0000-0000-0000A31E0000}"/>
    <cellStyle name="Normal 9 2 2 2 3 4 3 2" xfId="15445" xr:uid="{BB4F13C4-0B1A-43DC-AC07-29494114EAC8}"/>
    <cellStyle name="Normal 9 2 2 2 3 4 4" xfId="11228" xr:uid="{AF0C440E-AAB9-4BED-9A58-1738DC4647F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641A4F9F-EDBF-4F35-863A-273ADA494772}"/>
    <cellStyle name="Normal 9 2 2 2 3 5 2 3" xfId="13786" xr:uid="{4D2357E3-64A9-457F-A1C4-2DFBD88FD754}"/>
    <cellStyle name="Normal 9 2 2 2 3 5 3" xfId="6532" xr:uid="{00000000-0005-0000-0000-0000A71E0000}"/>
    <cellStyle name="Normal 9 2 2 2 3 5 3 2" xfId="15858" xr:uid="{568C25C7-F9C5-4685-A5F8-4668FD6369D1}"/>
    <cellStyle name="Normal 9 2 2 2 3 5 4" xfId="11641" xr:uid="{27631E8D-B480-444B-94A3-7539D0C80232}"/>
    <cellStyle name="Normal 9 2 2 2 3 6" xfId="2662" xr:uid="{00000000-0005-0000-0000-0000A81E0000}"/>
    <cellStyle name="Normal 9 2 2 2 3 6 2" xfId="6945" xr:uid="{00000000-0005-0000-0000-0000A91E0000}"/>
    <cellStyle name="Normal 9 2 2 2 3 6 2 2" xfId="16271" xr:uid="{A9E6FDDD-5CD8-4158-8ADF-669FC6706091}"/>
    <cellStyle name="Normal 9 2 2 2 3 6 3" xfId="12054" xr:uid="{10AF4BCC-FD73-437C-819A-6B5029230E1E}"/>
    <cellStyle name="Normal 9 2 2 2 3 7" xfId="4880" xr:uid="{00000000-0005-0000-0000-0000AA1E0000}"/>
    <cellStyle name="Normal 9 2 2 2 3 7 2" xfId="14206" xr:uid="{05B4D6FF-3ED1-4C42-A846-78AE62792691}"/>
    <cellStyle name="Normal 9 2 2 2 3 8" xfId="9046" xr:uid="{6B7E07C7-E90B-4AE9-8FE8-76EF28E8FC85}"/>
    <cellStyle name="Normal 9 2 2 2 3 8 2" xfId="18370" xr:uid="{E8A900C5-6946-4709-9DEA-C28225092283}"/>
    <cellStyle name="Normal 9 2 2 2 3 9" xfId="9989" xr:uid="{EF71F632-64CE-489A-9106-7C7EBD09839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E6B1E4C8-EEAF-447B-9AAE-65A4380F2895}"/>
    <cellStyle name="Normal 9 2 2 2 4 2 3" xfId="12544" xr:uid="{974A410D-5F4A-47B7-87B0-0EB9423BC721}"/>
    <cellStyle name="Normal 9 2 2 2 4 3" xfId="5290" xr:uid="{00000000-0005-0000-0000-0000AE1E0000}"/>
    <cellStyle name="Normal 9 2 2 2 4 3 2" xfId="14616" xr:uid="{F08722BD-A042-40BF-888E-D4D64420A253}"/>
    <cellStyle name="Normal 9 2 2 2 4 4" xfId="9264" xr:uid="{0137E036-48D9-4B3B-9B73-0002A19DDE9E}"/>
    <cellStyle name="Normal 9 2 2 2 4 4 2" xfId="18579" xr:uid="{8748A795-320C-4F4F-809C-8335CA2DBFF1}"/>
    <cellStyle name="Normal 9 2 2 2 4 5" xfId="10399" xr:uid="{FD2ADC4F-08F6-4414-A61C-DCB356D79CA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3FB69CFD-65B8-46C4-B462-2592A226D542}"/>
    <cellStyle name="Normal 9 2 2 2 5 2 3" xfId="12957" xr:uid="{F38022C2-29BD-4EC7-9A2E-1C83710179BC}"/>
    <cellStyle name="Normal 9 2 2 2 5 3" xfId="5703" xr:uid="{00000000-0005-0000-0000-0000B21E0000}"/>
    <cellStyle name="Normal 9 2 2 2 5 3 2" xfId="15029" xr:uid="{D0FDF705-BFE9-4D40-B564-F72022600A3E}"/>
    <cellStyle name="Normal 9 2 2 2 5 4" xfId="10812" xr:uid="{F13BC541-4649-43A9-B6F7-1225F53645C7}"/>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C2B3DF4B-0401-4233-9A55-7F9DE646A7AA}"/>
    <cellStyle name="Normal 9 2 2 2 6 2 3" xfId="13370" xr:uid="{B255CB35-14B6-4A25-B230-8CEE2B460690}"/>
    <cellStyle name="Normal 9 2 2 2 6 3" xfId="6116" xr:uid="{00000000-0005-0000-0000-0000B61E0000}"/>
    <cellStyle name="Normal 9 2 2 2 6 3 2" xfId="15442" xr:uid="{41EFE311-415C-443A-87E5-CDF5221DC527}"/>
    <cellStyle name="Normal 9 2 2 2 6 4" xfId="11225" xr:uid="{7C3A8C7E-BAE9-4B20-BE92-702B4FD0689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90FBE53E-C52D-4D98-99EA-0B32EAEF0AC8}"/>
    <cellStyle name="Normal 9 2 2 2 7 2 3" xfId="13783" xr:uid="{2D1AEC6A-F871-4DA0-80D1-676FEA677E57}"/>
    <cellStyle name="Normal 9 2 2 2 7 3" xfId="6529" xr:uid="{00000000-0005-0000-0000-0000BA1E0000}"/>
    <cellStyle name="Normal 9 2 2 2 7 3 2" xfId="15855" xr:uid="{83280090-27D3-4497-ADC4-281B270675AD}"/>
    <cellStyle name="Normal 9 2 2 2 7 4" xfId="11638" xr:uid="{0EABCD56-F0D2-4E26-8158-B5F153AE20CD}"/>
    <cellStyle name="Normal 9 2 2 2 8" xfId="2659" xr:uid="{00000000-0005-0000-0000-0000BB1E0000}"/>
    <cellStyle name="Normal 9 2 2 2 8 2" xfId="6942" xr:uid="{00000000-0005-0000-0000-0000BC1E0000}"/>
    <cellStyle name="Normal 9 2 2 2 8 2 2" xfId="16268" xr:uid="{98C5FBEF-ED84-484E-AFC1-F1F754D54F91}"/>
    <cellStyle name="Normal 9 2 2 2 8 3" xfId="12051" xr:uid="{8142F046-C982-4BEF-8016-0D2C06231F10}"/>
    <cellStyle name="Normal 9 2 2 2 9" xfId="4877" xr:uid="{00000000-0005-0000-0000-0000BD1E0000}"/>
    <cellStyle name="Normal 9 2 2 2 9 2" xfId="14203" xr:uid="{CEBA4D83-E84A-495C-8305-835BFE97339E}"/>
    <cellStyle name="Normal 9 2 2 3" xfId="517" xr:uid="{00000000-0005-0000-0000-0000BE1E0000}"/>
    <cellStyle name="Normal 9 2 2 3 10" xfId="9990" xr:uid="{65BD7D1A-31E9-46CB-891B-D485F91537A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61CD5CC5-C01D-4076-A339-1D7800068763}"/>
    <cellStyle name="Normal 9 2 2 3 2 2 2 3" xfId="12549" xr:uid="{DC5DFB37-5D58-49D7-839D-C4210AED8949}"/>
    <cellStyle name="Normal 9 2 2 3 2 2 3" xfId="5295" xr:uid="{00000000-0005-0000-0000-0000C31E0000}"/>
    <cellStyle name="Normal 9 2 2 3 2 2 3 2" xfId="14621" xr:uid="{7F6928F4-E926-4521-8917-75A17FD1CB51}"/>
    <cellStyle name="Normal 9 2 2 3 2 2 4" xfId="9520" xr:uid="{57CFBD10-691F-4DF8-8020-B75E98FF60DD}"/>
    <cellStyle name="Normal 9 2 2 3 2 2 4 2" xfId="18835" xr:uid="{D42C4D3B-2DBB-4F87-B36F-99BA3770912B}"/>
    <cellStyle name="Normal 9 2 2 3 2 2 5" xfId="10404" xr:uid="{FA92409C-48A0-49C7-98AE-60A0CE4D4B3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885A0BF1-1AC0-41EA-8185-DBA012EF6AAD}"/>
    <cellStyle name="Normal 9 2 2 3 2 3 2 3" xfId="12962" xr:uid="{9327CB6E-47C7-414A-B66E-987E55435BE1}"/>
    <cellStyle name="Normal 9 2 2 3 2 3 3" xfId="5708" xr:uid="{00000000-0005-0000-0000-0000C71E0000}"/>
    <cellStyle name="Normal 9 2 2 3 2 3 3 2" xfId="15034" xr:uid="{28D4E55F-7F3F-4DE9-BCE6-2E1FCF2A80DD}"/>
    <cellStyle name="Normal 9 2 2 3 2 3 4" xfId="10817" xr:uid="{49BCDE60-5605-4DFF-85E9-5B3D45608C8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36EF650A-F589-42D3-A2FA-D87820ABE7BC}"/>
    <cellStyle name="Normal 9 2 2 3 2 4 2 3" xfId="13375" xr:uid="{93B2C083-7189-4201-BBA8-37E8ABA8D181}"/>
    <cellStyle name="Normal 9 2 2 3 2 4 3" xfId="6121" xr:uid="{00000000-0005-0000-0000-0000CB1E0000}"/>
    <cellStyle name="Normal 9 2 2 3 2 4 3 2" xfId="15447" xr:uid="{A9437D19-EE09-4B3A-B0A2-E6BEFE410006}"/>
    <cellStyle name="Normal 9 2 2 3 2 4 4" xfId="11230" xr:uid="{DA89F0DF-E05C-4693-9B26-77E34AA5416E}"/>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A7D98AF2-8697-48EB-A392-79C443E1B5C3}"/>
    <cellStyle name="Normal 9 2 2 3 2 5 2 3" xfId="13788" xr:uid="{46497229-6467-4442-B315-7070590FCB85}"/>
    <cellStyle name="Normal 9 2 2 3 2 5 3" xfId="6534" xr:uid="{00000000-0005-0000-0000-0000CF1E0000}"/>
    <cellStyle name="Normal 9 2 2 3 2 5 3 2" xfId="15860" xr:uid="{BB355DE3-B884-448A-BC86-079DB2E73735}"/>
    <cellStyle name="Normal 9 2 2 3 2 5 4" xfId="11643" xr:uid="{41937F6E-B90F-470A-92CF-C6DA1FE59A3C}"/>
    <cellStyle name="Normal 9 2 2 3 2 6" xfId="2664" xr:uid="{00000000-0005-0000-0000-0000D01E0000}"/>
    <cellStyle name="Normal 9 2 2 3 2 6 2" xfId="6947" xr:uid="{00000000-0005-0000-0000-0000D11E0000}"/>
    <cellStyle name="Normal 9 2 2 3 2 6 2 2" xfId="16273" xr:uid="{5165C7DD-7557-4E41-9B3E-950E9BEBB7B8}"/>
    <cellStyle name="Normal 9 2 2 3 2 6 3" xfId="12056" xr:uid="{DF55855E-14EB-45AE-9F55-90B9A3A25EDA}"/>
    <cellStyle name="Normal 9 2 2 3 2 7" xfId="4882" xr:uid="{00000000-0005-0000-0000-0000D21E0000}"/>
    <cellStyle name="Normal 9 2 2 3 2 7 2" xfId="14208" xr:uid="{9A44D23E-21FE-429E-968A-B7035FD7F135}"/>
    <cellStyle name="Normal 9 2 2 3 2 8" xfId="9095" xr:uid="{D95088B7-D227-4E97-A9B9-DA61436DD386}"/>
    <cellStyle name="Normal 9 2 2 3 2 8 2" xfId="18419" xr:uid="{0DE1B5F3-FE3A-46E2-856E-7CAF0F2E600B}"/>
    <cellStyle name="Normal 9 2 2 3 2 9" xfId="9991" xr:uid="{D7A63608-A6C2-4546-A378-1E8CECDE0EC7}"/>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948B0C20-6EE2-468E-B1D4-00688B976D87}"/>
    <cellStyle name="Normal 9 2 2 3 3 2 3" xfId="12548" xr:uid="{CFB31646-E478-4949-93A4-2AED53E754A4}"/>
    <cellStyle name="Normal 9 2 2 3 3 3" xfId="5294" xr:uid="{00000000-0005-0000-0000-0000D61E0000}"/>
    <cellStyle name="Normal 9 2 2 3 3 3 2" xfId="14620" xr:uid="{711FDC41-6FCD-462E-A002-0F7A1B2D8177}"/>
    <cellStyle name="Normal 9 2 2 3 3 4" xfId="9313" xr:uid="{FDDC600D-FDDD-4FFC-9820-DFD7E0768F33}"/>
    <cellStyle name="Normal 9 2 2 3 3 4 2" xfId="18628" xr:uid="{29E06C20-CBA4-40D2-8E13-0A14F2287B90}"/>
    <cellStyle name="Normal 9 2 2 3 3 5" xfId="10403" xr:uid="{9FC51729-53BA-426B-BE50-99AEE6082E2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31B669C5-FFC5-4DFE-9C42-F70425C10BB3}"/>
    <cellStyle name="Normal 9 2 2 3 4 2 3" xfId="12961" xr:uid="{F22AEA5F-58EC-45D8-966A-31B4AE6FE8F6}"/>
    <cellStyle name="Normal 9 2 2 3 4 3" xfId="5707" xr:uid="{00000000-0005-0000-0000-0000DA1E0000}"/>
    <cellStyle name="Normal 9 2 2 3 4 3 2" xfId="15033" xr:uid="{4F44FC01-0CA7-46B8-B2E8-099CEDEFA4BE}"/>
    <cellStyle name="Normal 9 2 2 3 4 4" xfId="10816" xr:uid="{947F03D6-0EF7-4797-AFE6-CD465F3088B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0C3A318D-C777-4761-B38B-808B0A34D7ED}"/>
    <cellStyle name="Normal 9 2 2 3 5 2 3" xfId="13374" xr:uid="{14D2A41A-1DB8-4754-834F-B24C82F8AF97}"/>
    <cellStyle name="Normal 9 2 2 3 5 3" xfId="6120" xr:uid="{00000000-0005-0000-0000-0000DE1E0000}"/>
    <cellStyle name="Normal 9 2 2 3 5 3 2" xfId="15446" xr:uid="{466A377F-603F-42DA-B154-373E26C3F06D}"/>
    <cellStyle name="Normal 9 2 2 3 5 4" xfId="11229" xr:uid="{6E1E8B41-F958-4E5F-AD11-9DA6179724C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5DFCA0AB-C60D-4AB3-89D3-C2D27ECD4829}"/>
    <cellStyle name="Normal 9 2 2 3 6 2 3" xfId="13787" xr:uid="{360CD726-46D3-48FB-AD5F-575AF7EFA052}"/>
    <cellStyle name="Normal 9 2 2 3 6 3" xfId="6533" xr:uid="{00000000-0005-0000-0000-0000E21E0000}"/>
    <cellStyle name="Normal 9 2 2 3 6 3 2" xfId="15859" xr:uid="{673B2D8C-F3EE-462C-B55A-200F2487F5E3}"/>
    <cellStyle name="Normal 9 2 2 3 6 4" xfId="11642" xr:uid="{7A3CA6FC-01E8-4214-9656-88D3FFC2F07B}"/>
    <cellStyle name="Normal 9 2 2 3 7" xfId="2663" xr:uid="{00000000-0005-0000-0000-0000E31E0000}"/>
    <cellStyle name="Normal 9 2 2 3 7 2" xfId="6946" xr:uid="{00000000-0005-0000-0000-0000E41E0000}"/>
    <cellStyle name="Normal 9 2 2 3 7 2 2" xfId="16272" xr:uid="{267C38EA-0B41-4C6C-B272-69BE23C38D9E}"/>
    <cellStyle name="Normal 9 2 2 3 7 3" xfId="12055" xr:uid="{CFD9EEB0-AEB5-43A2-B835-3AC168FDA40E}"/>
    <cellStyle name="Normal 9 2 2 3 8" xfId="4881" xr:uid="{00000000-0005-0000-0000-0000E51E0000}"/>
    <cellStyle name="Normal 9 2 2 3 8 2" xfId="14207" xr:uid="{BEDF773B-BACD-471A-BDF5-BEEF9FA93565}"/>
    <cellStyle name="Normal 9 2 2 3 9" xfId="8888" xr:uid="{47457178-62A7-4ACA-95A1-433BF4FD3D65}"/>
    <cellStyle name="Normal 9 2 2 3 9 2" xfId="18212" xr:uid="{8133F80D-F62A-428F-9151-8BF54E2B321D}"/>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24138A19-D8FB-41FB-A65B-22E517F360B5}"/>
    <cellStyle name="Normal 9 2 2 4 2 2 3" xfId="12550" xr:uid="{CCA07ABB-F25A-459E-B906-3782267ED2A9}"/>
    <cellStyle name="Normal 9 2 2 4 2 3" xfId="5296" xr:uid="{00000000-0005-0000-0000-0000EA1E0000}"/>
    <cellStyle name="Normal 9 2 2 4 2 3 2" xfId="14622" xr:uid="{5BCCFBC1-7B27-4C9E-B5C5-F0B46346649E}"/>
    <cellStyle name="Normal 9 2 2 4 2 4" xfId="9417" xr:uid="{FDB8A679-B5B8-4E9B-808D-E68F6CA01958}"/>
    <cellStyle name="Normal 9 2 2 4 2 4 2" xfId="18732" xr:uid="{20F6EEC3-B392-4C16-B81F-6827DFE1E0B1}"/>
    <cellStyle name="Normal 9 2 2 4 2 5" xfId="10405" xr:uid="{6CD69F99-3535-4734-83AB-FBC0C8D888C7}"/>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1493D97E-269D-4F78-B75D-3A80A3D539C9}"/>
    <cellStyle name="Normal 9 2 2 4 3 2 3" xfId="12963" xr:uid="{A5689243-8B48-433C-9328-99168C557EDE}"/>
    <cellStyle name="Normal 9 2 2 4 3 3" xfId="5709" xr:uid="{00000000-0005-0000-0000-0000EE1E0000}"/>
    <cellStyle name="Normal 9 2 2 4 3 3 2" xfId="15035" xr:uid="{637C695C-9E87-4765-8F02-A683C163C456}"/>
    <cellStyle name="Normal 9 2 2 4 3 4" xfId="10818" xr:uid="{1C47E227-B6FF-48C6-8FC8-F8996054830E}"/>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499625F7-49B7-4674-AC47-3602DB4D8791}"/>
    <cellStyle name="Normal 9 2 2 4 4 2 3" xfId="13376" xr:uid="{14B5F87B-27CD-4F09-82EE-F4BD8534DC81}"/>
    <cellStyle name="Normal 9 2 2 4 4 3" xfId="6122" xr:uid="{00000000-0005-0000-0000-0000F21E0000}"/>
    <cellStyle name="Normal 9 2 2 4 4 3 2" xfId="15448" xr:uid="{E89CD7B9-AB4B-4C8D-B72C-E966C857FE72}"/>
    <cellStyle name="Normal 9 2 2 4 4 4" xfId="11231" xr:uid="{7D609223-09E0-45B5-91CD-F8D4868501DE}"/>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ECA72F80-A402-4719-A1BD-F2272F05F04E}"/>
    <cellStyle name="Normal 9 2 2 4 5 2 3" xfId="13789" xr:uid="{34B46E25-5D50-416B-820A-E29088C496C7}"/>
    <cellStyle name="Normal 9 2 2 4 5 3" xfId="6535" xr:uid="{00000000-0005-0000-0000-0000F61E0000}"/>
    <cellStyle name="Normal 9 2 2 4 5 3 2" xfId="15861" xr:uid="{AB5B5965-4CDB-4A90-97D3-234D409FDE58}"/>
    <cellStyle name="Normal 9 2 2 4 5 4" xfId="11644" xr:uid="{D9B9448D-2250-4BD4-B26D-8DC1FA42EEBB}"/>
    <cellStyle name="Normal 9 2 2 4 6" xfId="2665" xr:uid="{00000000-0005-0000-0000-0000F71E0000}"/>
    <cellStyle name="Normal 9 2 2 4 6 2" xfId="6948" xr:uid="{00000000-0005-0000-0000-0000F81E0000}"/>
    <cellStyle name="Normal 9 2 2 4 6 2 2" xfId="16274" xr:uid="{A80454D0-C832-4156-9BED-B8D358902B0D}"/>
    <cellStyle name="Normal 9 2 2 4 6 3" xfId="12057" xr:uid="{E1259B22-059D-4AF5-A766-9B3E5F608876}"/>
    <cellStyle name="Normal 9 2 2 4 7" xfId="4883" xr:uid="{00000000-0005-0000-0000-0000F91E0000}"/>
    <cellStyle name="Normal 9 2 2 4 7 2" xfId="14209" xr:uid="{EE36B418-D324-477D-ADD1-59877BC97058}"/>
    <cellStyle name="Normal 9 2 2 4 8" xfId="8992" xr:uid="{8AFFF8AD-8552-4B33-AAFF-7DACAE25085E}"/>
    <cellStyle name="Normal 9 2 2 4 8 2" xfId="18316" xr:uid="{F6831D15-45CB-412B-88F2-0C4C831526F1}"/>
    <cellStyle name="Normal 9 2 2 4 9" xfId="9992" xr:uid="{6949317C-9197-4733-9626-67E8ACA88356}"/>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919E70F6-07D3-4903-BC8B-DB81DF8FD4CD}"/>
    <cellStyle name="Normal 9 2 2 5 2 3" xfId="12543" xr:uid="{CBA4CB98-522E-4A3B-B6FF-76EC54A835C7}"/>
    <cellStyle name="Normal 9 2 2 5 3" xfId="5289" xr:uid="{00000000-0005-0000-0000-0000FD1E0000}"/>
    <cellStyle name="Normal 9 2 2 5 3 2" xfId="14615" xr:uid="{6EFC68B0-6194-4C4D-9DA5-3ABA7EE975ED}"/>
    <cellStyle name="Normal 9 2 2 5 4" xfId="9209" xr:uid="{66E66B93-842C-41D8-A807-A065C03CFEBD}"/>
    <cellStyle name="Normal 9 2 2 5 4 2" xfId="18525" xr:uid="{6A2B015B-E06A-440C-828A-C995CC7C29EB}"/>
    <cellStyle name="Normal 9 2 2 5 5" xfId="10398" xr:uid="{8A79F10D-E480-46CD-A729-4519070C7F36}"/>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B92646B5-45A5-439D-85ED-EF3C8A052625}"/>
    <cellStyle name="Normal 9 2 2 6 2 3" xfId="12956" xr:uid="{4F150197-5741-4534-924B-FA9E289CC867}"/>
    <cellStyle name="Normal 9 2 2 6 3" xfId="5702" xr:uid="{00000000-0005-0000-0000-0000011F0000}"/>
    <cellStyle name="Normal 9 2 2 6 3 2" xfId="15028" xr:uid="{586C2407-DE04-4E10-81E0-D4E9D7BD5AC2}"/>
    <cellStyle name="Normal 9 2 2 6 4" xfId="10811" xr:uid="{CE63616D-5C6B-4F19-828A-9729037BA5C9}"/>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12998487-0E23-41F1-A75E-F63552D30745}"/>
    <cellStyle name="Normal 9 2 2 7 2 3" xfId="13369" xr:uid="{FBA0DBB4-3487-4EAA-ADDD-214172170A95}"/>
    <cellStyle name="Normal 9 2 2 7 3" xfId="6115" xr:uid="{00000000-0005-0000-0000-0000051F0000}"/>
    <cellStyle name="Normal 9 2 2 7 3 2" xfId="15441" xr:uid="{3E43DE47-8264-417A-84B9-DEF6A33D2081}"/>
    <cellStyle name="Normal 9 2 2 7 4" xfId="11224" xr:uid="{EF4FDD9D-04B0-4276-BBB5-C95034DBDC64}"/>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48653824-3A63-40BC-9C37-D0B4D206338E}"/>
    <cellStyle name="Normal 9 2 2 8 2 3" xfId="13782" xr:uid="{B0721FDD-F450-45C0-B6E9-A016B7C9F37B}"/>
    <cellStyle name="Normal 9 2 2 8 3" xfId="6528" xr:uid="{00000000-0005-0000-0000-0000091F0000}"/>
    <cellStyle name="Normal 9 2 2 8 3 2" xfId="15854" xr:uid="{D16CAC58-E253-4579-A8CE-D9B5BFC47032}"/>
    <cellStyle name="Normal 9 2 2 8 4" xfId="11637" xr:uid="{B54D5550-9E58-44B1-B6F8-2A244EA967AE}"/>
    <cellStyle name="Normal 9 2 2 9" xfId="2658" xr:uid="{00000000-0005-0000-0000-00000A1F0000}"/>
    <cellStyle name="Normal 9 2 2 9 2" xfId="6941" xr:uid="{00000000-0005-0000-0000-00000B1F0000}"/>
    <cellStyle name="Normal 9 2 2 9 2 2" xfId="16267" xr:uid="{AEAD1FC1-2970-47C1-9A22-666B464A529A}"/>
    <cellStyle name="Normal 9 2 2 9 3" xfId="12050" xr:uid="{C8767C0B-3B21-40F5-856A-48FA0F344F94}"/>
    <cellStyle name="Normal 9 2 3" xfId="520" xr:uid="{00000000-0005-0000-0000-00000C1F0000}"/>
    <cellStyle name="Normal 9 2 3 10" xfId="8838" xr:uid="{3F59BADF-95CF-4831-9CE1-8ACBDD585DF1}"/>
    <cellStyle name="Normal 9 2 3 10 2" xfId="18162" xr:uid="{53477C2B-41A0-4FCD-A486-2182FBD01581}"/>
    <cellStyle name="Normal 9 2 3 11" xfId="9993" xr:uid="{CE651F41-9CEC-460E-BD9C-26F808329645}"/>
    <cellStyle name="Normal 9 2 3 2" xfId="521" xr:uid="{00000000-0005-0000-0000-00000D1F0000}"/>
    <cellStyle name="Normal 9 2 3 2 10" xfId="9994" xr:uid="{322A977F-E85C-4321-8199-81F53383B22C}"/>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D744E069-2BA8-4787-88DC-1E0AEFC759CB}"/>
    <cellStyle name="Normal 9 2 3 2 2 2 2 3" xfId="12553" xr:uid="{6D582DD5-34F0-41C0-BFFF-E170CE465F7A}"/>
    <cellStyle name="Normal 9 2 3 2 2 2 3" xfId="5299" xr:uid="{00000000-0005-0000-0000-0000121F0000}"/>
    <cellStyle name="Normal 9 2 3 2 2 2 3 2" xfId="14625" xr:uid="{940111A0-E420-4FF8-9926-FD49CDB7AC02}"/>
    <cellStyle name="Normal 9 2 3 2 2 2 4" xfId="9573" xr:uid="{376F8566-2407-40B8-9531-D3E757BE7A23}"/>
    <cellStyle name="Normal 9 2 3 2 2 2 4 2" xfId="18888" xr:uid="{4B1C04B6-8CDB-4F5C-BC6B-E9C53A6140A7}"/>
    <cellStyle name="Normal 9 2 3 2 2 2 5" xfId="10408" xr:uid="{BABD88B0-D871-4636-BBA1-F5FD243E980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3C548834-ED9A-42AE-80D9-5A118F9D6547}"/>
    <cellStyle name="Normal 9 2 3 2 2 3 2 3" xfId="12966" xr:uid="{8BE3968F-C13C-487B-B684-E4718AF742AC}"/>
    <cellStyle name="Normal 9 2 3 2 2 3 3" xfId="5712" xr:uid="{00000000-0005-0000-0000-0000161F0000}"/>
    <cellStyle name="Normal 9 2 3 2 2 3 3 2" xfId="15038" xr:uid="{DC1D759D-E9C9-4A64-A909-A16C53C20B16}"/>
    <cellStyle name="Normal 9 2 3 2 2 3 4" xfId="10821" xr:uid="{025CB357-AC8B-43B8-9BA3-D5ED0264676C}"/>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7028B5BC-741C-4702-BC29-E332996C1437}"/>
    <cellStyle name="Normal 9 2 3 2 2 4 2 3" xfId="13379" xr:uid="{9813E2EA-7365-40B3-8292-39872A6CDCEF}"/>
    <cellStyle name="Normal 9 2 3 2 2 4 3" xfId="6125" xr:uid="{00000000-0005-0000-0000-00001A1F0000}"/>
    <cellStyle name="Normal 9 2 3 2 2 4 3 2" xfId="15451" xr:uid="{1553ECC1-08D6-4E8A-87C6-931AC37FA980}"/>
    <cellStyle name="Normal 9 2 3 2 2 4 4" xfId="11234" xr:uid="{AFFA5EEE-06A8-46C9-82E8-D7B5100F870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EBD2C10E-DC96-4C99-B2C6-640BA276AD3E}"/>
    <cellStyle name="Normal 9 2 3 2 2 5 2 3" xfId="13792" xr:uid="{499283C2-83BA-4EC6-B432-A561807C5421}"/>
    <cellStyle name="Normal 9 2 3 2 2 5 3" xfId="6538" xr:uid="{00000000-0005-0000-0000-00001E1F0000}"/>
    <cellStyle name="Normal 9 2 3 2 2 5 3 2" xfId="15864" xr:uid="{21B92CFA-D1CF-421B-86A8-279921E2CCD0}"/>
    <cellStyle name="Normal 9 2 3 2 2 5 4" xfId="11647" xr:uid="{84BFA2B1-B9EB-45BC-AEC0-29474A905D94}"/>
    <cellStyle name="Normal 9 2 3 2 2 6" xfId="2668" xr:uid="{00000000-0005-0000-0000-00001F1F0000}"/>
    <cellStyle name="Normal 9 2 3 2 2 6 2" xfId="6951" xr:uid="{00000000-0005-0000-0000-0000201F0000}"/>
    <cellStyle name="Normal 9 2 3 2 2 6 2 2" xfId="16277" xr:uid="{18AB6E78-B610-40A0-B906-C76446778074}"/>
    <cellStyle name="Normal 9 2 3 2 2 6 3" xfId="12060" xr:uid="{3F909089-6A4C-46CD-9346-8B4A8E023EC6}"/>
    <cellStyle name="Normal 9 2 3 2 2 7" xfId="4886" xr:uid="{00000000-0005-0000-0000-0000211F0000}"/>
    <cellStyle name="Normal 9 2 3 2 2 7 2" xfId="14212" xr:uid="{15CB4A99-A6C3-4021-AB2D-0FDFE2D6B874}"/>
    <cellStyle name="Normal 9 2 3 2 2 8" xfId="9148" xr:uid="{E1A2F3F0-C8EA-47FA-BB37-18F117041A87}"/>
    <cellStyle name="Normal 9 2 3 2 2 8 2" xfId="18472" xr:uid="{FE19A003-D73E-4C0D-A9A4-93D61CA6065F}"/>
    <cellStyle name="Normal 9 2 3 2 2 9" xfId="9995" xr:uid="{27488D86-9679-4D51-A61B-BB4C39EC05E5}"/>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242059E-2E1D-4EE6-BFAB-65F875BAC765}"/>
    <cellStyle name="Normal 9 2 3 2 3 2 3" xfId="12552" xr:uid="{3BEE4B49-C022-427B-B522-94E722FA6E55}"/>
    <cellStyle name="Normal 9 2 3 2 3 3" xfId="5298" xr:uid="{00000000-0005-0000-0000-0000251F0000}"/>
    <cellStyle name="Normal 9 2 3 2 3 3 2" xfId="14624" xr:uid="{8DB7AF80-4B3B-4838-92B9-20F71B0FF6F5}"/>
    <cellStyle name="Normal 9 2 3 2 3 4" xfId="9366" xr:uid="{136A6B94-9CAA-4F6C-B09D-7385900FCA38}"/>
    <cellStyle name="Normal 9 2 3 2 3 4 2" xfId="18681" xr:uid="{5D3C9AC8-8729-4CA1-8D1E-AF3C82C25D30}"/>
    <cellStyle name="Normal 9 2 3 2 3 5" xfId="10407" xr:uid="{7E3A9E98-BA92-4567-B097-A6125A2BA3A7}"/>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3F5800AE-E0B4-4A2A-896B-248368227F70}"/>
    <cellStyle name="Normal 9 2 3 2 4 2 3" xfId="12965" xr:uid="{889F5DDC-F7E6-43CB-8435-514BACC8B4ED}"/>
    <cellStyle name="Normal 9 2 3 2 4 3" xfId="5711" xr:uid="{00000000-0005-0000-0000-0000291F0000}"/>
    <cellStyle name="Normal 9 2 3 2 4 3 2" xfId="15037" xr:uid="{D6D9450F-53C3-409B-BE65-7843B186A85A}"/>
    <cellStyle name="Normal 9 2 3 2 4 4" xfId="10820" xr:uid="{209CBB11-E09A-4811-9D1C-79C83917959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A9A719DE-14C6-40F4-A8F3-29DE48B6FD75}"/>
    <cellStyle name="Normal 9 2 3 2 5 2 3" xfId="13378" xr:uid="{BA69DA86-941B-4BE0-B79E-FB154AA603A2}"/>
    <cellStyle name="Normal 9 2 3 2 5 3" xfId="6124" xr:uid="{00000000-0005-0000-0000-00002D1F0000}"/>
    <cellStyle name="Normal 9 2 3 2 5 3 2" xfId="15450" xr:uid="{AAD946D4-505E-4DDC-AF07-111EAF39F57D}"/>
    <cellStyle name="Normal 9 2 3 2 5 4" xfId="11233" xr:uid="{20437DCE-7976-43B4-9216-1E8E59B07E6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DAFF4B15-CA3B-46ED-9E85-4A04060BE7D8}"/>
    <cellStyle name="Normal 9 2 3 2 6 2 3" xfId="13791" xr:uid="{923A3418-0D84-41C9-813F-71C9264E1A5E}"/>
    <cellStyle name="Normal 9 2 3 2 6 3" xfId="6537" xr:uid="{00000000-0005-0000-0000-0000311F0000}"/>
    <cellStyle name="Normal 9 2 3 2 6 3 2" xfId="15863" xr:uid="{4A7BE80B-9BE6-414A-B663-59B08BC29AA8}"/>
    <cellStyle name="Normal 9 2 3 2 6 4" xfId="11646" xr:uid="{8E074424-B94E-44D2-9E1F-0BD340FB4928}"/>
    <cellStyle name="Normal 9 2 3 2 7" xfId="2667" xr:uid="{00000000-0005-0000-0000-0000321F0000}"/>
    <cellStyle name="Normal 9 2 3 2 7 2" xfId="6950" xr:uid="{00000000-0005-0000-0000-0000331F0000}"/>
    <cellStyle name="Normal 9 2 3 2 7 2 2" xfId="16276" xr:uid="{47A75F68-BFED-4FDC-B046-7BA140C78427}"/>
    <cellStyle name="Normal 9 2 3 2 7 3" xfId="12059" xr:uid="{C4969705-872C-4C36-8516-77FA1120B263}"/>
    <cellStyle name="Normal 9 2 3 2 8" xfId="4885" xr:uid="{00000000-0005-0000-0000-0000341F0000}"/>
    <cellStyle name="Normal 9 2 3 2 8 2" xfId="14211" xr:uid="{44C25E2D-FA94-40F2-867E-90D9D16C29A4}"/>
    <cellStyle name="Normal 9 2 3 2 9" xfId="8941" xr:uid="{DDA1E375-E708-45D0-9119-207D493A75BA}"/>
    <cellStyle name="Normal 9 2 3 2 9 2" xfId="18265" xr:uid="{E2D84903-2D07-4FD9-8FDC-020110B6B20E}"/>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4F706E72-BBCC-4AE0-AC02-0B05F8B2486D}"/>
    <cellStyle name="Normal 9 2 3 3 2 2 3" xfId="12554" xr:uid="{F1B18E53-97DB-4C39-B8C1-4FAFD8B12EBE}"/>
    <cellStyle name="Normal 9 2 3 3 2 3" xfId="5300" xr:uid="{00000000-0005-0000-0000-0000391F0000}"/>
    <cellStyle name="Normal 9 2 3 3 2 3 2" xfId="14626" xr:uid="{EAAD3AD2-3989-4102-9913-5D5B183FF0A2}"/>
    <cellStyle name="Normal 9 2 3 3 2 4" xfId="9470" xr:uid="{B46EA5E7-4A9D-405A-94B0-2C155F0DE1F1}"/>
    <cellStyle name="Normal 9 2 3 3 2 4 2" xfId="18785" xr:uid="{EDC39E30-5E78-4177-A853-32606F332917}"/>
    <cellStyle name="Normal 9 2 3 3 2 5" xfId="10409" xr:uid="{502920FA-B6EA-424A-8850-BF51CC6B2457}"/>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99E9A98B-E466-43C2-8BF0-F8E97E32DF85}"/>
    <cellStyle name="Normal 9 2 3 3 3 2 3" xfId="12967" xr:uid="{FF914161-2DE9-4107-B916-DCC453BD9DC4}"/>
    <cellStyle name="Normal 9 2 3 3 3 3" xfId="5713" xr:uid="{00000000-0005-0000-0000-00003D1F0000}"/>
    <cellStyle name="Normal 9 2 3 3 3 3 2" xfId="15039" xr:uid="{4A710F87-7AA1-40FE-AE56-022B73823ACE}"/>
    <cellStyle name="Normal 9 2 3 3 3 4" xfId="10822" xr:uid="{709457E5-0B56-47B5-A5EB-D391A88DDB94}"/>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D004D23F-20C2-46EE-BB06-3DC3F6624614}"/>
    <cellStyle name="Normal 9 2 3 3 4 2 3" xfId="13380" xr:uid="{4C1DBFBE-7DE2-495A-AA3E-7820E4D37D3F}"/>
    <cellStyle name="Normal 9 2 3 3 4 3" xfId="6126" xr:uid="{00000000-0005-0000-0000-0000411F0000}"/>
    <cellStyle name="Normal 9 2 3 3 4 3 2" xfId="15452" xr:uid="{7D2C0A3C-7385-4C01-B999-C4535127E60B}"/>
    <cellStyle name="Normal 9 2 3 3 4 4" xfId="11235" xr:uid="{C7FBD7E9-DBE4-467C-9BD2-4FD691FD5AA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55B417B6-58CB-45C0-B8BC-90B438446470}"/>
    <cellStyle name="Normal 9 2 3 3 5 2 3" xfId="13793" xr:uid="{115E4184-DCEB-4519-97FE-DD22DC88FB98}"/>
    <cellStyle name="Normal 9 2 3 3 5 3" xfId="6539" xr:uid="{00000000-0005-0000-0000-0000451F0000}"/>
    <cellStyle name="Normal 9 2 3 3 5 3 2" xfId="15865" xr:uid="{F6DC2971-3D51-4BEE-8B7B-DC2B1DF9E306}"/>
    <cellStyle name="Normal 9 2 3 3 5 4" xfId="11648" xr:uid="{C8C8DBEB-E907-4DFF-AA1B-B8267CCA8E22}"/>
    <cellStyle name="Normal 9 2 3 3 6" xfId="2669" xr:uid="{00000000-0005-0000-0000-0000461F0000}"/>
    <cellStyle name="Normal 9 2 3 3 6 2" xfId="6952" xr:uid="{00000000-0005-0000-0000-0000471F0000}"/>
    <cellStyle name="Normal 9 2 3 3 6 2 2" xfId="16278" xr:uid="{C271FEAB-A812-47AD-A800-1055F0E71A0F}"/>
    <cellStyle name="Normal 9 2 3 3 6 3" xfId="12061" xr:uid="{CFA1EEF6-563F-4108-873A-5E03D500EC8C}"/>
    <cellStyle name="Normal 9 2 3 3 7" xfId="4887" xr:uid="{00000000-0005-0000-0000-0000481F0000}"/>
    <cellStyle name="Normal 9 2 3 3 7 2" xfId="14213" xr:uid="{40A1DDFA-7A56-4E5F-8EF0-0DAC56082496}"/>
    <cellStyle name="Normal 9 2 3 3 8" xfId="9045" xr:uid="{CD23D75F-FCE1-471A-A55A-DAC6FB15D069}"/>
    <cellStyle name="Normal 9 2 3 3 8 2" xfId="18369" xr:uid="{5024B512-FBE9-49EB-85C9-AEBEF863A158}"/>
    <cellStyle name="Normal 9 2 3 3 9" xfId="9996" xr:uid="{9A8EBC1C-9721-487C-B67B-98E0D087391F}"/>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627B00C5-A583-47A7-A84C-7A7A7F16A91B}"/>
    <cellStyle name="Normal 9 2 3 4 2 3" xfId="12551" xr:uid="{5DB3455E-AE95-4520-995D-C1D5936C4BAF}"/>
    <cellStyle name="Normal 9 2 3 4 3" xfId="5297" xr:uid="{00000000-0005-0000-0000-00004C1F0000}"/>
    <cellStyle name="Normal 9 2 3 4 3 2" xfId="14623" xr:uid="{B72E03D9-2162-4014-889E-8CFB9A849378}"/>
    <cellStyle name="Normal 9 2 3 4 4" xfId="9263" xr:uid="{8E7B719A-F76B-4A2B-A5A7-1A883FD6976F}"/>
    <cellStyle name="Normal 9 2 3 4 4 2" xfId="18578" xr:uid="{2E0C1D7A-5E27-42EC-A648-878C4D68BCDF}"/>
    <cellStyle name="Normal 9 2 3 4 5" xfId="10406" xr:uid="{F9A9FC0A-1B3D-4D39-AF76-4AC3E96BBC14}"/>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DFFAE857-E478-491E-84DC-7A6B7E0F1762}"/>
    <cellStyle name="Normal 9 2 3 5 2 3" xfId="12964" xr:uid="{9B137D6B-7096-49D4-9824-A74C8FE6E8FA}"/>
    <cellStyle name="Normal 9 2 3 5 3" xfId="5710" xr:uid="{00000000-0005-0000-0000-0000501F0000}"/>
    <cellStyle name="Normal 9 2 3 5 3 2" xfId="15036" xr:uid="{87E0854E-6199-40A0-B744-C15307671B6C}"/>
    <cellStyle name="Normal 9 2 3 5 4" xfId="10819" xr:uid="{E6BE795C-B72E-430B-9DED-1840DDE98CBE}"/>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436A2226-E535-4AB1-A24A-F5E3F6A7747A}"/>
    <cellStyle name="Normal 9 2 3 6 2 3" xfId="13377" xr:uid="{343EA188-6228-4E22-A91D-AE791EC50522}"/>
    <cellStyle name="Normal 9 2 3 6 3" xfId="6123" xr:uid="{00000000-0005-0000-0000-0000541F0000}"/>
    <cellStyle name="Normal 9 2 3 6 3 2" xfId="15449" xr:uid="{D1108CC1-7416-4A81-A4E7-1BD2069A1BCD}"/>
    <cellStyle name="Normal 9 2 3 6 4" xfId="11232" xr:uid="{6A38BF23-E539-4CDB-B915-56361C9B7317}"/>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16E8D27E-D673-49FA-9102-2D549E4867AE}"/>
    <cellStyle name="Normal 9 2 3 7 2 3" xfId="13790" xr:uid="{C0CB5B2A-0BEC-4B81-98A1-001FEF2C5BAD}"/>
    <cellStyle name="Normal 9 2 3 7 3" xfId="6536" xr:uid="{00000000-0005-0000-0000-0000581F0000}"/>
    <cellStyle name="Normal 9 2 3 7 3 2" xfId="15862" xr:uid="{1892A4A1-1209-41CE-97AC-E3AC4FFF6476}"/>
    <cellStyle name="Normal 9 2 3 7 4" xfId="11645" xr:uid="{30BC7051-9D5E-4F62-A97C-AA02DFCDB6E5}"/>
    <cellStyle name="Normal 9 2 3 8" xfId="2666" xr:uid="{00000000-0005-0000-0000-0000591F0000}"/>
    <cellStyle name="Normal 9 2 3 8 2" xfId="6949" xr:uid="{00000000-0005-0000-0000-00005A1F0000}"/>
    <cellStyle name="Normal 9 2 3 8 2 2" xfId="16275" xr:uid="{D22509DF-CBA1-4614-9D7F-69350552FFD5}"/>
    <cellStyle name="Normal 9 2 3 8 3" xfId="12058" xr:uid="{9DCE375C-A6B9-47FC-A84E-761E2AAC25A0}"/>
    <cellStyle name="Normal 9 2 3 9" xfId="4884" xr:uid="{00000000-0005-0000-0000-00005B1F0000}"/>
    <cellStyle name="Normal 9 2 3 9 2" xfId="14210" xr:uid="{0C6C77A1-756F-4F91-8B1A-96A96DFFE3FB}"/>
    <cellStyle name="Normal 9 2 4" xfId="524" xr:uid="{00000000-0005-0000-0000-00005C1F0000}"/>
    <cellStyle name="Normal 9 2 4 10" xfId="9997" xr:uid="{AE6CC68E-D2D7-4895-A6CF-F2DB2B845568}"/>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831DF625-320A-4289-AC3A-383E41538266}"/>
    <cellStyle name="Normal 9 2 4 2 2 2 3" xfId="12556" xr:uid="{26C56B59-BE1B-45E8-9609-75CA59443285}"/>
    <cellStyle name="Normal 9 2 4 2 2 3" xfId="5302" xr:uid="{00000000-0005-0000-0000-0000611F0000}"/>
    <cellStyle name="Normal 9 2 4 2 2 3 2" xfId="14628" xr:uid="{2435FB74-25C9-4A03-A8F8-0E08705D5A42}"/>
    <cellStyle name="Normal 9 2 4 2 2 4" xfId="9489" xr:uid="{4BA9DC16-58A7-4D6B-90A6-6BB0C51A0279}"/>
    <cellStyle name="Normal 9 2 4 2 2 4 2" xfId="18804" xr:uid="{DAF73C35-4DD4-4015-A20A-94EDDF801B11}"/>
    <cellStyle name="Normal 9 2 4 2 2 5" xfId="10411" xr:uid="{B9425E47-EA56-4153-A1B5-C49C1D20BCC8}"/>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A6279450-FE97-4693-B077-A3F7DCE6A17F}"/>
    <cellStyle name="Normal 9 2 4 2 3 2 3" xfId="12969" xr:uid="{1A3CB1E3-E971-4E78-8FC1-F59A4768EAB6}"/>
    <cellStyle name="Normal 9 2 4 2 3 3" xfId="5715" xr:uid="{00000000-0005-0000-0000-0000651F0000}"/>
    <cellStyle name="Normal 9 2 4 2 3 3 2" xfId="15041" xr:uid="{56BFBDDF-51E4-4A27-A1A5-C1BABEC54B44}"/>
    <cellStyle name="Normal 9 2 4 2 3 4" xfId="10824" xr:uid="{605DFBC9-9DD1-47E1-A688-5B422480318C}"/>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25CD6ABB-3A10-4D14-B77C-6D24C80AF9F1}"/>
    <cellStyle name="Normal 9 2 4 2 4 2 3" xfId="13382" xr:uid="{D814DFBB-ED87-4473-829C-376CB4983B7C}"/>
    <cellStyle name="Normal 9 2 4 2 4 3" xfId="6128" xr:uid="{00000000-0005-0000-0000-0000691F0000}"/>
    <cellStyle name="Normal 9 2 4 2 4 3 2" xfId="15454" xr:uid="{D3B2D6BC-6941-4F57-9314-40EF5074E3A2}"/>
    <cellStyle name="Normal 9 2 4 2 4 4" xfId="11237" xr:uid="{84B039E9-6AA5-4885-9233-B2EDAFE0742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5FE4A270-558D-422B-BF3B-1471D911D35D}"/>
    <cellStyle name="Normal 9 2 4 2 5 2 3" xfId="13795" xr:uid="{EB63CB34-A3E1-42E2-91A8-F5C9694F7D4E}"/>
    <cellStyle name="Normal 9 2 4 2 5 3" xfId="6541" xr:uid="{00000000-0005-0000-0000-00006D1F0000}"/>
    <cellStyle name="Normal 9 2 4 2 5 3 2" xfId="15867" xr:uid="{077AA5C1-A8D4-4A55-8BCC-22CB04608185}"/>
    <cellStyle name="Normal 9 2 4 2 5 4" xfId="11650" xr:uid="{639831CF-ABFE-4EE4-B7E7-65E8777684A1}"/>
    <cellStyle name="Normal 9 2 4 2 6" xfId="2671" xr:uid="{00000000-0005-0000-0000-00006E1F0000}"/>
    <cellStyle name="Normal 9 2 4 2 6 2" xfId="6954" xr:uid="{00000000-0005-0000-0000-00006F1F0000}"/>
    <cellStyle name="Normal 9 2 4 2 6 2 2" xfId="16280" xr:uid="{FE700D4E-7F6A-45D0-A835-2D724DC6C583}"/>
    <cellStyle name="Normal 9 2 4 2 6 3" xfId="12063" xr:uid="{E58FA43C-EE3D-4DDD-96A8-183F6C7FE781}"/>
    <cellStyle name="Normal 9 2 4 2 7" xfId="4889" xr:uid="{00000000-0005-0000-0000-0000701F0000}"/>
    <cellStyle name="Normal 9 2 4 2 7 2" xfId="14215" xr:uid="{CB0DADAE-8350-4536-AE44-2A8177C6235C}"/>
    <cellStyle name="Normal 9 2 4 2 8" xfId="9064" xr:uid="{7D4090C3-C767-4FFF-8A1F-282B2C8BAE68}"/>
    <cellStyle name="Normal 9 2 4 2 8 2" xfId="18388" xr:uid="{C2E6870C-1EFF-4F02-A761-0AA291CB571B}"/>
    <cellStyle name="Normal 9 2 4 2 9" xfId="9998" xr:uid="{391B818C-3497-4B03-ACCF-07DE3CA39C9E}"/>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55985550-F603-401A-AB1D-2066C97DBDC3}"/>
    <cellStyle name="Normal 9 2 4 3 2 3" xfId="12555" xr:uid="{F1C168D1-3D8D-4313-8D41-807634F1DBC4}"/>
    <cellStyle name="Normal 9 2 4 3 3" xfId="5301" xr:uid="{00000000-0005-0000-0000-0000741F0000}"/>
    <cellStyle name="Normal 9 2 4 3 3 2" xfId="14627" xr:uid="{BBE9775F-1A0B-4A73-B91D-1041F1636450}"/>
    <cellStyle name="Normal 9 2 4 3 4" xfId="9282" xr:uid="{2471E5AC-3D06-4E90-9462-C54FACA9B22B}"/>
    <cellStyle name="Normal 9 2 4 3 4 2" xfId="18597" xr:uid="{DD01E765-ABE6-4EC8-A250-42D968DB318B}"/>
    <cellStyle name="Normal 9 2 4 3 5" xfId="10410" xr:uid="{4AAC73F8-A6B1-455F-BF07-347E1AC487A7}"/>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56B64643-96B1-4657-B969-6D2E595BC999}"/>
    <cellStyle name="Normal 9 2 4 4 2 3" xfId="12968" xr:uid="{CD376497-E933-4629-9365-FD94314715C9}"/>
    <cellStyle name="Normal 9 2 4 4 3" xfId="5714" xr:uid="{00000000-0005-0000-0000-0000781F0000}"/>
    <cellStyle name="Normal 9 2 4 4 3 2" xfId="15040" xr:uid="{42C94740-0557-4223-8674-FB953B03F64E}"/>
    <cellStyle name="Normal 9 2 4 4 4" xfId="10823" xr:uid="{10207A36-45C9-4D57-A108-770FEA8932FC}"/>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1B718E12-87B9-4B55-8203-D6131695A8A4}"/>
    <cellStyle name="Normal 9 2 4 5 2 3" xfId="13381" xr:uid="{DC7A995E-E449-4C14-BE76-425C69BCDE1C}"/>
    <cellStyle name="Normal 9 2 4 5 3" xfId="6127" xr:uid="{00000000-0005-0000-0000-00007C1F0000}"/>
    <cellStyle name="Normal 9 2 4 5 3 2" xfId="15453" xr:uid="{9A3FFF6C-7864-4E4D-86DF-19A4A3C42898}"/>
    <cellStyle name="Normal 9 2 4 5 4" xfId="11236" xr:uid="{E9F6FC4D-308D-422A-868B-A5528D7A1317}"/>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D122F7DE-C4F5-4571-BD33-CE17DF5FC56A}"/>
    <cellStyle name="Normal 9 2 4 6 2 3" xfId="13794" xr:uid="{30D431A6-41EC-4982-BD17-16827E536FAF}"/>
    <cellStyle name="Normal 9 2 4 6 3" xfId="6540" xr:uid="{00000000-0005-0000-0000-0000801F0000}"/>
    <cellStyle name="Normal 9 2 4 6 3 2" xfId="15866" xr:uid="{143F22F5-78CD-4DA2-9F3F-F764BC39650D}"/>
    <cellStyle name="Normal 9 2 4 6 4" xfId="11649" xr:uid="{3F554073-4BA8-4B0A-81DB-9BBB6631CA88}"/>
    <cellStyle name="Normal 9 2 4 7" xfId="2670" xr:uid="{00000000-0005-0000-0000-0000811F0000}"/>
    <cellStyle name="Normal 9 2 4 7 2" xfId="6953" xr:uid="{00000000-0005-0000-0000-0000821F0000}"/>
    <cellStyle name="Normal 9 2 4 7 2 2" xfId="16279" xr:uid="{AC75B807-6B74-452C-B4B6-DD3E9B46A76C}"/>
    <cellStyle name="Normal 9 2 4 7 3" xfId="12062" xr:uid="{8C294458-D917-4C09-A98E-813A3B17159F}"/>
    <cellStyle name="Normal 9 2 4 8" xfId="4888" xr:uid="{00000000-0005-0000-0000-0000831F0000}"/>
    <cellStyle name="Normal 9 2 4 8 2" xfId="14214" xr:uid="{18716836-D9EF-4E40-989C-F8F5F7173BFC}"/>
    <cellStyle name="Normal 9 2 4 9" xfId="8857" xr:uid="{D785C0E6-B403-4CCC-AB0B-78E822EF1E40}"/>
    <cellStyle name="Normal 9 2 4 9 2" xfId="18181" xr:uid="{6BEF041C-C1C1-4D0B-8996-2A25F18A497F}"/>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4D5B5C8C-54D2-48EC-B14B-8C1215DFD04A}"/>
    <cellStyle name="Normal 9 2 5 2 2 3" xfId="12557" xr:uid="{F285CCA2-B225-40C6-AC80-140BCDE00E38}"/>
    <cellStyle name="Normal 9 2 5 2 3" xfId="5303" xr:uid="{00000000-0005-0000-0000-0000881F0000}"/>
    <cellStyle name="Normal 9 2 5 2 3 2" xfId="14629" xr:uid="{894E7A5C-1599-4C22-A9A5-4B770DFA9415}"/>
    <cellStyle name="Normal 9 2 5 2 4" xfId="9398" xr:uid="{5B2A416E-986C-4898-8893-9EAFDDDBCDD4}"/>
    <cellStyle name="Normal 9 2 5 2 4 2" xfId="18713" xr:uid="{F05FE09D-A87D-4503-AD13-8A1A9E7FD0E7}"/>
    <cellStyle name="Normal 9 2 5 2 5" xfId="10412" xr:uid="{37AC9F0B-39CA-4B22-8B2D-8DD9F8443C8A}"/>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C6D120A7-116A-4A61-BE74-3C9CA1D728D9}"/>
    <cellStyle name="Normal 9 2 5 3 2 3" xfId="12970" xr:uid="{8A7F3F4B-340D-42BB-8319-3B68B825C5A4}"/>
    <cellStyle name="Normal 9 2 5 3 3" xfId="5716" xr:uid="{00000000-0005-0000-0000-00008C1F0000}"/>
    <cellStyle name="Normal 9 2 5 3 3 2" xfId="15042" xr:uid="{E5FCE6D8-8505-464E-9A3E-9760D37BBFE2}"/>
    <cellStyle name="Normal 9 2 5 3 4" xfId="10825" xr:uid="{82B37E52-27C3-4A59-B916-886925351D97}"/>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8086CEFA-CBD5-4AB6-A0EC-C92D4BC2E316}"/>
    <cellStyle name="Normal 9 2 5 4 2 3" xfId="13383" xr:uid="{C96B82FD-B924-4B14-934B-0B3B3C6C969F}"/>
    <cellStyle name="Normal 9 2 5 4 3" xfId="6129" xr:uid="{00000000-0005-0000-0000-0000901F0000}"/>
    <cellStyle name="Normal 9 2 5 4 3 2" xfId="15455" xr:uid="{3F8BBDB6-CA16-456A-8AA3-E59358C618D1}"/>
    <cellStyle name="Normal 9 2 5 4 4" xfId="11238" xr:uid="{7EC1E95D-FA95-4665-A3F5-36695192B4C0}"/>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0944F82B-C7DC-4DD7-8108-27F056AB2F4C}"/>
    <cellStyle name="Normal 9 2 5 5 2 3" xfId="13796" xr:uid="{FFD8A477-00B7-4F26-B2D3-FFCF093DBB2A}"/>
    <cellStyle name="Normal 9 2 5 5 3" xfId="6542" xr:uid="{00000000-0005-0000-0000-0000941F0000}"/>
    <cellStyle name="Normal 9 2 5 5 3 2" xfId="15868" xr:uid="{DDEF162A-204B-4D00-A6F8-0BA9266F0768}"/>
    <cellStyle name="Normal 9 2 5 5 4" xfId="11651" xr:uid="{C082A13C-B259-40CE-A58B-324EBDB231D6}"/>
    <cellStyle name="Normal 9 2 5 6" xfId="2672" xr:uid="{00000000-0005-0000-0000-0000951F0000}"/>
    <cellStyle name="Normal 9 2 5 6 2" xfId="6955" xr:uid="{00000000-0005-0000-0000-0000961F0000}"/>
    <cellStyle name="Normal 9 2 5 6 2 2" xfId="16281" xr:uid="{47F7609A-A72F-43CE-A57F-B8F1CE2C5412}"/>
    <cellStyle name="Normal 9 2 5 6 3" xfId="12064" xr:uid="{455856F8-209A-49BE-BBC5-5FDDE608EC6C}"/>
    <cellStyle name="Normal 9 2 5 7" xfId="4890" xr:uid="{00000000-0005-0000-0000-0000971F0000}"/>
    <cellStyle name="Normal 9 2 5 7 2" xfId="14216" xr:uid="{95413E55-223E-4A8C-83DC-C958D7D7FE09}"/>
    <cellStyle name="Normal 9 2 5 8" xfId="8973" xr:uid="{BA9464C2-72F7-4B38-B1BD-6986FFA433D9}"/>
    <cellStyle name="Normal 9 2 5 8 2" xfId="18297" xr:uid="{FDA4749A-383C-463F-82F3-5D72C8978940}"/>
    <cellStyle name="Normal 9 2 5 9" xfId="9999" xr:uid="{E080336E-683E-4D84-B2A3-2391CCFFF6BD}"/>
    <cellStyle name="Normal 9 2 6" xfId="978" xr:uid="{00000000-0005-0000-0000-0000981F0000}"/>
    <cellStyle name="Normal 9 2 6 2" xfId="3211" xr:uid="{00000000-0005-0000-0000-0000991F0000}"/>
    <cellStyle name="Normal 9 2 6 2 2" xfId="7433" xr:uid="{00000000-0005-0000-0000-00009A1F0000}"/>
    <cellStyle name="Normal 9 2 6 2 2 2" xfId="16759" xr:uid="{1E7C47CE-A99B-4E69-8746-668FC2D13CCB}"/>
    <cellStyle name="Normal 9 2 6 2 3" xfId="12542" xr:uid="{C8650E87-264D-46CA-AA3F-309EA8324B27}"/>
    <cellStyle name="Normal 9 2 6 3" xfId="5288" xr:uid="{00000000-0005-0000-0000-00009B1F0000}"/>
    <cellStyle name="Normal 9 2 6 3 2" xfId="14614" xr:uid="{7F1A4B57-4DBA-401B-A118-94492268CFD8}"/>
    <cellStyle name="Normal 9 2 6 4" xfId="9176" xr:uid="{F3933A08-5B20-47C9-B0FC-7B73F4B0BA7D}"/>
    <cellStyle name="Normal 9 2 6 4 2" xfId="18494" xr:uid="{841A43CE-07D5-4FC2-964D-FD165C1D2F4A}"/>
    <cellStyle name="Normal 9 2 6 5" xfId="10397" xr:uid="{2C002806-B24C-48E5-9394-8930D865FE70}"/>
    <cellStyle name="Normal 9 2 7" xfId="1394" xr:uid="{00000000-0005-0000-0000-00009C1F0000}"/>
    <cellStyle name="Normal 9 2 7 2" xfId="3624" xr:uid="{00000000-0005-0000-0000-00009D1F0000}"/>
    <cellStyle name="Normal 9 2 7 2 2" xfId="7846" xr:uid="{00000000-0005-0000-0000-00009E1F0000}"/>
    <cellStyle name="Normal 9 2 7 2 2 2" xfId="17172" xr:uid="{142C2D32-9BA0-4897-A784-3CEA695B2259}"/>
    <cellStyle name="Normal 9 2 7 2 3" xfId="12955" xr:uid="{16CDE103-1624-447E-862F-15CA3713A02C}"/>
    <cellStyle name="Normal 9 2 7 3" xfId="5701" xr:uid="{00000000-0005-0000-0000-00009F1F0000}"/>
    <cellStyle name="Normal 9 2 7 3 2" xfId="15027" xr:uid="{25C4FAB9-2559-4DFC-A23F-1B64B6F92483}"/>
    <cellStyle name="Normal 9 2 7 4" xfId="10810" xr:uid="{BAD8FEEC-96DF-48C2-A242-0CA588167AC2}"/>
    <cellStyle name="Normal 9 2 8" xfId="1807" xr:uid="{00000000-0005-0000-0000-0000A01F0000}"/>
    <cellStyle name="Normal 9 2 8 2" xfId="4037" xr:uid="{00000000-0005-0000-0000-0000A11F0000}"/>
    <cellStyle name="Normal 9 2 8 2 2" xfId="8259" xr:uid="{00000000-0005-0000-0000-0000A21F0000}"/>
    <cellStyle name="Normal 9 2 8 2 2 2" xfId="17585" xr:uid="{B4297AB6-3A2E-4E06-B624-BF8C013BFB10}"/>
    <cellStyle name="Normal 9 2 8 2 3" xfId="13368" xr:uid="{4D04A487-4C01-43CF-9697-A02A759C38E8}"/>
    <cellStyle name="Normal 9 2 8 3" xfId="6114" xr:uid="{00000000-0005-0000-0000-0000A31F0000}"/>
    <cellStyle name="Normal 9 2 8 3 2" xfId="15440" xr:uid="{AA2F7BE9-7C49-4E11-82C0-212B8570402D}"/>
    <cellStyle name="Normal 9 2 8 4" xfId="11223" xr:uid="{6FB49316-E901-4087-AF8C-5B05D17D1C1C}"/>
    <cellStyle name="Normal 9 2 9" xfId="2221" xr:uid="{00000000-0005-0000-0000-0000A41F0000}"/>
    <cellStyle name="Normal 9 2 9 2" xfId="4450" xr:uid="{00000000-0005-0000-0000-0000A51F0000}"/>
    <cellStyle name="Normal 9 2 9 2 2" xfId="8672" xr:uid="{00000000-0005-0000-0000-0000A61F0000}"/>
    <cellStyle name="Normal 9 2 9 2 2 2" xfId="17998" xr:uid="{EEB1B605-0056-4717-983D-63BFFB97514A}"/>
    <cellStyle name="Normal 9 2 9 2 3" xfId="13781" xr:uid="{EB22E3E1-FF99-4617-97FC-1A3DEDAED054}"/>
    <cellStyle name="Normal 9 2 9 3" xfId="6527" xr:uid="{00000000-0005-0000-0000-0000A71F0000}"/>
    <cellStyle name="Normal 9 2 9 3 2" xfId="15853" xr:uid="{09422449-A821-4919-B8C1-5FCCEEE05AF8}"/>
    <cellStyle name="Normal 9 2 9 4" xfId="11636" xr:uid="{E881C222-DD32-4B46-B593-1D6FF0BFC894}"/>
    <cellStyle name="Normal 9 3" xfId="527" xr:uid="{00000000-0005-0000-0000-0000A81F0000}"/>
    <cellStyle name="Normal 9 3 10" xfId="4891" xr:uid="{00000000-0005-0000-0000-0000A91F0000}"/>
    <cellStyle name="Normal 9 3 10 2" xfId="14217" xr:uid="{85814F15-B143-4F7D-8A2C-E4B0AE83F117}"/>
    <cellStyle name="Normal 9 3 11" xfId="8777" xr:uid="{1F3D7E21-FC22-4F0C-9371-3D8250746BB7}"/>
    <cellStyle name="Normal 9 3 11 2" xfId="18101" xr:uid="{A7806D52-ACEF-4C16-A136-F57B2CCE40AE}"/>
    <cellStyle name="Normal 9 3 12" xfId="10000" xr:uid="{B135F138-61FC-4931-8E3D-568C70DDE1B6}"/>
    <cellStyle name="Normal 9 3 2" xfId="528" xr:uid="{00000000-0005-0000-0000-0000AA1F0000}"/>
    <cellStyle name="Normal 9 3 2 10" xfId="8840" xr:uid="{94797BE2-1721-4871-A768-79D4D45F48BB}"/>
    <cellStyle name="Normal 9 3 2 10 2" xfId="18164" xr:uid="{21B5E026-96CC-4793-B1DF-8EB85B789015}"/>
    <cellStyle name="Normal 9 3 2 11" xfId="10001" xr:uid="{333198FA-D33E-44DC-877B-011E18E968AD}"/>
    <cellStyle name="Normal 9 3 2 2" xfId="529" xr:uid="{00000000-0005-0000-0000-0000AB1F0000}"/>
    <cellStyle name="Normal 9 3 2 2 10" xfId="10002" xr:uid="{1DEBA774-C6F1-404A-915C-75DD6CA89811}"/>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DA1C2691-7F5F-45D4-9BFA-D2BAFE3C1BA5}"/>
    <cellStyle name="Normal 9 3 2 2 2 2 2 3" xfId="12561" xr:uid="{FBA8F44E-73B4-40F4-A638-CEE9D8E83328}"/>
    <cellStyle name="Normal 9 3 2 2 2 2 3" xfId="5307" xr:uid="{00000000-0005-0000-0000-0000B01F0000}"/>
    <cellStyle name="Normal 9 3 2 2 2 2 3 2" xfId="14633" xr:uid="{22729A33-BB4C-4D24-87ED-64719235585D}"/>
    <cellStyle name="Normal 9 3 2 2 2 2 4" xfId="9575" xr:uid="{DA05DE06-1987-4B8E-8439-C692853FF296}"/>
    <cellStyle name="Normal 9 3 2 2 2 2 4 2" xfId="18890" xr:uid="{DF103C75-CEEE-411C-AE89-F30260EBDDB0}"/>
    <cellStyle name="Normal 9 3 2 2 2 2 5" xfId="10416" xr:uid="{374AD0D7-AB27-41F0-BE5F-5B26F5934D0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F64A9476-504B-49C1-8677-1044A0F14469}"/>
    <cellStyle name="Normal 9 3 2 2 2 3 2 3" xfId="12974" xr:uid="{0BC40CEC-5CCD-4768-828F-2A918602CFA8}"/>
    <cellStyle name="Normal 9 3 2 2 2 3 3" xfId="5720" xr:uid="{00000000-0005-0000-0000-0000B41F0000}"/>
    <cellStyle name="Normal 9 3 2 2 2 3 3 2" xfId="15046" xr:uid="{79F9248C-7D80-4A4E-9AF4-723653E5CD88}"/>
    <cellStyle name="Normal 9 3 2 2 2 3 4" xfId="10829" xr:uid="{4A8EE933-6155-4814-9CB3-6D2E38415832}"/>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B0B0352F-D054-43A8-98DA-1CE6557B244C}"/>
    <cellStyle name="Normal 9 3 2 2 2 4 2 3" xfId="13387" xr:uid="{92FF3AC7-0D55-411B-A49F-7E4898B73AA0}"/>
    <cellStyle name="Normal 9 3 2 2 2 4 3" xfId="6133" xr:uid="{00000000-0005-0000-0000-0000B81F0000}"/>
    <cellStyle name="Normal 9 3 2 2 2 4 3 2" xfId="15459" xr:uid="{9E3C3AA9-F310-4573-9242-9306214EC92B}"/>
    <cellStyle name="Normal 9 3 2 2 2 4 4" xfId="11242" xr:uid="{D4337188-D314-4747-A72C-2368866A6429}"/>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B13DBBBB-2278-45C7-8F58-3EFFB4889D87}"/>
    <cellStyle name="Normal 9 3 2 2 2 5 2 3" xfId="13800" xr:uid="{3FA98CBE-6485-45FC-B850-6B8ECEAE8B44}"/>
    <cellStyle name="Normal 9 3 2 2 2 5 3" xfId="6546" xr:uid="{00000000-0005-0000-0000-0000BC1F0000}"/>
    <cellStyle name="Normal 9 3 2 2 2 5 3 2" xfId="15872" xr:uid="{0CAC1B20-119B-424B-9546-D6E000E79929}"/>
    <cellStyle name="Normal 9 3 2 2 2 5 4" xfId="11655" xr:uid="{ED9C4D94-A16C-4BD3-8D6C-0FA1D77DCEAB}"/>
    <cellStyle name="Normal 9 3 2 2 2 6" xfId="2676" xr:uid="{00000000-0005-0000-0000-0000BD1F0000}"/>
    <cellStyle name="Normal 9 3 2 2 2 6 2" xfId="6959" xr:uid="{00000000-0005-0000-0000-0000BE1F0000}"/>
    <cellStyle name="Normal 9 3 2 2 2 6 2 2" xfId="16285" xr:uid="{1AC9C6AD-9A73-4555-8E39-14D22A96F2D8}"/>
    <cellStyle name="Normal 9 3 2 2 2 6 3" xfId="12068" xr:uid="{884C2082-713C-4978-8E5B-F1A718D8307D}"/>
    <cellStyle name="Normal 9 3 2 2 2 7" xfId="4894" xr:uid="{00000000-0005-0000-0000-0000BF1F0000}"/>
    <cellStyle name="Normal 9 3 2 2 2 7 2" xfId="14220" xr:uid="{7A839666-88EF-41F2-B066-484CECE2127A}"/>
    <cellStyle name="Normal 9 3 2 2 2 8" xfId="9150" xr:uid="{F54F74BE-A583-4C94-A198-8E0D27AD7F4F}"/>
    <cellStyle name="Normal 9 3 2 2 2 8 2" xfId="18474" xr:uid="{F201B8A3-891C-437C-B935-7A5EEE355EDF}"/>
    <cellStyle name="Normal 9 3 2 2 2 9" xfId="10003" xr:uid="{AF1DA4CB-D2FC-4EB6-88BB-B2C5FB0B2184}"/>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35B31FE2-84C3-46DB-AAF3-2EDF08CF4B3A}"/>
    <cellStyle name="Normal 9 3 2 2 3 2 3" xfId="12560" xr:uid="{FD111DCB-6821-478E-B994-51E2B9CA1148}"/>
    <cellStyle name="Normal 9 3 2 2 3 3" xfId="5306" xr:uid="{00000000-0005-0000-0000-0000C31F0000}"/>
    <cellStyle name="Normal 9 3 2 2 3 3 2" xfId="14632" xr:uid="{2ED5B38C-6EE3-4997-9746-62BFBD6BB304}"/>
    <cellStyle name="Normal 9 3 2 2 3 4" xfId="9368" xr:uid="{B3189122-1774-442D-BD5B-8DA329618536}"/>
    <cellStyle name="Normal 9 3 2 2 3 4 2" xfId="18683" xr:uid="{721ADE6E-4C30-4315-85A7-8BDA3A1C5967}"/>
    <cellStyle name="Normal 9 3 2 2 3 5" xfId="10415" xr:uid="{17F50E1A-818A-4274-918F-91D18008B011}"/>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596898B1-8E9C-4CEC-9FA4-F26A6FC16A07}"/>
    <cellStyle name="Normal 9 3 2 2 4 2 3" xfId="12973" xr:uid="{7DD278C0-3086-4734-99FC-6C5501125E5F}"/>
    <cellStyle name="Normal 9 3 2 2 4 3" xfId="5719" xr:uid="{00000000-0005-0000-0000-0000C71F0000}"/>
    <cellStyle name="Normal 9 3 2 2 4 3 2" xfId="15045" xr:uid="{CF24A274-5D07-4149-8B2E-4EDB8AFDAD6C}"/>
    <cellStyle name="Normal 9 3 2 2 4 4" xfId="10828" xr:uid="{7AE884EF-7B36-48B3-B168-E237D1C7C8E4}"/>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C8C219B8-1B61-4524-90B9-09E8D4A93488}"/>
    <cellStyle name="Normal 9 3 2 2 5 2 3" xfId="13386" xr:uid="{D4B570F1-2F26-44B5-B765-4FE01F10A68A}"/>
    <cellStyle name="Normal 9 3 2 2 5 3" xfId="6132" xr:uid="{00000000-0005-0000-0000-0000CB1F0000}"/>
    <cellStyle name="Normal 9 3 2 2 5 3 2" xfId="15458" xr:uid="{E4476A74-1D20-4E97-B4C2-F2804ED9D2C4}"/>
    <cellStyle name="Normal 9 3 2 2 5 4" xfId="11241" xr:uid="{E2316881-B5F8-4648-95EC-EBDCE7F1FCF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F9F032D9-F344-45B2-AA7D-0A1D5A524612}"/>
    <cellStyle name="Normal 9 3 2 2 6 2 3" xfId="13799" xr:uid="{DC4704A9-E1E6-4D78-B8E0-3035491B6DAB}"/>
    <cellStyle name="Normal 9 3 2 2 6 3" xfId="6545" xr:uid="{00000000-0005-0000-0000-0000CF1F0000}"/>
    <cellStyle name="Normal 9 3 2 2 6 3 2" xfId="15871" xr:uid="{C68292C6-896A-46E4-AFFA-B8C335A5937F}"/>
    <cellStyle name="Normal 9 3 2 2 6 4" xfId="11654" xr:uid="{A5F23217-DBCA-4966-BDF5-A9235B99CC7D}"/>
    <cellStyle name="Normal 9 3 2 2 7" xfId="2675" xr:uid="{00000000-0005-0000-0000-0000D01F0000}"/>
    <cellStyle name="Normal 9 3 2 2 7 2" xfId="6958" xr:uid="{00000000-0005-0000-0000-0000D11F0000}"/>
    <cellStyle name="Normal 9 3 2 2 7 2 2" xfId="16284" xr:uid="{6A7E36F7-436A-40DB-92CD-80FF140F3711}"/>
    <cellStyle name="Normal 9 3 2 2 7 3" xfId="12067" xr:uid="{D012DAE0-04F9-49DF-B2CD-6A774B5596B6}"/>
    <cellStyle name="Normal 9 3 2 2 8" xfId="4893" xr:uid="{00000000-0005-0000-0000-0000D21F0000}"/>
    <cellStyle name="Normal 9 3 2 2 8 2" xfId="14219" xr:uid="{A2C4AC2E-A763-485D-86C9-EF053A5FBE0C}"/>
    <cellStyle name="Normal 9 3 2 2 9" xfId="8943" xr:uid="{1E59706A-169E-45B8-A6E4-1A0514B9DDBD}"/>
    <cellStyle name="Normal 9 3 2 2 9 2" xfId="18267" xr:uid="{D619F9B2-D8E1-4BD8-A377-FE7385359D48}"/>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018B964F-54D6-4506-A696-199F7B03233A}"/>
    <cellStyle name="Normal 9 3 2 3 2 2 3" xfId="12562" xr:uid="{EC81A0F4-583D-494A-87C6-CF3C96F32110}"/>
    <cellStyle name="Normal 9 3 2 3 2 3" xfId="5308" xr:uid="{00000000-0005-0000-0000-0000D71F0000}"/>
    <cellStyle name="Normal 9 3 2 3 2 3 2" xfId="14634" xr:uid="{B95EF3E2-D434-4DA6-9C4E-98239AAE19EB}"/>
    <cellStyle name="Normal 9 3 2 3 2 4" xfId="9472" xr:uid="{427A8E71-9BC4-47C0-A855-6886AF96C97E}"/>
    <cellStyle name="Normal 9 3 2 3 2 4 2" xfId="18787" xr:uid="{ED9BE5AF-323A-44A5-94FA-0C2CB6DB320A}"/>
    <cellStyle name="Normal 9 3 2 3 2 5" xfId="10417" xr:uid="{FE5E4DC7-B136-441A-8386-C0473629EED5}"/>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597521FA-38D8-4858-881E-DB24C29545E6}"/>
    <cellStyle name="Normal 9 3 2 3 3 2 3" xfId="12975" xr:uid="{0FCAABF6-DD78-4FC0-99BC-878FE598117B}"/>
    <cellStyle name="Normal 9 3 2 3 3 3" xfId="5721" xr:uid="{00000000-0005-0000-0000-0000DB1F0000}"/>
    <cellStyle name="Normal 9 3 2 3 3 3 2" xfId="15047" xr:uid="{9B324731-8DBC-4AA3-A24E-257CDB7B1489}"/>
    <cellStyle name="Normal 9 3 2 3 3 4" xfId="10830" xr:uid="{415C902B-A25F-42B0-A518-F9FC7578FD9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48EFA9EE-37FE-4644-9B9E-A6B193DE9BF9}"/>
    <cellStyle name="Normal 9 3 2 3 4 2 3" xfId="13388" xr:uid="{6FB3129E-B7B4-4C7B-B6DB-1A23C9D2114E}"/>
    <cellStyle name="Normal 9 3 2 3 4 3" xfId="6134" xr:uid="{00000000-0005-0000-0000-0000DF1F0000}"/>
    <cellStyle name="Normal 9 3 2 3 4 3 2" xfId="15460" xr:uid="{CA77A3EC-2C2C-4D3B-8CEA-A4892BE71F54}"/>
    <cellStyle name="Normal 9 3 2 3 4 4" xfId="11243" xr:uid="{A41507AC-D15C-4F12-938C-24FF9C329DDA}"/>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74EBF093-F42C-4A81-9B06-5940DAF054AF}"/>
    <cellStyle name="Normal 9 3 2 3 5 2 3" xfId="13801" xr:uid="{6140A611-E110-4B7F-A99C-AB74D9DF4F80}"/>
    <cellStyle name="Normal 9 3 2 3 5 3" xfId="6547" xr:uid="{00000000-0005-0000-0000-0000E31F0000}"/>
    <cellStyle name="Normal 9 3 2 3 5 3 2" xfId="15873" xr:uid="{88D4DB3A-F200-4608-838B-A1F578424E28}"/>
    <cellStyle name="Normal 9 3 2 3 5 4" xfId="11656" xr:uid="{9A108911-D230-4007-B691-31B26CBAE9E3}"/>
    <cellStyle name="Normal 9 3 2 3 6" xfId="2677" xr:uid="{00000000-0005-0000-0000-0000E41F0000}"/>
    <cellStyle name="Normal 9 3 2 3 6 2" xfId="6960" xr:uid="{00000000-0005-0000-0000-0000E51F0000}"/>
    <cellStyle name="Normal 9 3 2 3 6 2 2" xfId="16286" xr:uid="{A45360E8-1A3D-489B-B6D0-FF62A382F052}"/>
    <cellStyle name="Normal 9 3 2 3 6 3" xfId="12069" xr:uid="{3C35B633-0CE7-423E-9BFE-32DEAF01D39C}"/>
    <cellStyle name="Normal 9 3 2 3 7" xfId="4895" xr:uid="{00000000-0005-0000-0000-0000E61F0000}"/>
    <cellStyle name="Normal 9 3 2 3 7 2" xfId="14221" xr:uid="{4255BAAA-3473-4469-AECF-A7BBDD0D6798}"/>
    <cellStyle name="Normal 9 3 2 3 8" xfId="9047" xr:uid="{4CBBBE80-D24B-484D-910E-0072EA0E95DD}"/>
    <cellStyle name="Normal 9 3 2 3 8 2" xfId="18371" xr:uid="{08DFCC2D-10DA-4C8B-A7E3-57089113CF40}"/>
    <cellStyle name="Normal 9 3 2 3 9" xfId="10004" xr:uid="{93707671-31E8-4CC1-9275-E2DCA053EF16}"/>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B81B0CB1-F31B-4B26-B0DC-F9A116B1D941}"/>
    <cellStyle name="Normal 9 3 2 4 2 3" xfId="12559" xr:uid="{FDD2A02B-0AC1-4D50-A20B-EF735B0064FF}"/>
    <cellStyle name="Normal 9 3 2 4 3" xfId="5305" xr:uid="{00000000-0005-0000-0000-0000EA1F0000}"/>
    <cellStyle name="Normal 9 3 2 4 3 2" xfId="14631" xr:uid="{F1DE9450-5CE4-45E8-B780-30A8972168DD}"/>
    <cellStyle name="Normal 9 3 2 4 4" xfId="9265" xr:uid="{BF00A9B8-67BA-48F6-8D48-0E4380D60577}"/>
    <cellStyle name="Normal 9 3 2 4 4 2" xfId="18580" xr:uid="{4A4E5966-6745-4E55-B12C-4A20EB51A0A3}"/>
    <cellStyle name="Normal 9 3 2 4 5" xfId="10414" xr:uid="{F9A3D8DF-E35B-4217-B8F6-5D73C1AC8061}"/>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C9AD3A1A-0E4B-4644-8435-702461E86041}"/>
    <cellStyle name="Normal 9 3 2 5 2 3" xfId="12972" xr:uid="{0EBBBC22-0824-482D-BA7D-EF174038F6A3}"/>
    <cellStyle name="Normal 9 3 2 5 3" xfId="5718" xr:uid="{00000000-0005-0000-0000-0000EE1F0000}"/>
    <cellStyle name="Normal 9 3 2 5 3 2" xfId="15044" xr:uid="{DE843E6A-6C51-4CBB-888F-8DAEDE566F77}"/>
    <cellStyle name="Normal 9 3 2 5 4" xfId="10827" xr:uid="{5DDFE356-E2B1-4B57-A18E-917EA7050A78}"/>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F19D067C-F27C-4543-AEE3-7AE7215F008D}"/>
    <cellStyle name="Normal 9 3 2 6 2 3" xfId="13385" xr:uid="{77CA7147-A624-461B-A0FE-860921AF1737}"/>
    <cellStyle name="Normal 9 3 2 6 3" xfId="6131" xr:uid="{00000000-0005-0000-0000-0000F21F0000}"/>
    <cellStyle name="Normal 9 3 2 6 3 2" xfId="15457" xr:uid="{2A198057-DBA3-4CB8-B573-6A17E5DFE4C3}"/>
    <cellStyle name="Normal 9 3 2 6 4" xfId="11240" xr:uid="{6697325B-F070-4EEB-85B0-8D2851FABAE5}"/>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7F519BF7-E867-4876-ADD2-E0411704497C}"/>
    <cellStyle name="Normal 9 3 2 7 2 3" xfId="13798" xr:uid="{D73BB466-0B76-4490-9BC4-8B57068B39BA}"/>
    <cellStyle name="Normal 9 3 2 7 3" xfId="6544" xr:uid="{00000000-0005-0000-0000-0000F61F0000}"/>
    <cellStyle name="Normal 9 3 2 7 3 2" xfId="15870" xr:uid="{49640727-9EC0-4D36-8031-04444821F6BD}"/>
    <cellStyle name="Normal 9 3 2 7 4" xfId="11653" xr:uid="{8381C278-8C11-4F44-BB3C-64C5DC5CC1C0}"/>
    <cellStyle name="Normal 9 3 2 8" xfId="2674" xr:uid="{00000000-0005-0000-0000-0000F71F0000}"/>
    <cellStyle name="Normal 9 3 2 8 2" xfId="6957" xr:uid="{00000000-0005-0000-0000-0000F81F0000}"/>
    <cellStyle name="Normal 9 3 2 8 2 2" xfId="16283" xr:uid="{51445431-CDB0-45EA-9DF4-2D90839D5B84}"/>
    <cellStyle name="Normal 9 3 2 8 3" xfId="12066" xr:uid="{9F32F660-DA67-4772-B1D7-992DFC0F8E04}"/>
    <cellStyle name="Normal 9 3 2 9" xfId="4892" xr:uid="{00000000-0005-0000-0000-0000F91F0000}"/>
    <cellStyle name="Normal 9 3 2 9 2" xfId="14218" xr:uid="{B1D0A9AD-2964-4D22-B34A-08E85553772F}"/>
    <cellStyle name="Normal 9 3 3" xfId="532" xr:uid="{00000000-0005-0000-0000-0000FA1F0000}"/>
    <cellStyle name="Normal 9 3 3 10" xfId="10005" xr:uid="{BB5CFA7C-A25C-4F26-9293-E0F4A5F90705}"/>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9085216E-4FBD-4557-AE34-BC3CFB7A8FE9}"/>
    <cellStyle name="Normal 9 3 3 2 2 2 3" xfId="12564" xr:uid="{5FB4B9F8-0095-452F-864B-2F8D231A5C1D}"/>
    <cellStyle name="Normal 9 3 3 2 2 3" xfId="5310" xr:uid="{00000000-0005-0000-0000-0000FF1F0000}"/>
    <cellStyle name="Normal 9 3 3 2 2 3 2" xfId="14636" xr:uid="{F27F2904-8C9B-46E5-A935-A4542ADEF1E4}"/>
    <cellStyle name="Normal 9 3 3 2 2 4" xfId="9512" xr:uid="{2D87B26D-94B2-43FF-B3AD-59DF0A117D21}"/>
    <cellStyle name="Normal 9 3 3 2 2 4 2" xfId="18827" xr:uid="{439D2ACD-0935-45DF-BE90-B504E38C70BE}"/>
    <cellStyle name="Normal 9 3 3 2 2 5" xfId="10419" xr:uid="{1B63BB95-F7B1-480C-B0CC-EC4450F7BEB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C2E47434-D4F1-4ED8-9C4C-1BF3661ACEE2}"/>
    <cellStyle name="Normal 9 3 3 2 3 2 3" xfId="12977" xr:uid="{6F409FAB-C754-40F1-85CD-B0A3795C00D1}"/>
    <cellStyle name="Normal 9 3 3 2 3 3" xfId="5723" xr:uid="{00000000-0005-0000-0000-000003200000}"/>
    <cellStyle name="Normal 9 3 3 2 3 3 2" xfId="15049" xr:uid="{7845AAF1-8C9B-42E4-9670-2FCC001ED289}"/>
    <cellStyle name="Normal 9 3 3 2 3 4" xfId="10832" xr:uid="{497EF26F-ACC6-454F-B2B7-8ECE9932418D}"/>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6CE6BB63-96CE-4769-9ECD-396A8B8B7931}"/>
    <cellStyle name="Normal 9 3 3 2 4 2 3" xfId="13390" xr:uid="{A0784376-4F94-4978-8615-E43E37CAE527}"/>
    <cellStyle name="Normal 9 3 3 2 4 3" xfId="6136" xr:uid="{00000000-0005-0000-0000-000007200000}"/>
    <cellStyle name="Normal 9 3 3 2 4 3 2" xfId="15462" xr:uid="{6DCDF85B-0117-4FB3-B661-EAA86D83ECDE}"/>
    <cellStyle name="Normal 9 3 3 2 4 4" xfId="11245" xr:uid="{F7244372-D747-4F70-A600-1B7F744170DF}"/>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9B9FD30F-D41C-48B6-A154-A41E6563DF57}"/>
    <cellStyle name="Normal 9 3 3 2 5 2 3" xfId="13803" xr:uid="{CC760A1E-DD27-48B8-870B-69C7FBF0F01F}"/>
    <cellStyle name="Normal 9 3 3 2 5 3" xfId="6549" xr:uid="{00000000-0005-0000-0000-00000B200000}"/>
    <cellStyle name="Normal 9 3 3 2 5 3 2" xfId="15875" xr:uid="{5AE04FE5-A31A-488E-9ACD-B4981F588D4C}"/>
    <cellStyle name="Normal 9 3 3 2 5 4" xfId="11658" xr:uid="{BB13513F-F2C2-4A59-B720-B4765F0E8D57}"/>
    <cellStyle name="Normal 9 3 3 2 6" xfId="2679" xr:uid="{00000000-0005-0000-0000-00000C200000}"/>
    <cellStyle name="Normal 9 3 3 2 6 2" xfId="6962" xr:uid="{00000000-0005-0000-0000-00000D200000}"/>
    <cellStyle name="Normal 9 3 3 2 6 2 2" xfId="16288" xr:uid="{83B09766-0387-46C1-863A-E5D4F30FD225}"/>
    <cellStyle name="Normal 9 3 3 2 6 3" xfId="12071" xr:uid="{6B077FBF-89ED-42A1-B765-2AF90E0FD74B}"/>
    <cellStyle name="Normal 9 3 3 2 7" xfId="4897" xr:uid="{00000000-0005-0000-0000-00000E200000}"/>
    <cellStyle name="Normal 9 3 3 2 7 2" xfId="14223" xr:uid="{80F9E16A-68F5-40F0-8FAB-119C2E66B0FA}"/>
    <cellStyle name="Normal 9 3 3 2 8" xfId="9087" xr:uid="{B1C8DB1F-59B6-4D6A-B3E7-0CFC4D29D9A9}"/>
    <cellStyle name="Normal 9 3 3 2 8 2" xfId="18411" xr:uid="{471EFA6E-406A-44E0-90FD-2713D90F0BFD}"/>
    <cellStyle name="Normal 9 3 3 2 9" xfId="10006" xr:uid="{8F9377E0-E757-4643-AA42-57B0C69F1328}"/>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20D3A7BA-F28E-4ECB-B0EA-09B42BF7E3A3}"/>
    <cellStyle name="Normal 9 3 3 3 2 3" xfId="12563" xr:uid="{558E7782-5C78-4BA3-B4DE-D61BDA2F655D}"/>
    <cellStyle name="Normal 9 3 3 3 3" xfId="5309" xr:uid="{00000000-0005-0000-0000-000012200000}"/>
    <cellStyle name="Normal 9 3 3 3 3 2" xfId="14635" xr:uid="{E369BBFE-2D3D-4E2E-8888-D9C8B514C537}"/>
    <cellStyle name="Normal 9 3 3 3 4" xfId="9305" xr:uid="{F54F3A88-B268-4905-B4D1-34B996B920C6}"/>
    <cellStyle name="Normal 9 3 3 3 4 2" xfId="18620" xr:uid="{4D39872A-E95E-4909-ACB3-13885E5137F2}"/>
    <cellStyle name="Normal 9 3 3 3 5" xfId="10418" xr:uid="{ED26B25D-5108-41C4-9FFB-AE65F341D73C}"/>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D1FABB93-D4AF-4D4B-A1C7-7B93A9F591B4}"/>
    <cellStyle name="Normal 9 3 3 4 2 3" xfId="12976" xr:uid="{5A8196E7-458B-4975-8034-CA4B90272321}"/>
    <cellStyle name="Normal 9 3 3 4 3" xfId="5722" xr:uid="{00000000-0005-0000-0000-000016200000}"/>
    <cellStyle name="Normal 9 3 3 4 3 2" xfId="15048" xr:uid="{2913352A-ACF2-4B38-8118-1991459A92B0}"/>
    <cellStyle name="Normal 9 3 3 4 4" xfId="10831" xr:uid="{17236D1F-03DA-46B9-B1FE-5F5A49E5BC18}"/>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5104C0FA-7308-434B-91DB-8AB33FFEFBEE}"/>
    <cellStyle name="Normal 9 3 3 5 2 3" xfId="13389" xr:uid="{5915AF8B-FFE4-41F1-9F52-E51608F63837}"/>
    <cellStyle name="Normal 9 3 3 5 3" xfId="6135" xr:uid="{00000000-0005-0000-0000-00001A200000}"/>
    <cellStyle name="Normal 9 3 3 5 3 2" xfId="15461" xr:uid="{213FF787-D7B0-4AD9-A34D-A3EEA2EB5657}"/>
    <cellStyle name="Normal 9 3 3 5 4" xfId="11244" xr:uid="{7841A2F7-32BF-445B-A99A-4B0F32AF4D32}"/>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5B486E9E-6919-4999-8921-A81194DDA76E}"/>
    <cellStyle name="Normal 9 3 3 6 2 3" xfId="13802" xr:uid="{ABEA683B-C9BA-43A4-B7F1-AC4893B8CE29}"/>
    <cellStyle name="Normal 9 3 3 6 3" xfId="6548" xr:uid="{00000000-0005-0000-0000-00001E200000}"/>
    <cellStyle name="Normal 9 3 3 6 3 2" xfId="15874" xr:uid="{E1155949-C99A-47BD-ACD6-5EB8D6D3FCD9}"/>
    <cellStyle name="Normal 9 3 3 6 4" xfId="11657" xr:uid="{43DB9108-B9A5-4988-AE12-F1CAE47597BC}"/>
    <cellStyle name="Normal 9 3 3 7" xfId="2678" xr:uid="{00000000-0005-0000-0000-00001F200000}"/>
    <cellStyle name="Normal 9 3 3 7 2" xfId="6961" xr:uid="{00000000-0005-0000-0000-000020200000}"/>
    <cellStyle name="Normal 9 3 3 7 2 2" xfId="16287" xr:uid="{24EA8A70-099B-4628-80A0-D68CCB6BCF19}"/>
    <cellStyle name="Normal 9 3 3 7 3" xfId="12070" xr:uid="{25C8E911-8242-4761-92F7-612B87913388}"/>
    <cellStyle name="Normal 9 3 3 8" xfId="4896" xr:uid="{00000000-0005-0000-0000-000021200000}"/>
    <cellStyle name="Normal 9 3 3 8 2" xfId="14222" xr:uid="{9A81D4FA-8B6A-4866-BFC7-6EB9E09669B7}"/>
    <cellStyle name="Normal 9 3 3 9" xfId="8880" xr:uid="{36521590-FD5B-45F7-80A9-41BA557EA820}"/>
    <cellStyle name="Normal 9 3 3 9 2" xfId="18204" xr:uid="{31DF5DDB-CA4C-4555-8411-B9172A692651}"/>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EABC35D0-8245-48D9-B2BF-615028B76DF3}"/>
    <cellStyle name="Normal 9 3 4 2 2 3" xfId="12565" xr:uid="{F61BA455-4671-454A-A84D-30DCCC890C33}"/>
    <cellStyle name="Normal 9 3 4 2 3" xfId="5311" xr:uid="{00000000-0005-0000-0000-000026200000}"/>
    <cellStyle name="Normal 9 3 4 2 3 2" xfId="14637" xr:uid="{337EEDB1-4BEA-4913-B97F-B97DF030DDB1}"/>
    <cellStyle name="Normal 9 3 4 2 4" xfId="9409" xr:uid="{F8EFC02C-357C-44AD-9BF7-6459F3C595DA}"/>
    <cellStyle name="Normal 9 3 4 2 4 2" xfId="18724" xr:uid="{F422BAFB-0DA5-4ED5-B801-429E7524EC47}"/>
    <cellStyle name="Normal 9 3 4 2 5" xfId="10420" xr:uid="{2D95D4E4-8E07-4C6C-A26F-EA3EFBCE9D2F}"/>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14F35FD2-90AD-470F-BB75-B8A8B3A8A890}"/>
    <cellStyle name="Normal 9 3 4 3 2 3" xfId="12978" xr:uid="{469949AB-05A1-4908-805E-1C520035E36A}"/>
    <cellStyle name="Normal 9 3 4 3 3" xfId="5724" xr:uid="{00000000-0005-0000-0000-00002A200000}"/>
    <cellStyle name="Normal 9 3 4 3 3 2" xfId="15050" xr:uid="{1D2BB4C7-91FE-4283-97EE-DB7F9AB88830}"/>
    <cellStyle name="Normal 9 3 4 3 4" xfId="10833" xr:uid="{850187D2-C3F3-4024-A0FE-D1DC675C4316}"/>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34172871-4569-4B75-9649-6D697A7180A7}"/>
    <cellStyle name="Normal 9 3 4 4 2 3" xfId="13391" xr:uid="{D0981DC3-B06A-47D1-A223-42097784797C}"/>
    <cellStyle name="Normal 9 3 4 4 3" xfId="6137" xr:uid="{00000000-0005-0000-0000-00002E200000}"/>
    <cellStyle name="Normal 9 3 4 4 3 2" xfId="15463" xr:uid="{75A763A7-8453-4F27-A9CD-5338C2550582}"/>
    <cellStyle name="Normal 9 3 4 4 4" xfId="11246" xr:uid="{15FB42EB-13A3-481B-A9B6-42423DD93939}"/>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7166FCDA-CA84-47B5-9E9B-3E312E403FFA}"/>
    <cellStyle name="Normal 9 3 4 5 2 3" xfId="13804" xr:uid="{B3EA45A6-9738-4407-8030-BE506FEA348B}"/>
    <cellStyle name="Normal 9 3 4 5 3" xfId="6550" xr:uid="{00000000-0005-0000-0000-000032200000}"/>
    <cellStyle name="Normal 9 3 4 5 3 2" xfId="15876" xr:uid="{CE303C86-3847-4000-82C2-CC847DAD6C73}"/>
    <cellStyle name="Normal 9 3 4 5 4" xfId="11659" xr:uid="{4D3D0DE4-BF24-433A-BDCD-29FF72E50D39}"/>
    <cellStyle name="Normal 9 3 4 6" xfId="2680" xr:uid="{00000000-0005-0000-0000-000033200000}"/>
    <cellStyle name="Normal 9 3 4 6 2" xfId="6963" xr:uid="{00000000-0005-0000-0000-000034200000}"/>
    <cellStyle name="Normal 9 3 4 6 2 2" xfId="16289" xr:uid="{33C9BB58-73BA-46E1-9A56-83C182D641D0}"/>
    <cellStyle name="Normal 9 3 4 6 3" xfId="12072" xr:uid="{805170D8-3F46-4BE4-A963-D1C40FDB6E0E}"/>
    <cellStyle name="Normal 9 3 4 7" xfId="4898" xr:uid="{00000000-0005-0000-0000-000035200000}"/>
    <cellStyle name="Normal 9 3 4 7 2" xfId="14224" xr:uid="{E051D5CF-4894-4961-BC0C-3BC7D13B14FB}"/>
    <cellStyle name="Normal 9 3 4 8" xfId="8984" xr:uid="{A39B104A-EAEF-4D5B-B504-6104111E924B}"/>
    <cellStyle name="Normal 9 3 4 8 2" xfId="18308" xr:uid="{BDAC6D5B-7692-4F2A-AE28-7C253602D3BC}"/>
    <cellStyle name="Normal 9 3 4 9" xfId="10007" xr:uid="{030F44F9-2CAB-4D1E-B7B5-CC9C9010F5A3}"/>
    <cellStyle name="Normal 9 3 5" xfId="994" xr:uid="{00000000-0005-0000-0000-000036200000}"/>
    <cellStyle name="Normal 9 3 5 2" xfId="3227" xr:uid="{00000000-0005-0000-0000-000037200000}"/>
    <cellStyle name="Normal 9 3 5 2 2" xfId="7449" xr:uid="{00000000-0005-0000-0000-000038200000}"/>
    <cellStyle name="Normal 9 3 5 2 2 2" xfId="16775" xr:uid="{EDBACC1A-9CBF-421C-89A2-E1C5854D6C79}"/>
    <cellStyle name="Normal 9 3 5 2 3" xfId="12558" xr:uid="{64729AB7-8976-4EA2-A67E-9B2C2F964636}"/>
    <cellStyle name="Normal 9 3 5 3" xfId="5304" xr:uid="{00000000-0005-0000-0000-000039200000}"/>
    <cellStyle name="Normal 9 3 5 3 2" xfId="14630" xr:uid="{5BF66128-872E-484E-A0A5-1214AEDDAB3A}"/>
    <cellStyle name="Normal 9 3 5 4" xfId="9201" xr:uid="{46D523D7-8DEB-46FB-8F1C-8CE8C2FC3AD3}"/>
    <cellStyle name="Normal 9 3 5 4 2" xfId="18517" xr:uid="{DD3D04AC-1AE5-4173-BDEA-50746C69E2C2}"/>
    <cellStyle name="Normal 9 3 5 5" xfId="10413" xr:uid="{B5010C81-523D-4A22-BF45-E5009E503603}"/>
    <cellStyle name="Normal 9 3 6" xfId="1410" xr:uid="{00000000-0005-0000-0000-00003A200000}"/>
    <cellStyle name="Normal 9 3 6 2" xfId="3640" xr:uid="{00000000-0005-0000-0000-00003B200000}"/>
    <cellStyle name="Normal 9 3 6 2 2" xfId="7862" xr:uid="{00000000-0005-0000-0000-00003C200000}"/>
    <cellStyle name="Normal 9 3 6 2 2 2" xfId="17188" xr:uid="{05EC5F92-F4F1-4587-82A1-658503D26285}"/>
    <cellStyle name="Normal 9 3 6 2 3" xfId="12971" xr:uid="{64149FFC-7E3F-4C1E-845C-EE09C03F20E5}"/>
    <cellStyle name="Normal 9 3 6 3" xfId="5717" xr:uid="{00000000-0005-0000-0000-00003D200000}"/>
    <cellStyle name="Normal 9 3 6 3 2" xfId="15043" xr:uid="{B710FB71-F4F8-403D-879A-63E58B8F60ED}"/>
    <cellStyle name="Normal 9 3 6 4" xfId="10826" xr:uid="{0368EC81-FF8E-43DA-9D81-351A28FBD99B}"/>
    <cellStyle name="Normal 9 3 7" xfId="1823" xr:uid="{00000000-0005-0000-0000-00003E200000}"/>
    <cellStyle name="Normal 9 3 7 2" xfId="4053" xr:uid="{00000000-0005-0000-0000-00003F200000}"/>
    <cellStyle name="Normal 9 3 7 2 2" xfId="8275" xr:uid="{00000000-0005-0000-0000-000040200000}"/>
    <cellStyle name="Normal 9 3 7 2 2 2" xfId="17601" xr:uid="{907B4282-0FBE-47C7-8BDB-5A97A3708475}"/>
    <cellStyle name="Normal 9 3 7 2 3" xfId="13384" xr:uid="{7F7451DF-159D-4D33-97F8-EA37813C6ADB}"/>
    <cellStyle name="Normal 9 3 7 3" xfId="6130" xr:uid="{00000000-0005-0000-0000-000041200000}"/>
    <cellStyle name="Normal 9 3 7 3 2" xfId="15456" xr:uid="{B49E7C83-25AB-4183-A3E3-F71B42B0A2A4}"/>
    <cellStyle name="Normal 9 3 7 4" xfId="11239" xr:uid="{A0DC5BB1-CB6C-4A5E-994F-193F380383FA}"/>
    <cellStyle name="Normal 9 3 8" xfId="2237" xr:uid="{00000000-0005-0000-0000-000042200000}"/>
    <cellStyle name="Normal 9 3 8 2" xfId="4466" xr:uid="{00000000-0005-0000-0000-000043200000}"/>
    <cellStyle name="Normal 9 3 8 2 2" xfId="8688" xr:uid="{00000000-0005-0000-0000-000044200000}"/>
    <cellStyle name="Normal 9 3 8 2 2 2" xfId="18014" xr:uid="{F2F1776A-F79E-4BE9-A014-71A7CEA70CAC}"/>
    <cellStyle name="Normal 9 3 8 2 3" xfId="13797" xr:uid="{D7997560-4F23-4580-BFA7-F0C29174F290}"/>
    <cellStyle name="Normal 9 3 8 3" xfId="6543" xr:uid="{00000000-0005-0000-0000-000045200000}"/>
    <cellStyle name="Normal 9 3 8 3 2" xfId="15869" xr:uid="{27B34B2B-AEC2-4038-8118-42B59959B05E}"/>
    <cellStyle name="Normal 9 3 8 4" xfId="11652" xr:uid="{3E562F52-4B97-4108-A9BF-5A58E8C4D131}"/>
    <cellStyle name="Normal 9 3 9" xfId="2673" xr:uid="{00000000-0005-0000-0000-000046200000}"/>
    <cellStyle name="Normal 9 3 9 2" xfId="6956" xr:uid="{00000000-0005-0000-0000-000047200000}"/>
    <cellStyle name="Normal 9 3 9 2 2" xfId="16282" xr:uid="{05B2D927-8B94-4EE1-80DF-8718486D4601}"/>
    <cellStyle name="Normal 9 3 9 3" xfId="12065" xr:uid="{B51DC450-6B45-4A7B-B74B-A4EF6BC7C0A0}"/>
    <cellStyle name="Normal 9 4" xfId="535" xr:uid="{00000000-0005-0000-0000-000048200000}"/>
    <cellStyle name="Normal 9 4 2" xfId="1002" xr:uid="{00000000-0005-0000-0000-000049200000}"/>
    <cellStyle name="Normal 9 5" xfId="536" xr:uid="{00000000-0005-0000-0000-00004A200000}"/>
    <cellStyle name="Normal 9 5 10" xfId="10008" xr:uid="{6C73985B-0E2A-4D58-B64A-526622DEC99F}"/>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9725E632-D892-4F50-8B89-B4B5A5A142FD}"/>
    <cellStyle name="Normal 9 5 2 2 2 3" xfId="12567" xr:uid="{2089AEA9-9BF0-4002-B895-8BF7D962AD26}"/>
    <cellStyle name="Normal 9 5 2 2 3" xfId="5313" xr:uid="{00000000-0005-0000-0000-00004F200000}"/>
    <cellStyle name="Normal 9 5 2 2 3 2" xfId="14639" xr:uid="{68DCB96D-A69F-4513-B3F7-4524F332BDC3}"/>
    <cellStyle name="Normal 9 5 2 2 4" xfId="9480" xr:uid="{BC9702BE-C2B3-450A-99DF-6FFE7C7A82FD}"/>
    <cellStyle name="Normal 9 5 2 2 4 2" xfId="18795" xr:uid="{3FFEAA7A-B203-46B4-86E3-1B69AA2B1BC2}"/>
    <cellStyle name="Normal 9 5 2 2 5" xfId="10422" xr:uid="{D61F5780-B067-4BEE-B556-EA07BA397D06}"/>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0657C61F-24C5-4E93-884A-CAFE8E2493BB}"/>
    <cellStyle name="Normal 9 5 2 3 2 3" xfId="12980" xr:uid="{5DAFF1D9-3FD7-4977-80BD-E4B344E90BEA}"/>
    <cellStyle name="Normal 9 5 2 3 3" xfId="5726" xr:uid="{00000000-0005-0000-0000-000053200000}"/>
    <cellStyle name="Normal 9 5 2 3 3 2" xfId="15052" xr:uid="{B70CB349-E305-41B6-A8F3-691D011B9CB9}"/>
    <cellStyle name="Normal 9 5 2 3 4" xfId="10835" xr:uid="{4C426F4F-243D-4F00-BA5C-2D180DE9AF03}"/>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3FAFDFE6-A725-4591-B523-A47873012347}"/>
    <cellStyle name="Normal 9 5 2 4 2 3" xfId="13393" xr:uid="{FD871076-CD60-4BA0-9F25-5E2F3C1452C6}"/>
    <cellStyle name="Normal 9 5 2 4 3" xfId="6139" xr:uid="{00000000-0005-0000-0000-000057200000}"/>
    <cellStyle name="Normal 9 5 2 4 3 2" xfId="15465" xr:uid="{09ADE424-5D95-41A0-81D4-292FE9EE276A}"/>
    <cellStyle name="Normal 9 5 2 4 4" xfId="11248" xr:uid="{DB03BD1D-31FC-4FDF-A1A0-B5123C0B16C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9A10A98C-A587-47B0-BF90-6F061BCB43F9}"/>
    <cellStyle name="Normal 9 5 2 5 2 3" xfId="13806" xr:uid="{5C926F6F-2C1B-4151-A15B-598BA7D7568C}"/>
    <cellStyle name="Normal 9 5 2 5 3" xfId="6552" xr:uid="{00000000-0005-0000-0000-00005B200000}"/>
    <cellStyle name="Normal 9 5 2 5 3 2" xfId="15878" xr:uid="{651B4714-166F-4618-9ADF-C6323F7123D4}"/>
    <cellStyle name="Normal 9 5 2 5 4" xfId="11661" xr:uid="{4DFD63FB-9910-49E8-8248-9E38FC2ECA16}"/>
    <cellStyle name="Normal 9 5 2 6" xfId="2682" xr:uid="{00000000-0005-0000-0000-00005C200000}"/>
    <cellStyle name="Normal 9 5 2 6 2" xfId="6965" xr:uid="{00000000-0005-0000-0000-00005D200000}"/>
    <cellStyle name="Normal 9 5 2 6 2 2" xfId="16291" xr:uid="{ACA35F19-282E-4B57-A3D5-567DFB51DD58}"/>
    <cellStyle name="Normal 9 5 2 6 3" xfId="12074" xr:uid="{38349095-D2C8-44BF-ABFB-C382CFF1F2C3}"/>
    <cellStyle name="Normal 9 5 2 7" xfId="4900" xr:uid="{00000000-0005-0000-0000-00005E200000}"/>
    <cellStyle name="Normal 9 5 2 7 2" xfId="14226" xr:uid="{92AA0C29-E19A-4B60-92E9-1E936A4DEA40}"/>
    <cellStyle name="Normal 9 5 2 8" xfId="9055" xr:uid="{3DD071E2-A4B3-45E3-9F20-3C2D5AEE5CB2}"/>
    <cellStyle name="Normal 9 5 2 8 2" xfId="18379" xr:uid="{18696831-99C1-495B-8553-26EB11D0D7DC}"/>
    <cellStyle name="Normal 9 5 2 9" xfId="10009" xr:uid="{ABB27C19-F7B8-413E-B082-05A0F5D097F8}"/>
    <cellStyle name="Normal 9 5 3" xfId="1003" xr:uid="{00000000-0005-0000-0000-00005F200000}"/>
    <cellStyle name="Normal 9 5 3 2" xfId="3235" xr:uid="{00000000-0005-0000-0000-000060200000}"/>
    <cellStyle name="Normal 9 5 3 2 2" xfId="7457" xr:uid="{00000000-0005-0000-0000-000061200000}"/>
    <cellStyle name="Normal 9 5 3 2 2 2" xfId="16783" xr:uid="{BFF7DB1A-BBC3-42A3-88D4-0B1FC73B7AB1}"/>
    <cellStyle name="Normal 9 5 3 2 3" xfId="12566" xr:uid="{4642C33F-A42A-41E9-9EF7-D913FAC54DCD}"/>
    <cellStyle name="Normal 9 5 3 3" xfId="5312" xr:uid="{00000000-0005-0000-0000-000062200000}"/>
    <cellStyle name="Normal 9 5 3 3 2" xfId="14638" xr:uid="{4AEDDA3C-9A6D-49DC-87C1-1F9981536C25}"/>
    <cellStyle name="Normal 9 5 3 4" xfId="9273" xr:uid="{AE6CB61B-02C5-436E-A328-3B2AC8AC9E53}"/>
    <cellStyle name="Normal 9 5 3 4 2" xfId="18588" xr:uid="{3E913549-AA74-4EAA-A9DC-F91B4FB3EB8D}"/>
    <cellStyle name="Normal 9 5 3 5" xfId="10421" xr:uid="{331CFA6A-AAF2-4F9E-9A71-0F9AE763065D}"/>
    <cellStyle name="Normal 9 5 4" xfId="1418" xr:uid="{00000000-0005-0000-0000-000063200000}"/>
    <cellStyle name="Normal 9 5 4 2" xfId="3648" xr:uid="{00000000-0005-0000-0000-000064200000}"/>
    <cellStyle name="Normal 9 5 4 2 2" xfId="7870" xr:uid="{00000000-0005-0000-0000-000065200000}"/>
    <cellStyle name="Normal 9 5 4 2 2 2" xfId="17196" xr:uid="{A3AF2004-570E-4DE2-90B5-F9ED37497D4F}"/>
    <cellStyle name="Normal 9 5 4 2 3" xfId="12979" xr:uid="{720165C7-68CC-4355-98D0-3213FDFC918F}"/>
    <cellStyle name="Normal 9 5 4 3" xfId="5725" xr:uid="{00000000-0005-0000-0000-000066200000}"/>
    <cellStyle name="Normal 9 5 4 3 2" xfId="15051" xr:uid="{63DA3E94-4896-4D5A-B0AE-27EEAE09D8D6}"/>
    <cellStyle name="Normal 9 5 4 4" xfId="10834" xr:uid="{7927589A-D111-4B89-B375-E799F83FE8F8}"/>
    <cellStyle name="Normal 9 5 5" xfId="1831" xr:uid="{00000000-0005-0000-0000-000067200000}"/>
    <cellStyle name="Normal 9 5 5 2" xfId="4061" xr:uid="{00000000-0005-0000-0000-000068200000}"/>
    <cellStyle name="Normal 9 5 5 2 2" xfId="8283" xr:uid="{00000000-0005-0000-0000-000069200000}"/>
    <cellStyle name="Normal 9 5 5 2 2 2" xfId="17609" xr:uid="{023A4114-F2D7-4259-B570-3A28C50D7C44}"/>
    <cellStyle name="Normal 9 5 5 2 3" xfId="13392" xr:uid="{0D6AD6D1-4A1F-42DE-86EB-E5C446A5A224}"/>
    <cellStyle name="Normal 9 5 5 3" xfId="6138" xr:uid="{00000000-0005-0000-0000-00006A200000}"/>
    <cellStyle name="Normal 9 5 5 3 2" xfId="15464" xr:uid="{4A6FE125-9AB2-4E5F-BC26-10DBE2DA93CE}"/>
    <cellStyle name="Normal 9 5 5 4" xfId="11247" xr:uid="{39A4425E-DEDB-4D75-904A-73AB29DC82F4}"/>
    <cellStyle name="Normal 9 5 6" xfId="2245" xr:uid="{00000000-0005-0000-0000-00006B200000}"/>
    <cellStyle name="Normal 9 5 6 2" xfId="4474" xr:uid="{00000000-0005-0000-0000-00006C200000}"/>
    <cellStyle name="Normal 9 5 6 2 2" xfId="8696" xr:uid="{00000000-0005-0000-0000-00006D200000}"/>
    <cellStyle name="Normal 9 5 6 2 2 2" xfId="18022" xr:uid="{FADAA732-5A07-4CC3-93FD-94A149F0C4B5}"/>
    <cellStyle name="Normal 9 5 6 2 3" xfId="13805" xr:uid="{3E4F2F10-B25D-403E-8C78-B81EEDCB0C5C}"/>
    <cellStyle name="Normal 9 5 6 3" xfId="6551" xr:uid="{00000000-0005-0000-0000-00006E200000}"/>
    <cellStyle name="Normal 9 5 6 3 2" xfId="15877" xr:uid="{CBA8738A-D9A9-43E9-B527-2DFBC211D515}"/>
    <cellStyle name="Normal 9 5 6 4" xfId="11660" xr:uid="{DC429758-1415-44F9-BCF7-5F84EBA03A3C}"/>
    <cellStyle name="Normal 9 5 7" xfId="2681" xr:uid="{00000000-0005-0000-0000-00006F200000}"/>
    <cellStyle name="Normal 9 5 7 2" xfId="6964" xr:uid="{00000000-0005-0000-0000-000070200000}"/>
    <cellStyle name="Normal 9 5 7 2 2" xfId="16290" xr:uid="{2A6F051B-5B69-4A37-8C9B-E457363561EB}"/>
    <cellStyle name="Normal 9 5 7 3" xfId="12073" xr:uid="{E5C66C7C-8513-4B27-AFED-71D3B0853EA8}"/>
    <cellStyle name="Normal 9 5 8" xfId="4899" xr:uid="{00000000-0005-0000-0000-000071200000}"/>
    <cellStyle name="Normal 9 5 8 2" xfId="14225" xr:uid="{084632A0-3E06-46CC-83B4-091FDAEFDA84}"/>
    <cellStyle name="Normal 9 5 9" xfId="8848" xr:uid="{B1BE5F70-14E5-42B6-9EBA-D267F3B60A08}"/>
    <cellStyle name="Normal 9 5 9 2" xfId="18172" xr:uid="{E7D08636-7CF6-4666-A795-ABD63613D61A}"/>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FE750F0C-FEEC-43FB-A19A-2114548D0266}"/>
    <cellStyle name="Normal 9 6 2 2 3" xfId="12568" xr:uid="{F72F8038-936C-4904-B2A9-B5635616AD56}"/>
    <cellStyle name="Normal 9 6 2 3" xfId="5314" xr:uid="{00000000-0005-0000-0000-000076200000}"/>
    <cellStyle name="Normal 9 6 2 3 2" xfId="14640" xr:uid="{19EA45A6-28D4-486A-B140-D6ED80B275FA}"/>
    <cellStyle name="Normal 9 6 2 4" xfId="9389" xr:uid="{2A0458F6-466A-4C3B-BA39-FF09FD770FDD}"/>
    <cellStyle name="Normal 9 6 2 4 2" xfId="18704" xr:uid="{4D860090-F093-4D42-853F-C44D62F09547}"/>
    <cellStyle name="Normal 9 6 2 5" xfId="10423" xr:uid="{FCF5FBC0-6CDD-43B6-A778-271C321D5635}"/>
    <cellStyle name="Normal 9 6 3" xfId="1420" xr:uid="{00000000-0005-0000-0000-000077200000}"/>
    <cellStyle name="Normal 9 6 3 2" xfId="3650" xr:uid="{00000000-0005-0000-0000-000078200000}"/>
    <cellStyle name="Normal 9 6 3 2 2" xfId="7872" xr:uid="{00000000-0005-0000-0000-000079200000}"/>
    <cellStyle name="Normal 9 6 3 2 2 2" xfId="17198" xr:uid="{C65B3C36-5BFA-4DFC-B56A-D088F1D147A7}"/>
    <cellStyle name="Normal 9 6 3 2 3" xfId="12981" xr:uid="{0D94301A-EBD6-48CB-B9E0-A69BEDC378C6}"/>
    <cellStyle name="Normal 9 6 3 3" xfId="5727" xr:uid="{00000000-0005-0000-0000-00007A200000}"/>
    <cellStyle name="Normal 9 6 3 3 2" xfId="15053" xr:uid="{1B1F7204-1BC8-4E4F-998E-976D0F07CEBD}"/>
    <cellStyle name="Normal 9 6 3 4" xfId="10836" xr:uid="{ED5EAD62-3FE1-4C36-926D-44BBE49FFED1}"/>
    <cellStyle name="Normal 9 6 4" xfId="1833" xr:uid="{00000000-0005-0000-0000-00007B200000}"/>
    <cellStyle name="Normal 9 6 4 2" xfId="4063" xr:uid="{00000000-0005-0000-0000-00007C200000}"/>
    <cellStyle name="Normal 9 6 4 2 2" xfId="8285" xr:uid="{00000000-0005-0000-0000-00007D200000}"/>
    <cellStyle name="Normal 9 6 4 2 2 2" xfId="17611" xr:uid="{F1CD4289-1F8F-4512-BCCB-7F66EDBD366A}"/>
    <cellStyle name="Normal 9 6 4 2 3" xfId="13394" xr:uid="{30830266-2D36-4D50-BA39-C8AF536746C1}"/>
    <cellStyle name="Normal 9 6 4 3" xfId="6140" xr:uid="{00000000-0005-0000-0000-00007E200000}"/>
    <cellStyle name="Normal 9 6 4 3 2" xfId="15466" xr:uid="{FFA76D06-5AAA-4E7B-BE40-4CE571C697F2}"/>
    <cellStyle name="Normal 9 6 4 4" xfId="11249" xr:uid="{52D157CE-9A1E-433E-97B6-7F4DC39AC1BE}"/>
    <cellStyle name="Normal 9 6 5" xfId="2247" xr:uid="{00000000-0005-0000-0000-00007F200000}"/>
    <cellStyle name="Normal 9 6 5 2" xfId="4476" xr:uid="{00000000-0005-0000-0000-000080200000}"/>
    <cellStyle name="Normal 9 6 5 2 2" xfId="8698" xr:uid="{00000000-0005-0000-0000-000081200000}"/>
    <cellStyle name="Normal 9 6 5 2 2 2" xfId="18024" xr:uid="{96F6C766-16F4-48AC-AF72-3403EAB05FB4}"/>
    <cellStyle name="Normal 9 6 5 2 3" xfId="13807" xr:uid="{726014D3-5557-45DE-BFAE-75DF17089833}"/>
    <cellStyle name="Normal 9 6 5 3" xfId="6553" xr:uid="{00000000-0005-0000-0000-000082200000}"/>
    <cellStyle name="Normal 9 6 5 3 2" xfId="15879" xr:uid="{F9B3B147-8C90-4B05-93E6-90D899DE6945}"/>
    <cellStyle name="Normal 9 6 5 4" xfId="11662" xr:uid="{D2D93023-1F77-45F3-9DA6-E7AE99CB8D5F}"/>
    <cellStyle name="Normal 9 6 6" xfId="2683" xr:uid="{00000000-0005-0000-0000-000083200000}"/>
    <cellStyle name="Normal 9 6 6 2" xfId="6966" xr:uid="{00000000-0005-0000-0000-000084200000}"/>
    <cellStyle name="Normal 9 6 6 2 2" xfId="16292" xr:uid="{095EC7F4-16D7-4404-8A9B-347C0D206700}"/>
    <cellStyle name="Normal 9 6 6 3" xfId="12075" xr:uid="{5D9DDF09-34AF-4008-8E88-825981488792}"/>
    <cellStyle name="Normal 9 6 7" xfId="4901" xr:uid="{00000000-0005-0000-0000-000085200000}"/>
    <cellStyle name="Normal 9 6 7 2" xfId="14227" xr:uid="{B089EB88-534A-4B02-BE64-7EFAB87AF0D6}"/>
    <cellStyle name="Normal 9 6 8" xfId="8964" xr:uid="{9BBC9C46-7A3A-4BC9-9542-DC33DFA165C2}"/>
    <cellStyle name="Normal 9 6 8 2" xfId="18288" xr:uid="{2CCCC1E7-8615-4A81-87D7-3948DCC89FC3}"/>
    <cellStyle name="Normal 9 6 9" xfId="10010" xr:uid="{01032F8F-A511-4277-9E57-0A57E55F65D8}"/>
    <cellStyle name="Normal 9 7" xfId="977" xr:uid="{00000000-0005-0000-0000-000086200000}"/>
    <cellStyle name="Normal 9 7 2" xfId="9609" xr:uid="{1246D22D-2382-4FAF-A8D6-CB26E2B9F9CE}"/>
    <cellStyle name="Normal 9 7 3" xfId="9167" xr:uid="{F9EED645-1D44-43CF-99A5-77176BA4CE36}"/>
    <cellStyle name="Normal 9 7 3 2" xfId="18485" xr:uid="{532432F8-6C0B-4CDD-9EC9-E68E04108F60}"/>
    <cellStyle name="Normal 9 8" xfId="8745" xr:uid="{C1852A12-4F74-491B-976C-56AD8D4478B4}"/>
    <cellStyle name="Normal 9 8 2" xfId="18069" xr:uid="{79F2A749-511C-4D6B-8F63-FBAA0B398C6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D3337A05-BB37-40AD-881F-5CB4BFDE4028}"/>
    <cellStyle name="Note 2 2 10 3" xfId="12156" xr:uid="{FDECC0F3-3BC4-4850-88E5-BD9ABBE7477F}"/>
    <cellStyle name="Note 2 2 11" xfId="4902" xr:uid="{00000000-0005-0000-0000-000094200000}"/>
    <cellStyle name="Note 2 2 11 2" xfId="14228" xr:uid="{C84C8891-AD31-4D51-8522-E31B34811A54}"/>
    <cellStyle name="Note 2 2 12" xfId="8841" xr:uid="{E94E1FD8-31C4-4718-9658-C7A587CBF323}"/>
    <cellStyle name="Note 2 2 12 2" xfId="18165" xr:uid="{3545FBE9-E1F1-4DB6-ACC3-B7B9DCEB48A8}"/>
    <cellStyle name="Note 2 2 13" xfId="10011" xr:uid="{DFAF9F3E-17B3-4E1C-B0F3-B0DEF4833899}"/>
    <cellStyle name="Note 2 2 2" xfId="546" xr:uid="{00000000-0005-0000-0000-000095200000}"/>
    <cellStyle name="Note 2 2 2 10" xfId="4903" xr:uid="{00000000-0005-0000-0000-000096200000}"/>
    <cellStyle name="Note 2 2 2 10 2" xfId="14229" xr:uid="{48CFDAEE-1BDA-49EE-9F52-BFF92A38B026}"/>
    <cellStyle name="Note 2 2 2 11" xfId="8944" xr:uid="{B75A3404-A4A3-41D6-B6C3-54560C6DD592}"/>
    <cellStyle name="Note 2 2 2 11 2" xfId="18268" xr:uid="{F375C53D-05C0-4CA3-8232-DA28AA390F2C}"/>
    <cellStyle name="Note 2 2 2 12" xfId="10012" xr:uid="{BD258088-AEA4-498B-AAD3-21746B7AAFF0}"/>
    <cellStyle name="Note 2 2 2 2" xfId="547" xr:uid="{00000000-0005-0000-0000-000097200000}"/>
    <cellStyle name="Note 2 2 2 2 10" xfId="9151" xr:uid="{DE810DD8-00EC-4339-9CFC-C84D5E182971}"/>
    <cellStyle name="Note 2 2 2 2 10 2" xfId="18475" xr:uid="{5ED62392-D497-46D9-9B45-A6E640F1B475}"/>
    <cellStyle name="Note 2 2 2 2 11" xfId="10013" xr:uid="{C9B7FE75-51E8-4A64-9E3E-ED5CDBFDA745}"/>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818E6050-E9B9-4CD4-AD27-A1087C1B4C03}"/>
    <cellStyle name="Note 2 2 2 2 2 2 3" xfId="12571" xr:uid="{0BC94AA0-B203-45CC-9DB9-014393B773A8}"/>
    <cellStyle name="Note 2 2 2 2 2 3" xfId="5317" xr:uid="{00000000-0005-0000-0000-00009B200000}"/>
    <cellStyle name="Note 2 2 2 2 2 3 2" xfId="14643" xr:uid="{5077BDE6-BA64-44FB-8A30-37DCFAFEF7BB}"/>
    <cellStyle name="Note 2 2 2 2 2 4" xfId="9576" xr:uid="{375E296C-598F-454E-B7C4-9E851CE02ED2}"/>
    <cellStyle name="Note 2 2 2 2 2 4 2" xfId="18891" xr:uid="{482CBC09-1E40-4011-B253-7256A17D5402}"/>
    <cellStyle name="Note 2 2 2 2 2 5" xfId="10426" xr:uid="{6C434B00-0CC3-4B3B-A10F-C5B5DC30D88B}"/>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43626E1D-EC1F-465A-A758-171736A42AC8}"/>
    <cellStyle name="Note 2 2 2 2 3 2 3" xfId="12984" xr:uid="{7FA7CE33-C6E7-4A9F-99FE-8C0E2CE47927}"/>
    <cellStyle name="Note 2 2 2 2 3 3" xfId="5730" xr:uid="{00000000-0005-0000-0000-00009F200000}"/>
    <cellStyle name="Note 2 2 2 2 3 3 2" xfId="15056" xr:uid="{790DDC13-12AD-44B0-BA90-CCB9864687F0}"/>
    <cellStyle name="Note 2 2 2 2 3 4" xfId="10839" xr:uid="{0DE266CC-B9B1-46AE-B859-1F562170958A}"/>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F57D2DB8-C559-49F8-BCA2-0A8E89BDD91E}"/>
    <cellStyle name="Note 2 2 2 2 4 2 3" xfId="13397" xr:uid="{C123B67D-2ACF-4B18-92D4-B26DDA5A6C00}"/>
    <cellStyle name="Note 2 2 2 2 4 3" xfId="6143" xr:uid="{00000000-0005-0000-0000-0000A3200000}"/>
    <cellStyle name="Note 2 2 2 2 4 3 2" xfId="15469" xr:uid="{CD5E150E-BABB-4948-955F-A85A598CF7E0}"/>
    <cellStyle name="Note 2 2 2 2 4 4" xfId="11252" xr:uid="{36F38D6D-CFC7-46D9-9C21-20C226398E8A}"/>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344C5809-02B5-428F-A994-8C688A268F26}"/>
    <cellStyle name="Note 2 2 2 2 5 2 3" xfId="13810" xr:uid="{04907B30-87BF-4278-B024-647C726559ED}"/>
    <cellStyle name="Note 2 2 2 2 5 3" xfId="6556" xr:uid="{00000000-0005-0000-0000-0000A7200000}"/>
    <cellStyle name="Note 2 2 2 2 5 3 2" xfId="15882" xr:uid="{82A67F29-941B-418B-9C6D-2B2644DC2BBA}"/>
    <cellStyle name="Note 2 2 2 2 5 4" xfId="11665" xr:uid="{8B311492-D13E-45E7-BBAD-42F3A644D7E4}"/>
    <cellStyle name="Note 2 2 2 2 6" xfId="2686" xr:uid="{00000000-0005-0000-0000-0000A8200000}"/>
    <cellStyle name="Note 2 2 2 2 6 2" xfId="6969" xr:uid="{00000000-0005-0000-0000-0000A9200000}"/>
    <cellStyle name="Note 2 2 2 2 6 2 2" xfId="16295" xr:uid="{120746C9-D503-489D-9945-54F72D2E2B3D}"/>
    <cellStyle name="Note 2 2 2 2 6 3" xfId="12078" xr:uid="{B663C4EE-654C-4691-9FD7-BF1DECD88DB5}"/>
    <cellStyle name="Note 2 2 2 2 7" xfId="2745" xr:uid="{00000000-0005-0000-0000-0000AA200000}"/>
    <cellStyle name="Note 2 2 2 2 8" xfId="2826" xr:uid="{00000000-0005-0000-0000-0000AB200000}"/>
    <cellStyle name="Note 2 2 2 2 8 2" xfId="7049" xr:uid="{00000000-0005-0000-0000-0000AC200000}"/>
    <cellStyle name="Note 2 2 2 2 8 2 2" xfId="16375" xr:uid="{3BDF8FB8-8F7C-4E97-B44E-4AF96AC9611F}"/>
    <cellStyle name="Note 2 2 2 2 8 3" xfId="12158" xr:uid="{0160A281-C4A1-4930-A93B-9FD7BA8B9E44}"/>
    <cellStyle name="Note 2 2 2 2 9" xfId="4904" xr:uid="{00000000-0005-0000-0000-0000AD200000}"/>
    <cellStyle name="Note 2 2 2 2 9 2" xfId="14230" xr:uid="{4101C83B-692B-4C59-A2DA-05C1A2636CF3}"/>
    <cellStyle name="Note 2 2 2 3" xfId="1007" xr:uid="{00000000-0005-0000-0000-0000AE200000}"/>
    <cellStyle name="Note 2 2 2 3 2" xfId="3239" xr:uid="{00000000-0005-0000-0000-0000AF200000}"/>
    <cellStyle name="Note 2 2 2 3 2 2" xfId="7461" xr:uid="{00000000-0005-0000-0000-0000B0200000}"/>
    <cellStyle name="Note 2 2 2 3 2 2 2" xfId="16787" xr:uid="{A0966CC2-C117-4CB0-8789-8463C5424A73}"/>
    <cellStyle name="Note 2 2 2 3 2 3" xfId="12570" xr:uid="{8A80C510-D338-4FF9-BFE9-C4256EFD88C7}"/>
    <cellStyle name="Note 2 2 2 3 3" xfId="5316" xr:uid="{00000000-0005-0000-0000-0000B1200000}"/>
    <cellStyle name="Note 2 2 2 3 3 2" xfId="14642" xr:uid="{D9FFF664-88B2-4EA8-998D-EE02CC256C70}"/>
    <cellStyle name="Note 2 2 2 3 4" xfId="9369" xr:uid="{37FCA23B-964B-404F-A343-B489211FDCDC}"/>
    <cellStyle name="Note 2 2 2 3 4 2" xfId="18684" xr:uid="{58253191-D9BE-4F4B-9E13-EED166960E24}"/>
    <cellStyle name="Note 2 2 2 3 5" xfId="10425" xr:uid="{2A3E3541-1E7F-4685-BCCD-1A9339898F48}"/>
    <cellStyle name="Note 2 2 2 4" xfId="1422" xr:uid="{00000000-0005-0000-0000-0000B2200000}"/>
    <cellStyle name="Note 2 2 2 4 2" xfId="3652" xr:uid="{00000000-0005-0000-0000-0000B3200000}"/>
    <cellStyle name="Note 2 2 2 4 2 2" xfId="7874" xr:uid="{00000000-0005-0000-0000-0000B4200000}"/>
    <cellStyle name="Note 2 2 2 4 2 2 2" xfId="17200" xr:uid="{2B3805C4-B56D-4E9D-800F-A1C6BCDD3438}"/>
    <cellStyle name="Note 2 2 2 4 2 3" xfId="12983" xr:uid="{47AD662C-9CBB-45BB-ADFB-8502EBE49F9F}"/>
    <cellStyle name="Note 2 2 2 4 3" xfId="5729" xr:uid="{00000000-0005-0000-0000-0000B5200000}"/>
    <cellStyle name="Note 2 2 2 4 3 2" xfId="15055" xr:uid="{74312A3F-17D4-42A2-ACE1-5D378B413977}"/>
    <cellStyle name="Note 2 2 2 4 4" xfId="10838" xr:uid="{5EB3E124-1A9C-4F63-B508-B872B34D5F81}"/>
    <cellStyle name="Note 2 2 2 5" xfId="1836" xr:uid="{00000000-0005-0000-0000-0000B6200000}"/>
    <cellStyle name="Note 2 2 2 5 2" xfId="4065" xr:uid="{00000000-0005-0000-0000-0000B7200000}"/>
    <cellStyle name="Note 2 2 2 5 2 2" xfId="8287" xr:uid="{00000000-0005-0000-0000-0000B8200000}"/>
    <cellStyle name="Note 2 2 2 5 2 2 2" xfId="17613" xr:uid="{C6502B29-2F69-4916-930C-97C40325CA3B}"/>
    <cellStyle name="Note 2 2 2 5 2 3" xfId="13396" xr:uid="{DDF67C37-CD50-46D1-A187-CEA56584F687}"/>
    <cellStyle name="Note 2 2 2 5 3" xfId="6142" xr:uid="{00000000-0005-0000-0000-0000B9200000}"/>
    <cellStyle name="Note 2 2 2 5 3 2" xfId="15468" xr:uid="{9E51D5E2-663A-4DD9-8D26-8F79ED6D6F98}"/>
    <cellStyle name="Note 2 2 2 5 4" xfId="11251" xr:uid="{306DDCD6-4CC1-4F84-A584-FF810FC89F41}"/>
    <cellStyle name="Note 2 2 2 6" xfId="2249" xr:uid="{00000000-0005-0000-0000-0000BA200000}"/>
    <cellStyle name="Note 2 2 2 6 2" xfId="4478" xr:uid="{00000000-0005-0000-0000-0000BB200000}"/>
    <cellStyle name="Note 2 2 2 6 2 2" xfId="8700" xr:uid="{00000000-0005-0000-0000-0000BC200000}"/>
    <cellStyle name="Note 2 2 2 6 2 2 2" xfId="18026" xr:uid="{02FBB290-E1FB-4914-98C0-B90075411D13}"/>
    <cellStyle name="Note 2 2 2 6 2 3" xfId="13809" xr:uid="{FEF17469-CC8F-4FE4-B702-AE0A62048B21}"/>
    <cellStyle name="Note 2 2 2 6 3" xfId="6555" xr:uid="{00000000-0005-0000-0000-0000BD200000}"/>
    <cellStyle name="Note 2 2 2 6 3 2" xfId="15881" xr:uid="{441F3E4A-C9E5-468C-95EF-3898037E079F}"/>
    <cellStyle name="Note 2 2 2 6 4" xfId="11664" xr:uid="{E308631D-9D9B-4D6B-9AC0-45F8B6CD6FF4}"/>
    <cellStyle name="Note 2 2 2 7" xfId="2685" xr:uid="{00000000-0005-0000-0000-0000BE200000}"/>
    <cellStyle name="Note 2 2 2 7 2" xfId="6968" xr:uid="{00000000-0005-0000-0000-0000BF200000}"/>
    <cellStyle name="Note 2 2 2 7 2 2" xfId="16294" xr:uid="{FD247851-752D-440D-9E88-28A68B1847A6}"/>
    <cellStyle name="Note 2 2 2 7 3" xfId="12077" xr:uid="{08B2F6E7-88A4-4447-8F75-CF49881262A3}"/>
    <cellStyle name="Note 2 2 2 8" xfId="2744" xr:uid="{00000000-0005-0000-0000-0000C0200000}"/>
    <cellStyle name="Note 2 2 2 9" xfId="2825" xr:uid="{00000000-0005-0000-0000-0000C1200000}"/>
    <cellStyle name="Note 2 2 2 9 2" xfId="7048" xr:uid="{00000000-0005-0000-0000-0000C2200000}"/>
    <cellStyle name="Note 2 2 2 9 2 2" xfId="16374" xr:uid="{2E0C68EB-918F-4726-ABA0-9821AE027BC4}"/>
    <cellStyle name="Note 2 2 2 9 3" xfId="12157" xr:uid="{AB0A447B-3E08-4267-A519-E30FBAE28FD5}"/>
    <cellStyle name="Note 2 2 3" xfId="548" xr:uid="{00000000-0005-0000-0000-0000C3200000}"/>
    <cellStyle name="Note 2 2 3 10" xfId="9048" xr:uid="{894401FF-B7D8-49E8-91E6-A1C42DD04D54}"/>
    <cellStyle name="Note 2 2 3 10 2" xfId="18372" xr:uid="{AEC68157-3255-4BB5-912F-DC93B6017C90}"/>
    <cellStyle name="Note 2 2 3 11" xfId="10014" xr:uid="{B57E1BF5-CF40-4602-84B9-364E49C14CAC}"/>
    <cellStyle name="Note 2 2 3 2" xfId="1009" xr:uid="{00000000-0005-0000-0000-0000C4200000}"/>
    <cellStyle name="Note 2 2 3 2 2" xfId="3241" xr:uid="{00000000-0005-0000-0000-0000C5200000}"/>
    <cellStyle name="Note 2 2 3 2 2 2" xfId="7463" xr:uid="{00000000-0005-0000-0000-0000C6200000}"/>
    <cellStyle name="Note 2 2 3 2 2 2 2" xfId="16789" xr:uid="{7BC31D54-F8A9-40B1-AA87-BDE03E437D92}"/>
    <cellStyle name="Note 2 2 3 2 2 3" xfId="12572" xr:uid="{A819BA6A-9F08-4D26-B53F-EA46099B8074}"/>
    <cellStyle name="Note 2 2 3 2 3" xfId="5318" xr:uid="{00000000-0005-0000-0000-0000C7200000}"/>
    <cellStyle name="Note 2 2 3 2 3 2" xfId="14644" xr:uid="{024D867C-A182-4E60-B66D-B2C5B4781B3A}"/>
    <cellStyle name="Note 2 2 3 2 4" xfId="9473" xr:uid="{7711F4E0-385B-44CD-ACEA-5E9D7E4CD8DC}"/>
    <cellStyle name="Note 2 2 3 2 4 2" xfId="18788" xr:uid="{664D3638-6EDD-4395-A0CE-EEC7E81F5598}"/>
    <cellStyle name="Note 2 2 3 2 5" xfId="10427" xr:uid="{F1D23389-2C45-4D92-8B27-49AED4BA1953}"/>
    <cellStyle name="Note 2 2 3 3" xfId="1424" xr:uid="{00000000-0005-0000-0000-0000C8200000}"/>
    <cellStyle name="Note 2 2 3 3 2" xfId="3654" xr:uid="{00000000-0005-0000-0000-0000C9200000}"/>
    <cellStyle name="Note 2 2 3 3 2 2" xfId="7876" xr:uid="{00000000-0005-0000-0000-0000CA200000}"/>
    <cellStyle name="Note 2 2 3 3 2 2 2" xfId="17202" xr:uid="{11C0F1DB-7F60-43CF-89C2-3BA6BBF7FDCC}"/>
    <cellStyle name="Note 2 2 3 3 2 3" xfId="12985" xr:uid="{CB82132D-18DA-432E-B1CD-DF85A0723B6D}"/>
    <cellStyle name="Note 2 2 3 3 3" xfId="5731" xr:uid="{00000000-0005-0000-0000-0000CB200000}"/>
    <cellStyle name="Note 2 2 3 3 3 2" xfId="15057" xr:uid="{FBF0E8D5-F6C2-4877-B388-FDCAA9CA803B}"/>
    <cellStyle name="Note 2 2 3 3 4" xfId="10840" xr:uid="{D963399A-09D2-45B6-9E18-448F32C31A17}"/>
    <cellStyle name="Note 2 2 3 4" xfId="1838" xr:uid="{00000000-0005-0000-0000-0000CC200000}"/>
    <cellStyle name="Note 2 2 3 4 2" xfId="4067" xr:uid="{00000000-0005-0000-0000-0000CD200000}"/>
    <cellStyle name="Note 2 2 3 4 2 2" xfId="8289" xr:uid="{00000000-0005-0000-0000-0000CE200000}"/>
    <cellStyle name="Note 2 2 3 4 2 2 2" xfId="17615" xr:uid="{DB9B4F32-8620-4D22-AB4A-EDFFD68E3284}"/>
    <cellStyle name="Note 2 2 3 4 2 3" xfId="13398" xr:uid="{9E79E748-245A-40B5-ADE4-9886D08FFDA1}"/>
    <cellStyle name="Note 2 2 3 4 3" xfId="6144" xr:uid="{00000000-0005-0000-0000-0000CF200000}"/>
    <cellStyle name="Note 2 2 3 4 3 2" xfId="15470" xr:uid="{6D75904C-FC85-4CC1-81B0-2AEE296BEB3D}"/>
    <cellStyle name="Note 2 2 3 4 4" xfId="11253" xr:uid="{37AB8770-0E25-403B-8873-3AAF3842FB2A}"/>
    <cellStyle name="Note 2 2 3 5" xfId="2251" xr:uid="{00000000-0005-0000-0000-0000D0200000}"/>
    <cellStyle name="Note 2 2 3 5 2" xfId="4480" xr:uid="{00000000-0005-0000-0000-0000D1200000}"/>
    <cellStyle name="Note 2 2 3 5 2 2" xfId="8702" xr:uid="{00000000-0005-0000-0000-0000D2200000}"/>
    <cellStyle name="Note 2 2 3 5 2 2 2" xfId="18028" xr:uid="{C6D71C77-041E-40E6-BC43-E007CF4163FC}"/>
    <cellStyle name="Note 2 2 3 5 2 3" xfId="13811" xr:uid="{09E9B943-F435-43B0-87C8-E83CDC2AECCF}"/>
    <cellStyle name="Note 2 2 3 5 3" xfId="6557" xr:uid="{00000000-0005-0000-0000-0000D3200000}"/>
    <cellStyle name="Note 2 2 3 5 3 2" xfId="15883" xr:uid="{3434A2B3-6779-4F55-AB2F-2A1BF9359FBD}"/>
    <cellStyle name="Note 2 2 3 5 4" xfId="11666" xr:uid="{0068E822-D2AC-4AA0-807B-3E2E2019C394}"/>
    <cellStyle name="Note 2 2 3 6" xfId="2687" xr:uid="{00000000-0005-0000-0000-0000D4200000}"/>
    <cellStyle name="Note 2 2 3 6 2" xfId="6970" xr:uid="{00000000-0005-0000-0000-0000D5200000}"/>
    <cellStyle name="Note 2 2 3 6 2 2" xfId="16296" xr:uid="{77670A52-47B8-4AE0-9EB4-85F636B69AF8}"/>
    <cellStyle name="Note 2 2 3 6 3" xfId="12079" xr:uid="{4A8BD97D-9684-4D34-BD02-DE635564F295}"/>
    <cellStyle name="Note 2 2 3 7" xfId="2746" xr:uid="{00000000-0005-0000-0000-0000D6200000}"/>
    <cellStyle name="Note 2 2 3 8" xfId="2827" xr:uid="{00000000-0005-0000-0000-0000D7200000}"/>
    <cellStyle name="Note 2 2 3 8 2" xfId="7050" xr:uid="{00000000-0005-0000-0000-0000D8200000}"/>
    <cellStyle name="Note 2 2 3 8 2 2" xfId="16376" xr:uid="{CE6B1EB7-F404-44CA-89C6-FF7802EC7D2E}"/>
    <cellStyle name="Note 2 2 3 8 3" xfId="12159" xr:uid="{2C6734AD-25D1-4032-BD3F-985D6887318E}"/>
    <cellStyle name="Note 2 2 3 9" xfId="4905" xr:uid="{00000000-0005-0000-0000-0000D9200000}"/>
    <cellStyle name="Note 2 2 3 9 2" xfId="14231" xr:uid="{8C9C5E0B-3648-48F6-9BC5-464542534349}"/>
    <cellStyle name="Note 2 2 4" xfId="1006" xr:uid="{00000000-0005-0000-0000-0000DA200000}"/>
    <cellStyle name="Note 2 2 4 2" xfId="3238" xr:uid="{00000000-0005-0000-0000-0000DB200000}"/>
    <cellStyle name="Note 2 2 4 2 2" xfId="7460" xr:uid="{00000000-0005-0000-0000-0000DC200000}"/>
    <cellStyle name="Note 2 2 4 2 2 2" xfId="16786" xr:uid="{F4DDBD84-2DE4-469E-B1BC-A0A5122674FD}"/>
    <cellStyle name="Note 2 2 4 2 3" xfId="12569" xr:uid="{DA2EB4F9-F795-4362-B8DE-619D0CCF6204}"/>
    <cellStyle name="Note 2 2 4 3" xfId="5315" xr:uid="{00000000-0005-0000-0000-0000DD200000}"/>
    <cellStyle name="Note 2 2 4 3 2" xfId="14641" xr:uid="{CFED2D99-8B61-4193-8E26-B3FDEA34F65E}"/>
    <cellStyle name="Note 2 2 4 4" xfId="9266" xr:uid="{8B6F7B8D-50FA-47DA-836F-17B0F9492E54}"/>
    <cellStyle name="Note 2 2 4 4 2" xfId="18581" xr:uid="{F7BC80D0-EDAD-4869-B6E3-0F75A15BC037}"/>
    <cellStyle name="Note 2 2 4 5" xfId="10424" xr:uid="{FA8BFC2A-CAEB-4416-B46A-42B0AEAB4530}"/>
    <cellStyle name="Note 2 2 5" xfId="1421" xr:uid="{00000000-0005-0000-0000-0000DE200000}"/>
    <cellStyle name="Note 2 2 5 2" xfId="3651" xr:uid="{00000000-0005-0000-0000-0000DF200000}"/>
    <cellStyle name="Note 2 2 5 2 2" xfId="7873" xr:uid="{00000000-0005-0000-0000-0000E0200000}"/>
    <cellStyle name="Note 2 2 5 2 2 2" xfId="17199" xr:uid="{360F7BAC-7CDB-4B03-8414-9B3F4C41664B}"/>
    <cellStyle name="Note 2 2 5 2 3" xfId="12982" xr:uid="{36D334A4-E75D-4B9D-B477-5EE50495F8C8}"/>
    <cellStyle name="Note 2 2 5 3" xfId="5728" xr:uid="{00000000-0005-0000-0000-0000E1200000}"/>
    <cellStyle name="Note 2 2 5 3 2" xfId="15054" xr:uid="{C7F978F6-0470-449F-9792-CAC5A6F5B384}"/>
    <cellStyle name="Note 2 2 5 4" xfId="10837" xr:uid="{220250FB-0030-407D-980C-974B545C9EAB}"/>
    <cellStyle name="Note 2 2 6" xfId="1835" xr:uid="{00000000-0005-0000-0000-0000E2200000}"/>
    <cellStyle name="Note 2 2 6 2" xfId="4064" xr:uid="{00000000-0005-0000-0000-0000E3200000}"/>
    <cellStyle name="Note 2 2 6 2 2" xfId="8286" xr:uid="{00000000-0005-0000-0000-0000E4200000}"/>
    <cellStyle name="Note 2 2 6 2 2 2" xfId="17612" xr:uid="{E64E8E08-6F80-4B61-914E-44F159BFCCBF}"/>
    <cellStyle name="Note 2 2 6 2 3" xfId="13395" xr:uid="{DA84236A-3D7F-4781-AC03-0BB39E4C61ED}"/>
    <cellStyle name="Note 2 2 6 3" xfId="6141" xr:uid="{00000000-0005-0000-0000-0000E5200000}"/>
    <cellStyle name="Note 2 2 6 3 2" xfId="15467" xr:uid="{83267D69-0570-41B2-8F1D-2383557134E2}"/>
    <cellStyle name="Note 2 2 6 4" xfId="11250" xr:uid="{75AFCDBB-24BF-427E-9332-0CA60DDC8FDB}"/>
    <cellStyle name="Note 2 2 7" xfId="2248" xr:uid="{00000000-0005-0000-0000-0000E6200000}"/>
    <cellStyle name="Note 2 2 7 2" xfId="4477" xr:uid="{00000000-0005-0000-0000-0000E7200000}"/>
    <cellStyle name="Note 2 2 7 2 2" xfId="8699" xr:uid="{00000000-0005-0000-0000-0000E8200000}"/>
    <cellStyle name="Note 2 2 7 2 2 2" xfId="18025" xr:uid="{07F85EB9-4F24-4CAF-BF21-D9D091227DD4}"/>
    <cellStyle name="Note 2 2 7 2 3" xfId="13808" xr:uid="{A9EA6BB3-4580-418E-A1C0-811E8109A339}"/>
    <cellStyle name="Note 2 2 7 3" xfId="6554" xr:uid="{00000000-0005-0000-0000-0000E9200000}"/>
    <cellStyle name="Note 2 2 7 3 2" xfId="15880" xr:uid="{A637E11D-F4A5-4005-A467-69F74A4C3075}"/>
    <cellStyle name="Note 2 2 7 4" xfId="11663" xr:uid="{2C802F1B-5B9A-46C2-ADD4-4AB16F3B904D}"/>
    <cellStyle name="Note 2 2 8" xfId="2684" xr:uid="{00000000-0005-0000-0000-0000EA200000}"/>
    <cellStyle name="Note 2 2 8 2" xfId="6967" xr:uid="{00000000-0005-0000-0000-0000EB200000}"/>
    <cellStyle name="Note 2 2 8 2 2" xfId="16293" xr:uid="{9FB33B48-C0B0-4A2F-BDDA-F72C5D033178}"/>
    <cellStyle name="Note 2 2 8 3" xfId="12076" xr:uid="{51AAE2FF-0384-4ED3-8597-5EBB7379C7C2}"/>
    <cellStyle name="Note 2 2 9" xfId="2743" xr:uid="{00000000-0005-0000-0000-0000EC200000}"/>
    <cellStyle name="Note 2 3" xfId="549" xr:uid="{00000000-0005-0000-0000-0000ED200000}"/>
    <cellStyle name="Note 2 3 10" xfId="4906" xr:uid="{00000000-0005-0000-0000-0000EE200000}"/>
    <cellStyle name="Note 2 3 10 2" xfId="14232" xr:uid="{7B30F2A3-9D2F-4799-88FE-A62DE09B0261}"/>
    <cellStyle name="Note 2 3 11" xfId="8894" xr:uid="{2BFFE8D0-DA42-4876-8895-58F80713E965}"/>
    <cellStyle name="Note 2 3 11 2" xfId="18218" xr:uid="{4AADB62D-11A8-4EC6-9551-EBC71BE0BDDB}"/>
    <cellStyle name="Note 2 3 12" xfId="10015" xr:uid="{69C1CDA0-39DE-44B8-B087-468B0495585C}"/>
    <cellStyle name="Note 2 3 2" xfId="550" xr:uid="{00000000-0005-0000-0000-0000EF200000}"/>
    <cellStyle name="Note 2 3 2 10" xfId="9101" xr:uid="{1822EEA2-225E-465E-B4CD-D4615440EC62}"/>
    <cellStyle name="Note 2 3 2 10 2" xfId="18425" xr:uid="{417693D0-4226-4291-87AA-15C151D271EE}"/>
    <cellStyle name="Note 2 3 2 11" xfId="10016" xr:uid="{0E801D49-0875-41E4-B7B0-730C51420CD1}"/>
    <cellStyle name="Note 2 3 2 2" xfId="1011" xr:uid="{00000000-0005-0000-0000-0000F0200000}"/>
    <cellStyle name="Note 2 3 2 2 2" xfId="3243" xr:uid="{00000000-0005-0000-0000-0000F1200000}"/>
    <cellStyle name="Note 2 3 2 2 2 2" xfId="7465" xr:uid="{00000000-0005-0000-0000-0000F2200000}"/>
    <cellStyle name="Note 2 3 2 2 2 2 2" xfId="16791" xr:uid="{3ED0DC4F-061B-46C7-B615-917679D737F6}"/>
    <cellStyle name="Note 2 3 2 2 2 3" xfId="12574" xr:uid="{5F5DC905-BE9E-45F5-B7CC-0632B945A0E4}"/>
    <cellStyle name="Note 2 3 2 2 3" xfId="5320" xr:uid="{00000000-0005-0000-0000-0000F3200000}"/>
    <cellStyle name="Note 2 3 2 2 3 2" xfId="14646" xr:uid="{8A9E222E-B637-449A-921A-E7ED39F622C6}"/>
    <cellStyle name="Note 2 3 2 2 4" xfId="9526" xr:uid="{1C428179-0C82-4F5D-9FE4-E11D597F9E89}"/>
    <cellStyle name="Note 2 3 2 2 4 2" xfId="18841" xr:uid="{369E4C53-772B-4B52-A09E-E8E13232492A}"/>
    <cellStyle name="Note 2 3 2 2 5" xfId="10429" xr:uid="{79DDA54B-4022-4C38-9A00-BD9D883BF168}"/>
    <cellStyle name="Note 2 3 2 3" xfId="1426" xr:uid="{00000000-0005-0000-0000-0000F4200000}"/>
    <cellStyle name="Note 2 3 2 3 2" xfId="3656" xr:uid="{00000000-0005-0000-0000-0000F5200000}"/>
    <cellStyle name="Note 2 3 2 3 2 2" xfId="7878" xr:uid="{00000000-0005-0000-0000-0000F6200000}"/>
    <cellStyle name="Note 2 3 2 3 2 2 2" xfId="17204" xr:uid="{67203D00-0287-4DCB-8633-430AD234CBE3}"/>
    <cellStyle name="Note 2 3 2 3 2 3" xfId="12987" xr:uid="{34501D06-F209-479C-B06B-C1C022E80245}"/>
    <cellStyle name="Note 2 3 2 3 3" xfId="5733" xr:uid="{00000000-0005-0000-0000-0000F7200000}"/>
    <cellStyle name="Note 2 3 2 3 3 2" xfId="15059" xr:uid="{852EB056-A527-4095-BA11-61C198FF1B68}"/>
    <cellStyle name="Note 2 3 2 3 4" xfId="10842" xr:uid="{FDCC5767-55F5-4A21-B6CA-C8B76AA0608E}"/>
    <cellStyle name="Note 2 3 2 4" xfId="1840" xr:uid="{00000000-0005-0000-0000-0000F8200000}"/>
    <cellStyle name="Note 2 3 2 4 2" xfId="4069" xr:uid="{00000000-0005-0000-0000-0000F9200000}"/>
    <cellStyle name="Note 2 3 2 4 2 2" xfId="8291" xr:uid="{00000000-0005-0000-0000-0000FA200000}"/>
    <cellStyle name="Note 2 3 2 4 2 2 2" xfId="17617" xr:uid="{0AC22784-3704-4FC9-BA38-BC066DEA9033}"/>
    <cellStyle name="Note 2 3 2 4 2 3" xfId="13400" xr:uid="{C2F0DF71-4A8F-4401-9779-CB5552E7D129}"/>
    <cellStyle name="Note 2 3 2 4 3" xfId="6146" xr:uid="{00000000-0005-0000-0000-0000FB200000}"/>
    <cellStyle name="Note 2 3 2 4 3 2" xfId="15472" xr:uid="{CB25EE58-109A-4F1B-BE1C-B7D874914AE8}"/>
    <cellStyle name="Note 2 3 2 4 4" xfId="11255" xr:uid="{2D4AED27-A0A2-4DE2-9E95-0E00B02CF9DB}"/>
    <cellStyle name="Note 2 3 2 5" xfId="2253" xr:uid="{00000000-0005-0000-0000-0000FC200000}"/>
    <cellStyle name="Note 2 3 2 5 2" xfId="4482" xr:uid="{00000000-0005-0000-0000-0000FD200000}"/>
    <cellStyle name="Note 2 3 2 5 2 2" xfId="8704" xr:uid="{00000000-0005-0000-0000-0000FE200000}"/>
    <cellStyle name="Note 2 3 2 5 2 2 2" xfId="18030" xr:uid="{A7607B32-B651-4BBA-93C6-C823D4DF97E5}"/>
    <cellStyle name="Note 2 3 2 5 2 3" xfId="13813" xr:uid="{74F0419C-7FDE-48F2-92FD-ACEE02AA832C}"/>
    <cellStyle name="Note 2 3 2 5 3" xfId="6559" xr:uid="{00000000-0005-0000-0000-0000FF200000}"/>
    <cellStyle name="Note 2 3 2 5 3 2" xfId="15885" xr:uid="{D254A34E-906B-4374-B13B-7BBF540D78C4}"/>
    <cellStyle name="Note 2 3 2 5 4" xfId="11668" xr:uid="{FFAACA5D-4C2C-48CE-B484-BBCBD3AFD4B3}"/>
    <cellStyle name="Note 2 3 2 6" xfId="2689" xr:uid="{00000000-0005-0000-0000-000000210000}"/>
    <cellStyle name="Note 2 3 2 6 2" xfId="6972" xr:uid="{00000000-0005-0000-0000-000001210000}"/>
    <cellStyle name="Note 2 3 2 6 2 2" xfId="16298" xr:uid="{E74BA299-4189-463E-BE3F-7A4703736F6D}"/>
    <cellStyle name="Note 2 3 2 6 3" xfId="12081" xr:uid="{A78B54E2-E71E-4837-B317-77183A22B1E4}"/>
    <cellStyle name="Note 2 3 2 7" xfId="2748" xr:uid="{00000000-0005-0000-0000-000002210000}"/>
    <cellStyle name="Note 2 3 2 8" xfId="2829" xr:uid="{00000000-0005-0000-0000-000003210000}"/>
    <cellStyle name="Note 2 3 2 8 2" xfId="7052" xr:uid="{00000000-0005-0000-0000-000004210000}"/>
    <cellStyle name="Note 2 3 2 8 2 2" xfId="16378" xr:uid="{8A573B36-F2AA-426C-BC84-754CDDE17E1B}"/>
    <cellStyle name="Note 2 3 2 8 3" xfId="12161" xr:uid="{4D60ECB0-E3B7-4D10-8039-B41B3C706253}"/>
    <cellStyle name="Note 2 3 2 9" xfId="4907" xr:uid="{00000000-0005-0000-0000-000005210000}"/>
    <cellStyle name="Note 2 3 2 9 2" xfId="14233" xr:uid="{5A4432A6-CF71-4ADC-8F9F-0A22C72BF87B}"/>
    <cellStyle name="Note 2 3 3" xfId="1010" xr:uid="{00000000-0005-0000-0000-000006210000}"/>
    <cellStyle name="Note 2 3 3 2" xfId="3242" xr:uid="{00000000-0005-0000-0000-000007210000}"/>
    <cellStyle name="Note 2 3 3 2 2" xfId="7464" xr:uid="{00000000-0005-0000-0000-000008210000}"/>
    <cellStyle name="Note 2 3 3 2 2 2" xfId="16790" xr:uid="{CB19EAA7-D7D4-48F9-A3B0-8B67FE1CB6DB}"/>
    <cellStyle name="Note 2 3 3 2 3" xfId="12573" xr:uid="{36CA6367-D717-4C53-A690-14A82C7AE7C1}"/>
    <cellStyle name="Note 2 3 3 3" xfId="5319" xr:uid="{00000000-0005-0000-0000-000009210000}"/>
    <cellStyle name="Note 2 3 3 3 2" xfId="14645" xr:uid="{394D2DF7-52A3-4A0D-AB3C-E43F1FA8F68B}"/>
    <cellStyle name="Note 2 3 3 4" xfId="9319" xr:uid="{06E4A3C6-5CAA-4424-B4C3-41162F21AE7D}"/>
    <cellStyle name="Note 2 3 3 4 2" xfId="18634" xr:uid="{AC4C7893-0CD1-48D9-BD9E-4EA0C41678BB}"/>
    <cellStyle name="Note 2 3 3 5" xfId="10428" xr:uid="{3F1760C6-9260-4136-A769-ADA8F4DAC8F8}"/>
    <cellStyle name="Note 2 3 4" xfId="1425" xr:uid="{00000000-0005-0000-0000-00000A210000}"/>
    <cellStyle name="Note 2 3 4 2" xfId="3655" xr:uid="{00000000-0005-0000-0000-00000B210000}"/>
    <cellStyle name="Note 2 3 4 2 2" xfId="7877" xr:uid="{00000000-0005-0000-0000-00000C210000}"/>
    <cellStyle name="Note 2 3 4 2 2 2" xfId="17203" xr:uid="{A5D2F149-4C42-4D86-9A63-0F72CEACA73C}"/>
    <cellStyle name="Note 2 3 4 2 3" xfId="12986" xr:uid="{1C745F40-6C5A-46B5-AD41-A84341F0E74E}"/>
    <cellStyle name="Note 2 3 4 3" xfId="5732" xr:uid="{00000000-0005-0000-0000-00000D210000}"/>
    <cellStyle name="Note 2 3 4 3 2" xfId="15058" xr:uid="{4917AFD5-C932-4FFF-B8F5-24AE69FDEA7B}"/>
    <cellStyle name="Note 2 3 4 4" xfId="10841" xr:uid="{35352D7C-A534-49EC-A35B-0A611BA9B251}"/>
    <cellStyle name="Note 2 3 5" xfId="1839" xr:uid="{00000000-0005-0000-0000-00000E210000}"/>
    <cellStyle name="Note 2 3 5 2" xfId="4068" xr:uid="{00000000-0005-0000-0000-00000F210000}"/>
    <cellStyle name="Note 2 3 5 2 2" xfId="8290" xr:uid="{00000000-0005-0000-0000-000010210000}"/>
    <cellStyle name="Note 2 3 5 2 2 2" xfId="17616" xr:uid="{03BA922C-0E31-4214-9389-717C98BF0C61}"/>
    <cellStyle name="Note 2 3 5 2 3" xfId="13399" xr:uid="{87384374-A2B5-4879-BFA3-C31409E43308}"/>
    <cellStyle name="Note 2 3 5 3" xfId="6145" xr:uid="{00000000-0005-0000-0000-000011210000}"/>
    <cellStyle name="Note 2 3 5 3 2" xfId="15471" xr:uid="{008FED33-D3D6-4775-A8DF-90656551109B}"/>
    <cellStyle name="Note 2 3 5 4" xfId="11254" xr:uid="{D065FE2F-8E67-48FF-BA89-B98C722E3857}"/>
    <cellStyle name="Note 2 3 6" xfId="2252" xr:uid="{00000000-0005-0000-0000-000012210000}"/>
    <cellStyle name="Note 2 3 6 2" xfId="4481" xr:uid="{00000000-0005-0000-0000-000013210000}"/>
    <cellStyle name="Note 2 3 6 2 2" xfId="8703" xr:uid="{00000000-0005-0000-0000-000014210000}"/>
    <cellStyle name="Note 2 3 6 2 2 2" xfId="18029" xr:uid="{AC280BA2-DA98-4F3F-9782-B2D47AF36246}"/>
    <cellStyle name="Note 2 3 6 2 3" xfId="13812" xr:uid="{C15A2FFC-D99A-4BDE-AAC5-247E3EAF4594}"/>
    <cellStyle name="Note 2 3 6 3" xfId="6558" xr:uid="{00000000-0005-0000-0000-000015210000}"/>
    <cellStyle name="Note 2 3 6 3 2" xfId="15884" xr:uid="{988CD5CC-A66A-4052-AD2F-9E66F62F9E79}"/>
    <cellStyle name="Note 2 3 6 4" xfId="11667" xr:uid="{9417B2C9-D678-44A0-A9FE-3F1926C73979}"/>
    <cellStyle name="Note 2 3 7" xfId="2688" xr:uid="{00000000-0005-0000-0000-000016210000}"/>
    <cellStyle name="Note 2 3 7 2" xfId="6971" xr:uid="{00000000-0005-0000-0000-000017210000}"/>
    <cellStyle name="Note 2 3 7 2 2" xfId="16297" xr:uid="{7A9D4F34-7BD9-469A-B6CF-A34E9D1A0175}"/>
    <cellStyle name="Note 2 3 7 3" xfId="12080" xr:uid="{89AD6774-8AAC-48BF-AAA1-782E3F8EA1F1}"/>
    <cellStyle name="Note 2 3 8" xfId="2747" xr:uid="{00000000-0005-0000-0000-000018210000}"/>
    <cellStyle name="Note 2 3 9" xfId="2828" xr:uid="{00000000-0005-0000-0000-000019210000}"/>
    <cellStyle name="Note 2 3 9 2" xfId="7051" xr:uid="{00000000-0005-0000-0000-00001A210000}"/>
    <cellStyle name="Note 2 3 9 2 2" xfId="16377" xr:uid="{A052EEF3-9408-4335-A998-031D602DC89A}"/>
    <cellStyle name="Note 2 3 9 3" xfId="12160" xr:uid="{E58468A8-5CB6-44A2-AC5C-790AAFE867FF}"/>
    <cellStyle name="Note 2 4" xfId="551" xr:uid="{00000000-0005-0000-0000-00001B210000}"/>
    <cellStyle name="Note 2 4 10" xfId="8998" xr:uid="{AC87C288-14A9-4FB3-A26C-1706964E6651}"/>
    <cellStyle name="Note 2 4 10 2" xfId="18322" xr:uid="{8FCF0C1F-8886-4E03-9F8E-B0BDE0FF675B}"/>
    <cellStyle name="Note 2 4 11" xfId="10017" xr:uid="{9DC60EFC-D1B7-45BC-9533-798845A11D32}"/>
    <cellStyle name="Note 2 4 2" xfId="1012" xr:uid="{00000000-0005-0000-0000-00001C210000}"/>
    <cellStyle name="Note 2 4 2 2" xfId="3244" xr:uid="{00000000-0005-0000-0000-00001D210000}"/>
    <cellStyle name="Note 2 4 2 2 2" xfId="7466" xr:uid="{00000000-0005-0000-0000-00001E210000}"/>
    <cellStyle name="Note 2 4 2 2 2 2" xfId="16792" xr:uid="{BDD89CA1-997E-4E7B-8E35-46F11A6E1809}"/>
    <cellStyle name="Note 2 4 2 2 3" xfId="12575" xr:uid="{C62609ED-929C-46C9-977F-1E90D4F5DE04}"/>
    <cellStyle name="Note 2 4 2 3" xfId="5321" xr:uid="{00000000-0005-0000-0000-00001F210000}"/>
    <cellStyle name="Note 2 4 2 3 2" xfId="14647" xr:uid="{802AB9F8-47F4-4C8E-AC88-A8228414D25B}"/>
    <cellStyle name="Note 2 4 2 4" xfId="9423" xr:uid="{43B93802-BE55-43D9-BEBC-4095E3C1FF74}"/>
    <cellStyle name="Note 2 4 2 4 2" xfId="18738" xr:uid="{24FF2DA1-0AA9-4160-9AC3-92C0B89EBD64}"/>
    <cellStyle name="Note 2 4 2 5" xfId="10430" xr:uid="{850175AC-AE22-4899-9821-6D87A9EA5BE0}"/>
    <cellStyle name="Note 2 4 3" xfId="1427" xr:uid="{00000000-0005-0000-0000-000020210000}"/>
    <cellStyle name="Note 2 4 3 2" xfId="3657" xr:uid="{00000000-0005-0000-0000-000021210000}"/>
    <cellStyle name="Note 2 4 3 2 2" xfId="7879" xr:uid="{00000000-0005-0000-0000-000022210000}"/>
    <cellStyle name="Note 2 4 3 2 2 2" xfId="17205" xr:uid="{481FA61B-DB46-43B8-991A-68B4A3CC50F7}"/>
    <cellStyle name="Note 2 4 3 2 3" xfId="12988" xr:uid="{C19E7216-6ADC-4493-8F78-3A72A95359D2}"/>
    <cellStyle name="Note 2 4 3 3" xfId="5734" xr:uid="{00000000-0005-0000-0000-000023210000}"/>
    <cellStyle name="Note 2 4 3 3 2" xfId="15060" xr:uid="{E6496EB9-D050-435B-845E-6F459FC3AC4C}"/>
    <cellStyle name="Note 2 4 3 4" xfId="10843" xr:uid="{D0EFF1AC-5FDC-444B-A771-29CD48555915}"/>
    <cellStyle name="Note 2 4 4" xfId="1841" xr:uid="{00000000-0005-0000-0000-000024210000}"/>
    <cellStyle name="Note 2 4 4 2" xfId="4070" xr:uid="{00000000-0005-0000-0000-000025210000}"/>
    <cellStyle name="Note 2 4 4 2 2" xfId="8292" xr:uid="{00000000-0005-0000-0000-000026210000}"/>
    <cellStyle name="Note 2 4 4 2 2 2" xfId="17618" xr:uid="{7E5217FB-0758-4717-ACBF-70832144EEC4}"/>
    <cellStyle name="Note 2 4 4 2 3" xfId="13401" xr:uid="{476C6C60-9737-429A-AC2B-0A2B30FFE140}"/>
    <cellStyle name="Note 2 4 4 3" xfId="6147" xr:uid="{00000000-0005-0000-0000-000027210000}"/>
    <cellStyle name="Note 2 4 4 3 2" xfId="15473" xr:uid="{DED667B4-D2FD-47E1-A6BC-B65B7552418B}"/>
    <cellStyle name="Note 2 4 4 4" xfId="11256" xr:uid="{FB234CD3-1C04-46AF-B271-1354836D8272}"/>
    <cellStyle name="Note 2 4 5" xfId="2254" xr:uid="{00000000-0005-0000-0000-000028210000}"/>
    <cellStyle name="Note 2 4 5 2" xfId="4483" xr:uid="{00000000-0005-0000-0000-000029210000}"/>
    <cellStyle name="Note 2 4 5 2 2" xfId="8705" xr:uid="{00000000-0005-0000-0000-00002A210000}"/>
    <cellStyle name="Note 2 4 5 2 2 2" xfId="18031" xr:uid="{F35A9451-B7D4-484E-AA45-1F9D2F5B7395}"/>
    <cellStyle name="Note 2 4 5 2 3" xfId="13814" xr:uid="{9B3313F3-312B-4B20-B815-B68DD16E69DD}"/>
    <cellStyle name="Note 2 4 5 3" xfId="6560" xr:uid="{00000000-0005-0000-0000-00002B210000}"/>
    <cellStyle name="Note 2 4 5 3 2" xfId="15886" xr:uid="{27C619F7-C63D-4AFA-A2EE-25550544D3BE}"/>
    <cellStyle name="Note 2 4 5 4" xfId="11669" xr:uid="{0ABC50F2-9402-41F5-9A00-EADCD2B1806E}"/>
    <cellStyle name="Note 2 4 6" xfId="2690" xr:uid="{00000000-0005-0000-0000-00002C210000}"/>
    <cellStyle name="Note 2 4 6 2" xfId="6973" xr:uid="{00000000-0005-0000-0000-00002D210000}"/>
    <cellStyle name="Note 2 4 6 2 2" xfId="16299" xr:uid="{9043A3E7-6BA1-48DA-A20E-60F3B219B634}"/>
    <cellStyle name="Note 2 4 6 3" xfId="12082" xr:uid="{73702C30-ABBD-48D6-BFC3-75A480A868AD}"/>
    <cellStyle name="Note 2 4 7" xfId="2749" xr:uid="{00000000-0005-0000-0000-00002E210000}"/>
    <cellStyle name="Note 2 4 8" xfId="2830" xr:uid="{00000000-0005-0000-0000-00002F210000}"/>
    <cellStyle name="Note 2 4 8 2" xfId="7053" xr:uid="{00000000-0005-0000-0000-000030210000}"/>
    <cellStyle name="Note 2 4 8 2 2" xfId="16379" xr:uid="{52142087-CCB3-45C5-AC5E-439BE1E4EF76}"/>
    <cellStyle name="Note 2 4 8 3" xfId="12162" xr:uid="{B2871379-F193-412A-A954-F4F4B2D8EF66}"/>
    <cellStyle name="Note 2 4 9" xfId="4908" xr:uid="{00000000-0005-0000-0000-000031210000}"/>
    <cellStyle name="Note 2 4 9 2" xfId="14234" xr:uid="{1C0BED5A-A04F-4A5B-8E3B-A84F94DDC9E9}"/>
    <cellStyle name="Note 2 5" xfId="552" xr:uid="{00000000-0005-0000-0000-000032210000}"/>
    <cellStyle name="Note 2 5 10" xfId="9215" xr:uid="{69947D86-0683-476F-9E74-96CA08091560}"/>
    <cellStyle name="Note 2 5 10 2" xfId="18531" xr:uid="{130F4F82-CFBD-4965-8361-ED6D0F78C61E}"/>
    <cellStyle name="Note 2 5 11" xfId="10018" xr:uid="{2040B9F8-2B28-46DB-9424-19E5FFDA7EE8}"/>
    <cellStyle name="Note 2 5 2" xfId="1013" xr:uid="{00000000-0005-0000-0000-000033210000}"/>
    <cellStyle name="Note 2 5 2 2" xfId="3245" xr:uid="{00000000-0005-0000-0000-000034210000}"/>
    <cellStyle name="Note 2 5 2 2 2" xfId="7467" xr:uid="{00000000-0005-0000-0000-000035210000}"/>
    <cellStyle name="Note 2 5 2 2 2 2" xfId="16793" xr:uid="{112D6CB0-DB23-4941-9471-A4E8368AFE56}"/>
    <cellStyle name="Note 2 5 2 2 3" xfId="12576" xr:uid="{1ED4AE35-9559-4220-98D9-D8BB40F8230D}"/>
    <cellStyle name="Note 2 5 2 3" xfId="5322" xr:uid="{00000000-0005-0000-0000-000036210000}"/>
    <cellStyle name="Note 2 5 2 3 2" xfId="14648" xr:uid="{A3982680-8537-475C-9037-8EE8AB11511E}"/>
    <cellStyle name="Note 2 5 2 4" xfId="9610" xr:uid="{26530D10-1DF8-4FA4-8FC9-4C945AA92A94}"/>
    <cellStyle name="Note 2 5 2 4 2" xfId="18910" xr:uid="{670E30BD-5F25-4DB0-A443-0AC7E73F11A0}"/>
    <cellStyle name="Note 2 5 2 5" xfId="10431" xr:uid="{5EE9CBB4-E590-4DD5-A1FF-6EC76DE4B13F}"/>
    <cellStyle name="Note 2 5 3" xfId="1428" xr:uid="{00000000-0005-0000-0000-000037210000}"/>
    <cellStyle name="Note 2 5 3 2" xfId="3658" xr:uid="{00000000-0005-0000-0000-000038210000}"/>
    <cellStyle name="Note 2 5 3 2 2" xfId="7880" xr:uid="{00000000-0005-0000-0000-000039210000}"/>
    <cellStyle name="Note 2 5 3 2 2 2" xfId="17206" xr:uid="{2F8A3EE7-D2D3-4B75-9B79-C491D9CA925A}"/>
    <cellStyle name="Note 2 5 3 2 3" xfId="12989" xr:uid="{95C3095B-91C5-47E3-B6A7-DBCC3DCAF86E}"/>
    <cellStyle name="Note 2 5 3 3" xfId="5735" xr:uid="{00000000-0005-0000-0000-00003A210000}"/>
    <cellStyle name="Note 2 5 3 3 2" xfId="15061" xr:uid="{A6B60839-29EC-4747-BDBF-60317ECAF803}"/>
    <cellStyle name="Note 2 5 3 4" xfId="10844" xr:uid="{78450245-8D87-467A-9516-D97D09816A28}"/>
    <cellStyle name="Note 2 5 4" xfId="1842" xr:uid="{00000000-0005-0000-0000-00003B210000}"/>
    <cellStyle name="Note 2 5 4 2" xfId="4071" xr:uid="{00000000-0005-0000-0000-00003C210000}"/>
    <cellStyle name="Note 2 5 4 2 2" xfId="8293" xr:uid="{00000000-0005-0000-0000-00003D210000}"/>
    <cellStyle name="Note 2 5 4 2 2 2" xfId="17619" xr:uid="{3D7DE17C-3FDC-4A02-9179-38B5B2B71AC2}"/>
    <cellStyle name="Note 2 5 4 2 3" xfId="13402" xr:uid="{21DB685A-36B3-442C-9506-954578718071}"/>
    <cellStyle name="Note 2 5 4 3" xfId="6148" xr:uid="{00000000-0005-0000-0000-00003E210000}"/>
    <cellStyle name="Note 2 5 4 3 2" xfId="15474" xr:uid="{C93A1F53-5245-4838-92F3-1438A36923C4}"/>
    <cellStyle name="Note 2 5 4 4" xfId="11257" xr:uid="{C8174E83-D4B4-4D5C-BE44-C8F59ABAF3F2}"/>
    <cellStyle name="Note 2 5 5" xfId="2255" xr:uid="{00000000-0005-0000-0000-00003F210000}"/>
    <cellStyle name="Note 2 5 5 2" xfId="4484" xr:uid="{00000000-0005-0000-0000-000040210000}"/>
    <cellStyle name="Note 2 5 5 2 2" xfId="8706" xr:uid="{00000000-0005-0000-0000-000041210000}"/>
    <cellStyle name="Note 2 5 5 2 2 2" xfId="18032" xr:uid="{2075AEAC-7A9C-4488-89D5-D4B3F7D5A09F}"/>
    <cellStyle name="Note 2 5 5 2 3" xfId="13815" xr:uid="{5CFAE572-E889-4864-B027-8E97BE130E82}"/>
    <cellStyle name="Note 2 5 5 3" xfId="6561" xr:uid="{00000000-0005-0000-0000-000042210000}"/>
    <cellStyle name="Note 2 5 5 3 2" xfId="15887" xr:uid="{B33096E3-0828-427F-A04E-42D06E5844A2}"/>
    <cellStyle name="Note 2 5 5 4" xfId="11670" xr:uid="{DEC57650-9CC2-4A6E-8767-3CCAD8264C02}"/>
    <cellStyle name="Note 2 5 6" xfId="2691" xr:uid="{00000000-0005-0000-0000-000043210000}"/>
    <cellStyle name="Note 2 5 6 2" xfId="6974" xr:uid="{00000000-0005-0000-0000-000044210000}"/>
    <cellStyle name="Note 2 5 6 2 2" xfId="16300" xr:uid="{DBB9FD4B-FB67-43AC-8EAA-E76437E8FA42}"/>
    <cellStyle name="Note 2 5 6 3" xfId="12083" xr:uid="{3732D206-8296-4D7E-899A-B9C06F6D9066}"/>
    <cellStyle name="Note 2 5 7" xfId="2750" xr:uid="{00000000-0005-0000-0000-000045210000}"/>
    <cellStyle name="Note 2 5 8" xfId="2831" xr:uid="{00000000-0005-0000-0000-000046210000}"/>
    <cellStyle name="Note 2 5 8 2" xfId="7054" xr:uid="{00000000-0005-0000-0000-000047210000}"/>
    <cellStyle name="Note 2 5 8 2 2" xfId="16380" xr:uid="{880AC714-211D-41D1-9BAF-4510BC76B696}"/>
    <cellStyle name="Note 2 5 8 3" xfId="12163" xr:uid="{41F64C04-B63C-4468-9D28-A347328CDB4F}"/>
    <cellStyle name="Note 2 5 9" xfId="4909" xr:uid="{00000000-0005-0000-0000-000048210000}"/>
    <cellStyle name="Note 2 5 9 2" xfId="14235" xr:uid="{4049C7C3-E623-4757-9730-A4B0E22D4EA1}"/>
    <cellStyle name="Note 2 6" xfId="9587" xr:uid="{DE0DCBC9-1C06-4AD6-BDCF-10B3C6A625B6}"/>
    <cellStyle name="Note 2 7" xfId="8791" xr:uid="{7AC3614D-154D-4BB0-B207-B3151ECF2433}"/>
    <cellStyle name="Note 2 7 2" xfId="18115" xr:uid="{5F5E549D-C8B5-4972-9EC5-260CB46D9AC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22825BD4-C52D-4AC6-B7B9-17FF7CBE3BC3}"/>
    <cellStyle name="Note 3 2 10 3" xfId="12164" xr:uid="{4A14DA7A-FD23-4C9F-A29A-DCAE3866FBFF}"/>
    <cellStyle name="Note 3 2 11" xfId="4910" xr:uid="{00000000-0005-0000-0000-00004D210000}"/>
    <cellStyle name="Note 3 2 11 2" xfId="14236" xr:uid="{D165A24E-CECE-4E3C-9EBE-5230B2C9C5E4}"/>
    <cellStyle name="Note 3 2 12" xfId="8842" xr:uid="{646587AC-B7A9-43E2-AC1E-1B77745805D8}"/>
    <cellStyle name="Note 3 2 12 2" xfId="18166" xr:uid="{1539B13D-1BEB-4C0F-A0C5-FB8172EC5CF5}"/>
    <cellStyle name="Note 3 2 13" xfId="10019" xr:uid="{96CE4B9E-7CE2-40EA-B9C3-CF35B25C29B8}"/>
    <cellStyle name="Note 3 2 2" xfId="555" xr:uid="{00000000-0005-0000-0000-00004E210000}"/>
    <cellStyle name="Note 3 2 2 10" xfId="4911" xr:uid="{00000000-0005-0000-0000-00004F210000}"/>
    <cellStyle name="Note 3 2 2 10 2" xfId="14237" xr:uid="{E444C3E2-D485-4504-9ABA-255E51F46C4E}"/>
    <cellStyle name="Note 3 2 2 11" xfId="8945" xr:uid="{D320AF38-4F47-4266-9CB9-3BD7E15BFDAE}"/>
    <cellStyle name="Note 3 2 2 11 2" xfId="18269" xr:uid="{F4898692-BDC5-47E9-8D66-D33DB3970C31}"/>
    <cellStyle name="Note 3 2 2 12" xfId="10020" xr:uid="{7C73A510-46A3-4417-8530-80CBE9F86033}"/>
    <cellStyle name="Note 3 2 2 2" xfId="556" xr:uid="{00000000-0005-0000-0000-000050210000}"/>
    <cellStyle name="Note 3 2 2 2 10" xfId="9152" xr:uid="{24874F5B-4700-44ED-9556-84C4E89A274D}"/>
    <cellStyle name="Note 3 2 2 2 10 2" xfId="18476" xr:uid="{5BE36FEC-B758-4912-AD79-1720BAC8710C}"/>
    <cellStyle name="Note 3 2 2 2 11" xfId="10021" xr:uid="{D0195BB1-4CCE-4966-B693-0868FE8A6C7D}"/>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AE51DDA9-60FB-4DFA-9A25-6674AF4A8AF2}"/>
    <cellStyle name="Note 3 2 2 2 2 2 3" xfId="12579" xr:uid="{F5B914CD-70D2-40EB-93CA-0C15FEC12D21}"/>
    <cellStyle name="Note 3 2 2 2 2 3" xfId="5325" xr:uid="{00000000-0005-0000-0000-000054210000}"/>
    <cellStyle name="Note 3 2 2 2 2 3 2" xfId="14651" xr:uid="{13D7035E-63C5-4974-AA87-FDA25F0D07B8}"/>
    <cellStyle name="Note 3 2 2 2 2 4" xfId="9577" xr:uid="{7C0C89D7-CA14-4942-89B2-D584AC810EDC}"/>
    <cellStyle name="Note 3 2 2 2 2 4 2" xfId="18892" xr:uid="{52E186CB-E5B6-4947-AA83-8026E8F4F228}"/>
    <cellStyle name="Note 3 2 2 2 2 5" xfId="10434" xr:uid="{66BC97FF-37BD-484E-86F1-D1E4620A86D5}"/>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5F650078-2AFE-4A5A-961E-BD38D4DF06BC}"/>
    <cellStyle name="Note 3 2 2 2 3 2 3" xfId="12992" xr:uid="{6DC71656-F7E5-4203-8355-0D70080134B1}"/>
    <cellStyle name="Note 3 2 2 2 3 3" xfId="5738" xr:uid="{00000000-0005-0000-0000-000058210000}"/>
    <cellStyle name="Note 3 2 2 2 3 3 2" xfId="15064" xr:uid="{6C2F4045-82D1-4638-9B96-C22BF9969376}"/>
    <cellStyle name="Note 3 2 2 2 3 4" xfId="10847" xr:uid="{42FE4271-B3BE-4C61-A497-18819747B744}"/>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9459C4B5-F6C3-4B28-87C4-2C8DA46FC398}"/>
    <cellStyle name="Note 3 2 2 2 4 2 3" xfId="13405" xr:uid="{961584D9-0627-4AFF-AADD-AEC90DA0C4B4}"/>
    <cellStyle name="Note 3 2 2 2 4 3" xfId="6151" xr:uid="{00000000-0005-0000-0000-00005C210000}"/>
    <cellStyle name="Note 3 2 2 2 4 3 2" xfId="15477" xr:uid="{97BB3B39-DCA0-4255-AA0D-265BFFC6CF88}"/>
    <cellStyle name="Note 3 2 2 2 4 4" xfId="11260" xr:uid="{A109E58A-642A-45C3-A96B-C897F7B71C76}"/>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54BC3BB5-5B58-4034-A130-68A98F5F7DD0}"/>
    <cellStyle name="Note 3 2 2 2 5 2 3" xfId="13818" xr:uid="{AC899960-2A59-4EE7-A6B2-7A4078B8E10B}"/>
    <cellStyle name="Note 3 2 2 2 5 3" xfId="6564" xr:uid="{00000000-0005-0000-0000-000060210000}"/>
    <cellStyle name="Note 3 2 2 2 5 3 2" xfId="15890" xr:uid="{0E0D173C-D74B-4E6E-85D0-CCA381B1F0E3}"/>
    <cellStyle name="Note 3 2 2 2 5 4" xfId="11673" xr:uid="{81926E8A-3A46-4E83-836E-B6AA6E2F3973}"/>
    <cellStyle name="Note 3 2 2 2 6" xfId="2694" xr:uid="{00000000-0005-0000-0000-000061210000}"/>
    <cellStyle name="Note 3 2 2 2 6 2" xfId="6977" xr:uid="{00000000-0005-0000-0000-000062210000}"/>
    <cellStyle name="Note 3 2 2 2 6 2 2" xfId="16303" xr:uid="{402DF703-1C4C-4BBF-9B8E-1F25FA6521D0}"/>
    <cellStyle name="Note 3 2 2 2 6 3" xfId="12086" xr:uid="{36A70B81-4719-47A7-A1FA-CDA3CBFDBA08}"/>
    <cellStyle name="Note 3 2 2 2 7" xfId="2753" xr:uid="{00000000-0005-0000-0000-000063210000}"/>
    <cellStyle name="Note 3 2 2 2 8" xfId="2834" xr:uid="{00000000-0005-0000-0000-000064210000}"/>
    <cellStyle name="Note 3 2 2 2 8 2" xfId="7057" xr:uid="{00000000-0005-0000-0000-000065210000}"/>
    <cellStyle name="Note 3 2 2 2 8 2 2" xfId="16383" xr:uid="{9A00494D-1BDB-41DB-AC24-64C7BB0B146B}"/>
    <cellStyle name="Note 3 2 2 2 8 3" xfId="12166" xr:uid="{0F32E2F8-D39F-45A5-8BFA-F1B53B2EBAC3}"/>
    <cellStyle name="Note 3 2 2 2 9" xfId="4912" xr:uid="{00000000-0005-0000-0000-000066210000}"/>
    <cellStyle name="Note 3 2 2 2 9 2" xfId="14238" xr:uid="{986BFFB3-501F-42C3-BEBB-21F4EA6D2A52}"/>
    <cellStyle name="Note 3 2 2 3" xfId="1015" xr:uid="{00000000-0005-0000-0000-000067210000}"/>
    <cellStyle name="Note 3 2 2 3 2" xfId="3247" xr:uid="{00000000-0005-0000-0000-000068210000}"/>
    <cellStyle name="Note 3 2 2 3 2 2" xfId="7469" xr:uid="{00000000-0005-0000-0000-000069210000}"/>
    <cellStyle name="Note 3 2 2 3 2 2 2" xfId="16795" xr:uid="{E236B1A6-59FB-427B-AEAE-717760EEECFA}"/>
    <cellStyle name="Note 3 2 2 3 2 3" xfId="12578" xr:uid="{7B40900A-D1CC-4FD8-994F-6B5A908705D7}"/>
    <cellStyle name="Note 3 2 2 3 3" xfId="5324" xr:uid="{00000000-0005-0000-0000-00006A210000}"/>
    <cellStyle name="Note 3 2 2 3 3 2" xfId="14650" xr:uid="{FEFA16CD-D64A-47E4-8BF1-BED6D38D16E0}"/>
    <cellStyle name="Note 3 2 2 3 4" xfId="9370" xr:uid="{7A803908-679B-4EF0-9BD4-89724B1FB321}"/>
    <cellStyle name="Note 3 2 2 3 4 2" xfId="18685" xr:uid="{7B457031-BE84-410B-9507-A60EDBC88BDE}"/>
    <cellStyle name="Note 3 2 2 3 5" xfId="10433" xr:uid="{C14D86E0-C06A-4857-8A01-5F471BC37B0F}"/>
    <cellStyle name="Note 3 2 2 4" xfId="1430" xr:uid="{00000000-0005-0000-0000-00006B210000}"/>
    <cellStyle name="Note 3 2 2 4 2" xfId="3660" xr:uid="{00000000-0005-0000-0000-00006C210000}"/>
    <cellStyle name="Note 3 2 2 4 2 2" xfId="7882" xr:uid="{00000000-0005-0000-0000-00006D210000}"/>
    <cellStyle name="Note 3 2 2 4 2 2 2" xfId="17208" xr:uid="{94087C7B-C92F-4DE6-9D79-4D845646AC7C}"/>
    <cellStyle name="Note 3 2 2 4 2 3" xfId="12991" xr:uid="{EAEC3CD6-5CAD-49D6-8471-FBF6CB3C45CD}"/>
    <cellStyle name="Note 3 2 2 4 3" xfId="5737" xr:uid="{00000000-0005-0000-0000-00006E210000}"/>
    <cellStyle name="Note 3 2 2 4 3 2" xfId="15063" xr:uid="{915C5AEA-CFB0-47EA-AB96-23BE1528CD20}"/>
    <cellStyle name="Note 3 2 2 4 4" xfId="10846" xr:uid="{6EA75C8A-0EA9-4C28-A1A7-1247621F33BE}"/>
    <cellStyle name="Note 3 2 2 5" xfId="1844" xr:uid="{00000000-0005-0000-0000-00006F210000}"/>
    <cellStyle name="Note 3 2 2 5 2" xfId="4073" xr:uid="{00000000-0005-0000-0000-000070210000}"/>
    <cellStyle name="Note 3 2 2 5 2 2" xfId="8295" xr:uid="{00000000-0005-0000-0000-000071210000}"/>
    <cellStyle name="Note 3 2 2 5 2 2 2" xfId="17621" xr:uid="{BA791835-8517-4260-BA63-9D00EB246640}"/>
    <cellStyle name="Note 3 2 2 5 2 3" xfId="13404" xr:uid="{4E1495C5-31D3-4D1B-B8A6-606BCEC39548}"/>
    <cellStyle name="Note 3 2 2 5 3" xfId="6150" xr:uid="{00000000-0005-0000-0000-000072210000}"/>
    <cellStyle name="Note 3 2 2 5 3 2" xfId="15476" xr:uid="{3DCA699D-81FF-4120-8A5B-CB2C1A56B3F4}"/>
    <cellStyle name="Note 3 2 2 5 4" xfId="11259" xr:uid="{48CE5611-C0F7-4206-A0E8-E8037B472D54}"/>
    <cellStyle name="Note 3 2 2 6" xfId="2257" xr:uid="{00000000-0005-0000-0000-000073210000}"/>
    <cellStyle name="Note 3 2 2 6 2" xfId="4486" xr:uid="{00000000-0005-0000-0000-000074210000}"/>
    <cellStyle name="Note 3 2 2 6 2 2" xfId="8708" xr:uid="{00000000-0005-0000-0000-000075210000}"/>
    <cellStyle name="Note 3 2 2 6 2 2 2" xfId="18034" xr:uid="{16CD75F8-4FFF-451C-99A9-B76A8AF502FB}"/>
    <cellStyle name="Note 3 2 2 6 2 3" xfId="13817" xr:uid="{3ACADD3D-1A32-4E06-AD03-A74D66B505E1}"/>
    <cellStyle name="Note 3 2 2 6 3" xfId="6563" xr:uid="{00000000-0005-0000-0000-000076210000}"/>
    <cellStyle name="Note 3 2 2 6 3 2" xfId="15889" xr:uid="{27656292-3AE8-4D6B-AC06-F4602875BAEA}"/>
    <cellStyle name="Note 3 2 2 6 4" xfId="11672" xr:uid="{C4546DA7-7604-4B7D-A2A0-62E8869F96C0}"/>
    <cellStyle name="Note 3 2 2 7" xfId="2693" xr:uid="{00000000-0005-0000-0000-000077210000}"/>
    <cellStyle name="Note 3 2 2 7 2" xfId="6976" xr:uid="{00000000-0005-0000-0000-000078210000}"/>
    <cellStyle name="Note 3 2 2 7 2 2" xfId="16302" xr:uid="{7D4C5304-8CF9-43A7-A6AD-C8F541C35E84}"/>
    <cellStyle name="Note 3 2 2 7 3" xfId="12085" xr:uid="{B31665AB-1252-4B14-A15C-1E3FE0FD4321}"/>
    <cellStyle name="Note 3 2 2 8" xfId="2752" xr:uid="{00000000-0005-0000-0000-000079210000}"/>
    <cellStyle name="Note 3 2 2 9" xfId="2833" xr:uid="{00000000-0005-0000-0000-00007A210000}"/>
    <cellStyle name="Note 3 2 2 9 2" xfId="7056" xr:uid="{00000000-0005-0000-0000-00007B210000}"/>
    <cellStyle name="Note 3 2 2 9 2 2" xfId="16382" xr:uid="{B4D6534D-0E84-4B5D-8652-6A936FD16243}"/>
    <cellStyle name="Note 3 2 2 9 3" xfId="12165" xr:uid="{6ADE1EBD-CA18-414F-9FDD-E6309D3BD5B1}"/>
    <cellStyle name="Note 3 2 3" xfId="557" xr:uid="{00000000-0005-0000-0000-00007C210000}"/>
    <cellStyle name="Note 3 2 3 10" xfId="9049" xr:uid="{98DA21AE-8EED-4AF2-A5D5-94394E9C9EFE}"/>
    <cellStyle name="Note 3 2 3 10 2" xfId="18373" xr:uid="{B471CE5B-18C6-497B-BCD9-3BEBEE922F6F}"/>
    <cellStyle name="Note 3 2 3 11" xfId="10022" xr:uid="{604F50BC-7C4A-42B6-B66A-620A8D8FDC1B}"/>
    <cellStyle name="Note 3 2 3 2" xfId="1017" xr:uid="{00000000-0005-0000-0000-00007D210000}"/>
    <cellStyle name="Note 3 2 3 2 2" xfId="3249" xr:uid="{00000000-0005-0000-0000-00007E210000}"/>
    <cellStyle name="Note 3 2 3 2 2 2" xfId="7471" xr:uid="{00000000-0005-0000-0000-00007F210000}"/>
    <cellStyle name="Note 3 2 3 2 2 2 2" xfId="16797" xr:uid="{1E7B2232-8B0D-45A0-90D1-09CE9D23A177}"/>
    <cellStyle name="Note 3 2 3 2 2 3" xfId="12580" xr:uid="{7B48DEAE-D1B6-4669-AFB2-BE6988AB90F4}"/>
    <cellStyle name="Note 3 2 3 2 3" xfId="5326" xr:uid="{00000000-0005-0000-0000-000080210000}"/>
    <cellStyle name="Note 3 2 3 2 3 2" xfId="14652" xr:uid="{A6C35E00-71CD-4636-819C-DB3D04D0C82C}"/>
    <cellStyle name="Note 3 2 3 2 4" xfId="9474" xr:uid="{8827394E-7DCF-4E58-BF45-94E8587F7D91}"/>
    <cellStyle name="Note 3 2 3 2 4 2" xfId="18789" xr:uid="{E359BA89-DBD1-4057-8E1A-47578E24EB01}"/>
    <cellStyle name="Note 3 2 3 2 5" xfId="10435" xr:uid="{6D43F9B2-5854-46AB-A4A6-1754017CE5FF}"/>
    <cellStyle name="Note 3 2 3 3" xfId="1432" xr:uid="{00000000-0005-0000-0000-000081210000}"/>
    <cellStyle name="Note 3 2 3 3 2" xfId="3662" xr:uid="{00000000-0005-0000-0000-000082210000}"/>
    <cellStyle name="Note 3 2 3 3 2 2" xfId="7884" xr:uid="{00000000-0005-0000-0000-000083210000}"/>
    <cellStyle name="Note 3 2 3 3 2 2 2" xfId="17210" xr:uid="{2B113A87-FEC0-4680-AC50-367DD547E64B}"/>
    <cellStyle name="Note 3 2 3 3 2 3" xfId="12993" xr:uid="{01D20A88-DC59-42D9-A46F-977F82B93611}"/>
    <cellStyle name="Note 3 2 3 3 3" xfId="5739" xr:uid="{00000000-0005-0000-0000-000084210000}"/>
    <cellStyle name="Note 3 2 3 3 3 2" xfId="15065" xr:uid="{9C906B83-00B7-4E67-9CAA-17DF16B23048}"/>
    <cellStyle name="Note 3 2 3 3 4" xfId="10848" xr:uid="{0EE46BC4-BDEB-417E-B2F6-574C2A346922}"/>
    <cellStyle name="Note 3 2 3 4" xfId="1846" xr:uid="{00000000-0005-0000-0000-000085210000}"/>
    <cellStyle name="Note 3 2 3 4 2" xfId="4075" xr:uid="{00000000-0005-0000-0000-000086210000}"/>
    <cellStyle name="Note 3 2 3 4 2 2" xfId="8297" xr:uid="{00000000-0005-0000-0000-000087210000}"/>
    <cellStyle name="Note 3 2 3 4 2 2 2" xfId="17623" xr:uid="{47261976-A166-4D08-9296-B143F97606C0}"/>
    <cellStyle name="Note 3 2 3 4 2 3" xfId="13406" xr:uid="{DDEF9B9C-1FD5-4C22-84F6-48617CF3381E}"/>
    <cellStyle name="Note 3 2 3 4 3" xfId="6152" xr:uid="{00000000-0005-0000-0000-000088210000}"/>
    <cellStyle name="Note 3 2 3 4 3 2" xfId="15478" xr:uid="{F31382AC-B9F7-453D-9B91-B5593A94559C}"/>
    <cellStyle name="Note 3 2 3 4 4" xfId="11261" xr:uid="{CA2F3D8D-B4CA-4C7F-8945-1D8E3BD7B97C}"/>
    <cellStyle name="Note 3 2 3 5" xfId="2259" xr:uid="{00000000-0005-0000-0000-000089210000}"/>
    <cellStyle name="Note 3 2 3 5 2" xfId="4488" xr:uid="{00000000-0005-0000-0000-00008A210000}"/>
    <cellStyle name="Note 3 2 3 5 2 2" xfId="8710" xr:uid="{00000000-0005-0000-0000-00008B210000}"/>
    <cellStyle name="Note 3 2 3 5 2 2 2" xfId="18036" xr:uid="{65D7B476-FC01-4EF5-95C2-8379B2A927BF}"/>
    <cellStyle name="Note 3 2 3 5 2 3" xfId="13819" xr:uid="{8B335576-A38A-4FE3-9EF4-0D356F6CEB71}"/>
    <cellStyle name="Note 3 2 3 5 3" xfId="6565" xr:uid="{00000000-0005-0000-0000-00008C210000}"/>
    <cellStyle name="Note 3 2 3 5 3 2" xfId="15891" xr:uid="{86C73477-DBE0-41E8-8A3C-9C4913267A30}"/>
    <cellStyle name="Note 3 2 3 5 4" xfId="11674" xr:uid="{F8F7E4F5-EFC1-4721-99AF-A6AA02922B56}"/>
    <cellStyle name="Note 3 2 3 6" xfId="2695" xr:uid="{00000000-0005-0000-0000-00008D210000}"/>
    <cellStyle name="Note 3 2 3 6 2" xfId="6978" xr:uid="{00000000-0005-0000-0000-00008E210000}"/>
    <cellStyle name="Note 3 2 3 6 2 2" xfId="16304" xr:uid="{28B3E9C2-FBD2-4EDD-BD02-ACF9B39A93D0}"/>
    <cellStyle name="Note 3 2 3 6 3" xfId="12087" xr:uid="{4DBA74EB-F5FD-4A00-859E-648C3115D425}"/>
    <cellStyle name="Note 3 2 3 7" xfId="2754" xr:uid="{00000000-0005-0000-0000-00008F210000}"/>
    <cellStyle name="Note 3 2 3 8" xfId="2835" xr:uid="{00000000-0005-0000-0000-000090210000}"/>
    <cellStyle name="Note 3 2 3 8 2" xfId="7058" xr:uid="{00000000-0005-0000-0000-000091210000}"/>
    <cellStyle name="Note 3 2 3 8 2 2" xfId="16384" xr:uid="{E30286B2-14EE-493C-BD4C-F0E5FCBD1C5C}"/>
    <cellStyle name="Note 3 2 3 8 3" xfId="12167" xr:uid="{256046D6-B5C4-4DED-8063-4A25774A4412}"/>
    <cellStyle name="Note 3 2 3 9" xfId="4913" xr:uid="{00000000-0005-0000-0000-000092210000}"/>
    <cellStyle name="Note 3 2 3 9 2" xfId="14239" xr:uid="{5BE8EC2F-7357-4B0D-9372-F3DAA9228409}"/>
    <cellStyle name="Note 3 2 4" xfId="1014" xr:uid="{00000000-0005-0000-0000-000093210000}"/>
    <cellStyle name="Note 3 2 4 2" xfId="3246" xr:uid="{00000000-0005-0000-0000-000094210000}"/>
    <cellStyle name="Note 3 2 4 2 2" xfId="7468" xr:uid="{00000000-0005-0000-0000-000095210000}"/>
    <cellStyle name="Note 3 2 4 2 2 2" xfId="16794" xr:uid="{BF155A27-D9B3-438C-AB6F-FE2B751E7735}"/>
    <cellStyle name="Note 3 2 4 2 3" xfId="12577" xr:uid="{D6488078-8266-4E85-9807-512498E75C7D}"/>
    <cellStyle name="Note 3 2 4 3" xfId="5323" xr:uid="{00000000-0005-0000-0000-000096210000}"/>
    <cellStyle name="Note 3 2 4 3 2" xfId="14649" xr:uid="{D899AE5D-79E9-44BA-B693-90C39484858E}"/>
    <cellStyle name="Note 3 2 4 4" xfId="9267" xr:uid="{1291CED5-E18E-4F1A-8856-A132B18F5C81}"/>
    <cellStyle name="Note 3 2 4 4 2" xfId="18582" xr:uid="{9510E01C-BFE9-41E2-BCCC-054104D3BDDF}"/>
    <cellStyle name="Note 3 2 4 5" xfId="10432" xr:uid="{C85A133A-1064-4BE8-9906-CBB96DBA6844}"/>
    <cellStyle name="Note 3 2 5" xfId="1429" xr:uid="{00000000-0005-0000-0000-000097210000}"/>
    <cellStyle name="Note 3 2 5 2" xfId="3659" xr:uid="{00000000-0005-0000-0000-000098210000}"/>
    <cellStyle name="Note 3 2 5 2 2" xfId="7881" xr:uid="{00000000-0005-0000-0000-000099210000}"/>
    <cellStyle name="Note 3 2 5 2 2 2" xfId="17207" xr:uid="{6BC5DA13-44AD-4421-849E-8CCF16CD031B}"/>
    <cellStyle name="Note 3 2 5 2 3" xfId="12990" xr:uid="{EDD97445-2166-45ED-B05F-EFAFB58C81DE}"/>
    <cellStyle name="Note 3 2 5 3" xfId="5736" xr:uid="{00000000-0005-0000-0000-00009A210000}"/>
    <cellStyle name="Note 3 2 5 3 2" xfId="15062" xr:uid="{76630315-4967-4711-BA68-1026500A2A23}"/>
    <cellStyle name="Note 3 2 5 4" xfId="10845" xr:uid="{5FB604B4-00D7-4A84-A378-C18C95E0CCB1}"/>
    <cellStyle name="Note 3 2 6" xfId="1843" xr:uid="{00000000-0005-0000-0000-00009B210000}"/>
    <cellStyle name="Note 3 2 6 2" xfId="4072" xr:uid="{00000000-0005-0000-0000-00009C210000}"/>
    <cellStyle name="Note 3 2 6 2 2" xfId="8294" xr:uid="{00000000-0005-0000-0000-00009D210000}"/>
    <cellStyle name="Note 3 2 6 2 2 2" xfId="17620" xr:uid="{7BD727E3-2766-4122-ABE3-D3BE1CA171E5}"/>
    <cellStyle name="Note 3 2 6 2 3" xfId="13403" xr:uid="{AFBAB635-8680-4F3C-AC31-1EEB9F265166}"/>
    <cellStyle name="Note 3 2 6 3" xfId="6149" xr:uid="{00000000-0005-0000-0000-00009E210000}"/>
    <cellStyle name="Note 3 2 6 3 2" xfId="15475" xr:uid="{67192113-AFD5-4629-9DF8-52BCE2632C90}"/>
    <cellStyle name="Note 3 2 6 4" xfId="11258" xr:uid="{D9A4F3D6-172A-4488-BB35-CA1E51C2FCA4}"/>
    <cellStyle name="Note 3 2 7" xfId="2256" xr:uid="{00000000-0005-0000-0000-00009F210000}"/>
    <cellStyle name="Note 3 2 7 2" xfId="4485" xr:uid="{00000000-0005-0000-0000-0000A0210000}"/>
    <cellStyle name="Note 3 2 7 2 2" xfId="8707" xr:uid="{00000000-0005-0000-0000-0000A1210000}"/>
    <cellStyle name="Note 3 2 7 2 2 2" xfId="18033" xr:uid="{697C11DC-BB95-4799-B671-AEC35AC86744}"/>
    <cellStyle name="Note 3 2 7 2 3" xfId="13816" xr:uid="{E85C9853-9FFA-4063-8AC9-43089D41BE4D}"/>
    <cellStyle name="Note 3 2 7 3" xfId="6562" xr:uid="{00000000-0005-0000-0000-0000A2210000}"/>
    <cellStyle name="Note 3 2 7 3 2" xfId="15888" xr:uid="{3C06F72E-F488-49E3-B497-A8E815AC88CD}"/>
    <cellStyle name="Note 3 2 7 4" xfId="11671" xr:uid="{64BD2123-3AE8-4263-AFBB-9903BB69C5E7}"/>
    <cellStyle name="Note 3 2 8" xfId="2692" xr:uid="{00000000-0005-0000-0000-0000A3210000}"/>
    <cellStyle name="Note 3 2 8 2" xfId="6975" xr:uid="{00000000-0005-0000-0000-0000A4210000}"/>
    <cellStyle name="Note 3 2 8 2 2" xfId="16301" xr:uid="{0A4E87A8-348C-41F5-B8FC-B24943DD812C}"/>
    <cellStyle name="Note 3 2 8 3" xfId="12084" xr:uid="{7E6E9FC1-A06A-49AA-900B-0CC9B72C914E}"/>
    <cellStyle name="Note 3 2 9" xfId="2751" xr:uid="{00000000-0005-0000-0000-0000A5210000}"/>
    <cellStyle name="Note 3 3" xfId="558" xr:uid="{00000000-0005-0000-0000-0000A6210000}"/>
    <cellStyle name="Note 3 3 10" xfId="4914" xr:uid="{00000000-0005-0000-0000-0000A7210000}"/>
    <cellStyle name="Note 3 3 10 2" xfId="14240" xr:uid="{D8CAFDED-8022-4C14-AE27-7D0FCFF6773A}"/>
    <cellStyle name="Note 3 3 11" xfId="8892" xr:uid="{8511F94A-7472-4DD0-A9AB-40754FEE5F47}"/>
    <cellStyle name="Note 3 3 11 2" xfId="18216" xr:uid="{C336682F-67BB-4DE8-AAC1-F9E5C756822E}"/>
    <cellStyle name="Note 3 3 12" xfId="10023" xr:uid="{AA8C41D7-678B-493B-BF0C-33CF79FF3308}"/>
    <cellStyle name="Note 3 3 2" xfId="559" xr:uid="{00000000-0005-0000-0000-0000A8210000}"/>
    <cellStyle name="Note 3 3 2 10" xfId="9099" xr:uid="{29F3AC20-D296-4B59-BA53-0A5C025B0569}"/>
    <cellStyle name="Note 3 3 2 10 2" xfId="18423" xr:uid="{155B9AAE-6F67-4B80-88ED-5ED55F36C276}"/>
    <cellStyle name="Note 3 3 2 11" xfId="10024" xr:uid="{416812D9-5C6B-47F1-A045-940A7C6E5C55}"/>
    <cellStyle name="Note 3 3 2 2" xfId="1019" xr:uid="{00000000-0005-0000-0000-0000A9210000}"/>
    <cellStyle name="Note 3 3 2 2 2" xfId="3251" xr:uid="{00000000-0005-0000-0000-0000AA210000}"/>
    <cellStyle name="Note 3 3 2 2 2 2" xfId="7473" xr:uid="{00000000-0005-0000-0000-0000AB210000}"/>
    <cellStyle name="Note 3 3 2 2 2 2 2" xfId="16799" xr:uid="{08677EB8-E8E8-487C-8234-F94C43BA90B2}"/>
    <cellStyle name="Note 3 3 2 2 2 3" xfId="12582" xr:uid="{FA786FAF-0824-4E06-9EB2-39F8AF4F8F72}"/>
    <cellStyle name="Note 3 3 2 2 3" xfId="5328" xr:uid="{00000000-0005-0000-0000-0000AC210000}"/>
    <cellStyle name="Note 3 3 2 2 3 2" xfId="14654" xr:uid="{084D8BC8-3523-4561-ADB3-443C5D0090E7}"/>
    <cellStyle name="Note 3 3 2 2 4" xfId="9524" xr:uid="{D03F5DE7-D9AB-48C0-A1E3-0A929D2C18C5}"/>
    <cellStyle name="Note 3 3 2 2 4 2" xfId="18839" xr:uid="{818A1DCA-1883-488F-81E2-77D334FABACD}"/>
    <cellStyle name="Note 3 3 2 2 5" xfId="10437" xr:uid="{5C1F3C8C-06D0-46C6-B4AA-0972BED2EA38}"/>
    <cellStyle name="Note 3 3 2 3" xfId="1434" xr:uid="{00000000-0005-0000-0000-0000AD210000}"/>
    <cellStyle name="Note 3 3 2 3 2" xfId="3664" xr:uid="{00000000-0005-0000-0000-0000AE210000}"/>
    <cellStyle name="Note 3 3 2 3 2 2" xfId="7886" xr:uid="{00000000-0005-0000-0000-0000AF210000}"/>
    <cellStyle name="Note 3 3 2 3 2 2 2" xfId="17212" xr:uid="{0A168AC7-C6B2-4516-805C-C1533B2B2530}"/>
    <cellStyle name="Note 3 3 2 3 2 3" xfId="12995" xr:uid="{A9D12D5F-CF1A-4D65-907B-BB796504D2FC}"/>
    <cellStyle name="Note 3 3 2 3 3" xfId="5741" xr:uid="{00000000-0005-0000-0000-0000B0210000}"/>
    <cellStyle name="Note 3 3 2 3 3 2" xfId="15067" xr:uid="{C5EDDEE7-9B50-4613-8C26-776E8BD701DC}"/>
    <cellStyle name="Note 3 3 2 3 4" xfId="10850" xr:uid="{30127F16-832F-4B10-B0A8-57EF71F37825}"/>
    <cellStyle name="Note 3 3 2 4" xfId="1848" xr:uid="{00000000-0005-0000-0000-0000B1210000}"/>
    <cellStyle name="Note 3 3 2 4 2" xfId="4077" xr:uid="{00000000-0005-0000-0000-0000B2210000}"/>
    <cellStyle name="Note 3 3 2 4 2 2" xfId="8299" xr:uid="{00000000-0005-0000-0000-0000B3210000}"/>
    <cellStyle name="Note 3 3 2 4 2 2 2" xfId="17625" xr:uid="{3BFE9EF3-1E34-4242-BB43-E00270521C66}"/>
    <cellStyle name="Note 3 3 2 4 2 3" xfId="13408" xr:uid="{DC322664-D312-4459-ACA9-8413D001086A}"/>
    <cellStyle name="Note 3 3 2 4 3" xfId="6154" xr:uid="{00000000-0005-0000-0000-0000B4210000}"/>
    <cellStyle name="Note 3 3 2 4 3 2" xfId="15480" xr:uid="{136A9784-E52E-4F99-9DF5-E1C8E4C2C78E}"/>
    <cellStyle name="Note 3 3 2 4 4" xfId="11263" xr:uid="{B9BBD64B-66E2-49DA-B76C-DBF6AB148B6F}"/>
    <cellStyle name="Note 3 3 2 5" xfId="2261" xr:uid="{00000000-0005-0000-0000-0000B5210000}"/>
    <cellStyle name="Note 3 3 2 5 2" xfId="4490" xr:uid="{00000000-0005-0000-0000-0000B6210000}"/>
    <cellStyle name="Note 3 3 2 5 2 2" xfId="8712" xr:uid="{00000000-0005-0000-0000-0000B7210000}"/>
    <cellStyle name="Note 3 3 2 5 2 2 2" xfId="18038" xr:uid="{88F95D8D-01FC-411F-B31E-1A0332B6EBF7}"/>
    <cellStyle name="Note 3 3 2 5 2 3" xfId="13821" xr:uid="{CB44DC67-520D-4517-A531-B6AEC4DD1CA3}"/>
    <cellStyle name="Note 3 3 2 5 3" xfId="6567" xr:uid="{00000000-0005-0000-0000-0000B8210000}"/>
    <cellStyle name="Note 3 3 2 5 3 2" xfId="15893" xr:uid="{7B4E70EF-3776-4EE9-B7B1-ABE700F5B875}"/>
    <cellStyle name="Note 3 3 2 5 4" xfId="11676" xr:uid="{DDDECF1D-C1C9-4728-BC3C-96909B927C43}"/>
    <cellStyle name="Note 3 3 2 6" xfId="2697" xr:uid="{00000000-0005-0000-0000-0000B9210000}"/>
    <cellStyle name="Note 3 3 2 6 2" xfId="6980" xr:uid="{00000000-0005-0000-0000-0000BA210000}"/>
    <cellStyle name="Note 3 3 2 6 2 2" xfId="16306" xr:uid="{EE617740-41D4-4950-B00A-DF5DE0F43646}"/>
    <cellStyle name="Note 3 3 2 6 3" xfId="12089" xr:uid="{3D6448BB-9057-4C60-8120-FC64A532EFD8}"/>
    <cellStyle name="Note 3 3 2 7" xfId="2756" xr:uid="{00000000-0005-0000-0000-0000BB210000}"/>
    <cellStyle name="Note 3 3 2 8" xfId="2837" xr:uid="{00000000-0005-0000-0000-0000BC210000}"/>
    <cellStyle name="Note 3 3 2 8 2" xfId="7060" xr:uid="{00000000-0005-0000-0000-0000BD210000}"/>
    <cellStyle name="Note 3 3 2 8 2 2" xfId="16386" xr:uid="{04DB2D49-5B71-4687-A60D-583203892C42}"/>
    <cellStyle name="Note 3 3 2 8 3" xfId="12169" xr:uid="{259F892D-9102-4100-8392-D8F372AF59F2}"/>
    <cellStyle name="Note 3 3 2 9" xfId="4915" xr:uid="{00000000-0005-0000-0000-0000BE210000}"/>
    <cellStyle name="Note 3 3 2 9 2" xfId="14241" xr:uid="{9AAF3EC5-68E6-4A2F-9EC4-E29ABC865828}"/>
    <cellStyle name="Note 3 3 3" xfId="1018" xr:uid="{00000000-0005-0000-0000-0000BF210000}"/>
    <cellStyle name="Note 3 3 3 2" xfId="3250" xr:uid="{00000000-0005-0000-0000-0000C0210000}"/>
    <cellStyle name="Note 3 3 3 2 2" xfId="7472" xr:uid="{00000000-0005-0000-0000-0000C1210000}"/>
    <cellStyle name="Note 3 3 3 2 2 2" xfId="16798" xr:uid="{28249D99-1B7D-41FE-80EA-672756B8381A}"/>
    <cellStyle name="Note 3 3 3 2 3" xfId="12581" xr:uid="{A7F3C456-0F7E-4C5A-8FB2-BB8509A7D41C}"/>
    <cellStyle name="Note 3 3 3 3" xfId="5327" xr:uid="{00000000-0005-0000-0000-0000C2210000}"/>
    <cellStyle name="Note 3 3 3 3 2" xfId="14653" xr:uid="{F069A45C-0177-49E1-A821-5FD297BE7937}"/>
    <cellStyle name="Note 3 3 3 4" xfId="9317" xr:uid="{171D8024-554D-4F15-BFD3-81CBE1A601EA}"/>
    <cellStyle name="Note 3 3 3 4 2" xfId="18632" xr:uid="{9A2EB4DB-D4AD-4CCA-AF08-F8DFBBFEB622}"/>
    <cellStyle name="Note 3 3 3 5" xfId="10436" xr:uid="{8D42EE49-76FE-434C-A5FB-23B76CA2F200}"/>
    <cellStyle name="Note 3 3 4" xfId="1433" xr:uid="{00000000-0005-0000-0000-0000C3210000}"/>
    <cellStyle name="Note 3 3 4 2" xfId="3663" xr:uid="{00000000-0005-0000-0000-0000C4210000}"/>
    <cellStyle name="Note 3 3 4 2 2" xfId="7885" xr:uid="{00000000-0005-0000-0000-0000C5210000}"/>
    <cellStyle name="Note 3 3 4 2 2 2" xfId="17211" xr:uid="{B54EA357-C588-4D77-AF39-F2AD82100115}"/>
    <cellStyle name="Note 3 3 4 2 3" xfId="12994" xr:uid="{4E994094-128D-4C39-B7FF-D64CE159C627}"/>
    <cellStyle name="Note 3 3 4 3" xfId="5740" xr:uid="{00000000-0005-0000-0000-0000C6210000}"/>
    <cellStyle name="Note 3 3 4 3 2" xfId="15066" xr:uid="{0BA2EED7-89E8-4434-84F4-F0CBB98550FC}"/>
    <cellStyle name="Note 3 3 4 4" xfId="10849" xr:uid="{97BE8600-5537-4833-A99B-2649BE48DDCD}"/>
    <cellStyle name="Note 3 3 5" xfId="1847" xr:uid="{00000000-0005-0000-0000-0000C7210000}"/>
    <cellStyle name="Note 3 3 5 2" xfId="4076" xr:uid="{00000000-0005-0000-0000-0000C8210000}"/>
    <cellStyle name="Note 3 3 5 2 2" xfId="8298" xr:uid="{00000000-0005-0000-0000-0000C9210000}"/>
    <cellStyle name="Note 3 3 5 2 2 2" xfId="17624" xr:uid="{0AE5D1BC-FFE0-4CC7-86C1-FA7E9AE115C9}"/>
    <cellStyle name="Note 3 3 5 2 3" xfId="13407" xr:uid="{E957FC01-FE19-4752-806A-56DB4B5A43A1}"/>
    <cellStyle name="Note 3 3 5 3" xfId="6153" xr:uid="{00000000-0005-0000-0000-0000CA210000}"/>
    <cellStyle name="Note 3 3 5 3 2" xfId="15479" xr:uid="{B9A3A7CD-F9DB-45A5-9A28-D7EFF6883D5F}"/>
    <cellStyle name="Note 3 3 5 4" xfId="11262" xr:uid="{E9101AC7-527D-4F99-AF1D-9DBE7D679E4A}"/>
    <cellStyle name="Note 3 3 6" xfId="2260" xr:uid="{00000000-0005-0000-0000-0000CB210000}"/>
    <cellStyle name="Note 3 3 6 2" xfId="4489" xr:uid="{00000000-0005-0000-0000-0000CC210000}"/>
    <cellStyle name="Note 3 3 6 2 2" xfId="8711" xr:uid="{00000000-0005-0000-0000-0000CD210000}"/>
    <cellStyle name="Note 3 3 6 2 2 2" xfId="18037" xr:uid="{2FB692AD-AFE5-4645-A473-882E932F8573}"/>
    <cellStyle name="Note 3 3 6 2 3" xfId="13820" xr:uid="{3B63FBF4-F0D6-44DD-BD9E-12A5E3AB2C67}"/>
    <cellStyle name="Note 3 3 6 3" xfId="6566" xr:uid="{00000000-0005-0000-0000-0000CE210000}"/>
    <cellStyle name="Note 3 3 6 3 2" xfId="15892" xr:uid="{2B06C997-13E9-4384-B6E7-B342A504DE21}"/>
    <cellStyle name="Note 3 3 6 4" xfId="11675" xr:uid="{212CC634-5075-4400-A26C-7F52FCCAA4B0}"/>
    <cellStyle name="Note 3 3 7" xfId="2696" xr:uid="{00000000-0005-0000-0000-0000CF210000}"/>
    <cellStyle name="Note 3 3 7 2" xfId="6979" xr:uid="{00000000-0005-0000-0000-0000D0210000}"/>
    <cellStyle name="Note 3 3 7 2 2" xfId="16305" xr:uid="{25C3AC20-DDE0-4824-B4F0-FD626C3D60AE}"/>
    <cellStyle name="Note 3 3 7 3" xfId="12088" xr:uid="{0701B70B-2349-4B08-9A65-1FEC1BA6980A}"/>
    <cellStyle name="Note 3 3 8" xfId="2755" xr:uid="{00000000-0005-0000-0000-0000D1210000}"/>
    <cellStyle name="Note 3 3 9" xfId="2836" xr:uid="{00000000-0005-0000-0000-0000D2210000}"/>
    <cellStyle name="Note 3 3 9 2" xfId="7059" xr:uid="{00000000-0005-0000-0000-0000D3210000}"/>
    <cellStyle name="Note 3 3 9 2 2" xfId="16385" xr:uid="{2A70FB4A-E847-4608-B8B8-068465E06C60}"/>
    <cellStyle name="Note 3 3 9 3" xfId="12168" xr:uid="{095D476F-A270-4F4E-984A-B3EE0B7A3BDD}"/>
    <cellStyle name="Note 3 4" xfId="560" xr:uid="{00000000-0005-0000-0000-0000D4210000}"/>
    <cellStyle name="Note 3 4 10" xfId="8996" xr:uid="{0D704BEA-0820-4E61-9EA3-F4C1E73C6543}"/>
    <cellStyle name="Note 3 4 10 2" xfId="18320" xr:uid="{FFB69723-13CF-4FEB-A448-416E7F57484E}"/>
    <cellStyle name="Note 3 4 11" xfId="10025" xr:uid="{5BAEB35F-D384-4177-87E7-E8D6EB6751B3}"/>
    <cellStyle name="Note 3 4 2" xfId="1020" xr:uid="{00000000-0005-0000-0000-0000D5210000}"/>
    <cellStyle name="Note 3 4 2 2" xfId="3252" xr:uid="{00000000-0005-0000-0000-0000D6210000}"/>
    <cellStyle name="Note 3 4 2 2 2" xfId="7474" xr:uid="{00000000-0005-0000-0000-0000D7210000}"/>
    <cellStyle name="Note 3 4 2 2 2 2" xfId="16800" xr:uid="{48CB4416-DC8E-44DA-8A85-F77DA119A508}"/>
    <cellStyle name="Note 3 4 2 2 3" xfId="12583" xr:uid="{35D111AE-85C3-423E-8CC2-71028A404C06}"/>
    <cellStyle name="Note 3 4 2 3" xfId="5329" xr:uid="{00000000-0005-0000-0000-0000D8210000}"/>
    <cellStyle name="Note 3 4 2 3 2" xfId="14655" xr:uid="{95B27E63-4C2D-4AA3-BEBA-950FFD4587D1}"/>
    <cellStyle name="Note 3 4 2 4" xfId="9421" xr:uid="{EC0A57E0-416C-4EC5-866A-A09E44531CB5}"/>
    <cellStyle name="Note 3 4 2 4 2" xfId="18736" xr:uid="{24F00A6D-0FB3-40F1-91A8-7BA43362A33E}"/>
    <cellStyle name="Note 3 4 2 5" xfId="10438" xr:uid="{2F4A161D-EC23-4C6E-8799-1F72686F46AD}"/>
    <cellStyle name="Note 3 4 3" xfId="1435" xr:uid="{00000000-0005-0000-0000-0000D9210000}"/>
    <cellStyle name="Note 3 4 3 2" xfId="3665" xr:uid="{00000000-0005-0000-0000-0000DA210000}"/>
    <cellStyle name="Note 3 4 3 2 2" xfId="7887" xr:uid="{00000000-0005-0000-0000-0000DB210000}"/>
    <cellStyle name="Note 3 4 3 2 2 2" xfId="17213" xr:uid="{9A83E5AF-9990-440D-A0AD-6941B65DB2DA}"/>
    <cellStyle name="Note 3 4 3 2 3" xfId="12996" xr:uid="{45AA406A-961B-4D3D-885D-AA774197A40B}"/>
    <cellStyle name="Note 3 4 3 3" xfId="5742" xr:uid="{00000000-0005-0000-0000-0000DC210000}"/>
    <cellStyle name="Note 3 4 3 3 2" xfId="15068" xr:uid="{43554913-1DA5-46F3-AFA9-B3FA67A4A811}"/>
    <cellStyle name="Note 3 4 3 4" xfId="10851" xr:uid="{26E17BEA-ABEF-4E03-B301-71D85C1B4434}"/>
    <cellStyle name="Note 3 4 4" xfId="1849" xr:uid="{00000000-0005-0000-0000-0000DD210000}"/>
    <cellStyle name="Note 3 4 4 2" xfId="4078" xr:uid="{00000000-0005-0000-0000-0000DE210000}"/>
    <cellStyle name="Note 3 4 4 2 2" xfId="8300" xr:uid="{00000000-0005-0000-0000-0000DF210000}"/>
    <cellStyle name="Note 3 4 4 2 2 2" xfId="17626" xr:uid="{1BEA4EEF-BC30-41D3-9F07-31DF17EDC81E}"/>
    <cellStyle name="Note 3 4 4 2 3" xfId="13409" xr:uid="{916B100C-72BC-43CC-8285-0BB840699983}"/>
    <cellStyle name="Note 3 4 4 3" xfId="6155" xr:uid="{00000000-0005-0000-0000-0000E0210000}"/>
    <cellStyle name="Note 3 4 4 3 2" xfId="15481" xr:uid="{1CF83105-5D0F-4B86-A993-BF04F02AE0C7}"/>
    <cellStyle name="Note 3 4 4 4" xfId="11264" xr:uid="{D3E05622-8188-4B76-8B29-E709F7457449}"/>
    <cellStyle name="Note 3 4 5" xfId="2262" xr:uid="{00000000-0005-0000-0000-0000E1210000}"/>
    <cellStyle name="Note 3 4 5 2" xfId="4491" xr:uid="{00000000-0005-0000-0000-0000E2210000}"/>
    <cellStyle name="Note 3 4 5 2 2" xfId="8713" xr:uid="{00000000-0005-0000-0000-0000E3210000}"/>
    <cellStyle name="Note 3 4 5 2 2 2" xfId="18039" xr:uid="{74D6FBBE-1FA6-42CF-8892-2167B765F288}"/>
    <cellStyle name="Note 3 4 5 2 3" xfId="13822" xr:uid="{45DBF8BA-5219-431B-AFCD-D044A651876B}"/>
    <cellStyle name="Note 3 4 5 3" xfId="6568" xr:uid="{00000000-0005-0000-0000-0000E4210000}"/>
    <cellStyle name="Note 3 4 5 3 2" xfId="15894" xr:uid="{6EB7A0E9-B185-4A3C-9DAD-CF79855FEBD5}"/>
    <cellStyle name="Note 3 4 5 4" xfId="11677" xr:uid="{E64F188E-610B-46E7-86B9-71717E0C6E93}"/>
    <cellStyle name="Note 3 4 6" xfId="2698" xr:uid="{00000000-0005-0000-0000-0000E5210000}"/>
    <cellStyle name="Note 3 4 6 2" xfId="6981" xr:uid="{00000000-0005-0000-0000-0000E6210000}"/>
    <cellStyle name="Note 3 4 6 2 2" xfId="16307" xr:uid="{53F5D77B-C3C4-418A-B096-BF917FCBC2EF}"/>
    <cellStyle name="Note 3 4 6 3" xfId="12090" xr:uid="{B4AEC834-D8DD-4233-BB14-DDA79439909C}"/>
    <cellStyle name="Note 3 4 7" xfId="2757" xr:uid="{00000000-0005-0000-0000-0000E7210000}"/>
    <cellStyle name="Note 3 4 8" xfId="2838" xr:uid="{00000000-0005-0000-0000-0000E8210000}"/>
    <cellStyle name="Note 3 4 8 2" xfId="7061" xr:uid="{00000000-0005-0000-0000-0000E9210000}"/>
    <cellStyle name="Note 3 4 8 2 2" xfId="16387" xr:uid="{121E315F-9CB8-4995-BE2F-9F98BEDEDD32}"/>
    <cellStyle name="Note 3 4 8 3" xfId="12170" xr:uid="{0E590B95-483E-4CE5-9794-32A322624367}"/>
    <cellStyle name="Note 3 4 9" xfId="4916" xr:uid="{00000000-0005-0000-0000-0000EA210000}"/>
    <cellStyle name="Note 3 4 9 2" xfId="14242" xr:uid="{E66B6E10-FC2F-4559-A214-02813AE816DE}"/>
    <cellStyle name="Note 3 5" xfId="561" xr:uid="{00000000-0005-0000-0000-0000EB210000}"/>
    <cellStyle name="Note 3 5 10" xfId="9213" xr:uid="{D9D7FB9A-B03C-4A97-A778-36731B43DF3F}"/>
    <cellStyle name="Note 3 5 10 2" xfId="18529" xr:uid="{3DA49B6F-2E5C-4C28-A31D-D9636238B371}"/>
    <cellStyle name="Note 3 5 11" xfId="10026" xr:uid="{8EAD4504-4A00-4F59-815A-73EA00A0B066}"/>
    <cellStyle name="Note 3 5 2" xfId="1021" xr:uid="{00000000-0005-0000-0000-0000EC210000}"/>
    <cellStyle name="Note 3 5 2 2" xfId="3253" xr:uid="{00000000-0005-0000-0000-0000ED210000}"/>
    <cellStyle name="Note 3 5 2 2 2" xfId="7475" xr:uid="{00000000-0005-0000-0000-0000EE210000}"/>
    <cellStyle name="Note 3 5 2 2 2 2" xfId="16801" xr:uid="{21BA2E81-C026-40FA-AA9F-2FA95374C7AA}"/>
    <cellStyle name="Note 3 5 2 2 3" xfId="12584" xr:uid="{71B397C8-36BF-4834-A637-FB5251079944}"/>
    <cellStyle name="Note 3 5 2 3" xfId="5330" xr:uid="{00000000-0005-0000-0000-0000EF210000}"/>
    <cellStyle name="Note 3 5 2 3 2" xfId="14656" xr:uid="{79B97F34-1FFE-474C-80F7-A31C7D1046BD}"/>
    <cellStyle name="Note 3 5 2 4" xfId="9611" xr:uid="{74765414-66B3-4FDA-BA21-3BFFEF98E338}"/>
    <cellStyle name="Note 3 5 2 4 2" xfId="18911" xr:uid="{9BF8BC66-75D1-49D2-BE64-F59159A4A1F1}"/>
    <cellStyle name="Note 3 5 2 5" xfId="10439" xr:uid="{9C115CF6-858B-4E60-AD28-7E15C95D1423}"/>
    <cellStyle name="Note 3 5 3" xfId="1436" xr:uid="{00000000-0005-0000-0000-0000F0210000}"/>
    <cellStyle name="Note 3 5 3 2" xfId="3666" xr:uid="{00000000-0005-0000-0000-0000F1210000}"/>
    <cellStyle name="Note 3 5 3 2 2" xfId="7888" xr:uid="{00000000-0005-0000-0000-0000F2210000}"/>
    <cellStyle name="Note 3 5 3 2 2 2" xfId="17214" xr:uid="{CC1DF911-EDB5-4D1E-941F-0C6AB80092F1}"/>
    <cellStyle name="Note 3 5 3 2 3" xfId="12997" xr:uid="{49A116C2-FF82-44BE-B83F-E0969E5255A3}"/>
    <cellStyle name="Note 3 5 3 3" xfId="5743" xr:uid="{00000000-0005-0000-0000-0000F3210000}"/>
    <cellStyle name="Note 3 5 3 3 2" xfId="15069" xr:uid="{F96976BF-4D8D-47E8-B0FD-42AF86704A70}"/>
    <cellStyle name="Note 3 5 3 4" xfId="10852" xr:uid="{E649043C-3F93-437F-BD84-CD651B21EA82}"/>
    <cellStyle name="Note 3 5 4" xfId="1850" xr:uid="{00000000-0005-0000-0000-0000F4210000}"/>
    <cellStyle name="Note 3 5 4 2" xfId="4079" xr:uid="{00000000-0005-0000-0000-0000F5210000}"/>
    <cellStyle name="Note 3 5 4 2 2" xfId="8301" xr:uid="{00000000-0005-0000-0000-0000F6210000}"/>
    <cellStyle name="Note 3 5 4 2 2 2" xfId="17627" xr:uid="{6DFEE671-0CFF-49CE-9A05-9608C091E82B}"/>
    <cellStyle name="Note 3 5 4 2 3" xfId="13410" xr:uid="{3D5DAE69-844D-4390-8158-C6E751C854FB}"/>
    <cellStyle name="Note 3 5 4 3" xfId="6156" xr:uid="{00000000-0005-0000-0000-0000F7210000}"/>
    <cellStyle name="Note 3 5 4 3 2" xfId="15482" xr:uid="{B4C692C8-AB7F-43AE-A0DB-3CEBC3FD68AD}"/>
    <cellStyle name="Note 3 5 4 4" xfId="11265" xr:uid="{10939745-5E78-42C6-888F-31B9D4BB66D2}"/>
    <cellStyle name="Note 3 5 5" xfId="2263" xr:uid="{00000000-0005-0000-0000-0000F8210000}"/>
    <cellStyle name="Note 3 5 5 2" xfId="4492" xr:uid="{00000000-0005-0000-0000-0000F9210000}"/>
    <cellStyle name="Note 3 5 5 2 2" xfId="8714" xr:uid="{00000000-0005-0000-0000-0000FA210000}"/>
    <cellStyle name="Note 3 5 5 2 2 2" xfId="18040" xr:uid="{BB1A479F-7479-4312-8897-A2395804C3CE}"/>
    <cellStyle name="Note 3 5 5 2 3" xfId="13823" xr:uid="{ACF09486-BFCD-43F1-BD8B-2FB3BE613D7C}"/>
    <cellStyle name="Note 3 5 5 3" xfId="6569" xr:uid="{00000000-0005-0000-0000-0000FB210000}"/>
    <cellStyle name="Note 3 5 5 3 2" xfId="15895" xr:uid="{92FC098F-6C91-471E-BB2F-1F9C3439C641}"/>
    <cellStyle name="Note 3 5 5 4" xfId="11678" xr:uid="{1C3A9C5B-910F-4709-8246-928DA46C97C2}"/>
    <cellStyle name="Note 3 5 6" xfId="2699" xr:uid="{00000000-0005-0000-0000-0000FC210000}"/>
    <cellStyle name="Note 3 5 6 2" xfId="6982" xr:uid="{00000000-0005-0000-0000-0000FD210000}"/>
    <cellStyle name="Note 3 5 6 2 2" xfId="16308" xr:uid="{FBF6E8EA-C02D-4B1A-B50E-43F7C7D48C7D}"/>
    <cellStyle name="Note 3 5 6 3" xfId="12091" xr:uid="{E2475718-04EC-438A-9F64-7357613BF229}"/>
    <cellStyle name="Note 3 5 7" xfId="2758" xr:uid="{00000000-0005-0000-0000-0000FE210000}"/>
    <cellStyle name="Note 3 5 8" xfId="2839" xr:uid="{00000000-0005-0000-0000-0000FF210000}"/>
    <cellStyle name="Note 3 5 8 2" xfId="7062" xr:uid="{00000000-0005-0000-0000-000000220000}"/>
    <cellStyle name="Note 3 5 8 2 2" xfId="16388" xr:uid="{1CBF4E07-F6CD-4C4C-926E-F109F61035EC}"/>
    <cellStyle name="Note 3 5 8 3" xfId="12171" xr:uid="{5535069E-913F-4625-A5A9-F765CAD4ADAD}"/>
    <cellStyle name="Note 3 5 9" xfId="4917" xr:uid="{00000000-0005-0000-0000-000001220000}"/>
    <cellStyle name="Note 3 5 9 2" xfId="14243" xr:uid="{E7D175E8-8EFE-4963-A514-D8FA1B6540E2}"/>
    <cellStyle name="Note 3 6" xfId="9588" xr:uid="{4A2A2C5B-BA67-4FBC-A2F1-7546BE1E0E7F}"/>
    <cellStyle name="Note 3 7" xfId="8789" xr:uid="{EE6BC007-A514-4F23-A927-A69B937DFEC6}"/>
    <cellStyle name="Note 3 7 2" xfId="18113" xr:uid="{6564C871-7D96-492C-A06A-276E1CB03AA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6FF56770-0B33-4698-AE7F-AC8C399B74AB}"/>
    <cellStyle name="Percent 3 3" xfId="13826" xr:uid="{3973F076-4732-411B-AFB9-4F40985A7203}"/>
    <cellStyle name="Percent 4" xfId="4502" xr:uid="{00000000-0005-0000-0000-000007220000}"/>
    <cellStyle name="Percent 4 2" xfId="8717" xr:uid="{00000000-0005-0000-0000-000008220000}"/>
    <cellStyle name="Percent 4 2 2" xfId="18043" xr:uid="{0500BB84-D1F4-4E96-A449-FDE7205E7C9A}"/>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251E319B-AFD7-4190-939B-2C36E0DA28F7}"/>
    <cellStyle name="Percent 4 3 2 2 2 2 3" xfId="18059" xr:uid="{932C14BB-BE3B-43E5-8B4A-E9A9E3913164}"/>
    <cellStyle name="Percent 4 3 2 2 2 3" xfId="18056" xr:uid="{6C45DCC2-FC62-4822-9EF7-35283A1634D2}"/>
    <cellStyle name="Percent 4 3 2 2 3" xfId="18052" xr:uid="{8FF87175-EA95-48FF-8FFA-1B341D911B0C}"/>
    <cellStyle name="Percent 4 3 2 3" xfId="18049" xr:uid="{DBF40369-FC04-4126-AD47-338C2F4D88C8}"/>
    <cellStyle name="Percent 4 3 3" xfId="18046" xr:uid="{B85780B8-0220-4AA3-9FF6-E4D7E9BDB403}"/>
    <cellStyle name="Percent 4 4" xfId="13829" xr:uid="{E513CCD1-A4ED-4312-90BE-BF2D0CF7F56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28575</xdr:colOff>
          <xdr:row>77</xdr:row>
          <xdr:rowOff>219075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75" workbookViewId="0">
      <selection activeCell="AB198" sqref="AB19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53" t="s">
        <v>0</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row>
    <row r="2" spans="1:38" ht="13.5" thickBot="1">
      <c r="A2" s="1254"/>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row>
    <row r="3" spans="1:38" ht="13.5" thickTop="1"/>
    <row r="4" spans="1:38" s="4" customFormat="1">
      <c r="B4" s="9" t="s">
        <v>1</v>
      </c>
      <c r="C4" s="9" t="s">
        <v>2</v>
      </c>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5" customHeight="1">
      <c r="A7" s="114"/>
      <c r="B7" s="114"/>
      <c r="C7" s="115"/>
      <c r="D7" s="1243" t="s">
        <v>5</v>
      </c>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1067"/>
    </row>
    <row r="8" spans="1:38">
      <c r="A8" s="114"/>
      <c r="B8" s="114"/>
      <c r="C8" s="115"/>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067"/>
    </row>
    <row r="9" spans="1:38">
      <c r="A9" s="114"/>
      <c r="B9" s="114"/>
      <c r="C9" s="115"/>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1067"/>
    </row>
    <row r="10" spans="1:38">
      <c r="A10" s="114"/>
      <c r="B10" s="114"/>
      <c r="C10" s="115"/>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row>
    <row r="11" spans="1:38" ht="13.15" customHeight="1">
      <c r="A11" s="114"/>
      <c r="B11" s="114"/>
      <c r="C11" s="115"/>
      <c r="D11" s="1243" t="s">
        <v>6</v>
      </c>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1067"/>
    </row>
    <row r="12" spans="1:38">
      <c r="A12" s="114"/>
      <c r="B12" s="114"/>
      <c r="C12" s="115"/>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1067"/>
    </row>
    <row r="13" spans="1:38">
      <c r="A13" s="114"/>
      <c r="B13" s="114"/>
      <c r="C13" s="115"/>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067"/>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67"/>
    </row>
    <row r="15" spans="1:38" ht="13.5" customHeight="1">
      <c r="A15" s="114"/>
      <c r="B15" s="114"/>
      <c r="C15" s="115"/>
      <c r="D15" s="1243" t="s">
        <v>7</v>
      </c>
      <c r="E15" s="1243"/>
      <c r="F15" s="1243"/>
      <c r="G15" s="1243"/>
      <c r="H15" s="1243"/>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1067"/>
    </row>
    <row r="16" spans="1:38" ht="13.5" customHeight="1">
      <c r="A16" s="114"/>
      <c r="B16" s="114"/>
      <c r="C16" s="115"/>
      <c r="D16" s="124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1067"/>
    </row>
    <row r="17" spans="1:38">
      <c r="A17" s="114"/>
      <c r="B17" s="114"/>
      <c r="C17" s="115"/>
      <c r="D17" s="1243"/>
      <c r="E17" s="1243"/>
      <c r="F17" s="1243"/>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067"/>
    </row>
    <row r="18" spans="1:38">
      <c r="A18" s="114"/>
      <c r="B18" s="114"/>
      <c r="C18" s="115"/>
      <c r="D18" s="1057" t="s">
        <v>8</v>
      </c>
      <c r="E18" s="1039"/>
      <c r="G18" s="1039"/>
      <c r="H18" s="1039"/>
      <c r="I18" s="1039"/>
      <c r="J18" s="1256" t="s">
        <v>9</v>
      </c>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067"/>
    </row>
    <row r="19" spans="1:38">
      <c r="A19" s="114"/>
      <c r="B19" s="114"/>
      <c r="C19" s="115"/>
      <c r="D19" s="1039"/>
      <c r="E19" s="1039"/>
      <c r="F19" s="1044"/>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67"/>
    </row>
    <row r="20" spans="1:38" ht="13.5" customHeight="1">
      <c r="A20" s="114"/>
      <c r="B20" s="114"/>
      <c r="C20" s="115"/>
      <c r="D20" s="1243" t="s">
        <v>10</v>
      </c>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114"/>
    </row>
    <row r="21" spans="1:38">
      <c r="A21" s="114"/>
      <c r="B21" s="114"/>
      <c r="C21" s="115"/>
      <c r="D21" s="1243"/>
      <c r="E21" s="1243"/>
      <c r="F21" s="1243"/>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14"/>
    </row>
    <row r="22" spans="1:38">
      <c r="A22" s="114"/>
      <c r="B22" s="114"/>
      <c r="C22" s="115"/>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114"/>
    </row>
    <row r="23" spans="1:38" ht="13.5" customHeight="1">
      <c r="A23" s="114"/>
      <c r="B23" s="114"/>
      <c r="C23" s="115"/>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114"/>
    </row>
    <row r="24" spans="1:38">
      <c r="A24" s="114"/>
      <c r="B24" s="114"/>
      <c r="C24" s="115"/>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114"/>
    </row>
    <row r="25" spans="1:38">
      <c r="A25" s="114"/>
      <c r="B25" s="114"/>
      <c r="C25" s="115"/>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114"/>
    </row>
    <row r="26" spans="1:38">
      <c r="A26" s="114"/>
      <c r="B26" s="114"/>
      <c r="C26" s="115"/>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14"/>
    </row>
    <row r="27" spans="1:38">
      <c r="A27" s="114"/>
      <c r="B27" s="114"/>
      <c r="C27" s="115"/>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14"/>
    </row>
    <row r="28" spans="1:38">
      <c r="A28" s="114"/>
      <c r="B28" s="114"/>
      <c r="C28" s="115"/>
      <c r="D28" s="1243"/>
      <c r="E28" s="1243"/>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5" customHeight="1">
      <c r="A30" s="114"/>
      <c r="B30" s="114"/>
      <c r="C30" s="115"/>
      <c r="D30" s="1243" t="s">
        <v>11</v>
      </c>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14"/>
    </row>
    <row r="31" spans="1:38">
      <c r="A31" s="114"/>
      <c r="B31" s="114"/>
      <c r="C31" s="115"/>
      <c r="D31" s="1067"/>
      <c r="E31" s="1244" t="s">
        <v>12</v>
      </c>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14"/>
    </row>
    <row r="32" spans="1:38">
      <c r="A32" s="2"/>
      <c r="C32" s="1"/>
    </row>
    <row r="33" spans="1:38">
      <c r="A33" s="2"/>
      <c r="D33" s="1255" t="s">
        <v>13</v>
      </c>
      <c r="E33" s="1255"/>
      <c r="F33" s="1255"/>
      <c r="G33" s="1255"/>
      <c r="H33" s="1255"/>
      <c r="I33" s="1255"/>
      <c r="J33" s="1255"/>
      <c r="K33" s="1255"/>
      <c r="L33" s="1255"/>
      <c r="M33" s="1255"/>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row>
    <row r="34" spans="1:38">
      <c r="A34" s="2"/>
      <c r="D34" s="1255"/>
      <c r="E34" s="1255"/>
      <c r="F34" s="1255"/>
      <c r="G34" s="1255"/>
      <c r="H34" s="1255"/>
      <c r="I34" s="1255"/>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row>
    <row r="35" spans="1:38">
      <c r="A35" s="2"/>
      <c r="D35" s="70"/>
      <c r="E35" s="1250" t="s">
        <v>14</v>
      </c>
      <c r="F35" s="1250"/>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row>
    <row r="36" spans="1:38">
      <c r="A36" s="2"/>
      <c r="D36" s="70"/>
      <c r="E36" s="1250" t="s">
        <v>15</v>
      </c>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10"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43" customFormat="1" ht="13.5" customHeight="1">
      <c r="A40" s="2"/>
      <c r="B40"/>
      <c r="C40" s="1"/>
      <c r="D40" s="2"/>
      <c r="E40" s="2" t="s">
        <v>20</v>
      </c>
      <c r="F40" s="1243" t="s">
        <v>21</v>
      </c>
    </row>
    <row r="41" spans="1:38" s="1243" customFormat="1" ht="13.5" customHeight="1">
      <c r="A41" s="2"/>
      <c r="B41"/>
      <c r="C41" s="1"/>
      <c r="D41" s="2"/>
      <c r="E41" s="2"/>
    </row>
    <row r="42" spans="1:38">
      <c r="A42" s="2"/>
      <c r="C42" s="1"/>
      <c r="D42" s="2"/>
      <c r="E42" s="2"/>
      <c r="F42" s="68" t="s">
        <v>22</v>
      </c>
      <c r="G42" s="2" t="s">
        <v>23</v>
      </c>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row>
    <row r="43" spans="1:38" s="68" customFormat="1" ht="13.5" customHeight="1">
      <c r="A43" s="2"/>
      <c r="B43"/>
      <c r="C43" s="1"/>
      <c r="D43" s="2"/>
      <c r="E43" s="2" t="s">
        <v>24</v>
      </c>
      <c r="F43" s="1249" t="s">
        <v>25</v>
      </c>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row>
    <row r="44" spans="1:38" s="68" customFormat="1">
      <c r="A44" s="2"/>
      <c r="B44"/>
      <c r="C44" s="1"/>
      <c r="D44" s="2"/>
      <c r="E44" s="2"/>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row>
    <row r="45" spans="1:38" s="68" customFormat="1" ht="13.5" customHeight="1">
      <c r="A45" s="2"/>
      <c r="B45"/>
      <c r="C45" s="1"/>
      <c r="D45" s="2"/>
      <c r="E45" s="2"/>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row>
    <row r="46" spans="1:38">
      <c r="A46" s="2"/>
      <c r="C46" s="1"/>
      <c r="D46" s="2"/>
      <c r="E46" s="2"/>
      <c r="F46" s="68" t="s">
        <v>22</v>
      </c>
      <c r="G46" s="2" t="s">
        <v>26</v>
      </c>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43" t="s">
        <v>30</v>
      </c>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row>
    <row r="49" spans="1:38">
      <c r="A49" s="2"/>
      <c r="C49" s="1"/>
      <c r="D49" s="2"/>
      <c r="E49" s="2"/>
      <c r="F49" s="1243"/>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row>
    <row r="50" spans="1:38">
      <c r="A50" s="2"/>
      <c r="C50" s="1"/>
      <c r="D50" s="2"/>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5" customHeight="1">
      <c r="A54" s="114"/>
      <c r="B54" s="114"/>
      <c r="C54" s="115"/>
      <c r="D54" s="115"/>
      <c r="E54" s="114"/>
      <c r="F54" s="116" t="s">
        <v>22</v>
      </c>
      <c r="G54" s="1248" t="s">
        <v>34</v>
      </c>
      <c r="H54" s="1248"/>
      <c r="I54" s="1248"/>
      <c r="J54" s="1248"/>
      <c r="K54" s="1248"/>
      <c r="L54" s="1248"/>
      <c r="M54" s="1248"/>
      <c r="N54" s="1248"/>
      <c r="O54" s="1248"/>
      <c r="P54" s="1248"/>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14"/>
    </row>
    <row r="55" spans="1:38" ht="13.5" customHeight="1">
      <c r="A55" s="114"/>
      <c r="B55" s="114"/>
      <c r="C55" s="115"/>
      <c r="D55" s="115"/>
      <c r="E55" s="114"/>
      <c r="F55" s="116"/>
      <c r="G55" s="334" t="s">
        <v>35</v>
      </c>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1042"/>
      <c r="AH55" s="1042"/>
      <c r="AI55" s="1042"/>
      <c r="AJ55" s="1042"/>
      <c r="AK55" s="1042"/>
      <c r="AL55" s="114"/>
    </row>
    <row r="56" spans="1:38">
      <c r="A56" s="114"/>
      <c r="B56" s="114"/>
      <c r="C56" s="115"/>
      <c r="D56" s="115"/>
      <c r="E56" s="114"/>
      <c r="F56" s="116"/>
      <c r="G56" s="1248" t="s">
        <v>36</v>
      </c>
      <c r="H56" s="1248"/>
      <c r="I56" s="1248"/>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5" customHeight="1">
      <c r="A57" s="114"/>
      <c r="B57" s="115"/>
      <c r="C57" s="115"/>
      <c r="D57" s="115"/>
      <c r="E57" s="114"/>
      <c r="F57" s="116" t="s">
        <v>27</v>
      </c>
      <c r="G57" s="1248" t="s">
        <v>37</v>
      </c>
      <c r="H57" s="1248"/>
      <c r="I57" s="1248"/>
      <c r="J57" s="1248"/>
      <c r="K57" s="1248"/>
      <c r="L57" s="1248"/>
      <c r="M57" s="1248"/>
      <c r="N57" s="1248"/>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row>
    <row r="58" spans="1:38">
      <c r="A58" s="114"/>
      <c r="B58" s="114"/>
      <c r="C58" s="115"/>
      <c r="D58" s="115"/>
      <c r="E58" s="114"/>
      <c r="F58" s="116"/>
      <c r="G58" s="1248"/>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43" t="s">
        <v>42</v>
      </c>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row>
    <row r="65" spans="1:37">
      <c r="A65" s="2"/>
      <c r="C65" s="1"/>
      <c r="D65" s="2"/>
      <c r="E65" s="2"/>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row>
    <row r="66" spans="1:37">
      <c r="A66" s="2"/>
      <c r="C66" s="1"/>
      <c r="D66" s="2"/>
      <c r="E66" s="2"/>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row>
    <row r="67" spans="1:37" ht="13.5" customHeight="1">
      <c r="A67" s="2"/>
      <c r="C67" s="1"/>
      <c r="D67" s="2"/>
      <c r="E67" s="2"/>
      <c r="F67" t="s">
        <v>27</v>
      </c>
      <c r="G67" s="1243" t="s">
        <v>43</v>
      </c>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row>
    <row r="68" spans="1:37">
      <c r="A68" s="2"/>
      <c r="C68" s="1"/>
      <c r="D68" s="2"/>
      <c r="E68" s="2"/>
      <c r="F68" s="21"/>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row>
    <row r="69" spans="1:37">
      <c r="A69" s="2"/>
      <c r="C69" s="1"/>
      <c r="D69" s="2"/>
      <c r="E69" s="2" t="s">
        <v>24</v>
      </c>
      <c r="F69" s="2" t="s">
        <v>44</v>
      </c>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row>
    <row r="70" spans="1:37">
      <c r="A70" s="2"/>
      <c r="C70" s="1"/>
      <c r="D70" s="2"/>
      <c r="E70" s="2"/>
      <c r="F70" s="6" t="s">
        <v>22</v>
      </c>
      <c r="G70" s="1243" t="s">
        <v>45</v>
      </c>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row>
    <row r="71" spans="1:37">
      <c r="A71" s="2"/>
      <c r="C71" s="1"/>
      <c r="D71" s="2"/>
      <c r="E71" s="2"/>
      <c r="F71" s="6"/>
      <c r="G71" s="1243"/>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c r="AG71" s="1243"/>
      <c r="AH71" s="1243"/>
      <c r="AI71" s="1243"/>
      <c r="AJ71" s="1243"/>
      <c r="AK71" s="1243"/>
    </row>
    <row r="72" spans="1:37">
      <c r="A72" s="2"/>
      <c r="C72" s="1"/>
      <c r="D72" s="2"/>
      <c r="E72" s="2"/>
      <c r="F72" s="6" t="s">
        <v>27</v>
      </c>
      <c r="G72" s="1243" t="s">
        <v>46</v>
      </c>
      <c r="H72" s="1243"/>
      <c r="I72" s="1243"/>
      <c r="J72" s="1243"/>
      <c r="K72" s="1243"/>
      <c r="L72" s="1243"/>
      <c r="M72" s="1243"/>
      <c r="N72" s="1243"/>
      <c r="O72" s="1243"/>
      <c r="P72" s="1243"/>
      <c r="Q72" s="1243"/>
      <c r="R72" s="1243"/>
      <c r="S72" s="1243"/>
      <c r="T72" s="1243"/>
      <c r="U72" s="1243"/>
      <c r="V72" s="1243"/>
      <c r="W72" s="1243"/>
      <c r="X72" s="1243"/>
      <c r="Y72" s="1243"/>
      <c r="Z72" s="1243"/>
      <c r="AA72" s="1243"/>
      <c r="AB72" s="1243"/>
      <c r="AC72" s="1243"/>
      <c r="AD72" s="1243"/>
      <c r="AE72" s="1243"/>
      <c r="AF72" s="1243"/>
      <c r="AG72" s="1243"/>
      <c r="AH72" s="1243"/>
      <c r="AI72" s="1243"/>
      <c r="AJ72" s="1243"/>
      <c r="AK72" s="1243"/>
    </row>
    <row r="73" spans="1:37">
      <c r="A73" s="2"/>
      <c r="C73" s="1"/>
      <c r="D73" s="2"/>
      <c r="E73" s="2"/>
      <c r="F73" s="6"/>
      <c r="G73" s="1243"/>
      <c r="H73" s="1243"/>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43" t="s">
        <v>56</v>
      </c>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row>
    <row r="81" spans="1:37">
      <c r="A81" s="2"/>
      <c r="C81" s="1"/>
      <c r="D81" s="2"/>
      <c r="E81" s="2"/>
      <c r="F81" s="2"/>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3"/>
      <c r="AD81" s="1243"/>
      <c r="AE81" s="1243"/>
      <c r="AF81" s="1243"/>
      <c r="AG81" s="1243"/>
      <c r="AH81" s="1243"/>
      <c r="AI81" s="1243"/>
      <c r="AJ81" s="1243"/>
      <c r="AK81" s="1243"/>
    </row>
    <row r="82" spans="1:37">
      <c r="A82" s="2"/>
      <c r="C82" s="1"/>
      <c r="D82" s="2"/>
      <c r="E82" s="2"/>
      <c r="F82" s="2"/>
      <c r="G82" s="1243"/>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43" t="s">
        <v>59</v>
      </c>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row>
    <row r="85" spans="1:37">
      <c r="A85" s="2"/>
      <c r="C85" s="1"/>
      <c r="D85" s="2"/>
      <c r="E85" s="2"/>
      <c r="F85" s="2"/>
      <c r="G85" s="1243"/>
      <c r="H85" s="1243"/>
      <c r="I85" s="1243"/>
      <c r="J85" s="1243"/>
      <c r="K85" s="1243"/>
      <c r="L85" s="1243"/>
      <c r="M85" s="1243"/>
      <c r="N85" s="1243"/>
      <c r="O85" s="1243"/>
      <c r="P85" s="1243"/>
      <c r="Q85" s="1243"/>
      <c r="R85" s="1243"/>
      <c r="S85" s="1243"/>
      <c r="T85" s="1243"/>
      <c r="U85" s="1243"/>
      <c r="V85" s="1243"/>
      <c r="W85" s="1243"/>
      <c r="X85" s="1243"/>
      <c r="Y85" s="1243"/>
      <c r="Z85" s="1243"/>
      <c r="AA85" s="1243"/>
      <c r="AB85" s="1243"/>
      <c r="AC85" s="1243"/>
      <c r="AD85" s="1243"/>
      <c r="AE85" s="1243"/>
      <c r="AF85" s="1243"/>
      <c r="AG85" s="1243"/>
      <c r="AH85" s="1243"/>
      <c r="AI85" s="1243"/>
      <c r="AJ85" s="1243"/>
      <c r="AK85" s="1243"/>
    </row>
    <row r="86" spans="1:37">
      <c r="A86" s="2"/>
      <c r="C86" s="1"/>
      <c r="D86" s="2"/>
      <c r="E86" s="2"/>
      <c r="G86" s="1243"/>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46" t="s">
        <v>62</v>
      </c>
      <c r="H88" s="1246"/>
      <c r="I88" s="1246"/>
      <c r="J88" s="1246"/>
      <c r="K88" s="1246"/>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row>
    <row r="89" spans="1:37">
      <c r="A89" s="2"/>
      <c r="C89" s="1"/>
      <c r="D89" s="2"/>
      <c r="E89" s="2"/>
      <c r="G89" s="1246"/>
      <c r="H89" s="1246"/>
      <c r="I89" s="1246"/>
      <c r="J89" s="1246"/>
      <c r="K89" s="1246"/>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row>
    <row r="90" spans="1:37">
      <c r="A90" s="2"/>
      <c r="C90" s="1"/>
      <c r="D90" s="2"/>
      <c r="E90" s="2"/>
      <c r="G90" s="1246"/>
      <c r="H90" s="1246"/>
      <c r="I90" s="1246"/>
      <c r="J90" s="1246"/>
      <c r="K90" s="1246"/>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43" t="s">
        <v>65</v>
      </c>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row>
    <row r="93" spans="1:37">
      <c r="A93" s="2"/>
      <c r="C93" s="1"/>
      <c r="D93" s="2"/>
      <c r="E93" s="2"/>
      <c r="G93" s="1243"/>
      <c r="H93" s="1243"/>
      <c r="I93" s="1243"/>
      <c r="J93" s="1243"/>
      <c r="K93" s="1243"/>
      <c r="L93" s="1243"/>
      <c r="M93" s="1243"/>
      <c r="N93" s="1243"/>
      <c r="O93" s="1243"/>
      <c r="P93" s="1243"/>
      <c r="Q93" s="1243"/>
      <c r="R93" s="1243"/>
      <c r="S93" s="1243"/>
      <c r="T93" s="1243"/>
      <c r="U93" s="1243"/>
      <c r="V93" s="1243"/>
      <c r="W93" s="1243"/>
      <c r="X93" s="1243"/>
      <c r="Y93" s="1243"/>
      <c r="Z93" s="1243"/>
      <c r="AA93" s="1243"/>
      <c r="AB93" s="1243"/>
      <c r="AC93" s="1243"/>
      <c r="AD93" s="1243"/>
      <c r="AE93" s="1243"/>
      <c r="AF93" s="1243"/>
      <c r="AG93" s="1243"/>
      <c r="AH93" s="1243"/>
      <c r="AI93" s="1243"/>
      <c r="AJ93" s="1243"/>
      <c r="AK93" s="1243"/>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43" t="s">
        <v>68</v>
      </c>
      <c r="H95" s="1243"/>
      <c r="I95" s="1243"/>
      <c r="J95" s="1243"/>
      <c r="K95" s="1243"/>
      <c r="L95" s="1243"/>
      <c r="M95" s="1243"/>
      <c r="N95" s="1243"/>
      <c r="O95" s="1243"/>
      <c r="P95" s="1243"/>
      <c r="Q95" s="1243"/>
      <c r="R95" s="1243"/>
      <c r="S95" s="1243"/>
      <c r="T95" s="1243"/>
      <c r="U95" s="1243"/>
      <c r="V95" s="1243"/>
      <c r="W95" s="1243"/>
      <c r="X95" s="1243"/>
      <c r="Y95" s="1243"/>
      <c r="Z95" s="1243"/>
      <c r="AA95" s="1243"/>
      <c r="AB95" s="1243"/>
      <c r="AC95" s="1243"/>
      <c r="AD95" s="1243"/>
      <c r="AE95" s="1243"/>
      <c r="AF95" s="1243"/>
      <c r="AG95" s="1243"/>
      <c r="AH95" s="1243"/>
      <c r="AI95" s="1243"/>
      <c r="AJ95" s="1243"/>
      <c r="AK95" s="1243"/>
    </row>
    <row r="96" spans="1:37">
      <c r="A96" s="2"/>
      <c r="C96" s="1"/>
      <c r="D96" s="2"/>
      <c r="E96" s="2"/>
      <c r="G96" s="1243"/>
      <c r="H96" s="1243"/>
      <c r="I96" s="1243"/>
      <c r="J96" s="1243"/>
      <c r="K96" s="1243"/>
      <c r="L96" s="1243"/>
      <c r="M96" s="1243"/>
      <c r="N96" s="1243"/>
      <c r="O96" s="1243"/>
      <c r="P96" s="1243"/>
      <c r="Q96" s="1243"/>
      <c r="R96" s="1243"/>
      <c r="S96" s="1243"/>
      <c r="T96" s="1243"/>
      <c r="U96" s="1243"/>
      <c r="V96" s="1243"/>
      <c r="W96" s="1243"/>
      <c r="X96" s="1243"/>
      <c r="Y96" s="1243"/>
      <c r="Z96" s="1243"/>
      <c r="AA96" s="1243"/>
      <c r="AB96" s="1243"/>
      <c r="AC96" s="1243"/>
      <c r="AD96" s="1243"/>
      <c r="AE96" s="1243"/>
      <c r="AF96" s="1243"/>
      <c r="AG96" s="1243"/>
      <c r="AH96" s="1243"/>
      <c r="AI96" s="1243"/>
      <c r="AJ96" s="1243"/>
      <c r="AK96" s="1243"/>
    </row>
    <row r="97" spans="1:38">
      <c r="A97" s="2"/>
      <c r="C97" s="1"/>
      <c r="D97" s="2"/>
      <c r="E97" s="2"/>
      <c r="G97" s="1243"/>
      <c r="H97" s="1243"/>
      <c r="I97" s="1243"/>
      <c r="J97" s="1243"/>
      <c r="K97" s="1243"/>
      <c r="L97" s="1243"/>
      <c r="M97" s="1243"/>
      <c r="N97" s="1243"/>
      <c r="O97" s="1243"/>
      <c r="P97" s="1243"/>
      <c r="Q97" s="1243"/>
      <c r="R97" s="1243"/>
      <c r="S97" s="1243"/>
      <c r="T97" s="1243"/>
      <c r="U97" s="1243"/>
      <c r="V97" s="1243"/>
      <c r="W97" s="1243"/>
      <c r="X97" s="1243"/>
      <c r="Y97" s="1243"/>
      <c r="Z97" s="1243"/>
      <c r="AA97" s="1243"/>
      <c r="AB97" s="1243"/>
      <c r="AC97" s="1243"/>
      <c r="AD97" s="1243"/>
      <c r="AE97" s="1243"/>
      <c r="AF97" s="1243"/>
      <c r="AG97" s="1243"/>
      <c r="AH97" s="1243"/>
      <c r="AI97" s="1243"/>
      <c r="AJ97" s="1243"/>
      <c r="AK97" s="1243"/>
    </row>
    <row r="98" spans="1:38">
      <c r="A98" s="2"/>
      <c r="D98" s="58"/>
      <c r="E98" s="1247" t="s">
        <v>69</v>
      </c>
      <c r="F98" s="1247"/>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row>
    <row r="99" spans="1:38">
      <c r="A99" s="2"/>
      <c r="D99" s="58"/>
      <c r="E99" s="1247"/>
      <c r="F99" s="1247"/>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row>
    <row r="133" spans="4:37">
      <c r="E133" s="69" t="s">
        <v>98</v>
      </c>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43" t="s">
        <v>158</v>
      </c>
      <c r="H205" s="1243"/>
      <c r="I205" s="1243"/>
      <c r="J205" s="1243"/>
      <c r="K205" s="1243"/>
      <c r="L205" s="1243"/>
      <c r="M205" s="1243"/>
      <c r="N205" s="1243"/>
      <c r="O205" s="1243"/>
      <c r="P205" s="1243"/>
      <c r="Q205" s="1243"/>
      <c r="R205" s="1243"/>
      <c r="S205" s="1243"/>
      <c r="T205" s="1243"/>
      <c r="U205" s="1243"/>
      <c r="V205" s="1243"/>
      <c r="W205" s="1243"/>
      <c r="X205" s="1243"/>
      <c r="Y205" s="1243"/>
      <c r="Z205" s="1243"/>
      <c r="AA205" s="1243"/>
      <c r="AB205" s="1243"/>
      <c r="AC205" s="1243"/>
      <c r="AD205" s="1243"/>
      <c r="AE205" s="1243"/>
      <c r="AF205" s="1243"/>
      <c r="AG205" s="1243"/>
      <c r="AH205" s="1243"/>
      <c r="AI205" s="1243"/>
      <c r="AJ205" s="1243"/>
      <c r="AK205" s="1243"/>
    </row>
    <row r="206" spans="2:37">
      <c r="B206" s="2"/>
      <c r="C206" s="2"/>
      <c r="D206" s="1"/>
      <c r="G206" s="1243"/>
      <c r="H206" s="1243"/>
      <c r="I206" s="1243"/>
      <c r="J206" s="1243"/>
      <c r="K206" s="1243"/>
      <c r="L206" s="1243"/>
      <c r="M206" s="1243"/>
      <c r="N206" s="1243"/>
      <c r="O206" s="1243"/>
      <c r="P206" s="1243"/>
      <c r="Q206" s="1243"/>
      <c r="R206" s="1243"/>
      <c r="S206" s="1243"/>
      <c r="T206" s="1243"/>
      <c r="U206" s="1243"/>
      <c r="V206" s="1243"/>
      <c r="W206" s="1243"/>
      <c r="X206" s="1243"/>
      <c r="Y206" s="1243"/>
      <c r="Z206" s="1243"/>
      <c r="AA206" s="1243"/>
      <c r="AB206" s="1243"/>
      <c r="AC206" s="1243"/>
      <c r="AD206" s="1243"/>
      <c r="AE206" s="1243"/>
      <c r="AF206" s="1243"/>
      <c r="AG206" s="1243"/>
      <c r="AH206" s="1243"/>
      <c r="AI206" s="1243"/>
      <c r="AJ206" s="1243"/>
      <c r="AK206" s="1243"/>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01"/>
      <c r="F221" s="1101"/>
      <c r="G221" s="1101"/>
      <c r="H221" s="1101"/>
      <c r="I221" s="1101"/>
      <c r="J221" s="1101"/>
      <c r="K221" s="4"/>
      <c r="L221" s="1101"/>
      <c r="M221" s="1101"/>
      <c r="N221" s="1101"/>
      <c r="O221" s="1101"/>
      <c r="P221" s="1101"/>
      <c r="Q221" s="1101"/>
      <c r="R221" s="1101"/>
      <c r="S221" s="1101"/>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01"/>
      <c r="K329" s="1101"/>
      <c r="L329" s="1101"/>
      <c r="M329" s="1101"/>
      <c r="N329" s="1101"/>
      <c r="O329" s="1101"/>
      <c r="P329" s="1101"/>
      <c r="Q329" s="1101"/>
      <c r="R329" s="1101"/>
      <c r="S329" s="1101"/>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43" t="s">
        <v>263</v>
      </c>
      <c r="G336" s="1243"/>
      <c r="H336" s="1243"/>
      <c r="I336" s="1243"/>
      <c r="J336" s="1243"/>
      <c r="K336" s="1243"/>
      <c r="L336" s="1243"/>
      <c r="M336" s="1243"/>
      <c r="N336" s="1243"/>
      <c r="O336" s="1243"/>
      <c r="P336" s="1243"/>
      <c r="Q336" s="1243"/>
      <c r="R336" s="1243"/>
      <c r="S336" s="1243"/>
      <c r="T336" s="1243"/>
      <c r="U336" s="1243"/>
      <c r="V336" s="1243"/>
      <c r="W336" s="1243"/>
      <c r="X336" s="1243"/>
      <c r="Y336" s="1243"/>
      <c r="Z336" s="1243"/>
      <c r="AA336" s="1243"/>
      <c r="AB336" s="1243"/>
      <c r="AC336" s="1243"/>
      <c r="AD336" s="1243"/>
      <c r="AE336" s="1243"/>
      <c r="AF336" s="1243"/>
      <c r="AG336" s="1243"/>
      <c r="AH336" s="1243"/>
      <c r="AI336" s="1243"/>
      <c r="AJ336" s="1243"/>
      <c r="AK336" s="1243"/>
    </row>
    <row r="337" spans="2:37">
      <c r="B337" s="1"/>
      <c r="E337" s="2"/>
      <c r="F337" s="1243"/>
      <c r="G337" s="1243"/>
      <c r="H337" s="1243"/>
      <c r="I337" s="1243"/>
      <c r="J337" s="1243"/>
      <c r="K337" s="1243"/>
      <c r="L337" s="1243"/>
      <c r="M337" s="1243"/>
      <c r="N337" s="1243"/>
      <c r="O337" s="1243"/>
      <c r="P337" s="1243"/>
      <c r="Q337" s="1243"/>
      <c r="R337" s="1243"/>
      <c r="S337" s="1243"/>
      <c r="T337" s="1243"/>
      <c r="U337" s="1243"/>
      <c r="V337" s="1243"/>
      <c r="W337" s="1243"/>
      <c r="X337" s="1243"/>
      <c r="Y337" s="1243"/>
      <c r="Z337" s="1243"/>
      <c r="AA337" s="1243"/>
      <c r="AB337" s="1243"/>
      <c r="AC337" s="1243"/>
      <c r="AD337" s="1243"/>
      <c r="AE337" s="1243"/>
      <c r="AF337" s="1243"/>
      <c r="AG337" s="1243"/>
      <c r="AH337" s="1243"/>
      <c r="AI337" s="1243"/>
      <c r="AJ337" s="1243"/>
      <c r="AK337" s="1243"/>
    </row>
    <row r="338" spans="2:37">
      <c r="B338" s="1"/>
      <c r="E338" s="2"/>
      <c r="F338" s="1243"/>
      <c r="G338" s="1243"/>
      <c r="H338" s="1243"/>
      <c r="I338" s="1243"/>
      <c r="J338" s="1243"/>
      <c r="K338" s="1243"/>
      <c r="L338" s="1243"/>
      <c r="M338" s="1243"/>
      <c r="N338" s="1243"/>
      <c r="O338" s="1243"/>
      <c r="P338" s="1243"/>
      <c r="Q338" s="1243"/>
      <c r="R338" s="1243"/>
      <c r="S338" s="1243"/>
      <c r="T338" s="1243"/>
      <c r="U338" s="1243"/>
      <c r="V338" s="1243"/>
      <c r="W338" s="1243"/>
      <c r="X338" s="1243"/>
      <c r="Y338" s="1243"/>
      <c r="Z338" s="1243"/>
      <c r="AA338" s="1243"/>
      <c r="AB338" s="1243"/>
      <c r="AC338" s="1243"/>
      <c r="AD338" s="1243"/>
      <c r="AE338" s="1243"/>
      <c r="AF338" s="1243"/>
      <c r="AG338" s="1243"/>
      <c r="AH338" s="1243"/>
      <c r="AI338" s="1243"/>
      <c r="AJ338" s="1243"/>
      <c r="AK338" s="1243"/>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5" customHeight="1">
      <c r="B341" s="1"/>
      <c r="E341" s="1248" t="s">
        <v>265</v>
      </c>
      <c r="F341" s="1248"/>
      <c r="G341" s="1248"/>
      <c r="H341" s="1248"/>
      <c r="I341" s="1248"/>
      <c r="J341" s="1248"/>
      <c r="K341" s="1248"/>
      <c r="L341" s="1248"/>
      <c r="M341" s="1248"/>
      <c r="N341" s="1248"/>
      <c r="O341" s="1248"/>
      <c r="P341" s="1248"/>
      <c r="Q341" s="1248"/>
      <c r="R341" s="1248"/>
      <c r="S341" s="1248"/>
      <c r="T341" s="1248"/>
      <c r="U341" s="1248"/>
      <c r="V341" s="1248"/>
      <c r="W341" s="1248"/>
      <c r="X341" s="1248"/>
      <c r="Y341" s="1248"/>
      <c r="Z341" s="1248"/>
      <c r="AA341" s="1248"/>
      <c r="AB341" s="1248"/>
      <c r="AC341" s="1248"/>
      <c r="AD341" s="1248"/>
      <c r="AE341" s="1248"/>
      <c r="AF341" s="1248"/>
      <c r="AG341" s="1248"/>
      <c r="AH341" s="1248"/>
      <c r="AI341" s="1248"/>
      <c r="AJ341" s="1248"/>
      <c r="AK341" s="1248"/>
    </row>
    <row r="342" spans="2:37">
      <c r="B342" s="1"/>
      <c r="E342" s="1248"/>
      <c r="F342" s="1248"/>
      <c r="G342" s="1248"/>
      <c r="H342" s="1248"/>
      <c r="I342" s="1248"/>
      <c r="J342" s="1248"/>
      <c r="K342" s="1248"/>
      <c r="L342" s="1248"/>
      <c r="M342" s="1248"/>
      <c r="N342" s="1248"/>
      <c r="O342" s="1248"/>
      <c r="P342" s="1248"/>
      <c r="Q342" s="1248"/>
      <c r="R342" s="1248"/>
      <c r="S342" s="1248"/>
      <c r="T342" s="1248"/>
      <c r="U342" s="1248"/>
      <c r="V342" s="1248"/>
      <c r="W342" s="1248"/>
      <c r="X342" s="1248"/>
      <c r="Y342" s="1248"/>
      <c r="Z342" s="1248"/>
      <c r="AA342" s="1248"/>
      <c r="AB342" s="1248"/>
      <c r="AC342" s="1248"/>
      <c r="AD342" s="1248"/>
      <c r="AE342" s="1248"/>
      <c r="AF342" s="1248"/>
      <c r="AG342" s="1248"/>
      <c r="AH342" s="1248"/>
      <c r="AI342" s="1248"/>
      <c r="AJ342" s="1248"/>
      <c r="AK342" s="1248"/>
    </row>
    <row r="343" spans="2:37">
      <c r="B343" s="1"/>
      <c r="E343" s="1248"/>
      <c r="F343" s="1248"/>
      <c r="G343" s="1248"/>
      <c r="H343" s="1248"/>
      <c r="I343" s="1248"/>
      <c r="J343" s="1248"/>
      <c r="K343" s="1248"/>
      <c r="L343" s="1248"/>
      <c r="M343" s="1248"/>
      <c r="N343" s="1248"/>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row>
    <row r="344" spans="2:37">
      <c r="B344" s="1"/>
      <c r="E344" s="1248"/>
      <c r="F344" s="1248"/>
      <c r="G344" s="1248"/>
      <c r="H344" s="1248"/>
      <c r="I344" s="1248"/>
      <c r="J344" s="1248"/>
      <c r="K344" s="1248"/>
      <c r="L344" s="1248"/>
      <c r="M344" s="1248"/>
      <c r="N344" s="1248"/>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row>
    <row r="345" spans="2:37">
      <c r="B345" s="1"/>
      <c r="E345" s="1248"/>
      <c r="F345" s="1248"/>
      <c r="G345" s="1248"/>
      <c r="H345" s="1248"/>
      <c r="I345" s="1248"/>
      <c r="J345" s="1248"/>
      <c r="K345" s="1248"/>
      <c r="L345" s="1248"/>
      <c r="M345" s="1248"/>
      <c r="N345" s="1248"/>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row>
    <row r="346" spans="2:37">
      <c r="B346" s="1"/>
      <c r="E346" s="2" t="s">
        <v>18</v>
      </c>
      <c r="F346" s="1243" t="s">
        <v>266</v>
      </c>
      <c r="G346" s="1243"/>
      <c r="H346" s="1243"/>
      <c r="I346" s="1243"/>
      <c r="J346" s="1243"/>
      <c r="K346" s="1243"/>
      <c r="L346" s="1243"/>
      <c r="M346" s="1243"/>
      <c r="N346" s="1243"/>
      <c r="O346" s="1243"/>
      <c r="P346" s="1243"/>
      <c r="Q346" s="1243"/>
      <c r="R346" s="1243"/>
      <c r="S346" s="1243"/>
      <c r="T346" s="1243"/>
      <c r="U346" s="1243"/>
      <c r="V346" s="1243"/>
      <c r="W346" s="1243"/>
      <c r="X346" s="1243"/>
      <c r="Y346" s="1243"/>
      <c r="Z346" s="1243"/>
      <c r="AA346" s="1243"/>
      <c r="AB346" s="1243"/>
      <c r="AC346" s="1243"/>
      <c r="AD346" s="1243"/>
      <c r="AE346" s="1243"/>
      <c r="AF346" s="1243"/>
      <c r="AG346" s="1243"/>
      <c r="AH346" s="1243"/>
      <c r="AI346" s="1243"/>
      <c r="AJ346" s="1243"/>
      <c r="AK346" s="1243"/>
    </row>
    <row r="347" spans="2:37">
      <c r="B347" s="1"/>
      <c r="E347" s="2"/>
      <c r="F347" s="1243"/>
      <c r="G347" s="1243"/>
      <c r="H347" s="1243"/>
      <c r="I347" s="1243"/>
      <c r="J347" s="1243"/>
      <c r="K347" s="1243"/>
      <c r="L347" s="1243"/>
      <c r="M347" s="1243"/>
      <c r="N347" s="1243"/>
      <c r="O347" s="1243"/>
      <c r="P347" s="1243"/>
      <c r="Q347" s="1243"/>
      <c r="R347" s="1243"/>
      <c r="S347" s="1243"/>
      <c r="T347" s="1243"/>
      <c r="U347" s="1243"/>
      <c r="V347" s="1243"/>
      <c r="W347" s="1243"/>
      <c r="X347" s="1243"/>
      <c r="Y347" s="1243"/>
      <c r="Z347" s="1243"/>
      <c r="AA347" s="1243"/>
      <c r="AB347" s="1243"/>
      <c r="AC347" s="1243"/>
      <c r="AD347" s="1243"/>
      <c r="AE347" s="1243"/>
      <c r="AF347" s="1243"/>
      <c r="AG347" s="1243"/>
      <c r="AH347" s="1243"/>
      <c r="AI347" s="1243"/>
      <c r="AJ347" s="1243"/>
      <c r="AK347" s="1243"/>
    </row>
    <row r="348" spans="2:37">
      <c r="B348" s="1"/>
      <c r="E348" s="2"/>
      <c r="F348" s="1243"/>
      <c r="G348" s="1243"/>
      <c r="H348" s="1243"/>
      <c r="I348" s="1243"/>
      <c r="J348" s="1243"/>
      <c r="K348" s="1243"/>
      <c r="L348" s="1243"/>
      <c r="M348" s="1243"/>
      <c r="N348" s="1243"/>
      <c r="O348" s="1243"/>
      <c r="P348" s="1243"/>
      <c r="Q348" s="1243"/>
      <c r="R348" s="1243"/>
      <c r="S348" s="1243"/>
      <c r="T348" s="1243"/>
      <c r="U348" s="1243"/>
      <c r="V348" s="1243"/>
      <c r="W348" s="1243"/>
      <c r="X348" s="1243"/>
      <c r="Y348" s="1243"/>
      <c r="Z348" s="1243"/>
      <c r="AA348" s="1243"/>
      <c r="AB348" s="1243"/>
      <c r="AC348" s="1243"/>
      <c r="AD348" s="1243"/>
      <c r="AE348" s="1243"/>
      <c r="AF348" s="1243"/>
      <c r="AG348" s="1243"/>
      <c r="AH348" s="1243"/>
      <c r="AI348" s="1243"/>
      <c r="AJ348" s="1243"/>
      <c r="AK348" s="1243"/>
    </row>
    <row r="349" spans="2:37">
      <c r="B349" s="1"/>
      <c r="E349" s="2"/>
      <c r="F349" s="1243"/>
      <c r="G349" s="1243"/>
      <c r="H349" s="1243"/>
      <c r="I349" s="1243"/>
      <c r="J349" s="1243"/>
      <c r="K349" s="1243"/>
      <c r="L349" s="1243"/>
      <c r="M349" s="1243"/>
      <c r="N349" s="1243"/>
      <c r="O349" s="1243"/>
      <c r="P349" s="1243"/>
      <c r="Q349" s="1243"/>
      <c r="R349" s="1243"/>
      <c r="S349" s="1243"/>
      <c r="T349" s="1243"/>
      <c r="U349" s="1243"/>
      <c r="V349" s="1243"/>
      <c r="W349" s="1243"/>
      <c r="X349" s="1243"/>
      <c r="Y349" s="1243"/>
      <c r="Z349" s="1243"/>
      <c r="AA349" s="1243"/>
      <c r="AB349" s="1243"/>
      <c r="AC349" s="1243"/>
      <c r="AD349" s="1243"/>
      <c r="AE349" s="1243"/>
      <c r="AF349" s="1243"/>
      <c r="AG349" s="1243"/>
      <c r="AH349" s="1243"/>
      <c r="AI349" s="1243"/>
      <c r="AJ349" s="1243"/>
      <c r="AK349" s="1243"/>
    </row>
    <row r="350" spans="2:37">
      <c r="B350" s="1"/>
      <c r="E350" s="2" t="s">
        <v>31</v>
      </c>
      <c r="F350" s="1243" t="s">
        <v>267</v>
      </c>
      <c r="G350" s="1243"/>
      <c r="H350" s="1243"/>
      <c r="I350" s="1243"/>
      <c r="J350" s="1243"/>
      <c r="K350" s="1243"/>
      <c r="L350" s="1243"/>
      <c r="M350" s="1243"/>
      <c r="N350" s="1243"/>
      <c r="O350" s="1243"/>
      <c r="P350" s="1243"/>
      <c r="Q350" s="1243"/>
      <c r="R350" s="1243"/>
      <c r="S350" s="1243"/>
      <c r="T350" s="1243"/>
      <c r="U350" s="1243"/>
      <c r="V350" s="1243"/>
      <c r="W350" s="1243"/>
      <c r="X350" s="1243"/>
      <c r="Y350" s="1243"/>
      <c r="Z350" s="1243"/>
      <c r="AA350" s="1243"/>
      <c r="AB350" s="1243"/>
      <c r="AC350" s="1243"/>
      <c r="AD350" s="1243"/>
      <c r="AE350" s="1243"/>
      <c r="AF350" s="1243"/>
      <c r="AG350" s="1243"/>
      <c r="AH350" s="1243"/>
      <c r="AI350" s="1243"/>
      <c r="AJ350" s="1243"/>
      <c r="AK350" s="1243"/>
    </row>
    <row r="351" spans="2:37">
      <c r="B351" s="1"/>
      <c r="F351" s="1243"/>
      <c r="G351" s="1243"/>
      <c r="H351" s="1243"/>
      <c r="I351" s="1243"/>
      <c r="J351" s="1243"/>
      <c r="K351" s="1243"/>
      <c r="L351" s="1243"/>
      <c r="M351" s="1243"/>
      <c r="N351" s="1243"/>
      <c r="O351" s="1243"/>
      <c r="P351" s="1243"/>
      <c r="Q351" s="1243"/>
      <c r="R351" s="1243"/>
      <c r="S351" s="1243"/>
      <c r="T351" s="1243"/>
      <c r="U351" s="1243"/>
      <c r="V351" s="1243"/>
      <c r="W351" s="1243"/>
      <c r="X351" s="1243"/>
      <c r="Y351" s="1243"/>
      <c r="Z351" s="1243"/>
      <c r="AA351" s="1243"/>
      <c r="AB351" s="1243"/>
      <c r="AC351" s="1243"/>
      <c r="AD351" s="1243"/>
      <c r="AE351" s="1243"/>
      <c r="AF351" s="1243"/>
      <c r="AG351" s="1243"/>
      <c r="AH351" s="1243"/>
      <c r="AI351" s="1243"/>
      <c r="AJ351" s="1243"/>
      <c r="AK351" s="1243"/>
    </row>
    <row r="352" spans="2:37">
      <c r="B352" s="1"/>
      <c r="F352" s="1243"/>
      <c r="G352" s="1243"/>
      <c r="H352" s="1243"/>
      <c r="I352" s="1243"/>
      <c r="J352" s="1243"/>
      <c r="K352" s="1243"/>
      <c r="L352" s="1243"/>
      <c r="M352" s="1243"/>
      <c r="N352" s="1243"/>
      <c r="O352" s="1243"/>
      <c r="P352" s="1243"/>
      <c r="Q352" s="1243"/>
      <c r="R352" s="1243"/>
      <c r="S352" s="1243"/>
      <c r="T352" s="1243"/>
      <c r="U352" s="1243"/>
      <c r="V352" s="1243"/>
      <c r="W352" s="1243"/>
      <c r="X352" s="1243"/>
      <c r="Y352" s="1243"/>
      <c r="Z352" s="1243"/>
      <c r="AA352" s="1243"/>
      <c r="AB352" s="1243"/>
      <c r="AC352" s="1243"/>
      <c r="AD352" s="1243"/>
      <c r="AE352" s="1243"/>
      <c r="AF352" s="1243"/>
      <c r="AG352" s="1243"/>
      <c r="AH352" s="1243"/>
      <c r="AI352" s="1243"/>
      <c r="AJ352" s="1243"/>
      <c r="AK352" s="1243"/>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01"/>
      <c r="N354" s="1101"/>
      <c r="O354" s="1101"/>
      <c r="P354" s="1101"/>
      <c r="Q354" s="1101"/>
      <c r="R354" s="1101"/>
      <c r="S354" s="1101"/>
      <c r="T354" s="1101"/>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5" customHeight="1">
      <c r="B357" s="1"/>
      <c r="C357" s="1"/>
      <c r="E357" s="1042"/>
      <c r="F357" s="1042"/>
      <c r="G357" s="1042"/>
      <c r="H357" s="1042"/>
      <c r="I357" s="1042"/>
      <c r="J357" s="1042"/>
      <c r="K357" s="1042"/>
      <c r="L357" s="1042"/>
      <c r="M357" s="1042"/>
      <c r="N357" s="1042"/>
      <c r="O357" s="1042"/>
      <c r="P357" s="1042"/>
      <c r="Q357" s="1042"/>
      <c r="R357" s="1042"/>
      <c r="S357" s="1042"/>
      <c r="T357" s="1042"/>
      <c r="U357" s="1042"/>
      <c r="V357" s="1042"/>
      <c r="W357" s="1042"/>
      <c r="X357" s="1042"/>
      <c r="Y357" s="1042"/>
      <c r="Z357" s="1042"/>
      <c r="AA357" s="1042"/>
      <c r="AB357" s="1042"/>
      <c r="AC357" s="1042"/>
      <c r="AD357" s="1042"/>
      <c r="AE357" s="1042"/>
      <c r="AF357" s="1042"/>
      <c r="AG357" s="1042"/>
      <c r="AH357" s="1042"/>
      <c r="AI357" s="1042"/>
      <c r="AJ357" s="1042"/>
      <c r="AK357" s="1042"/>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51" t="s">
        <v>277</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row>
    <row r="366" spans="1:38">
      <c r="B366" s="1"/>
      <c r="E366" s="1251"/>
      <c r="F366" s="1251"/>
      <c r="G366" s="1251"/>
      <c r="H366" s="1251"/>
      <c r="I366" s="1251"/>
      <c r="J366" s="1251"/>
      <c r="K366" s="1251"/>
      <c r="L366" s="1251"/>
      <c r="M366" s="1251"/>
      <c r="N366" s="1251"/>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row>
    <row r="367" spans="1:38" s="1252" customFormat="1">
      <c r="A367"/>
      <c r="B367" s="1"/>
      <c r="C367"/>
      <c r="D367"/>
      <c r="E367" s="1249" t="s">
        <v>278</v>
      </c>
      <c r="F367" s="1249"/>
      <c r="G367" s="1249"/>
      <c r="H367" s="1249"/>
      <c r="I367" s="1249"/>
      <c r="J367" s="1249"/>
      <c r="K367" s="1249"/>
      <c r="L367" s="1249"/>
      <c r="M367" s="1249"/>
      <c r="N367" s="1249"/>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row>
    <row r="368" spans="1:38" s="1252" customFormat="1">
      <c r="A368"/>
      <c r="B368" s="1"/>
      <c r="C368" s="1"/>
      <c r="D368"/>
      <c r="E368" s="1249"/>
      <c r="F368" s="1249"/>
      <c r="G368" s="1249"/>
      <c r="H368" s="1249"/>
      <c r="I368" s="1249"/>
      <c r="J368" s="1249"/>
      <c r="K368" s="1249"/>
      <c r="L368" s="1249"/>
      <c r="M368" s="1249"/>
      <c r="N368" s="1249"/>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row>
    <row r="369" spans="1:38">
      <c r="B369" s="1"/>
      <c r="E369" s="2"/>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c r="AF369" s="1067"/>
      <c r="AG369" s="1067"/>
      <c r="AH369" s="1067"/>
      <c r="AI369" s="1067"/>
      <c r="AJ369" s="1067"/>
      <c r="AK369" s="106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43" t="s">
        <v>290</v>
      </c>
      <c r="G386" s="1243"/>
      <c r="H386" s="1243"/>
      <c r="I386" s="1243"/>
      <c r="J386" s="1243"/>
      <c r="K386" s="1243"/>
      <c r="L386" s="1243"/>
      <c r="M386" s="1243"/>
      <c r="N386" s="1243"/>
      <c r="O386" s="1243"/>
      <c r="P386" s="1243"/>
      <c r="Q386" s="1243"/>
      <c r="R386" s="1243"/>
      <c r="S386" s="1243"/>
      <c r="T386" s="1243"/>
      <c r="U386" s="1243"/>
      <c r="V386" s="1243"/>
      <c r="W386" s="1243"/>
      <c r="X386" s="1243"/>
      <c r="Y386" s="1243"/>
      <c r="Z386" s="1243"/>
      <c r="AA386" s="1243"/>
      <c r="AB386" s="1243"/>
      <c r="AC386" s="1243"/>
      <c r="AD386" s="1243"/>
      <c r="AE386" s="1243"/>
      <c r="AF386" s="1243"/>
      <c r="AG386" s="1243"/>
      <c r="AH386" s="1243"/>
      <c r="AI386" s="1243"/>
      <c r="AJ386" s="1243"/>
      <c r="AK386" s="1243"/>
    </row>
    <row r="387" spans="1:38">
      <c r="B387" s="1"/>
      <c r="E387" s="2"/>
      <c r="F387" s="1243"/>
      <c r="G387" s="1243"/>
      <c r="H387" s="1243"/>
      <c r="I387" s="1243"/>
      <c r="J387" s="1243"/>
      <c r="K387" s="1243"/>
      <c r="L387" s="1243"/>
      <c r="M387" s="1243"/>
      <c r="N387" s="1243"/>
      <c r="O387" s="1243"/>
      <c r="P387" s="1243"/>
      <c r="Q387" s="1243"/>
      <c r="R387" s="1243"/>
      <c r="S387" s="1243"/>
      <c r="T387" s="1243"/>
      <c r="U387" s="1243"/>
      <c r="V387" s="1243"/>
      <c r="W387" s="1243"/>
      <c r="X387" s="1243"/>
      <c r="Y387" s="1243"/>
      <c r="Z387" s="1243"/>
      <c r="AA387" s="1243"/>
      <c r="AB387" s="1243"/>
      <c r="AC387" s="1243"/>
      <c r="AD387" s="1243"/>
      <c r="AE387" s="1243"/>
      <c r="AF387" s="1243"/>
      <c r="AG387" s="1243"/>
      <c r="AH387" s="1243"/>
      <c r="AI387" s="1243"/>
      <c r="AJ387" s="1243"/>
      <c r="AK387" s="1243"/>
    </row>
    <row r="388" spans="1:38">
      <c r="B388" s="1"/>
      <c r="E388" s="2"/>
      <c r="F388" s="1243"/>
      <c r="G388" s="1243"/>
      <c r="H388" s="1243"/>
      <c r="I388" s="1243"/>
      <c r="J388" s="1243"/>
      <c r="K388" s="1243"/>
      <c r="L388" s="1243"/>
      <c r="M388" s="1243"/>
      <c r="N388" s="1243"/>
      <c r="O388" s="1243"/>
      <c r="P388" s="1243"/>
      <c r="Q388" s="1243"/>
      <c r="R388" s="1243"/>
      <c r="S388" s="1243"/>
      <c r="T388" s="1243"/>
      <c r="U388" s="1243"/>
      <c r="V388" s="1243"/>
      <c r="W388" s="1243"/>
      <c r="X388" s="1243"/>
      <c r="Y388" s="1243"/>
      <c r="Z388" s="1243"/>
      <c r="AA388" s="1243"/>
      <c r="AB388" s="1243"/>
      <c r="AC388" s="1243"/>
      <c r="AD388" s="1243"/>
      <c r="AE388" s="1243"/>
      <c r="AF388" s="1243"/>
      <c r="AG388" s="1243"/>
      <c r="AH388" s="1243"/>
      <c r="AI388" s="1243"/>
      <c r="AJ388" s="1243"/>
      <c r="AK388" s="1243"/>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2"/>
    </row>
    <row r="390" spans="1:38">
      <c r="B390" s="1"/>
      <c r="C390" s="1"/>
      <c r="D390" s="1" t="s">
        <v>106</v>
      </c>
      <c r="E390" s="1" t="s">
        <v>291</v>
      </c>
      <c r="F390" s="2"/>
      <c r="G390" s="1"/>
      <c r="I390" s="70"/>
      <c r="J390" s="2"/>
      <c r="K390" s="2"/>
      <c r="L390" s="2"/>
      <c r="M390" s="2"/>
      <c r="N390" s="2"/>
      <c r="O390" s="2"/>
      <c r="P390" s="2"/>
      <c r="Q390" s="2"/>
      <c r="R390" s="2"/>
      <c r="S390" s="2"/>
    </row>
    <row r="391" spans="1:38" ht="13.5" customHeight="1">
      <c r="B391" s="1"/>
      <c r="D391" s="1"/>
      <c r="E391" s="2" t="s">
        <v>292</v>
      </c>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c r="AF391" s="1067"/>
      <c r="AG391" s="1067"/>
      <c r="AH391" s="1067"/>
      <c r="AI391" s="1067"/>
      <c r="AJ391" s="1067"/>
      <c r="AK391" s="1067"/>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activeCell="I141" sqref="I141"/>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93" t="s">
        <v>2457</v>
      </c>
      <c r="B1" s="2593"/>
      <c r="C1" s="2593"/>
      <c r="D1" s="2593"/>
      <c r="E1" s="2593"/>
      <c r="F1" s="2593"/>
      <c r="G1" s="2593"/>
      <c r="H1" s="2593"/>
      <c r="I1" s="2593"/>
      <c r="J1" s="2593"/>
    </row>
    <row r="2" spans="1:13" ht="15" customHeight="1" thickBot="1">
      <c r="A2" s="825"/>
      <c r="B2" s="825"/>
      <c r="I2" s="826"/>
      <c r="K2" s="827"/>
    </row>
    <row r="3" spans="1:13" s="830" customFormat="1" ht="20.25" customHeight="1">
      <c r="A3" s="877"/>
      <c r="B3" s="878"/>
      <c r="C3" s="879"/>
      <c r="D3" s="884"/>
      <c r="E3" s="879"/>
      <c r="F3" s="880" t="s">
        <v>2458</v>
      </c>
      <c r="G3" s="879"/>
      <c r="H3" s="881">
        <f>E18</f>
        <v>53099096</v>
      </c>
      <c r="I3" s="882"/>
    </row>
    <row r="4" spans="1:13" s="830" customFormat="1" ht="20.25" customHeight="1">
      <c r="B4" s="871"/>
      <c r="D4" s="885"/>
      <c r="F4" s="870" t="s">
        <v>2459</v>
      </c>
      <c r="G4" s="869" t="s">
        <v>2460</v>
      </c>
      <c r="H4" s="980">
        <f>I18</f>
        <v>27418614.919669643</v>
      </c>
      <c r="I4" s="872"/>
      <c r="K4" s="834"/>
    </row>
    <row r="5" spans="1:13" s="830" customFormat="1" ht="20.25" customHeight="1" thickBot="1">
      <c r="B5" s="873"/>
      <c r="C5" s="874"/>
      <c r="D5" s="886"/>
      <c r="E5" s="875"/>
      <c r="F5" s="886" t="s">
        <v>2461</v>
      </c>
      <c r="G5" s="887"/>
      <c r="H5" s="883">
        <f>IFERROR(H3/H4,0)</f>
        <v>1.9366075257837922</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96" t="s">
        <v>2462</v>
      </c>
      <c r="C8" s="2597"/>
      <c r="D8" s="2597"/>
      <c r="E8" s="2598"/>
      <c r="G8" s="2577" t="s">
        <v>2463</v>
      </c>
      <c r="H8" s="2578"/>
      <c r="I8" s="2579"/>
      <c r="K8" s="836"/>
    </row>
    <row r="9" spans="1:13" ht="15" customHeight="1">
      <c r="A9" s="825"/>
      <c r="B9" s="2594" t="s">
        <v>2464</v>
      </c>
      <c r="C9" s="2594"/>
      <c r="D9" s="2594"/>
      <c r="E9" s="838">
        <f>G33</f>
        <v>9000000</v>
      </c>
      <c r="G9" s="2590" t="s">
        <v>2465</v>
      </c>
      <c r="H9" s="2590"/>
      <c r="I9" s="839">
        <f>MAX(SUMIF(Application!M562:M573,"Loan, Tax-Exempt",Application!AM562:AM573),27.5%*SUM('Sources and Uses Budget'!C8,'Sources and Uses Budget'!S105,'Sources and Uses Budget'!T105))</f>
        <v>28670572.425000001</v>
      </c>
      <c r="K9" s="840"/>
      <c r="M9" s="841"/>
    </row>
    <row r="10" spans="1:13" ht="15" customHeight="1" thickBot="1">
      <c r="A10" s="825"/>
      <c r="B10" s="2594" t="s">
        <v>2466</v>
      </c>
      <c r="C10" s="2594"/>
      <c r="D10" s="2594"/>
      <c r="E10" s="839">
        <f>G47</f>
        <v>24519096.000000004</v>
      </c>
      <c r="G10" s="2592" t="s">
        <v>2467</v>
      </c>
      <c r="H10" s="2592"/>
      <c r="I10" s="916">
        <f>IF(OR(Application!Z205="State Farmworker Credit",Application!Z205="$500M (Farmworker Housing)"),0,'Basis &amp; Credits'!AB78)</f>
        <v>6562159</v>
      </c>
      <c r="M10" s="841"/>
    </row>
    <row r="11" spans="1:13" ht="15" customHeight="1">
      <c r="A11" s="825"/>
      <c r="B11" s="2600" t="s">
        <v>2468</v>
      </c>
      <c r="C11" s="2601"/>
      <c r="D11" s="2602"/>
      <c r="E11" s="839">
        <f>SUM(E13,E12)</f>
        <v>1040000</v>
      </c>
      <c r="G11" s="2599" t="s">
        <v>2469</v>
      </c>
      <c r="H11" s="2599"/>
      <c r="I11" s="915">
        <f>I9+I10</f>
        <v>35232731.424999997</v>
      </c>
      <c r="M11" s="841"/>
    </row>
    <row r="12" spans="1:13" ht="15" customHeight="1">
      <c r="A12" s="842"/>
      <c r="B12" s="2595" t="s">
        <v>2470</v>
      </c>
      <c r="C12" s="2595"/>
      <c r="D12" s="2595"/>
      <c r="E12" s="939">
        <f>G56</f>
        <v>940000</v>
      </c>
      <c r="M12" s="841"/>
    </row>
    <row r="13" spans="1:13" ht="15" customHeight="1">
      <c r="A13" s="828"/>
      <c r="B13" s="2595" t="s">
        <v>2471</v>
      </c>
      <c r="C13" s="2595"/>
      <c r="D13" s="2595"/>
      <c r="E13" s="939">
        <f>IF(G67,MAX(G65,G79),G65)</f>
        <v>100000</v>
      </c>
      <c r="G13" s="2577" t="s">
        <v>2472</v>
      </c>
      <c r="H13" s="2578"/>
      <c r="I13" s="2579"/>
    </row>
    <row r="14" spans="1:13" ht="15" customHeight="1">
      <c r="A14" s="828"/>
      <c r="B14" s="2600" t="s">
        <v>2473</v>
      </c>
      <c r="C14" s="2601"/>
      <c r="D14" s="2602"/>
      <c r="E14" s="941">
        <f>MAX(E15,E16)+E17</f>
        <v>18540000</v>
      </c>
      <c r="G14" s="2590" t="s">
        <v>2474</v>
      </c>
      <c r="H14" s="2590"/>
      <c r="I14" s="843">
        <f>IF(AND(G134="Yes",G136&lt;&gt;""),IF(OR(G141="Yes",G145="Yes"),18%,15%),0)</f>
        <v>0.15</v>
      </c>
      <c r="M14" s="841"/>
    </row>
    <row r="15" spans="1:13" ht="15" customHeight="1">
      <c r="A15" s="828"/>
      <c r="B15" s="2574" t="s">
        <v>2475</v>
      </c>
      <c r="C15" s="2575"/>
      <c r="D15" s="2576"/>
      <c r="E15" s="939">
        <f>G94</f>
        <v>5400000</v>
      </c>
      <c r="G15" s="1155" t="s">
        <v>1788</v>
      </c>
      <c r="H15" s="1155"/>
      <c r="I15" s="843">
        <f>IF(Application!AJ1041&gt;0,10%,IF(Application!AJ1045&gt;0,5%,0))</f>
        <v>0.05</v>
      </c>
      <c r="M15" s="841"/>
    </row>
    <row r="16" spans="1:13" ht="15" customHeight="1">
      <c r="A16" s="828"/>
      <c r="B16" s="2574" t="s">
        <v>2476</v>
      </c>
      <c r="C16" s="2575"/>
      <c r="D16" s="2576"/>
      <c r="E16" s="939">
        <f>G104</f>
        <v>0</v>
      </c>
      <c r="G16" s="2590" t="s">
        <v>2477</v>
      </c>
      <c r="H16" s="2590"/>
      <c r="I16" s="843">
        <f>G155</f>
        <v>2.1785714285714287E-2</v>
      </c>
    </row>
    <row r="17" spans="1:21" ht="15" customHeight="1" thickBot="1">
      <c r="A17" s="828"/>
      <c r="B17" s="2574" t="s">
        <v>2478</v>
      </c>
      <c r="C17" s="2575"/>
      <c r="D17" s="2576"/>
      <c r="E17" s="939">
        <f>G129</f>
        <v>13140000</v>
      </c>
      <c r="G17" s="2590" t="s">
        <v>2479</v>
      </c>
      <c r="H17" s="2590"/>
      <c r="I17" s="843">
        <f>IF(AND(G161="Yes",G159),IF(G165&gt;15%,15%,G165),0)</f>
        <v>0</v>
      </c>
    </row>
    <row r="18" spans="1:21" ht="15" customHeight="1">
      <c r="A18" s="825"/>
      <c r="B18" s="2591" t="s">
        <v>2480</v>
      </c>
      <c r="C18" s="2591"/>
      <c r="D18" s="2591"/>
      <c r="E18" s="888">
        <f>SUM(E9:E11,E14)</f>
        <v>53099096</v>
      </c>
      <c r="G18" s="914" t="s">
        <v>2481</v>
      </c>
      <c r="H18" s="914"/>
      <c r="I18" s="889">
        <f>I11-((I11*I14)+(I11*I15)+(I11*I16)+(I11*I17))</f>
        <v>27418614.919669643</v>
      </c>
      <c r="M18" s="844">
        <f>SUM(Cdlac[Quantity])</f>
        <v>151</v>
      </c>
      <c r="O18" s="863" t="s">
        <v>932</v>
      </c>
      <c r="P18" s="823">
        <f>MATCH(Application!T189,Application!CB160:CB217,0)</f>
        <v>19</v>
      </c>
      <c r="T18" s="844">
        <f>SUM(Cdlac[Population])</f>
        <v>10</v>
      </c>
    </row>
    <row r="19" spans="1:21" ht="15" customHeight="1">
      <c r="A19" s="825"/>
      <c r="B19" s="825"/>
      <c r="C19" s="825"/>
      <c r="D19" s="825"/>
      <c r="E19" s="825"/>
      <c r="L19" s="823" t="s">
        <v>2482</v>
      </c>
      <c r="M19" s="823" t="s">
        <v>2483</v>
      </c>
      <c r="N19" s="823" t="s">
        <v>2484</v>
      </c>
      <c r="O19" s="823" t="s">
        <v>2485</v>
      </c>
      <c r="P19" s="823" t="s">
        <v>2486</v>
      </c>
      <c r="Q19" s="823" t="s">
        <v>2487</v>
      </c>
      <c r="R19" s="823" t="s">
        <v>2488</v>
      </c>
      <c r="S19" s="823" t="s">
        <v>2489</v>
      </c>
      <c r="T19" s="823" t="s">
        <v>2490</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10</v>
      </c>
      <c r="N20" s="850">
        <f>Application!AC726</f>
        <v>0.3</v>
      </c>
      <c r="O20" s="850">
        <f>IF(Cdlac[[#This Row],[Quantity]]&gt;0,IF(Cdlac[[#This Row],[Federal]],30%,IF(AND(OR(NOT($G$38),$G$38=""),$G$43),40%,Cdlac[[#This Row],[iAMI]])),"")</f>
        <v>0.3</v>
      </c>
      <c r="P20" s="844" cm="1">
        <f t="array" ref="P20">IF(Cdlac[[#This Row],[Quantity]]&gt;0,INDEX(TcacRents,$P$18,Cdlac[[#This Row],[Bedrooms]]+1)*Cdlac[[#This Row],[AMI]],"")</f>
        <v>852</v>
      </c>
      <c r="Q20" s="938"/>
      <c r="R20" s="844" cm="1">
        <f t="array" ref="R20">IF(Cdlac[[#This Row],[Quantity]]&gt;0,INDEX(HudFmrs,$P$18,Cdlac[[#This Row],[Bedrooms]]+1),"")</f>
        <v>2081</v>
      </c>
      <c r="S20" s="844">
        <f>IF(Cdlac[[#This Row],[Quantity]]&gt;0,MAX(0,Cdlac[[#This Row],[Fair Market Rent]]-IF(AND($G$37,$G$38,$G$38&lt;&gt;"",NOT(Cdlac[[#This Row],[Federal]]),Cdlac[[#This Row],[Preservation Rent]]&lt;&gt;""),Cdlac[[#This Row],[Preservation Rent]],Cdlac[[#This Row],[Restricted Rent]])),"")</f>
        <v>1229</v>
      </c>
      <c r="T20" s="823">
        <f>IF(Cdlac[[#This Row],[Quantity]]&gt;0,AND(Application!AK726&lt;&gt;"N/A",Application!AK726&lt;&gt;"")*Cdlac[[#This Row],[Quantity]],"")</f>
        <v>10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1</v>
      </c>
      <c r="M21" s="844">
        <f>Application!G727</f>
        <v>20</v>
      </c>
      <c r="N21" s="850">
        <f>Application!AC727</f>
        <v>0.3</v>
      </c>
      <c r="O21" s="850">
        <f>IF(Cdlac[[#This Row],[Quantity]]&gt;0,IF(Cdlac[[#This Row],[Federal]],30%,IF(AND(OR(NOT($G$38),$G$38=""),$G$43),40%,Cdlac[[#This Row],[iAMI]])),"")</f>
        <v>0.3</v>
      </c>
      <c r="P21" s="844" cm="1">
        <f t="array" ref="P21">IF(Cdlac[[#This Row],[Quantity]]&gt;0,INDEX(TcacRents,$P$18,Cdlac[[#This Row],[Bedrooms]]+1)*Cdlac[[#This Row],[AMI]],"")</f>
        <v>852</v>
      </c>
      <c r="Q21" s="938"/>
      <c r="R21" s="844" cm="1">
        <f t="array" ref="R21">IF(Cdlac[[#This Row],[Quantity]]&gt;0,INDEX(HudFmrs,$P$18,Cdlac[[#This Row],[Bedrooms]]+1),"")</f>
        <v>2081</v>
      </c>
      <c r="S21" s="844">
        <f>IF(Cdlac[[#This Row],[Quantity]]&gt;0,MAX(0,Cdlac[[#This Row],[Fair Market Rent]]-IF(AND($G$37,$G$38,$G$38&lt;&gt;"",NOT(Cdlac[[#This Row],[Federal]]),Cdlac[[#This Row],[Preservation Rent]]&lt;&gt;""),Cdlac[[#This Row],[Preservation Rent]],Cdlac[[#This Row],[Restricted Rent]])),"")</f>
        <v>1229</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1</v>
      </c>
    </row>
    <row r="22" spans="1:21" ht="15" customHeight="1">
      <c r="A22" s="828"/>
      <c r="C22" s="2581" t="s">
        <v>2491</v>
      </c>
      <c r="D22" s="2581" t="s">
        <v>2492</v>
      </c>
      <c r="E22" s="2581" t="s">
        <v>2493</v>
      </c>
      <c r="F22" s="2581" t="s">
        <v>2494</v>
      </c>
      <c r="G22" s="2581" t="s">
        <v>2495</v>
      </c>
      <c r="H22" s="849"/>
      <c r="I22" s="848"/>
      <c r="L22" s="823">
        <f>IFERROR(MIN(4,MATCH(Application!B728,UnitSizes,0)-1),"")</f>
        <v>1</v>
      </c>
      <c r="M22" s="844">
        <f>Application!G728</f>
        <v>20</v>
      </c>
      <c r="N22" s="850">
        <f>Application!AC728</f>
        <v>0.5</v>
      </c>
      <c r="O22" s="850">
        <f>IF(Cdlac[[#This Row],[Quantity]]&gt;0,IF(Cdlac[[#This Row],[Federal]],30%,IF(AND(OR(NOT($G$38),$G$38=""),$G$43),40%,Cdlac[[#This Row],[iAMI]])),"")</f>
        <v>0.5</v>
      </c>
      <c r="P22" s="844" cm="1">
        <f t="array" ref="P22">IF(Cdlac[[#This Row],[Quantity]]&gt;0,INDEX(TcacRents,$P$18,Cdlac[[#This Row],[Bedrooms]]+1)*Cdlac[[#This Row],[AMI]],"")</f>
        <v>1420</v>
      </c>
      <c r="Q22" s="938"/>
      <c r="R22" s="844" cm="1">
        <f t="array" ref="R22">IF(Cdlac[[#This Row],[Quantity]]&gt;0,INDEX(HudFmrs,$P$18,Cdlac[[#This Row],[Bedrooms]]+1),"")</f>
        <v>2081</v>
      </c>
      <c r="S22" s="844">
        <f>IF(Cdlac[[#This Row],[Quantity]]&gt;0,MAX(0,Cdlac[[#This Row],[Fair Market Rent]]-IF(AND($G$37,$G$38,$G$38&lt;&gt;"",NOT(Cdlac[[#This Row],[Federal]]),Cdlac[[#This Row],[Preservation Rent]]&lt;&gt;""),Cdlac[[#This Row],[Preservation Rent]],Cdlac[[#This Row],[Restricted Rent]])),"")</f>
        <v>661</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0</v>
      </c>
    </row>
    <row r="23" spans="1:21" ht="15" customHeight="1">
      <c r="A23" s="828"/>
      <c r="C23" s="2582"/>
      <c r="D23" s="2582"/>
      <c r="E23" s="2582"/>
      <c r="F23" s="2582"/>
      <c r="G23" s="2582"/>
      <c r="H23" s="849"/>
      <c r="I23" s="848"/>
      <c r="L23" s="823">
        <f>IFERROR(MIN(4,MATCH(Application!B729,UnitSizes,0)-1),"")</f>
        <v>1</v>
      </c>
      <c r="M23" s="844">
        <f>Application!G729</f>
        <v>12</v>
      </c>
      <c r="N23" s="850">
        <f>Application!AC729</f>
        <v>0.6</v>
      </c>
      <c r="O23" s="850">
        <f>IF(Cdlac[[#This Row],[Quantity]]&gt;0,IF(Cdlac[[#This Row],[Federal]],30%,IF(AND(OR(NOT($G$38),$G$38=""),$G$43),40%,Cdlac[[#This Row],[iAMI]])),"")</f>
        <v>0.6</v>
      </c>
      <c r="P23" s="844" cm="1">
        <f t="array" ref="P23">IF(Cdlac[[#This Row],[Quantity]]&gt;0,INDEX(TcacRents,$P$18,Cdlac[[#This Row],[Bedrooms]]+1)*Cdlac[[#This Row],[AMI]],"")</f>
        <v>1704</v>
      </c>
      <c r="Q23" s="938"/>
      <c r="R23" s="844" cm="1">
        <f t="array" ref="R23">IF(Cdlac[[#This Row],[Quantity]]&gt;0,INDEX(HudFmrs,$P$18,Cdlac[[#This Row],[Bedrooms]]+1),"")</f>
        <v>2081</v>
      </c>
      <c r="S23" s="844">
        <f>IF(Cdlac[[#This Row],[Quantity]]&gt;0,MAX(0,Cdlac[[#This Row],[Fair Market Rent]]-IF(AND($G$37,$G$38,$G$38&lt;&gt;"",NOT(Cdlac[[#This Row],[Federal]]),Cdlac[[#This Row],[Preservation Rent]]&lt;&gt;""),Cdlac[[#This Row],[Preservation Rent]],Cdlac[[#This Row],[Restricted Rent]])),"")</f>
        <v>377</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0</v>
      </c>
    </row>
    <row r="24" spans="1:21" ht="15" customHeight="1">
      <c r="C24" s="851">
        <v>0</v>
      </c>
      <c r="D24" s="852">
        <v>0.9</v>
      </c>
      <c r="E24" s="851">
        <f>SUMIFS(Cdlac[Quantity],Cdlac[Bedrooms],C24)</f>
        <v>0</v>
      </c>
      <c r="F24" s="851">
        <f>E24</f>
        <v>0</v>
      </c>
      <c r="G24" s="851">
        <f>D24*F24</f>
        <v>0</v>
      </c>
      <c r="L24" s="823">
        <f>IFERROR(MIN(4,MATCH(Application!B730,UnitSizes,0)-1),"")</f>
        <v>1</v>
      </c>
      <c r="M24" s="844">
        <f>Application!G730</f>
        <v>12</v>
      </c>
      <c r="N24" s="850">
        <f>Application!AC730</f>
        <v>0.7</v>
      </c>
      <c r="O24" s="850">
        <f>IF(Cdlac[[#This Row],[Quantity]]&gt;0,IF(Cdlac[[#This Row],[Federal]],30%,IF(AND(OR(NOT($G$38),$G$38=""),$G$43),40%,Cdlac[[#This Row],[iAMI]])),"")</f>
        <v>0.7</v>
      </c>
      <c r="P24" s="844" cm="1">
        <f t="array" ref="P24">IF(Cdlac[[#This Row],[Quantity]]&gt;0,INDEX(TcacRents,$P$18,Cdlac[[#This Row],[Bedrooms]]+1)*Cdlac[[#This Row],[AMI]],"")</f>
        <v>1987.9999999999998</v>
      </c>
      <c r="Q24" s="938"/>
      <c r="R24" s="844" cm="1">
        <f t="array" ref="R24">IF(Cdlac[[#This Row],[Quantity]]&gt;0,INDEX(HudFmrs,$P$18,Cdlac[[#This Row],[Bedrooms]]+1),"")</f>
        <v>2081</v>
      </c>
      <c r="S24" s="844">
        <f>IF(Cdlac[[#This Row],[Quantity]]&gt;0,MAX(0,Cdlac[[#This Row],[Fair Market Rent]]-IF(AND($G$37,$G$38,$G$38&lt;&gt;"",NOT(Cdlac[[#This Row],[Federal]]),Cdlac[[#This Row],[Preservation Rent]]&lt;&gt;""),Cdlac[[#This Row],[Preservation Rent]],Cdlac[[#This Row],[Restricted Rent]])),"")</f>
        <v>93.000000000000227</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0</v>
      </c>
    </row>
    <row r="25" spans="1:21" ht="15" customHeight="1">
      <c r="C25" s="851">
        <v>1</v>
      </c>
      <c r="D25" s="852">
        <v>1</v>
      </c>
      <c r="E25" s="851">
        <f>SUMIFS(Cdlac[Quantity],Cdlac[Bedrooms],C25)</f>
        <v>74</v>
      </c>
      <c r="F25" s="851">
        <f>E25</f>
        <v>74</v>
      </c>
      <c r="G25" s="851">
        <f>D25*F25</f>
        <v>74</v>
      </c>
      <c r="L25" s="823">
        <f>IFERROR(MIN(4,MATCH(Application!B731,UnitSizes,0)-1),"")</f>
        <v>2</v>
      </c>
      <c r="M25" s="844">
        <f>Application!G731</f>
        <v>8</v>
      </c>
      <c r="N25" s="850">
        <f>Application!AC731</f>
        <v>0.3</v>
      </c>
      <c r="O25" s="850">
        <f>IF(Cdlac[[#This Row],[Quantity]]&gt;0,IF(Cdlac[[#This Row],[Federal]],30%,IF(AND(OR(NOT($G$38),$G$38=""),$G$43),40%,Cdlac[[#This Row],[iAMI]])),"")</f>
        <v>0.3</v>
      </c>
      <c r="P25" s="844" cm="1">
        <f t="array" ref="P25">IF(Cdlac[[#This Row],[Quantity]]&gt;0,INDEX(TcacRents,$P$18,Cdlac[[#This Row],[Bedrooms]]+1)*Cdlac[[#This Row],[AMI]],"")</f>
        <v>1021.8</v>
      </c>
      <c r="Q25" s="938"/>
      <c r="R25" s="844" cm="1">
        <f t="array" ref="R25">IF(Cdlac[[#This Row],[Quantity]]&gt;0,INDEX(HudFmrs,$P$18,Cdlac[[#This Row],[Bedrooms]]+1),"")</f>
        <v>2625</v>
      </c>
      <c r="S25" s="844">
        <f>IF(Cdlac[[#This Row],[Quantity]]&gt;0,MAX(0,Cdlac[[#This Row],[Fair Market Rent]]-IF(AND($G$37,$G$38,$G$38&lt;&gt;"",NOT(Cdlac[[#This Row],[Federal]]),Cdlac[[#This Row],[Preservation Rent]]&lt;&gt;""),Cdlac[[#This Row],[Preservation Rent]],Cdlac[[#This Row],[Restricted Rent]])),"")</f>
        <v>1603.2</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1</v>
      </c>
    </row>
    <row r="26" spans="1:21" ht="15" customHeight="1">
      <c r="A26" s="853"/>
      <c r="C26" s="854">
        <v>2</v>
      </c>
      <c r="D26" s="852">
        <v>1.25</v>
      </c>
      <c r="E26" s="851">
        <f>SUMIFS(Cdlac[Quantity],Cdlac[Bedrooms],C26)</f>
        <v>38</v>
      </c>
      <c r="F26" s="854">
        <f>SUM(E26:E28)-SUM(F27:F28)</f>
        <v>38</v>
      </c>
      <c r="G26" s="851">
        <f>D26*F26</f>
        <v>47.5</v>
      </c>
      <c r="H26" s="853"/>
      <c r="I26" s="853"/>
      <c r="L26" s="823">
        <f>IFERROR(MIN(4,MATCH(Application!B732,UnitSizes,0)-1),"")</f>
        <v>2</v>
      </c>
      <c r="M26" s="844">
        <f>Application!G732</f>
        <v>18</v>
      </c>
      <c r="N26" s="850">
        <f>Application!AC732</f>
        <v>0.5</v>
      </c>
      <c r="O26" s="850">
        <f>IF(Cdlac[[#This Row],[Quantity]]&gt;0,IF(Cdlac[[#This Row],[Federal]],30%,IF(AND(OR(NOT($G$38),$G$38=""),$G$43),40%,Cdlac[[#This Row],[iAMI]])),"")</f>
        <v>0.5</v>
      </c>
      <c r="P26" s="844" cm="1">
        <f t="array" ref="P26">IF(Cdlac[[#This Row],[Quantity]]&gt;0,INDEX(TcacRents,$P$18,Cdlac[[#This Row],[Bedrooms]]+1)*Cdlac[[#This Row],[AMI]],"")</f>
        <v>1703</v>
      </c>
      <c r="Q26" s="938"/>
      <c r="R26" s="844" cm="1">
        <f t="array" ref="R26">IF(Cdlac[[#This Row],[Quantity]]&gt;0,INDEX(HudFmrs,$P$18,Cdlac[[#This Row],[Bedrooms]]+1),"")</f>
        <v>2625</v>
      </c>
      <c r="S26" s="844">
        <f>IF(Cdlac[[#This Row],[Quantity]]&gt;0,MAX(0,Cdlac[[#This Row],[Fair Market Rent]]-IF(AND($G$37,$G$38,$G$38&lt;&gt;"",NOT(Cdlac[[#This Row],[Federal]]),Cdlac[[#This Row],[Preservation Rent]]&lt;&gt;""),Cdlac[[#This Row],[Preservation Rent]],Cdlac[[#This Row],[Restricted Rent]])),"")</f>
        <v>922</v>
      </c>
      <c r="T26" s="823">
        <f>IF(Cdlac[[#This Row],[Quantity]]&gt;0,AND(Application!AK732&lt;&gt;"N/A",Application!AK732&lt;&gt;"")*Cdlac[[#This Row],[Quantity]],"")</f>
        <v>0</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39</v>
      </c>
      <c r="F27" s="854">
        <f>MIN(E27,ROUNDDOWN(E29*30%,0))</f>
        <v>39</v>
      </c>
      <c r="G27" s="851">
        <f>D27*F27</f>
        <v>58.5</v>
      </c>
      <c r="H27" s="853"/>
      <c r="I27" s="853"/>
      <c r="L27" s="823">
        <f>IFERROR(MIN(4,MATCH(Application!B733,UnitSizes,0)-1),"")</f>
        <v>2</v>
      </c>
      <c r="M27" s="844">
        <f>Application!G733</f>
        <v>7</v>
      </c>
      <c r="N27" s="850">
        <f>Application!AC733</f>
        <v>0.6</v>
      </c>
      <c r="O27" s="850">
        <f>IF(Cdlac[[#This Row],[Quantity]]&gt;0,IF(Cdlac[[#This Row],[Federal]],30%,IF(AND(OR(NOT($G$38),$G$38=""),$G$43),40%,Cdlac[[#This Row],[iAMI]])),"")</f>
        <v>0.6</v>
      </c>
      <c r="P27" s="844" cm="1">
        <f t="array" ref="P27">IF(Cdlac[[#This Row],[Quantity]]&gt;0,INDEX(TcacRents,$P$18,Cdlac[[#This Row],[Bedrooms]]+1)*Cdlac[[#This Row],[AMI]],"")</f>
        <v>2043.6</v>
      </c>
      <c r="Q27" s="938"/>
      <c r="R27" s="844" cm="1">
        <f t="array" ref="R27">IF(Cdlac[[#This Row],[Quantity]]&gt;0,INDEX(HudFmrs,$P$18,Cdlac[[#This Row],[Bedrooms]]+1),"")</f>
        <v>2625</v>
      </c>
      <c r="S27" s="844">
        <f>IF(Cdlac[[#This Row],[Quantity]]&gt;0,MAX(0,Cdlac[[#This Row],[Fair Market Rent]]-IF(AND($G$37,$G$38,$G$38&lt;&gt;"",NOT(Cdlac[[#This Row],[Federal]]),Cdlac[[#This Row],[Preservation Rent]]&lt;&gt;""),Cdlac[[#This Row],[Preservation Rent]],Cdlac[[#This Row],[Restricted Rent]])),"")</f>
        <v>581.40000000000009</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f>IFERROR(MIN(4,MATCH(Application!B734,UnitSizes,0)-1),"")</f>
        <v>2</v>
      </c>
      <c r="M28" s="844">
        <f>Application!G734</f>
        <v>5</v>
      </c>
      <c r="N28" s="850">
        <f>Application!AC734</f>
        <v>0.7</v>
      </c>
      <c r="O28" s="850">
        <f>IF(Cdlac[[#This Row],[Quantity]]&gt;0,IF(Cdlac[[#This Row],[Federal]],30%,IF(AND(OR(NOT($G$38),$G$38=""),$G$43),40%,Cdlac[[#This Row],[iAMI]])),"")</f>
        <v>0.7</v>
      </c>
      <c r="P28" s="844" cm="1">
        <f t="array" ref="P28">IF(Cdlac[[#This Row],[Quantity]]&gt;0,INDEX(TcacRents,$P$18,Cdlac[[#This Row],[Bedrooms]]+1)*Cdlac[[#This Row],[AMI]],"")</f>
        <v>2384.1999999999998</v>
      </c>
      <c r="Q28" s="938"/>
      <c r="R28" s="844" cm="1">
        <f t="array" ref="R28">IF(Cdlac[[#This Row],[Quantity]]&gt;0,INDEX(HudFmrs,$P$18,Cdlac[[#This Row],[Bedrooms]]+1),"")</f>
        <v>2625</v>
      </c>
      <c r="S28" s="844">
        <f>IF(Cdlac[[#This Row],[Quantity]]&gt;0,MAX(0,Cdlac[[#This Row],[Fair Market Rent]]-IF(AND($G$37,$G$38,$G$38&lt;&gt;"",NOT(Cdlac[[#This Row],[Federal]]),Cdlac[[#This Row],[Preservation Rent]]&lt;&gt;""),Cdlac[[#This Row],[Preservation Rent]],Cdlac[[#This Row],[Restricted Rent]])),"")</f>
        <v>240.80000000000018</v>
      </c>
      <c r="T28" s="823">
        <f>IF(Cdlac[[#This Row],[Quantity]]&gt;0,AND(Application!AK734&lt;&gt;"N/A",Application!AK734&lt;&gt;"")*Cdlac[[#This Row],[Quantity]],"")</f>
        <v>0</v>
      </c>
      <c r="U28" s="823" t="b">
        <f>AND('Subsidy Contract Calculation'!F12&gt;0,OR('Subsidy Contract Calculation'!C12="Federal",'Subsidy Contract Calculation'!C12="Local - Approved by ED"),Cdlac[[#This Row],[Quantity]]&gt;0)</f>
        <v>0</v>
      </c>
    </row>
    <row r="29" spans="1:21" ht="15" customHeight="1">
      <c r="A29" s="853"/>
      <c r="C29" s="2583" t="s">
        <v>1805</v>
      </c>
      <c r="D29" s="2584"/>
      <c r="E29" s="867">
        <f>SUM(E24:E28)</f>
        <v>151</v>
      </c>
      <c r="F29" s="867">
        <f>SUM(F24:F28)</f>
        <v>151</v>
      </c>
      <c r="G29" s="868">
        <f>SUMPRODUCT(D24:D28,F24:F28)</f>
        <v>180</v>
      </c>
      <c r="H29" s="853"/>
      <c r="I29" s="853"/>
      <c r="L29" s="823">
        <f>IFERROR(MIN(4,MATCH(Application!B735,UnitSizes,0)-1),"")</f>
        <v>3</v>
      </c>
      <c r="M29" s="844">
        <f>Application!G735</f>
        <v>9</v>
      </c>
      <c r="N29" s="850">
        <f>Application!AC735</f>
        <v>0.3</v>
      </c>
      <c r="O29" s="850">
        <f>IF(Cdlac[[#This Row],[Quantity]]&gt;0,IF(Cdlac[[#This Row],[Federal]],30%,IF(AND(OR(NOT($G$38),$G$38=""),$G$43),40%,Cdlac[[#This Row],[iAMI]])),"")</f>
        <v>0.3</v>
      </c>
      <c r="P29" s="844" cm="1">
        <f t="array" ref="P29">IF(Cdlac[[#This Row],[Quantity]]&gt;0,INDEX(TcacRents,$P$18,Cdlac[[#This Row],[Bedrooms]]+1)*Cdlac[[#This Row],[AMI]],"")</f>
        <v>1181.3999999999999</v>
      </c>
      <c r="Q29" s="938"/>
      <c r="R29" s="844" cm="1">
        <f t="array" ref="R29">IF(Cdlac[[#This Row],[Quantity]]&gt;0,INDEX(HudFmrs,$P$18,Cdlac[[#This Row],[Bedrooms]]+1),"")</f>
        <v>3335</v>
      </c>
      <c r="S29" s="844">
        <f>IF(Cdlac[[#This Row],[Quantity]]&gt;0,MAX(0,Cdlac[[#This Row],[Fair Market Rent]]-IF(AND($G$37,$G$38,$G$38&lt;&gt;"",NOT(Cdlac[[#This Row],[Federal]]),Cdlac[[#This Row],[Preservation Rent]]&lt;&gt;""),Cdlac[[#This Row],[Preservation Rent]],Cdlac[[#This Row],[Restricted Rent]])),"")</f>
        <v>2153.6000000000004</v>
      </c>
      <c r="T29" s="823">
        <f>IF(Cdlac[[#This Row],[Quantity]]&gt;0,AND(Application!AK735&lt;&gt;"N/A",Application!AK735&lt;&gt;"")*Cdlac[[#This Row],[Quantity]],"")</f>
        <v>0</v>
      </c>
      <c r="U29" s="823" t="b">
        <f>AND('Subsidy Contract Calculation'!F13&gt;0,OR('Subsidy Contract Calculation'!C13="Federal",'Subsidy Contract Calculation'!C13="Local - Approved by ED"),Cdlac[[#This Row],[Quantity]]&gt;0)</f>
        <v>1</v>
      </c>
    </row>
    <row r="30" spans="1:21" ht="15" customHeight="1">
      <c r="A30" s="853"/>
      <c r="C30" s="853"/>
      <c r="D30" s="853"/>
      <c r="E30" s="853"/>
      <c r="F30" s="853"/>
      <c r="G30" s="853"/>
      <c r="H30" s="853"/>
      <c r="I30" s="853"/>
      <c r="L30" s="823">
        <f>IFERROR(MIN(4,MATCH(Application!B736,UnitSizes,0)-1),"")</f>
        <v>3</v>
      </c>
      <c r="M30" s="844">
        <f>Application!G736</f>
        <v>8</v>
      </c>
      <c r="N30" s="850">
        <f>Application!AC736</f>
        <v>0.5</v>
      </c>
      <c r="O30" s="850">
        <f>IF(Cdlac[[#This Row],[Quantity]]&gt;0,IF(Cdlac[[#This Row],[Federal]],30%,IF(AND(OR(NOT($G$38),$G$38=""),$G$43),40%,Cdlac[[#This Row],[iAMI]])),"")</f>
        <v>0.5</v>
      </c>
      <c r="P30" s="844" cm="1">
        <f t="array" ref="P30">IF(Cdlac[[#This Row],[Quantity]]&gt;0,INDEX(TcacRents,$P$18,Cdlac[[#This Row],[Bedrooms]]+1)*Cdlac[[#This Row],[AMI]],"")</f>
        <v>1969</v>
      </c>
      <c r="Q30" s="938"/>
      <c r="R30" s="844" cm="1">
        <f t="array" ref="R30">IF(Cdlac[[#This Row],[Quantity]]&gt;0,INDEX(HudFmrs,$P$18,Cdlac[[#This Row],[Bedrooms]]+1),"")</f>
        <v>3335</v>
      </c>
      <c r="S30" s="844">
        <f>IF(Cdlac[[#This Row],[Quantity]]&gt;0,MAX(0,Cdlac[[#This Row],[Fair Market Rent]]-IF(AND($G$37,$G$38,$G$38&lt;&gt;"",NOT(Cdlac[[#This Row],[Federal]]),Cdlac[[#This Row],[Preservation Rent]]&lt;&gt;""),Cdlac[[#This Row],[Preservation Rent]],Cdlac[[#This Row],[Restricted Rent]])),"")</f>
        <v>1366</v>
      </c>
      <c r="T30" s="823">
        <f>IF(Cdlac[[#This Row],[Quantity]]&gt;0,AND(Application!AK736&lt;&gt;"N/A",Application!AK736&lt;&gt;"")*Cdlac[[#This Row],[Quantity]],"")</f>
        <v>0</v>
      </c>
      <c r="U30" s="823" t="b">
        <f>AND('Subsidy Contract Calculation'!F14&gt;0,OR('Subsidy Contract Calculation'!C14="Federal",'Subsidy Contract Calculation'!C14="Local - Approved by ED"),Cdlac[[#This Row],[Quantity]]&gt;0)</f>
        <v>0</v>
      </c>
    </row>
    <row r="31" spans="1:21" ht="15" customHeight="1">
      <c r="A31" s="853"/>
      <c r="E31" s="894" t="s">
        <v>2495</v>
      </c>
      <c r="G31" s="891">
        <f>G29</f>
        <v>180</v>
      </c>
      <c r="H31" s="853"/>
      <c r="I31" s="853"/>
      <c r="L31" s="823">
        <f>IFERROR(MIN(4,MATCH(Application!B737,UnitSizes,0)-1),"")</f>
        <v>3</v>
      </c>
      <c r="M31" s="844">
        <f>Application!G737</f>
        <v>7</v>
      </c>
      <c r="N31" s="850">
        <f>Application!AC737</f>
        <v>0.6</v>
      </c>
      <c r="O31" s="850">
        <f>IF(Cdlac[[#This Row],[Quantity]]&gt;0,IF(Cdlac[[#This Row],[Federal]],30%,IF(AND(OR(NOT($G$38),$G$38=""),$G$43),40%,Cdlac[[#This Row],[iAMI]])),"")</f>
        <v>0.6</v>
      </c>
      <c r="P31" s="844" cm="1">
        <f t="array" ref="P31">IF(Cdlac[[#This Row],[Quantity]]&gt;0,INDEX(TcacRents,$P$18,Cdlac[[#This Row],[Bedrooms]]+1)*Cdlac[[#This Row],[AMI]],"")</f>
        <v>2362.7999999999997</v>
      </c>
      <c r="Q31" s="938"/>
      <c r="R31" s="844" cm="1">
        <f t="array" ref="R31">IF(Cdlac[[#This Row],[Quantity]]&gt;0,INDEX(HudFmrs,$P$18,Cdlac[[#This Row],[Bedrooms]]+1),"")</f>
        <v>3335</v>
      </c>
      <c r="S31" s="844">
        <f>IF(Cdlac[[#This Row],[Quantity]]&gt;0,MAX(0,Cdlac[[#This Row],[Fair Market Rent]]-IF(AND($G$37,$G$38,$G$38&lt;&gt;"",NOT(Cdlac[[#This Row],[Federal]]),Cdlac[[#This Row],[Preservation Rent]]&lt;&gt;""),Cdlac[[#This Row],[Preservation Rent]],Cdlac[[#This Row],[Restricted Rent]])),"")</f>
        <v>972.20000000000027</v>
      </c>
      <c r="T31" s="823">
        <f>IF(Cdlac[[#This Row],[Quantity]]&gt;0,AND(Application!AK737&lt;&gt;"N/A",Application!AK737&lt;&gt;"")*Cdlac[[#This Row],[Quantity]],"")</f>
        <v>0</v>
      </c>
      <c r="U31" s="823" t="b">
        <f>AND('Subsidy Contract Calculation'!F15&gt;0,OR('Subsidy Contract Calculation'!C15="Federal",'Subsidy Contract Calculation'!C15="Local - Approved by ED"),Cdlac[[#This Row],[Quantity]]&gt;0)</f>
        <v>0</v>
      </c>
    </row>
    <row r="32" spans="1:21" ht="15" customHeight="1">
      <c r="A32" s="853"/>
      <c r="E32" s="894" t="s">
        <v>2496</v>
      </c>
      <c r="F32" s="890" t="s">
        <v>2497</v>
      </c>
      <c r="G32" s="892">
        <v>50000</v>
      </c>
      <c r="H32" s="853"/>
      <c r="I32" s="853"/>
      <c r="L32" s="823">
        <f>IFERROR(MIN(4,MATCH(Application!B738,UnitSizes,0)-1),"")</f>
        <v>3</v>
      </c>
      <c r="M32" s="844">
        <f>Application!G738</f>
        <v>15</v>
      </c>
      <c r="N32" s="850">
        <f>Application!AC738</f>
        <v>0.7</v>
      </c>
      <c r="O32" s="850">
        <f>IF(Cdlac[[#This Row],[Quantity]]&gt;0,IF(Cdlac[[#This Row],[Federal]],30%,IF(AND(OR(NOT($G$38),$G$38=""),$G$43),40%,Cdlac[[#This Row],[iAMI]])),"")</f>
        <v>0.7</v>
      </c>
      <c r="P32" s="844" cm="1">
        <f t="array" ref="P32">IF(Cdlac[[#This Row],[Quantity]]&gt;0,INDEX(TcacRents,$P$18,Cdlac[[#This Row],[Bedrooms]]+1)*Cdlac[[#This Row],[AMI]],"")</f>
        <v>2756.6</v>
      </c>
      <c r="Q32" s="938"/>
      <c r="R32" s="844" cm="1">
        <f t="array" ref="R32">IF(Cdlac[[#This Row],[Quantity]]&gt;0,INDEX(HudFmrs,$P$18,Cdlac[[#This Row],[Bedrooms]]+1),"")</f>
        <v>3335</v>
      </c>
      <c r="S32" s="844">
        <f>IF(Cdlac[[#This Row],[Quantity]]&gt;0,MAX(0,Cdlac[[#This Row],[Fair Market Rent]]-IF(AND($G$37,$G$38,$G$38&lt;&gt;"",NOT(Cdlac[[#This Row],[Federal]]),Cdlac[[#This Row],[Preservation Rent]]&lt;&gt;""),Cdlac[[#This Row],[Preservation Rent]],Cdlac[[#This Row],[Restricted Rent]])),"")</f>
        <v>578.40000000000009</v>
      </c>
      <c r="T32" s="823">
        <f>IF(Cdlac[[#This Row],[Quantity]]&gt;0,AND(Application!AK738&lt;&gt;"N/A",Application!AK738&lt;&gt;"")*Cdlac[[#This Row],[Quantity]],"")</f>
        <v>0</v>
      </c>
      <c r="U32" s="823" t="b">
        <f>AND('Subsidy Contract Calculation'!F16&gt;0,OR('Subsidy Contract Calculation'!C16="Federal",'Subsidy Contract Calculation'!C16="Local - Approved by ED"),Cdlac[[#This Row],[Quantity]]&gt;0)</f>
        <v>0</v>
      </c>
    </row>
    <row r="33" spans="1:21" ht="15" customHeight="1">
      <c r="A33" s="853"/>
      <c r="E33" s="895" t="s">
        <v>2498</v>
      </c>
      <c r="F33" s="825"/>
      <c r="G33" s="896">
        <f>G32*G31</f>
        <v>9000000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2499</v>
      </c>
      <c r="G37" s="823" t="b">
        <f>'Points System'!AK61&gt;0</f>
        <v>0</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2500</v>
      </c>
      <c r="G38" s="937"/>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586" t="str">
        <f>IF(AND(G37,G38,G38&lt;&gt;""),"Enter the average rent charged for each unit type over the last three years, as documented with rent rolls or property audits, in cells Q20:Q44","")</f>
        <v/>
      </c>
      <c r="D39" s="2586"/>
      <c r="E39" s="2586"/>
      <c r="F39" s="2586"/>
      <c r="G39" s="2586"/>
      <c r="H39" s="2586"/>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586"/>
      <c r="D40" s="2586"/>
      <c r="E40" s="2586"/>
      <c r="F40" s="2586"/>
      <c r="G40" s="2586"/>
      <c r="H40" s="2586"/>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586"/>
      <c r="D41" s="2586"/>
      <c r="E41" s="2586"/>
      <c r="F41" s="2586"/>
      <c r="G41" s="2586"/>
      <c r="H41" s="2586"/>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2501</v>
      </c>
      <c r="G42" s="897" cm="1">
        <f t="array" ref="G42">SUMPRODUCT(Cdlac[Quantity],Cdlac[iAMI],IF(Cdlac[Federal],0,1))/SUMIFS(Cdlac[Quantity],Cdlac[Federal],FALSE)</f>
        <v>0.56140350877192979</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2502</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2503</v>
      </c>
      <c r="G45" s="857">
        <f>IFERROR(SUMPRODUCT(Cdlac[Quantity],Cdlac[Delta]),0)</f>
        <v>136217.20000000001</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2504</v>
      </c>
      <c r="F46" s="890" t="s">
        <v>2497</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2505</v>
      </c>
      <c r="F47" s="825"/>
      <c r="G47" s="900">
        <f>G45*G46</f>
        <v>24519096.000000004</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2506</v>
      </c>
      <c r="G51" s="858">
        <f>SUMIFS(Cdlac[Quantity],Cdlac[iAMI],"&lt;=30%")</f>
        <v>47</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2507</v>
      </c>
      <c r="G52" s="858">
        <f>ROUNDDOWN(E29*50%,0)</f>
        <v>75</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2508</v>
      </c>
      <c r="G54" s="891">
        <f>MIN(G51:G52)</f>
        <v>47</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2496</v>
      </c>
      <c r="F55" s="890" t="s">
        <v>2497</v>
      </c>
      <c r="G55" s="901">
        <v>20000</v>
      </c>
      <c r="M55" s="844"/>
      <c r="N55" s="850"/>
      <c r="O55" s="850"/>
      <c r="P55" s="844"/>
      <c r="Q55" s="938"/>
      <c r="R55" s="844"/>
      <c r="S55" s="844"/>
    </row>
    <row r="56" spans="2:21" ht="15" customHeight="1">
      <c r="E56" s="895" t="s">
        <v>2509</v>
      </c>
      <c r="F56" s="825"/>
      <c r="G56" s="900">
        <f>G54*G55</f>
        <v>940000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2510</v>
      </c>
      <c r="G60" s="981">
        <f>T18</f>
        <v>10</v>
      </c>
    </row>
    <row r="61" spans="2:21" ht="15" customHeight="1">
      <c r="E61" s="894" t="s">
        <v>2507</v>
      </c>
      <c r="G61" s="891">
        <f>ROUNDDOWN(E29*50%,0)</f>
        <v>75</v>
      </c>
    </row>
    <row r="62" spans="2:21" ht="15" customHeight="1">
      <c r="E62" s="894"/>
      <c r="G62" s="902"/>
    </row>
    <row r="63" spans="2:21" ht="15" customHeight="1">
      <c r="E63" s="894" t="s">
        <v>2508</v>
      </c>
      <c r="G63" s="891">
        <f>MIN(G60:G61)</f>
        <v>10</v>
      </c>
    </row>
    <row r="64" spans="2:21" ht="15" customHeight="1">
      <c r="E64" s="894" t="s">
        <v>2496</v>
      </c>
      <c r="F64" s="890" t="s">
        <v>2497</v>
      </c>
      <c r="G64" s="901">
        <v>10000</v>
      </c>
    </row>
    <row r="65" spans="5:7" ht="15" customHeight="1">
      <c r="E65" s="895" t="s">
        <v>2511</v>
      </c>
      <c r="F65" s="825"/>
      <c r="G65" s="900">
        <f>G63*G64</f>
        <v>100000</v>
      </c>
    </row>
    <row r="66" spans="5:7" ht="15" customHeight="1">
      <c r="E66" s="895"/>
      <c r="F66" s="825"/>
      <c r="G66" s="900"/>
    </row>
    <row r="67" spans="5:7" ht="15" customHeight="1">
      <c r="E67" s="863" t="s">
        <v>2512</v>
      </c>
      <c r="G67" s="823" t="b">
        <f>Application!V227="Yes"</f>
        <v>0</v>
      </c>
    </row>
    <row r="68" spans="5:7" ht="15" customHeight="1">
      <c r="E68" s="863" t="s">
        <v>2513</v>
      </c>
      <c r="G68" s="981">
        <f>SUMIF(Application!AK726:AK760,"Homeless",Application!G726:G760)</f>
        <v>0</v>
      </c>
    </row>
    <row r="69" spans="5:7" ht="15" customHeight="1">
      <c r="E69" s="863"/>
    </row>
    <row r="70" spans="5:7" ht="15" customHeight="1">
      <c r="E70" s="863" t="s">
        <v>2514</v>
      </c>
      <c r="G70" s="982"/>
    </row>
    <row r="71" spans="5:7" ht="15" customHeight="1">
      <c r="E71" s="863" t="s">
        <v>2515</v>
      </c>
      <c r="G71" s="982"/>
    </row>
    <row r="72" spans="5:7" ht="15" customHeight="1">
      <c r="E72" s="863" t="s">
        <v>2516</v>
      </c>
      <c r="G72" s="981">
        <f>IF(G71=0,0,(G70/G71)*100000)</f>
        <v>0</v>
      </c>
    </row>
    <row r="73" spans="5:7" ht="15" customHeight="1">
      <c r="E73" s="863" t="s">
        <v>2517</v>
      </c>
      <c r="G73" s="982"/>
    </row>
    <row r="74" spans="5:7" ht="15" customHeight="1">
      <c r="E74" s="863" t="s">
        <v>2518</v>
      </c>
      <c r="G74" s="982"/>
    </row>
    <row r="75" spans="5:7" ht="15" customHeight="1">
      <c r="E75" s="863" t="s">
        <v>2519</v>
      </c>
      <c r="G75" s="981">
        <f>IF(G74=0,0,(G73/G74)*100000)</f>
        <v>0</v>
      </c>
    </row>
    <row r="76" spans="5:7" ht="15" customHeight="1">
      <c r="E76" s="895"/>
      <c r="F76" s="825"/>
      <c r="G76" s="900"/>
    </row>
    <row r="77" spans="5:7" ht="15" customHeight="1">
      <c r="E77" s="894" t="s">
        <v>2508</v>
      </c>
      <c r="G77" s="891">
        <f>IF(OR(G75&gt;G72,G71&lt;100000),G75*G68,G72*G68)</f>
        <v>0</v>
      </c>
    </row>
    <row r="78" spans="5:7" ht="15" customHeight="1">
      <c r="E78" s="894" t="s">
        <v>2496</v>
      </c>
      <c r="F78" s="890" t="s">
        <v>2497</v>
      </c>
      <c r="G78" s="901">
        <v>100</v>
      </c>
    </row>
    <row r="79" spans="5:7" ht="15" customHeight="1">
      <c r="E79" s="895" t="s">
        <v>2511</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2520</v>
      </c>
      <c r="G83" s="822" t="s">
        <v>847</v>
      </c>
      <c r="L83" s="2607" t="s">
        <v>881</v>
      </c>
      <c r="M83" s="2608"/>
      <c r="N83" s="908">
        <v>30000</v>
      </c>
    </row>
    <row r="84" spans="2:14" ht="15" customHeight="1">
      <c r="C84" s="856" t="s">
        <v>2521</v>
      </c>
      <c r="G84" s="860" t="str">
        <f>IF(Application!D211="Large Family","Yes","No")</f>
        <v>Yes</v>
      </c>
      <c r="L84" s="2611" t="s">
        <v>885</v>
      </c>
      <c r="M84" s="2612"/>
      <c r="N84" s="909">
        <v>20000</v>
      </c>
    </row>
    <row r="85" spans="2:14" ht="15" customHeight="1" thickBot="1">
      <c r="C85" s="856" t="s">
        <v>2522</v>
      </c>
      <c r="G85" s="822" t="s">
        <v>696</v>
      </c>
      <c r="L85" s="2613" t="s">
        <v>892</v>
      </c>
      <c r="M85" s="2614"/>
      <c r="N85" s="910">
        <v>10000</v>
      </c>
    </row>
    <row r="86" spans="2:14" ht="15" customHeight="1" thickBot="1">
      <c r="C86" s="856" t="s">
        <v>2523</v>
      </c>
      <c r="G86" s="823" t="str">
        <f>Application!T193</f>
        <v>Low Resource</v>
      </c>
    </row>
    <row r="87" spans="2:14" ht="15" customHeight="1">
      <c r="C87" s="2589" t="s">
        <v>2524</v>
      </c>
      <c r="D87" s="2589"/>
      <c r="E87" s="2589"/>
      <c r="F87" s="2589"/>
      <c r="G87" s="822" t="s">
        <v>847</v>
      </c>
      <c r="L87" s="904" t="str">
        <f>'Points System'!H651</f>
        <v>(i)</v>
      </c>
      <c r="M87" s="2609" t="s">
        <v>2371</v>
      </c>
      <c r="N87" s="2610"/>
    </row>
    <row r="88" spans="2:14" ht="15" customHeight="1">
      <c r="C88" s="2589"/>
      <c r="D88" s="2589"/>
      <c r="E88" s="2589"/>
      <c r="F88" s="2589"/>
      <c r="L88" s="905" t="str">
        <f>'Points System'!H663</f>
        <v>(ii)</v>
      </c>
      <c r="M88" s="2603" t="s">
        <v>2525</v>
      </c>
      <c r="N88" s="2604"/>
    </row>
    <row r="89" spans="2:14" ht="15" customHeight="1">
      <c r="C89" s="856"/>
      <c r="L89" s="905" t="str">
        <f>'Points System'!H698</f>
        <v>(i)</v>
      </c>
      <c r="M89" s="2603" t="s">
        <v>2526</v>
      </c>
      <c r="N89" s="2604"/>
    </row>
    <row r="90" spans="2:14" ht="15" customHeight="1">
      <c r="E90" s="863" t="s">
        <v>2527</v>
      </c>
      <c r="G90" s="858" t="b">
        <f>OR(AND(COUNTIFS(G84:G85,"Yes")&gt;=1,G83="Yes"),G87="Yes")</f>
        <v>1</v>
      </c>
      <c r="L90" s="905" t="str">
        <f>IF(OR('Points System'!H722="(ii)",'Points System'!H722="(i)"),"(i)","N/A")</f>
        <v>(i)</v>
      </c>
      <c r="M90" s="2603" t="s">
        <v>2528</v>
      </c>
      <c r="N90" s="2604"/>
    </row>
    <row r="91" spans="2:14" ht="15" customHeight="1">
      <c r="E91" s="863"/>
      <c r="G91" s="858"/>
      <c r="L91" s="906" t="str">
        <f>'Points System'!H736</f>
        <v>N/A</v>
      </c>
      <c r="M91" s="2603" t="s">
        <v>2412</v>
      </c>
      <c r="N91" s="2604"/>
    </row>
    <row r="92" spans="2:14" ht="15" customHeight="1">
      <c r="E92" s="863" t="s">
        <v>2496</v>
      </c>
      <c r="G92" s="857">
        <f>IFERROR(IF($G$87="Yes",30000,INDEX(N83:N85,MATCH(LEFT(G86,17),L83:L85,0))),0)</f>
        <v>30000</v>
      </c>
      <c r="L92" s="905" t="str">
        <f>'Points System'!H748</f>
        <v>N/A</v>
      </c>
      <c r="M92" s="2603" t="s">
        <v>2529</v>
      </c>
      <c r="N92" s="2604"/>
    </row>
    <row r="93" spans="2:14" ht="15" customHeight="1">
      <c r="E93" s="863" t="str">
        <f>E110</f>
        <v>Bedroom-Adjusted Low-Income Units</v>
      </c>
      <c r="F93" s="890" t="s">
        <v>2497</v>
      </c>
      <c r="G93" s="891">
        <f>G29</f>
        <v>180</v>
      </c>
      <c r="L93" s="905" t="str">
        <f>'Points System'!H764</f>
        <v>(i)</v>
      </c>
      <c r="M93" s="2603" t="s">
        <v>2530</v>
      </c>
      <c r="N93" s="2604"/>
    </row>
    <row r="94" spans="2:14" ht="15" customHeight="1" thickBot="1">
      <c r="D94" s="825"/>
      <c r="E94" s="895" t="s">
        <v>2531</v>
      </c>
      <c r="F94" s="825"/>
      <c r="G94" s="900">
        <f>G93*G92*G90</f>
        <v>5400000</v>
      </c>
      <c r="L94" s="907" t="str">
        <f>'Points System'!H776</f>
        <v>(i)</v>
      </c>
      <c r="M94" s="2605" t="s">
        <v>2416</v>
      </c>
      <c r="N94" s="2606"/>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2532</v>
      </c>
      <c r="G98" s="822" t="s">
        <v>696</v>
      </c>
    </row>
    <row r="99" spans="2:9" ht="15" customHeight="1">
      <c r="F99" s="893"/>
    </row>
    <row r="100" spans="2:9" ht="15" customHeight="1">
      <c r="E100" s="863" t="s">
        <v>2527</v>
      </c>
      <c r="G100" s="858" t="b">
        <f>G98="Yes"</f>
        <v>0</v>
      </c>
    </row>
    <row r="101" spans="2:9" ht="15" customHeight="1"/>
    <row r="102" spans="2:9" ht="15" customHeight="1">
      <c r="E102" s="863" t="str">
        <f>E110</f>
        <v>Bedroom-Adjusted Low-Income Units</v>
      </c>
      <c r="G102" s="891">
        <f>G29</f>
        <v>180</v>
      </c>
    </row>
    <row r="103" spans="2:9" ht="15" customHeight="1">
      <c r="E103" s="863" t="s">
        <v>2496</v>
      </c>
      <c r="F103" s="890" t="s">
        <v>2497</v>
      </c>
      <c r="G103" s="829">
        <v>20000</v>
      </c>
    </row>
    <row r="104" spans="2:9" ht="15" customHeight="1">
      <c r="E104" s="895" t="s">
        <v>2533</v>
      </c>
      <c r="F104" s="825"/>
      <c r="G104" s="900">
        <f>G100*G103*G102</f>
        <v>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2534</v>
      </c>
      <c r="G108" s="891">
        <f>VLOOKUP('Points System'!$H$619,'Points System'!$AO$599:$AP$604,2,FALSE)</f>
        <v>7</v>
      </c>
    </row>
    <row r="109" spans="2:9" ht="15" customHeight="1">
      <c r="E109" s="863" t="s">
        <v>2496</v>
      </c>
      <c r="F109" s="890" t="s">
        <v>2497</v>
      </c>
      <c r="G109" s="855">
        <v>4000</v>
      </c>
    </row>
    <row r="110" spans="2:9" ht="15" customHeight="1">
      <c r="E110" s="863" t="s">
        <v>2535</v>
      </c>
      <c r="F110" s="890" t="s">
        <v>2497</v>
      </c>
      <c r="G110" s="903">
        <f>G29</f>
        <v>180</v>
      </c>
    </row>
    <row r="111" spans="2:9" ht="15" customHeight="1">
      <c r="E111" s="895" t="s">
        <v>2536</v>
      </c>
      <c r="F111" s="825"/>
      <c r="G111" s="900">
        <f>G108*G109*G110</f>
        <v>5040000</v>
      </c>
    </row>
    <row r="112" spans="2:9" ht="15" customHeight="1">
      <c r="C112" s="856"/>
      <c r="G112" s="891"/>
    </row>
    <row r="113" spans="2:7" ht="15" customHeight="1">
      <c r="E113" s="863" t="s">
        <v>2537</v>
      </c>
      <c r="G113" s="891">
        <f>COUNTIFS(L87:L94,"(i)")</f>
        <v>5</v>
      </c>
    </row>
    <row r="114" spans="2:7" ht="15" customHeight="1">
      <c r="E114" s="863" t="s">
        <v>2496</v>
      </c>
      <c r="F114" s="890" t="s">
        <v>2497</v>
      </c>
      <c r="G114" s="901">
        <v>4000</v>
      </c>
    </row>
    <row r="115" spans="2:7" ht="15" customHeight="1">
      <c r="E115" s="895" t="s">
        <v>2538</v>
      </c>
      <c r="F115" s="825"/>
      <c r="G115" s="900">
        <f>G110*G113*G114</f>
        <v>3600000</v>
      </c>
    </row>
    <row r="116" spans="2:7" ht="15" customHeight="1"/>
    <row r="117" spans="2:7" ht="15" customHeight="1">
      <c r="C117" s="859" t="s">
        <v>2539</v>
      </c>
    </row>
    <row r="118" spans="2:7" ht="15" customHeight="1">
      <c r="C118" s="856" t="s">
        <v>2540</v>
      </c>
      <c r="G118" s="822"/>
    </row>
    <row r="119" spans="2:7" ht="15" customHeight="1">
      <c r="C119" s="856" t="s">
        <v>2541</v>
      </c>
      <c r="G119" s="822" t="s">
        <v>847</v>
      </c>
    </row>
    <row r="120" spans="2:7" ht="15" customHeight="1">
      <c r="C120" s="856" t="s">
        <v>2542</v>
      </c>
      <c r="G120" s="822" t="s">
        <v>847</v>
      </c>
    </row>
    <row r="121" spans="2:7">
      <c r="C121" s="856" t="s">
        <v>2543</v>
      </c>
      <c r="G121" s="822" t="s">
        <v>847</v>
      </c>
    </row>
    <row r="123" spans="2:7">
      <c r="B123" s="857"/>
      <c r="C123" s="856"/>
      <c r="E123" s="863" t="s">
        <v>2527</v>
      </c>
      <c r="G123" s="858" t="b">
        <f>COUNTIFS(G118:G121,"Yes")&gt;=1</f>
        <v>1</v>
      </c>
    </row>
    <row r="124" spans="2:7">
      <c r="E124" s="856"/>
    </row>
    <row r="125" spans="2:7" ht="15">
      <c r="E125" s="863" t="s">
        <v>2535</v>
      </c>
      <c r="F125" s="890" t="s">
        <v>2497</v>
      </c>
      <c r="G125" s="891">
        <f>G29</f>
        <v>180</v>
      </c>
    </row>
    <row r="126" spans="2:7" ht="15">
      <c r="E126" s="863" t="s">
        <v>2496</v>
      </c>
      <c r="F126" s="890" t="s">
        <v>2497</v>
      </c>
      <c r="G126" s="901">
        <v>25000</v>
      </c>
    </row>
    <row r="127" spans="2:7" ht="15">
      <c r="E127" s="895" t="s">
        <v>2544</v>
      </c>
      <c r="F127" s="825"/>
      <c r="G127" s="900">
        <f>G123*G126*G110</f>
        <v>4500000</v>
      </c>
    </row>
    <row r="128" spans="2:7">
      <c r="C128" s="856"/>
      <c r="E128" s="856"/>
    </row>
    <row r="129" spans="2:9" ht="15">
      <c r="E129" s="895" t="s">
        <v>2545</v>
      </c>
      <c r="G129" s="900">
        <f>G127+G115+G111</f>
        <v>13140000</v>
      </c>
    </row>
    <row r="131" spans="2:9" ht="15">
      <c r="B131" s="845" t="s">
        <v>1665</v>
      </c>
      <c r="C131" s="846"/>
      <c r="D131" s="846"/>
      <c r="E131" s="846"/>
      <c r="F131" s="846"/>
      <c r="G131" s="846"/>
      <c r="H131" s="846"/>
      <c r="I131" s="847"/>
    </row>
    <row r="133" spans="2:9">
      <c r="C133" s="2585" t="s">
        <v>2546</v>
      </c>
      <c r="D133" s="2585"/>
      <c r="E133" s="2585"/>
      <c r="F133" s="2585"/>
    </row>
    <row r="134" spans="2:9">
      <c r="C134" s="2585"/>
      <c r="D134" s="2585"/>
      <c r="E134" s="2585"/>
      <c r="F134" s="2585"/>
      <c r="G134" s="822" t="s">
        <v>847</v>
      </c>
    </row>
    <row r="135" spans="2:9" ht="14.25" customHeight="1"/>
    <row r="136" spans="2:9">
      <c r="C136" s="823" t="s">
        <v>2547</v>
      </c>
      <c r="G136" s="2587" t="s">
        <v>2778</v>
      </c>
      <c r="H136" s="2587"/>
    </row>
    <row r="137" spans="2:9">
      <c r="G137" s="2587"/>
      <c r="H137" s="2587"/>
    </row>
    <row r="138" spans="2:9">
      <c r="G138" s="2588"/>
      <c r="H138" s="2588"/>
    </row>
    <row r="140" spans="2:9">
      <c r="C140" s="2585" t="s">
        <v>2548</v>
      </c>
      <c r="D140" s="2585"/>
      <c r="E140" s="2585"/>
      <c r="F140" s="2585"/>
    </row>
    <row r="141" spans="2:9">
      <c r="C141" s="2585"/>
      <c r="D141" s="2585"/>
      <c r="E141" s="2585"/>
      <c r="F141" s="2585"/>
      <c r="G141" s="822"/>
    </row>
    <row r="142" spans="2:9">
      <c r="C142" s="2585"/>
      <c r="D142" s="2585"/>
      <c r="E142" s="2585"/>
      <c r="F142" s="2585"/>
    </row>
    <row r="144" spans="2:9">
      <c r="C144" s="2585" t="s">
        <v>2549</v>
      </c>
      <c r="D144" s="2585"/>
      <c r="E144" s="2585"/>
      <c r="F144" s="2585"/>
    </row>
    <row r="145" spans="2:9">
      <c r="C145" s="2585"/>
      <c r="D145" s="2585"/>
      <c r="E145" s="2585"/>
      <c r="F145" s="2585"/>
      <c r="G145" s="822"/>
    </row>
    <row r="146" spans="2:9">
      <c r="C146" s="2585"/>
      <c r="D146" s="2585"/>
      <c r="E146" s="2585"/>
      <c r="F146" s="2585"/>
    </row>
    <row r="147" spans="2:9">
      <c r="C147" s="2585"/>
      <c r="D147" s="2585"/>
      <c r="E147" s="2585"/>
      <c r="F147" s="2585"/>
    </row>
    <row r="149" spans="2:9" ht="15">
      <c r="B149" s="845" t="s">
        <v>2550</v>
      </c>
      <c r="C149" s="846"/>
      <c r="D149" s="846"/>
      <c r="E149" s="846"/>
      <c r="F149" s="846"/>
      <c r="G149" s="846"/>
      <c r="H149" s="846"/>
      <c r="I149" s="847"/>
    </row>
    <row r="151" spans="2:9">
      <c r="E151" s="863" t="s">
        <v>932</v>
      </c>
      <c r="G151" s="823" t="str">
        <f>IF(Application!T189="","",Application!T189)</f>
        <v>Los Angeles</v>
      </c>
    </row>
    <row r="152" spans="2:9">
      <c r="E152" s="863"/>
      <c r="G152" s="857"/>
    </row>
    <row r="153" spans="2:9">
      <c r="E153" s="863" t="str">
        <f>"2-Bedroom "&amp;G151&amp;" County Basis Limit"</f>
        <v>2-Bedroom Los Angeles County Basis Limit</v>
      </c>
      <c r="G153" s="857">
        <f>Application!R997</f>
        <v>608800</v>
      </c>
    </row>
    <row r="154" spans="2:9">
      <c r="E154" s="863" t="s">
        <v>2551</v>
      </c>
      <c r="G154" s="857">
        <f>MEDIAN((Application!CU160:CU217))</f>
        <v>560000</v>
      </c>
    </row>
    <row r="155" spans="2:9" ht="15">
      <c r="D155" s="825"/>
      <c r="E155" s="895" t="s">
        <v>2552</v>
      </c>
      <c r="F155" s="911"/>
      <c r="G155" s="912">
        <f>((G153-G154)/G154)*0.25</f>
        <v>2.1785714285714287E-2</v>
      </c>
      <c r="H155" s="821"/>
      <c r="I155" s="821"/>
    </row>
    <row r="156" spans="2:9">
      <c r="D156" s="824"/>
      <c r="E156" s="824"/>
    </row>
    <row r="157" spans="2:9" ht="15">
      <c r="B157" s="845" t="s">
        <v>2553</v>
      </c>
      <c r="C157" s="846"/>
      <c r="D157" s="846"/>
      <c r="E157" s="846"/>
      <c r="F157" s="846"/>
      <c r="G157" s="846"/>
      <c r="H157" s="846"/>
      <c r="I157" s="847"/>
    </row>
    <row r="159" spans="2:9">
      <c r="E159" s="863" t="s">
        <v>2499</v>
      </c>
      <c r="G159" s="823" t="b">
        <f>G37</f>
        <v>0</v>
      </c>
    </row>
    <row r="160" spans="2:9">
      <c r="C160" s="2580" t="s">
        <v>2554</v>
      </c>
      <c r="D160" s="2580"/>
      <c r="E160" s="2580"/>
      <c r="F160" s="2580"/>
    </row>
    <row r="161" spans="2:7">
      <c r="B161" s="824"/>
      <c r="C161" s="2580"/>
      <c r="D161" s="2580"/>
      <c r="E161" s="2580"/>
      <c r="F161" s="2580"/>
      <c r="G161" s="822"/>
    </row>
    <row r="162" spans="2:7">
      <c r="B162" s="824"/>
      <c r="C162" s="824"/>
      <c r="D162" s="824"/>
      <c r="E162" s="824"/>
      <c r="F162" s="824"/>
    </row>
    <row r="163" spans="2:7">
      <c r="E163" s="863" t="s">
        <v>2555</v>
      </c>
      <c r="G163" s="943"/>
    </row>
    <row r="165" spans="2:7">
      <c r="E165" s="863" t="s">
        <v>2556</v>
      </c>
      <c r="G165" s="942">
        <f>IF(I9=0,0,G163/I9)</f>
        <v>0</v>
      </c>
    </row>
    <row r="166" spans="2:7">
      <c r="E166" s="863" t="s">
        <v>2557</v>
      </c>
      <c r="G166" s="940">
        <f>I9*0.15</f>
        <v>4300585.8637499996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15" zoomScaleNormal="115" workbookViewId="0">
      <selection activeCell="L3" sqref="L3"/>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5" t="s">
        <v>2558</v>
      </c>
      <c r="B1" s="2615"/>
      <c r="C1" s="2615"/>
      <c r="D1" s="2615"/>
      <c r="E1" s="2615"/>
      <c r="F1" s="2615"/>
      <c r="G1" s="2615"/>
      <c r="H1" s="2615"/>
      <c r="I1" s="2615"/>
      <c r="J1" s="2615"/>
      <c r="K1" s="114"/>
      <c r="L1" s="114"/>
    </row>
    <row r="2" spans="1:12">
      <c r="A2" s="118"/>
      <c r="B2" s="118"/>
      <c r="C2" s="118"/>
      <c r="D2" s="118"/>
      <c r="E2" s="118"/>
      <c r="F2" s="118"/>
      <c r="G2" s="118"/>
      <c r="H2" s="118"/>
      <c r="I2" s="118"/>
      <c r="J2" s="118"/>
    </row>
    <row r="3" spans="1:12" ht="100.5">
      <c r="A3" s="296" t="s">
        <v>2559</v>
      </c>
      <c r="B3" s="296" t="s">
        <v>2560</v>
      </c>
      <c r="C3" s="296" t="s">
        <v>2561</v>
      </c>
      <c r="D3" s="922" t="s">
        <v>2562</v>
      </c>
      <c r="E3" s="114"/>
      <c r="F3" s="922" t="s">
        <v>2563</v>
      </c>
      <c r="G3" s="296" t="s">
        <v>2564</v>
      </c>
      <c r="H3" s="297"/>
      <c r="I3" s="296" t="s">
        <v>2565</v>
      </c>
      <c r="J3" s="296" t="s">
        <v>2566</v>
      </c>
      <c r="K3" s="114"/>
      <c r="L3" s="188"/>
    </row>
    <row r="4" spans="1:12">
      <c r="A4" s="298" t="str">
        <f>Application!B726</f>
        <v>1 Bedroom</v>
      </c>
      <c r="B4" s="861">
        <f>Application!G726</f>
        <v>10</v>
      </c>
      <c r="C4" s="936" t="s">
        <v>1051</v>
      </c>
      <c r="D4" s="298">
        <f>Application!O726</f>
        <v>743</v>
      </c>
      <c r="E4" s="299"/>
      <c r="F4" s="862">
        <v>1701</v>
      </c>
      <c r="G4" s="298">
        <f>F4*B4</f>
        <v>17010</v>
      </c>
      <c r="H4" s="299"/>
      <c r="I4" s="298">
        <f t="shared" ref="I4:I27" si="0">IF(F4=0,"",(F4-D4))</f>
        <v>958</v>
      </c>
      <c r="J4" s="298">
        <f t="shared" ref="J4:J27" si="1">IF(F4=0,"",(I4*B4))</f>
        <v>9580</v>
      </c>
      <c r="K4" s="114"/>
      <c r="L4" s="188"/>
    </row>
    <row r="5" spans="1:12">
      <c r="A5" s="298" t="str">
        <f>Application!B727</f>
        <v>1 Bedroom</v>
      </c>
      <c r="B5" s="861">
        <f>Application!G727</f>
        <v>20</v>
      </c>
      <c r="C5" s="936" t="s">
        <v>2779</v>
      </c>
      <c r="D5" s="298">
        <f>Application!O727</f>
        <v>743</v>
      </c>
      <c r="E5" s="299"/>
      <c r="F5" s="862">
        <v>1691</v>
      </c>
      <c r="G5" s="298">
        <f t="shared" ref="G5:G38" si="2">F5*B5</f>
        <v>33820</v>
      </c>
      <c r="H5" s="299"/>
      <c r="I5" s="298">
        <f t="shared" si="0"/>
        <v>948</v>
      </c>
      <c r="J5" s="298">
        <f t="shared" si="1"/>
        <v>18960</v>
      </c>
      <c r="K5" s="114"/>
      <c r="L5" s="188"/>
    </row>
    <row r="6" spans="1:12">
      <c r="A6" s="298" t="str">
        <f>Application!B728</f>
        <v>1 Bedroom</v>
      </c>
      <c r="B6" s="861">
        <f>Application!G728</f>
        <v>20</v>
      </c>
      <c r="C6" s="936"/>
      <c r="D6" s="298">
        <f>Application!O728</f>
        <v>1311</v>
      </c>
      <c r="E6" s="299"/>
      <c r="F6" s="862"/>
      <c r="G6" s="298">
        <f t="shared" si="2"/>
        <v>0</v>
      </c>
      <c r="H6" s="299"/>
      <c r="I6" s="298" t="str">
        <f t="shared" si="0"/>
        <v/>
      </c>
      <c r="J6" s="298" t="str">
        <f t="shared" si="1"/>
        <v/>
      </c>
      <c r="K6" s="114"/>
      <c r="L6" s="188"/>
    </row>
    <row r="7" spans="1:12">
      <c r="A7" s="298" t="str">
        <f>Application!B729</f>
        <v>1 Bedroom</v>
      </c>
      <c r="B7" s="861">
        <f>Application!G729</f>
        <v>12</v>
      </c>
      <c r="C7" s="936"/>
      <c r="D7" s="298">
        <f>Application!O729</f>
        <v>1595</v>
      </c>
      <c r="E7" s="299"/>
      <c r="F7" s="862"/>
      <c r="G7" s="298">
        <f t="shared" si="2"/>
        <v>0</v>
      </c>
      <c r="H7" s="299"/>
      <c r="I7" s="298" t="str">
        <f t="shared" si="0"/>
        <v/>
      </c>
      <c r="J7" s="298" t="str">
        <f t="shared" si="1"/>
        <v/>
      </c>
      <c r="K7" s="114"/>
      <c r="L7" s="188"/>
    </row>
    <row r="8" spans="1:12">
      <c r="A8" s="298" t="str">
        <f>Application!B730</f>
        <v>1 Bedroom</v>
      </c>
      <c r="B8" s="861">
        <f>Application!G730</f>
        <v>12</v>
      </c>
      <c r="C8" s="936"/>
      <c r="D8" s="298">
        <f>Application!O730</f>
        <v>1879</v>
      </c>
      <c r="E8" s="299"/>
      <c r="F8" s="862"/>
      <c r="G8" s="298">
        <f t="shared" si="2"/>
        <v>0</v>
      </c>
      <c r="H8" s="299"/>
      <c r="I8" s="298" t="str">
        <f t="shared" si="0"/>
        <v/>
      </c>
      <c r="J8" s="298" t="str">
        <f t="shared" si="1"/>
        <v/>
      </c>
      <c r="K8" s="114"/>
      <c r="L8" s="188"/>
    </row>
    <row r="9" spans="1:12">
      <c r="A9" s="298" t="str">
        <f>Application!B731</f>
        <v>2 Bedrooms</v>
      </c>
      <c r="B9" s="861">
        <f>Application!G731</f>
        <v>8</v>
      </c>
      <c r="C9" s="936" t="s">
        <v>2779</v>
      </c>
      <c r="D9" s="298">
        <f>Application!O731</f>
        <v>871</v>
      </c>
      <c r="E9" s="299"/>
      <c r="F9" s="862">
        <v>2099</v>
      </c>
      <c r="G9" s="298">
        <f t="shared" si="2"/>
        <v>16792</v>
      </c>
      <c r="H9" s="299"/>
      <c r="I9" s="298">
        <f t="shared" si="0"/>
        <v>1228</v>
      </c>
      <c r="J9" s="298">
        <f t="shared" si="1"/>
        <v>9824</v>
      </c>
      <c r="K9" s="114"/>
      <c r="L9" s="188"/>
    </row>
    <row r="10" spans="1:12">
      <c r="A10" s="298" t="str">
        <f>Application!B732</f>
        <v>2 Bedrooms</v>
      </c>
      <c r="B10" s="861">
        <f>Application!G732</f>
        <v>18</v>
      </c>
      <c r="C10" s="936"/>
      <c r="D10" s="298">
        <f>Application!O732</f>
        <v>1552</v>
      </c>
      <c r="E10" s="299"/>
      <c r="F10" s="862"/>
      <c r="G10" s="298">
        <f t="shared" si="2"/>
        <v>0</v>
      </c>
      <c r="H10" s="299"/>
      <c r="I10" s="298" t="str">
        <f t="shared" si="0"/>
        <v/>
      </c>
      <c r="J10" s="298" t="str">
        <f t="shared" si="1"/>
        <v/>
      </c>
      <c r="K10" s="114"/>
      <c r="L10" s="188"/>
    </row>
    <row r="11" spans="1:12">
      <c r="A11" s="298" t="str">
        <f>Application!B733</f>
        <v>2 Bedrooms</v>
      </c>
      <c r="B11" s="861">
        <f>Application!G733</f>
        <v>7</v>
      </c>
      <c r="C11" s="936"/>
      <c r="D11" s="298">
        <f>Application!O733</f>
        <v>1893</v>
      </c>
      <c r="E11" s="299"/>
      <c r="F11" s="862"/>
      <c r="G11" s="298">
        <f t="shared" si="2"/>
        <v>0</v>
      </c>
      <c r="H11" s="299"/>
      <c r="I11" s="298" t="str">
        <f t="shared" si="0"/>
        <v/>
      </c>
      <c r="J11" s="298" t="str">
        <f t="shared" si="1"/>
        <v/>
      </c>
      <c r="K11" s="114"/>
      <c r="L11" s="188"/>
    </row>
    <row r="12" spans="1:12">
      <c r="A12" s="298" t="str">
        <f>Application!B734</f>
        <v>2 Bedrooms</v>
      </c>
      <c r="B12" s="861">
        <f>Application!G734</f>
        <v>5</v>
      </c>
      <c r="C12" s="936"/>
      <c r="D12" s="298">
        <f>Application!O734</f>
        <v>2234</v>
      </c>
      <c r="E12" s="299"/>
      <c r="F12" s="862"/>
      <c r="G12" s="298">
        <f t="shared" si="2"/>
        <v>0</v>
      </c>
      <c r="H12" s="299"/>
      <c r="I12" s="298" t="str">
        <f t="shared" si="0"/>
        <v/>
      </c>
      <c r="J12" s="298" t="str">
        <f t="shared" si="1"/>
        <v/>
      </c>
      <c r="K12" s="114"/>
      <c r="L12" s="188"/>
    </row>
    <row r="13" spans="1:12">
      <c r="A13" s="298" t="str">
        <f>Application!B735</f>
        <v>3 Bedrooms</v>
      </c>
      <c r="B13" s="861">
        <f>Application!G735</f>
        <v>9</v>
      </c>
      <c r="C13" s="936" t="s">
        <v>2779</v>
      </c>
      <c r="D13" s="298">
        <f>Application!O735</f>
        <v>988</v>
      </c>
      <c r="E13" s="299"/>
      <c r="F13" s="862">
        <v>2657</v>
      </c>
      <c r="G13" s="298">
        <f t="shared" si="2"/>
        <v>23913</v>
      </c>
      <c r="H13" s="299"/>
      <c r="I13" s="298">
        <f t="shared" si="0"/>
        <v>1669</v>
      </c>
      <c r="J13" s="298">
        <f t="shared" si="1"/>
        <v>15021</v>
      </c>
      <c r="K13" s="114"/>
      <c r="L13" s="188"/>
    </row>
    <row r="14" spans="1:12">
      <c r="A14" s="298" t="str">
        <f>Application!B736</f>
        <v>3 Bedrooms</v>
      </c>
      <c r="B14" s="861">
        <f>Application!G736</f>
        <v>8</v>
      </c>
      <c r="C14" s="936"/>
      <c r="D14" s="298">
        <f>Application!O736</f>
        <v>1776</v>
      </c>
      <c r="E14" s="299"/>
      <c r="F14" s="862"/>
      <c r="G14" s="298">
        <f t="shared" si="2"/>
        <v>0</v>
      </c>
      <c r="H14" s="299"/>
      <c r="I14" s="298" t="str">
        <f t="shared" si="0"/>
        <v/>
      </c>
      <c r="J14" s="298" t="str">
        <f t="shared" si="1"/>
        <v/>
      </c>
      <c r="K14" s="114"/>
      <c r="L14" s="188"/>
    </row>
    <row r="15" spans="1:12">
      <c r="A15" s="298" t="str">
        <f>Application!B737</f>
        <v>3 Bedrooms</v>
      </c>
      <c r="B15" s="861">
        <f>Application!G737</f>
        <v>7</v>
      </c>
      <c r="C15" s="936"/>
      <c r="D15" s="298">
        <f>Application!O737</f>
        <v>2170</v>
      </c>
      <c r="E15" s="299"/>
      <c r="F15" s="862"/>
      <c r="G15" s="298">
        <f t="shared" si="2"/>
        <v>0</v>
      </c>
      <c r="H15" s="299"/>
      <c r="I15" s="298" t="str">
        <f t="shared" si="0"/>
        <v/>
      </c>
      <c r="J15" s="298" t="str">
        <f t="shared" si="1"/>
        <v/>
      </c>
      <c r="K15" s="114"/>
      <c r="L15" s="188"/>
    </row>
    <row r="16" spans="1:12">
      <c r="A16" s="298" t="str">
        <f>Application!B738</f>
        <v>3 Bedrooms</v>
      </c>
      <c r="B16" s="861">
        <f>Application!G738</f>
        <v>15</v>
      </c>
      <c r="C16" s="936"/>
      <c r="D16" s="298">
        <f>Application!O738</f>
        <v>2564</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2567</v>
      </c>
      <c r="B40" s="301"/>
      <c r="C40" s="301"/>
      <c r="D40" s="302">
        <f>Application!O761</f>
        <v>226273</v>
      </c>
      <c r="E40" s="299"/>
      <c r="F40" s="299"/>
      <c r="G40" s="302">
        <f>SUM(G4:G38)*12</f>
        <v>1098420</v>
      </c>
      <c r="H40" s="303"/>
      <c r="I40" s="301"/>
      <c r="J40" s="302">
        <f>SUM(J4:J38)*12</f>
        <v>640620</v>
      </c>
      <c r="K40" s="114"/>
      <c r="L40" s="189"/>
    </row>
    <row r="41" spans="1:12" ht="15">
      <c r="A41" s="300"/>
      <c r="B41" s="301"/>
      <c r="C41" s="301"/>
      <c r="D41" s="303"/>
      <c r="E41" s="299"/>
      <c r="F41" s="299"/>
      <c r="G41" s="303"/>
      <c r="H41" s="303"/>
      <c r="I41" s="301"/>
      <c r="J41" s="303"/>
      <c r="K41" s="114"/>
      <c r="L41" s="189"/>
    </row>
    <row r="42" spans="1:12">
      <c r="A42" s="187" t="s">
        <v>2568</v>
      </c>
    </row>
    <row r="43" spans="1:12">
      <c r="A43" s="2616" t="s">
        <v>2569</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2570</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9" zoomScale="85" zoomScaleNormal="85" workbookViewId="0">
      <selection activeCell="U62" sqref="U62"/>
    </sheetView>
  </sheetViews>
  <sheetFormatPr defaultColWidth="0" defaultRowHeight="12.75" zeroHeight="1"/>
  <cols>
    <col min="1" max="1" width="3.7109375" customWidth="1"/>
    <col min="2" max="2" width="30.42578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3.42578125" customWidth="1"/>
    <col min="35" max="35" width="0" hidden="1" customWidth="1"/>
    <col min="36" max="16384" width="8.85546875" hidden="1"/>
  </cols>
  <sheetData>
    <row r="1" spans="1:34" ht="18">
      <c r="A1" s="119" t="s">
        <v>2571</v>
      </c>
      <c r="B1" s="119"/>
    </row>
    <row r="2" spans="1:34"/>
    <row r="3" spans="1:34" ht="15.75">
      <c r="A3" s="120" t="s">
        <v>2572</v>
      </c>
      <c r="B3" s="120"/>
      <c r="C3" s="141" t="s">
        <v>2573</v>
      </c>
      <c r="D3" s="1109"/>
      <c r="E3" s="142" t="s">
        <v>2574</v>
      </c>
      <c r="F3" s="113"/>
      <c r="G3" s="142" t="s">
        <v>2575</v>
      </c>
      <c r="H3" s="113"/>
      <c r="I3" s="142" t="s">
        <v>2576</v>
      </c>
      <c r="J3" s="113"/>
      <c r="K3" s="142" t="s">
        <v>2577</v>
      </c>
      <c r="L3" s="113"/>
      <c r="M3" s="142" t="s">
        <v>2578</v>
      </c>
      <c r="N3" s="113"/>
      <c r="O3" s="142" t="s">
        <v>2579</v>
      </c>
      <c r="P3" s="113"/>
      <c r="Q3" s="142" t="s">
        <v>2580</v>
      </c>
      <c r="R3" s="113"/>
      <c r="S3" s="142" t="s">
        <v>2581</v>
      </c>
      <c r="T3" s="113"/>
      <c r="U3" s="142" t="s">
        <v>2582</v>
      </c>
      <c r="V3" s="113"/>
      <c r="W3" s="142" t="s">
        <v>2583</v>
      </c>
      <c r="X3" s="113"/>
      <c r="Y3" s="142" t="s">
        <v>2584</v>
      </c>
      <c r="Z3" s="113"/>
      <c r="AA3" s="142" t="s">
        <v>2585</v>
      </c>
      <c r="AB3" s="113"/>
      <c r="AC3" s="142" t="s">
        <v>2586</v>
      </c>
      <c r="AD3" s="113"/>
      <c r="AE3" s="142" t="s">
        <v>2587</v>
      </c>
      <c r="AF3" s="113"/>
      <c r="AG3" s="142" t="s">
        <v>2588</v>
      </c>
      <c r="AH3" s="1109"/>
    </row>
    <row r="4" spans="1:34" s="126" customFormat="1" ht="14.25">
      <c r="A4" s="126" t="s">
        <v>2589</v>
      </c>
      <c r="C4" s="1224">
        <v>1.0249999999999999</v>
      </c>
      <c r="E4" s="126">
        <f>Application!Y809</f>
        <v>2715276</v>
      </c>
      <c r="G4" s="126">
        <f>E4*$C$4</f>
        <v>2783157.9</v>
      </c>
      <c r="I4" s="126">
        <f>G4*$C$4</f>
        <v>2852736.8474999997</v>
      </c>
      <c r="K4" s="126">
        <f>I4*$C$4</f>
        <v>2924055.2686874992</v>
      </c>
      <c r="M4" s="126">
        <f>K4*$C$4</f>
        <v>2997156.6504046866</v>
      </c>
      <c r="O4" s="126">
        <f>M4*$C$4</f>
        <v>3072085.5666648033</v>
      </c>
      <c r="Q4" s="126">
        <f>O4*$C$4</f>
        <v>3148887.7058314229</v>
      </c>
      <c r="S4" s="126">
        <f>Q4*$C$4</f>
        <v>3227609.8984772083</v>
      </c>
      <c r="U4" s="126">
        <f>S4*$C$4</f>
        <v>3308300.1459391383</v>
      </c>
      <c r="W4" s="126">
        <f>U4*$C$4</f>
        <v>3391007.6495876163</v>
      </c>
      <c r="Y4" s="126">
        <f>W4*$C$4</f>
        <v>3475782.8408273063</v>
      </c>
      <c r="AA4" s="126">
        <f>Y4*$C$4</f>
        <v>3562677.4118479886</v>
      </c>
      <c r="AC4" s="126">
        <f>AA4*$C$4</f>
        <v>3651744.3471441879</v>
      </c>
      <c r="AE4" s="126">
        <f>AC4*$C$4</f>
        <v>3743037.9558227924</v>
      </c>
      <c r="AG4" s="126">
        <f>AE4*$C$4</f>
        <v>3836613.9047183618</v>
      </c>
    </row>
    <row r="5" spans="1:34" s="118" customFormat="1" ht="14.25">
      <c r="B5" s="118" t="s">
        <v>2144</v>
      </c>
      <c r="C5" s="1225">
        <v>5.3311258278145694E-2</v>
      </c>
      <c r="E5" s="128">
        <f>-E4*$C$5</f>
        <v>-144754.78013245034</v>
      </c>
      <c r="F5" s="128"/>
      <c r="G5" s="128">
        <f>-G4*$C$5</f>
        <v>-148373.64963576157</v>
      </c>
      <c r="H5" s="128"/>
      <c r="I5" s="128">
        <f>-I4*$C$5</f>
        <v>-152082.99087665562</v>
      </c>
      <c r="J5" s="128"/>
      <c r="K5" s="128">
        <f>-K4*$C$5</f>
        <v>-155885.06564857197</v>
      </c>
      <c r="L5" s="128"/>
      <c r="M5" s="128">
        <f>-M4*$C$5</f>
        <v>-159782.19228978627</v>
      </c>
      <c r="N5" s="128"/>
      <c r="O5" s="128">
        <f>-O4*$C$5</f>
        <v>-163776.74709703089</v>
      </c>
      <c r="P5" s="128"/>
      <c r="Q5" s="128">
        <f>-Q4*$C$5</f>
        <v>-167871.16577445666</v>
      </c>
      <c r="R5" s="128"/>
      <c r="S5" s="128">
        <f>-S4*$C$5</f>
        <v>-172067.94491881804</v>
      </c>
      <c r="T5" s="128"/>
      <c r="U5" s="128">
        <f>-U4*$C$5</f>
        <v>-176369.64354178848</v>
      </c>
      <c r="V5" s="128"/>
      <c r="W5" s="128">
        <f>-W4*$C$5</f>
        <v>-180778.8846303332</v>
      </c>
      <c r="X5" s="128"/>
      <c r="Y5" s="128">
        <f>-Y4*$C$5</f>
        <v>-185298.35674609148</v>
      </c>
      <c r="Z5" s="128"/>
      <c r="AA5" s="128">
        <f>-AA4*$C$5</f>
        <v>-189930.81566474377</v>
      </c>
      <c r="AB5" s="128"/>
      <c r="AC5" s="128">
        <f>-AC4*$C$5</f>
        <v>-194679.08605636234</v>
      </c>
      <c r="AD5" s="128"/>
      <c r="AE5" s="128">
        <f>-AE4*$C$5</f>
        <v>-199546.06320777137</v>
      </c>
      <c r="AF5" s="128"/>
      <c r="AG5" s="128">
        <f>-AG4*$C$5</f>
        <v>-204534.71478796564</v>
      </c>
    </row>
    <row r="6" spans="1:34" s="118" customFormat="1" ht="14.25">
      <c r="A6" s="118" t="s">
        <v>2590</v>
      </c>
      <c r="C6" s="1224">
        <v>1.0249999999999999</v>
      </c>
      <c r="E6" s="129">
        <f>Application!M969+Application!AE969</f>
        <v>640620</v>
      </c>
      <c r="F6" s="129"/>
      <c r="G6" s="129">
        <f>E6*$C$6</f>
        <v>656635.5</v>
      </c>
      <c r="H6" s="129"/>
      <c r="I6" s="129">
        <f>G6*$C$6</f>
        <v>673051.38749999995</v>
      </c>
      <c r="J6" s="129"/>
      <c r="K6" s="129">
        <f>I6*$C$6</f>
        <v>689877.67218749993</v>
      </c>
      <c r="L6" s="129"/>
      <c r="M6" s="129">
        <f>K6*$C$6</f>
        <v>707124.61399218743</v>
      </c>
      <c r="N6" s="129"/>
      <c r="O6" s="129">
        <f>M6*$C$6</f>
        <v>724802.72934199206</v>
      </c>
      <c r="P6" s="129"/>
      <c r="Q6" s="129">
        <f>O6*$C$6</f>
        <v>742922.79757554177</v>
      </c>
      <c r="R6" s="129"/>
      <c r="S6" s="129">
        <f>Q6*$C$6</f>
        <v>761495.8675149302</v>
      </c>
      <c r="T6" s="129"/>
      <c r="U6" s="129">
        <f>S6*$C$6</f>
        <v>780533.26420280337</v>
      </c>
      <c r="V6" s="129"/>
      <c r="W6" s="129">
        <f>U6*$C$6</f>
        <v>800046.59580787341</v>
      </c>
      <c r="X6" s="129"/>
      <c r="Y6" s="129">
        <f>W6*$C$6</f>
        <v>820047.76070307021</v>
      </c>
      <c r="Z6" s="129"/>
      <c r="AA6" s="129">
        <f>Y6*$C$6</f>
        <v>840548.95472064684</v>
      </c>
      <c r="AB6" s="129"/>
      <c r="AC6" s="129">
        <f>AA6*$C$6</f>
        <v>861562.678588663</v>
      </c>
      <c r="AD6" s="129"/>
      <c r="AE6" s="129">
        <f>AC6*$C$6</f>
        <v>883101.74555337953</v>
      </c>
      <c r="AF6" s="129"/>
      <c r="AG6" s="129">
        <f>AE6*$C$6</f>
        <v>905179.28919221391</v>
      </c>
    </row>
    <row r="7" spans="1:34" s="118" customFormat="1" ht="14.25">
      <c r="B7" s="118" t="s">
        <v>2144</v>
      </c>
      <c r="C7" s="1225">
        <v>5.9504000000000001E-2</v>
      </c>
      <c r="E7" s="128">
        <f>-E6*$C$7</f>
        <v>-38119.45248</v>
      </c>
      <c r="F7" s="128"/>
      <c r="G7" s="128">
        <f>-G6*$C$7</f>
        <v>-39072.438792000001</v>
      </c>
      <c r="H7" s="128"/>
      <c r="I7" s="128">
        <f>-I6*$C$7</f>
        <v>-40049.249761799998</v>
      </c>
      <c r="J7" s="128"/>
      <c r="K7" s="128">
        <f>-K6*$C$7</f>
        <v>-41050.481005844995</v>
      </c>
      <c r="L7" s="128"/>
      <c r="M7" s="128">
        <f>-M6*$C$7</f>
        <v>-42076.743030991121</v>
      </c>
      <c r="N7" s="128"/>
      <c r="O7" s="128">
        <f>-O6*$C$7</f>
        <v>-43128.661606765898</v>
      </c>
      <c r="P7" s="128"/>
      <c r="Q7" s="128">
        <f>-Q6*$C$7</f>
        <v>-44206.878146935036</v>
      </c>
      <c r="R7" s="128"/>
      <c r="S7" s="128">
        <f>-S6*$C$7</f>
        <v>-45312.050100608409</v>
      </c>
      <c r="T7" s="128"/>
      <c r="U7" s="128">
        <f>-U6*$C$7</f>
        <v>-46444.851353123609</v>
      </c>
      <c r="V7" s="128"/>
      <c r="W7" s="128">
        <f>-W6*$C$7</f>
        <v>-47605.972636951701</v>
      </c>
      <c r="X7" s="128"/>
      <c r="Y7" s="128">
        <f>-Y6*$C$7</f>
        <v>-48796.121952875488</v>
      </c>
      <c r="Z7" s="128"/>
      <c r="AA7" s="128">
        <f>-AA6*$C$7</f>
        <v>-50016.025001697373</v>
      </c>
      <c r="AB7" s="128"/>
      <c r="AC7" s="128">
        <f>-AC6*$C$7</f>
        <v>-51266.425626739801</v>
      </c>
      <c r="AD7" s="128"/>
      <c r="AE7" s="128">
        <f>-AE6*$C$7</f>
        <v>-52548.086267408296</v>
      </c>
      <c r="AF7" s="128"/>
      <c r="AG7" s="128">
        <f>-AG6*$C$7</f>
        <v>-53861.788424093495</v>
      </c>
    </row>
    <row r="8" spans="1:34" s="118" customFormat="1" ht="14.25">
      <c r="A8" s="118" t="s">
        <v>215</v>
      </c>
      <c r="C8" s="1224">
        <v>1.0249999999999999</v>
      </c>
      <c r="E8" s="129">
        <f>Application!Z825</f>
        <v>31365</v>
      </c>
      <c r="F8" s="129"/>
      <c r="G8" s="129">
        <f>E8*$C$8</f>
        <v>32149.124999999996</v>
      </c>
      <c r="H8" s="129"/>
      <c r="I8" s="129">
        <f>G8*$C$8</f>
        <v>32952.853124999994</v>
      </c>
      <c r="J8" s="129"/>
      <c r="K8" s="129">
        <f>I8*$C$8</f>
        <v>33776.674453124993</v>
      </c>
      <c r="L8" s="129"/>
      <c r="M8" s="129">
        <f>K8*$C$8</f>
        <v>34621.091314453115</v>
      </c>
      <c r="N8" s="129"/>
      <c r="O8" s="129">
        <f>M8*$C$8</f>
        <v>35486.618597314438</v>
      </c>
      <c r="P8" s="129"/>
      <c r="Q8" s="129">
        <f>O8*$C$8</f>
        <v>36373.784062247294</v>
      </c>
      <c r="R8" s="129"/>
      <c r="S8" s="129">
        <f>Q8*$C$8</f>
        <v>37283.128663803473</v>
      </c>
      <c r="T8" s="129"/>
      <c r="U8" s="129">
        <f>S8*$C$8</f>
        <v>38215.206880398553</v>
      </c>
      <c r="V8" s="129"/>
      <c r="W8" s="129">
        <f>U8*$C$8</f>
        <v>39170.587052408511</v>
      </c>
      <c r="X8" s="129"/>
      <c r="Y8" s="129">
        <f>W8*$C$8</f>
        <v>40149.851728718721</v>
      </c>
      <c r="Z8" s="129"/>
      <c r="AA8" s="129">
        <f>Y8*$C$8</f>
        <v>41153.598021936683</v>
      </c>
      <c r="AB8" s="129"/>
      <c r="AC8" s="129">
        <f>AA8*$C$8</f>
        <v>42182.437972485095</v>
      </c>
      <c r="AD8" s="129"/>
      <c r="AE8" s="129">
        <f>AC8*$C$8</f>
        <v>43236.998921797218</v>
      </c>
      <c r="AF8" s="129"/>
      <c r="AG8" s="129">
        <f>AE8*$C$8</f>
        <v>44317.923894842148</v>
      </c>
    </row>
    <row r="9" spans="1:34" s="118" customFormat="1" ht="14.25">
      <c r="B9" s="118" t="s">
        <v>2144</v>
      </c>
      <c r="C9" s="1225">
        <v>5.3311258278145694E-2</v>
      </c>
      <c r="E9" s="128">
        <f>-E8*$C$9</f>
        <v>-1672.1076158940398</v>
      </c>
      <c r="F9" s="128"/>
      <c r="G9" s="128">
        <f>-G8*$C$9</f>
        <v>-1713.9103062913905</v>
      </c>
      <c r="H9" s="128"/>
      <c r="I9" s="128">
        <f>-I8*$C$9</f>
        <v>-1756.758063948675</v>
      </c>
      <c r="J9" s="128"/>
      <c r="K9" s="128">
        <f>-K8*$C$9</f>
        <v>-1800.6770155473921</v>
      </c>
      <c r="L9" s="128"/>
      <c r="M9" s="128">
        <f>-M8*$C$9</f>
        <v>-1845.6939409360766</v>
      </c>
      <c r="N9" s="128"/>
      <c r="O9" s="128">
        <f>-O8*$C$9</f>
        <v>-1891.8362894594784</v>
      </c>
      <c r="P9" s="128"/>
      <c r="Q9" s="128">
        <f>-Q8*$C$9</f>
        <v>-1939.1321966959649</v>
      </c>
      <c r="R9" s="128"/>
      <c r="S9" s="128">
        <f>-S8*$C$9</f>
        <v>-1987.6105016133638</v>
      </c>
      <c r="T9" s="128"/>
      <c r="U9" s="128">
        <f>-U8*$C$9</f>
        <v>-2037.3007641536976</v>
      </c>
      <c r="V9" s="128"/>
      <c r="W9" s="128">
        <f>-W8*$C$9</f>
        <v>-2088.2332832575398</v>
      </c>
      <c r="X9" s="128"/>
      <c r="Y9" s="128">
        <f>-Y8*$C$9</f>
        <v>-2140.4391153389779</v>
      </c>
      <c r="Z9" s="128"/>
      <c r="AA9" s="128">
        <f>-AA8*$C$9</f>
        <v>-2193.9500932224523</v>
      </c>
      <c r="AB9" s="128"/>
      <c r="AC9" s="128">
        <f>-AC8*$C$9</f>
        <v>-2248.7988455530135</v>
      </c>
      <c r="AD9" s="128"/>
      <c r="AE9" s="128">
        <f>-AE8*$C$9</f>
        <v>-2305.0188166918383</v>
      </c>
      <c r="AF9" s="128"/>
      <c r="AG9" s="128">
        <f>-AG8*$C$9</f>
        <v>-2362.6442871091344</v>
      </c>
    </row>
    <row r="10" spans="1:34" s="118" customFormat="1" ht="14.25">
      <c r="A10" s="919" t="s">
        <v>2591</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2592</v>
      </c>
      <c r="C11" s="123"/>
      <c r="E11" s="130">
        <f>SUM(E4:E10)</f>
        <v>3202714.6597716557</v>
      </c>
      <c r="G11" s="130">
        <f>SUM(G4:G10)</f>
        <v>3282782.5262659471</v>
      </c>
      <c r="I11" s="130">
        <f>SUM(I4:I10)</f>
        <v>3364852.0894225957</v>
      </c>
      <c r="K11" s="130">
        <f>SUM(K4:K10)</f>
        <v>3448973.3916581594</v>
      </c>
      <c r="M11" s="130">
        <f>SUM(M4:M10)</f>
        <v>3535197.7264496139</v>
      </c>
      <c r="O11" s="130">
        <f>SUM(O4:O10)</f>
        <v>3623577.6696108538</v>
      </c>
      <c r="Q11" s="130">
        <f>SUM(Q4:Q10)</f>
        <v>3714167.111351124</v>
      </c>
      <c r="S11" s="130">
        <f>SUM(S4:S10)</f>
        <v>3807021.2891349024</v>
      </c>
      <c r="U11" s="130">
        <f>SUM(U4:U10)</f>
        <v>3902196.821363274</v>
      </c>
      <c r="W11" s="130">
        <f>SUM(W4:W10)</f>
        <v>3999751.7418973558</v>
      </c>
      <c r="Y11" s="130">
        <f>SUM(Y4:Y10)</f>
        <v>4099745.5354447891</v>
      </c>
      <c r="AA11" s="130">
        <f>SUM(AA4:AA10)</f>
        <v>4202239.1738309087</v>
      </c>
      <c r="AC11" s="130">
        <f>SUM(AC4:AC10)</f>
        <v>4307295.1531766811</v>
      </c>
      <c r="AE11" s="130">
        <f>SUM(AE4:AE10)</f>
        <v>4414977.5320060989</v>
      </c>
      <c r="AG11" s="130">
        <f>SUM(AG4:AG10)</f>
        <v>4525351.9703062493</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2593</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2594</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2595</v>
      </c>
      <c r="C15" s="766"/>
      <c r="E15" s="126">
        <f>Application!W855</f>
        <v>96608</v>
      </c>
      <c r="G15" s="126">
        <f>E15*$C$14</f>
        <v>99989.28</v>
      </c>
      <c r="I15" s="126">
        <f>G15*$C$14</f>
        <v>103488.90479999999</v>
      </c>
      <c r="K15" s="126">
        <f>I15*$C$14</f>
        <v>107111.01646799999</v>
      </c>
      <c r="M15" s="126">
        <f>K15*$C$14</f>
        <v>110859.90204437998</v>
      </c>
      <c r="O15" s="126">
        <f>M15*$C$14</f>
        <v>114739.99861593328</v>
      </c>
      <c r="Q15" s="126">
        <f>O15*$C$14</f>
        <v>118755.89856749093</v>
      </c>
      <c r="S15" s="126">
        <f>Q15*$C$14</f>
        <v>122912.35501735311</v>
      </c>
      <c r="U15" s="126">
        <f>S15*$C$14</f>
        <v>127214.28744296046</v>
      </c>
      <c r="W15" s="126">
        <f>U15*$C$14</f>
        <v>131666.78750346406</v>
      </c>
      <c r="Y15" s="126">
        <f>W15*$C$14</f>
        <v>136275.12506608528</v>
      </c>
      <c r="AA15" s="126">
        <f>Y15*$C$14</f>
        <v>141044.75444339827</v>
      </c>
      <c r="AC15" s="126">
        <f>AA15*$C$14</f>
        <v>145981.32084891721</v>
      </c>
      <c r="AE15" s="126">
        <f>AC15*$C$14</f>
        <v>151090.66707862931</v>
      </c>
      <c r="AG15" s="126">
        <f>AE15*$C$14</f>
        <v>156378.84042638133</v>
      </c>
    </row>
    <row r="16" spans="1:34" s="118" customFormat="1" ht="14.25">
      <c r="A16" s="118" t="s">
        <v>1439</v>
      </c>
      <c r="C16" s="758"/>
      <c r="E16" s="129">
        <f>Application!W857</f>
        <v>128520</v>
      </c>
      <c r="F16" s="129"/>
      <c r="G16" s="129">
        <f t="shared" ref="G16:AG21" si="0">E16*$C$14</f>
        <v>133018.19999999998</v>
      </c>
      <c r="H16" s="129"/>
      <c r="I16" s="129">
        <f t="shared" si="0"/>
        <v>137673.83699999997</v>
      </c>
      <c r="J16" s="129"/>
      <c r="K16" s="129">
        <f t="shared" si="0"/>
        <v>142492.42129499995</v>
      </c>
      <c r="L16" s="129"/>
      <c r="M16" s="129">
        <f t="shared" si="0"/>
        <v>147479.65604032495</v>
      </c>
      <c r="N16" s="129"/>
      <c r="O16" s="129">
        <f t="shared" si="0"/>
        <v>152641.44400173629</v>
      </c>
      <c r="P16" s="129"/>
      <c r="Q16" s="129">
        <f t="shared" si="0"/>
        <v>157983.89454179705</v>
      </c>
      <c r="R16" s="129"/>
      <c r="S16" s="129">
        <f t="shared" si="0"/>
        <v>163513.33085075993</v>
      </c>
      <c r="T16" s="129"/>
      <c r="U16" s="129">
        <f t="shared" si="0"/>
        <v>169236.29743053651</v>
      </c>
      <c r="V16" s="129"/>
      <c r="W16" s="129">
        <f t="shared" si="0"/>
        <v>175159.56784060528</v>
      </c>
      <c r="X16" s="129"/>
      <c r="Y16" s="129">
        <f t="shared" si="0"/>
        <v>181290.15271502646</v>
      </c>
      <c r="Z16" s="129"/>
      <c r="AA16" s="129">
        <f t="shared" si="0"/>
        <v>187635.30806005237</v>
      </c>
      <c r="AB16" s="129"/>
      <c r="AC16" s="129">
        <f t="shared" si="0"/>
        <v>194202.54384215418</v>
      </c>
      <c r="AD16" s="129"/>
      <c r="AE16" s="129">
        <f t="shared" si="0"/>
        <v>200999.63287662956</v>
      </c>
      <c r="AF16" s="129"/>
      <c r="AG16" s="129">
        <f t="shared" si="0"/>
        <v>208034.62002731158</v>
      </c>
    </row>
    <row r="17" spans="1:33" s="118" customFormat="1" ht="14.25">
      <c r="A17" s="118" t="s">
        <v>230</v>
      </c>
      <c r="C17" s="758"/>
      <c r="E17" s="129">
        <f>Application!W863</f>
        <v>121402</v>
      </c>
      <c r="F17" s="129"/>
      <c r="G17" s="129">
        <f t="shared" si="0"/>
        <v>125651.06999999999</v>
      </c>
      <c r="H17" s="129"/>
      <c r="I17" s="129">
        <f t="shared" si="0"/>
        <v>130048.85744999998</v>
      </c>
      <c r="J17" s="129"/>
      <c r="K17" s="129">
        <f t="shared" si="0"/>
        <v>134600.56746074997</v>
      </c>
      <c r="L17" s="129"/>
      <c r="M17" s="129">
        <f t="shared" si="0"/>
        <v>139311.5873218762</v>
      </c>
      <c r="N17" s="129"/>
      <c r="O17" s="129">
        <f t="shared" si="0"/>
        <v>144187.49287814184</v>
      </c>
      <c r="P17" s="129"/>
      <c r="Q17" s="129">
        <f t="shared" si="0"/>
        <v>149234.05512887679</v>
      </c>
      <c r="R17" s="129"/>
      <c r="S17" s="129">
        <f t="shared" si="0"/>
        <v>154457.24705838747</v>
      </c>
      <c r="T17" s="129"/>
      <c r="U17" s="129">
        <f t="shared" si="0"/>
        <v>159863.25070543101</v>
      </c>
      <c r="V17" s="129"/>
      <c r="W17" s="129">
        <f t="shared" si="0"/>
        <v>165458.4644801211</v>
      </c>
      <c r="X17" s="129"/>
      <c r="Y17" s="129">
        <f t="shared" si="0"/>
        <v>171249.51073692532</v>
      </c>
      <c r="Z17" s="129"/>
      <c r="AA17" s="129">
        <f t="shared" si="0"/>
        <v>177243.24361271769</v>
      </c>
      <c r="AB17" s="129"/>
      <c r="AC17" s="129">
        <f t="shared" si="0"/>
        <v>183446.7571391628</v>
      </c>
      <c r="AD17" s="129"/>
      <c r="AE17" s="129">
        <f t="shared" si="0"/>
        <v>189867.39363903349</v>
      </c>
      <c r="AF17" s="129"/>
      <c r="AG17" s="129">
        <f t="shared" si="0"/>
        <v>196512.75241639966</v>
      </c>
    </row>
    <row r="18" spans="1:33" s="118" customFormat="1" ht="14.25">
      <c r="A18" s="118" t="s">
        <v>2596</v>
      </c>
      <c r="C18" s="758"/>
      <c r="E18" s="129">
        <f>Application!W870</f>
        <v>366104</v>
      </c>
      <c r="F18" s="129"/>
      <c r="G18" s="129">
        <f t="shared" si="0"/>
        <v>378917.63999999996</v>
      </c>
      <c r="H18" s="129"/>
      <c r="I18" s="129">
        <f t="shared" si="0"/>
        <v>392179.75739999994</v>
      </c>
      <c r="J18" s="129"/>
      <c r="K18" s="129">
        <f t="shared" si="0"/>
        <v>405906.04890899989</v>
      </c>
      <c r="L18" s="129"/>
      <c r="M18" s="129">
        <f t="shared" si="0"/>
        <v>420112.76062081486</v>
      </c>
      <c r="N18" s="129"/>
      <c r="O18" s="129">
        <f t="shared" si="0"/>
        <v>434816.70724254334</v>
      </c>
      <c r="P18" s="129"/>
      <c r="Q18" s="129">
        <f t="shared" si="0"/>
        <v>450035.29199603235</v>
      </c>
      <c r="R18" s="129"/>
      <c r="S18" s="129">
        <f t="shared" si="0"/>
        <v>465786.52721589344</v>
      </c>
      <c r="T18" s="129"/>
      <c r="U18" s="129">
        <f t="shared" si="0"/>
        <v>482089.05566844967</v>
      </c>
      <c r="V18" s="129"/>
      <c r="W18" s="129">
        <f t="shared" si="0"/>
        <v>498962.17261684535</v>
      </c>
      <c r="X18" s="129"/>
      <c r="Y18" s="129">
        <f t="shared" si="0"/>
        <v>516425.84865843487</v>
      </c>
      <c r="Z18" s="129"/>
      <c r="AA18" s="129">
        <f t="shared" si="0"/>
        <v>534500.75336148008</v>
      </c>
      <c r="AB18" s="129"/>
      <c r="AC18" s="129">
        <f t="shared" si="0"/>
        <v>553208.27972913184</v>
      </c>
      <c r="AD18" s="129"/>
      <c r="AE18" s="129">
        <f t="shared" si="0"/>
        <v>572570.56951965136</v>
      </c>
      <c r="AF18" s="129"/>
      <c r="AG18" s="129">
        <f t="shared" si="0"/>
        <v>592610.53945283906</v>
      </c>
    </row>
    <row r="19" spans="1:33" s="118" customFormat="1" ht="14.25">
      <c r="A19" s="118" t="s">
        <v>1452</v>
      </c>
      <c r="C19" s="758"/>
      <c r="E19" s="129">
        <f>Application!W872</f>
        <v>185000</v>
      </c>
      <c r="F19" s="129"/>
      <c r="G19" s="129">
        <f t="shared" si="0"/>
        <v>191474.99999999997</v>
      </c>
      <c r="H19" s="129"/>
      <c r="I19" s="129">
        <f t="shared" si="0"/>
        <v>198176.62499999994</v>
      </c>
      <c r="J19" s="129"/>
      <c r="K19" s="129">
        <f t="shared" si="0"/>
        <v>205112.80687499992</v>
      </c>
      <c r="L19" s="129"/>
      <c r="M19" s="129">
        <f t="shared" si="0"/>
        <v>212291.7551156249</v>
      </c>
      <c r="N19" s="129"/>
      <c r="O19" s="129">
        <f t="shared" si="0"/>
        <v>219721.96654467174</v>
      </c>
      <c r="P19" s="129"/>
      <c r="Q19" s="129">
        <f t="shared" si="0"/>
        <v>227412.23537373522</v>
      </c>
      <c r="R19" s="129"/>
      <c r="S19" s="129">
        <f t="shared" si="0"/>
        <v>235371.66361181595</v>
      </c>
      <c r="T19" s="129"/>
      <c r="U19" s="129">
        <f t="shared" si="0"/>
        <v>243609.67183822949</v>
      </c>
      <c r="V19" s="129"/>
      <c r="W19" s="129">
        <f t="shared" si="0"/>
        <v>252136.01035256751</v>
      </c>
      <c r="X19" s="129"/>
      <c r="Y19" s="129">
        <f t="shared" si="0"/>
        <v>260960.77071490735</v>
      </c>
      <c r="Z19" s="129"/>
      <c r="AA19" s="129">
        <f t="shared" si="0"/>
        <v>270094.39768992912</v>
      </c>
      <c r="AB19" s="129"/>
      <c r="AC19" s="129">
        <f t="shared" si="0"/>
        <v>279547.70160907664</v>
      </c>
      <c r="AD19" s="129"/>
      <c r="AE19" s="129">
        <f t="shared" si="0"/>
        <v>289331.87116539432</v>
      </c>
      <c r="AF19" s="129"/>
      <c r="AG19" s="129">
        <f t="shared" si="0"/>
        <v>299458.48665618309</v>
      </c>
    </row>
    <row r="20" spans="1:33" s="118" customFormat="1" ht="14.25">
      <c r="A20" s="118" t="s">
        <v>232</v>
      </c>
      <c r="C20" s="758"/>
      <c r="E20" s="129">
        <f>Application!W881</f>
        <v>133800</v>
      </c>
      <c r="F20" s="129"/>
      <c r="G20" s="129">
        <f t="shared" si="0"/>
        <v>138483</v>
      </c>
      <c r="H20" s="129"/>
      <c r="I20" s="129">
        <f t="shared" si="0"/>
        <v>143329.905</v>
      </c>
      <c r="J20" s="129"/>
      <c r="K20" s="129">
        <f t="shared" si="0"/>
        <v>148346.45167499999</v>
      </c>
      <c r="L20" s="129"/>
      <c r="M20" s="129">
        <f t="shared" si="0"/>
        <v>153538.57748362498</v>
      </c>
      <c r="N20" s="129"/>
      <c r="O20" s="129">
        <f t="shared" si="0"/>
        <v>158912.42769555183</v>
      </c>
      <c r="P20" s="129"/>
      <c r="Q20" s="129">
        <f t="shared" si="0"/>
        <v>164474.36266489612</v>
      </c>
      <c r="R20" s="129"/>
      <c r="S20" s="129">
        <f t="shared" si="0"/>
        <v>170230.96535816748</v>
      </c>
      <c r="T20" s="129"/>
      <c r="U20" s="129">
        <f t="shared" si="0"/>
        <v>176189.04914570332</v>
      </c>
      <c r="V20" s="129"/>
      <c r="W20" s="129">
        <f t="shared" si="0"/>
        <v>182355.66586580293</v>
      </c>
      <c r="X20" s="129"/>
      <c r="Y20" s="129">
        <f t="shared" si="0"/>
        <v>188738.11417110602</v>
      </c>
      <c r="Z20" s="129"/>
      <c r="AA20" s="129">
        <f t="shared" si="0"/>
        <v>195343.94816709473</v>
      </c>
      <c r="AB20" s="129"/>
      <c r="AC20" s="129">
        <f t="shared" si="0"/>
        <v>202180.98635294303</v>
      </c>
      <c r="AD20" s="129"/>
      <c r="AE20" s="129">
        <f t="shared" si="0"/>
        <v>209257.32087529602</v>
      </c>
      <c r="AF20" s="129"/>
      <c r="AG20" s="129">
        <f t="shared" si="0"/>
        <v>216581.32710593136</v>
      </c>
    </row>
    <row r="21" spans="1:33" s="118" customFormat="1" ht="14.25">
      <c r="A21" s="133" t="s">
        <v>2597</v>
      </c>
      <c r="B21" s="133"/>
      <c r="C21" s="758"/>
      <c r="E21" s="139">
        <f>Application!W888</f>
        <v>50652</v>
      </c>
      <c r="F21" s="129"/>
      <c r="G21" s="139">
        <f t="shared" si="0"/>
        <v>52424.819999999992</v>
      </c>
      <c r="H21" s="129"/>
      <c r="I21" s="139">
        <f t="shared" si="0"/>
        <v>54259.688699999992</v>
      </c>
      <c r="J21" s="129"/>
      <c r="K21" s="139">
        <f t="shared" si="0"/>
        <v>56158.777804499987</v>
      </c>
      <c r="L21" s="129"/>
      <c r="M21" s="139">
        <f t="shared" si="0"/>
        <v>58124.335027657478</v>
      </c>
      <c r="N21" s="129"/>
      <c r="O21" s="139">
        <f t="shared" si="0"/>
        <v>60158.686753625487</v>
      </c>
      <c r="P21" s="129"/>
      <c r="Q21" s="139">
        <f t="shared" si="0"/>
        <v>62264.240790002375</v>
      </c>
      <c r="R21" s="129"/>
      <c r="S21" s="139">
        <f t="shared" si="0"/>
        <v>64443.489217652452</v>
      </c>
      <c r="T21" s="129"/>
      <c r="U21" s="139">
        <f t="shared" si="0"/>
        <v>66699.011340270285</v>
      </c>
      <c r="V21" s="129"/>
      <c r="W21" s="139">
        <f t="shared" si="0"/>
        <v>69033.476737179735</v>
      </c>
      <c r="X21" s="129"/>
      <c r="Y21" s="139">
        <f t="shared" si="0"/>
        <v>71449.648422981016</v>
      </c>
      <c r="Z21" s="129"/>
      <c r="AA21" s="139">
        <f t="shared" si="0"/>
        <v>73950.38611778534</v>
      </c>
      <c r="AB21" s="129"/>
      <c r="AC21" s="139">
        <f t="shared" si="0"/>
        <v>76538.649631907814</v>
      </c>
      <c r="AD21" s="129"/>
      <c r="AE21" s="139">
        <f t="shared" si="0"/>
        <v>79217.502369024587</v>
      </c>
      <c r="AF21" s="129"/>
      <c r="AG21" s="139">
        <f t="shared" si="0"/>
        <v>81990.114951940443</v>
      </c>
    </row>
    <row r="22" spans="1:33" s="130" customFormat="1" ht="15">
      <c r="A22" s="130" t="s">
        <v>2598</v>
      </c>
      <c r="C22" s="758"/>
      <c r="E22" s="130">
        <f>SUM(E15:E21)</f>
        <v>1082086</v>
      </c>
      <c r="G22" s="130">
        <f>SUM(G15:G21)</f>
        <v>1119959.01</v>
      </c>
      <c r="I22" s="130">
        <f>SUM(I15:I21)</f>
        <v>1159157.5753500001</v>
      </c>
      <c r="K22" s="130">
        <f>SUM(K15:K21)</f>
        <v>1199728.0904872497</v>
      </c>
      <c r="M22" s="130">
        <f>SUM(M15:M21)</f>
        <v>1241718.5736543033</v>
      </c>
      <c r="O22" s="130">
        <f>SUM(O15:O21)</f>
        <v>1285178.7237322039</v>
      </c>
      <c r="Q22" s="130">
        <f>SUM(Q15:Q21)</f>
        <v>1330159.9790628308</v>
      </c>
      <c r="S22" s="130">
        <f>SUM(S15:S21)</f>
        <v>1376715.57833003</v>
      </c>
      <c r="U22" s="130">
        <f>SUM(U15:U21)</f>
        <v>1424900.6235715807</v>
      </c>
      <c r="W22" s="130">
        <f>SUM(W15:W21)</f>
        <v>1474772.145396586</v>
      </c>
      <c r="Y22" s="130">
        <f>SUM(Y15:Y21)</f>
        <v>1526389.1704854665</v>
      </c>
      <c r="AA22" s="130">
        <f>SUM(AA15:AA21)</f>
        <v>1579812.7914524574</v>
      </c>
      <c r="AC22" s="130">
        <f>SUM(AC15:AC21)</f>
        <v>1635106.2391532934</v>
      </c>
      <c r="AE22" s="130">
        <f>SUM(AE15:AE21)</f>
        <v>1692334.9575236586</v>
      </c>
      <c r="AG22" s="130">
        <f>SUM(AG15:AG21)</f>
        <v>1751566.6810369866</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2599</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2600</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2196</v>
      </c>
      <c r="C27" s="1224">
        <v>1.0349999999999999</v>
      </c>
      <c r="E27" s="129">
        <f>Application!AC897</f>
        <v>60000</v>
      </c>
      <c r="F27" s="129"/>
      <c r="G27" s="129">
        <f>E27*$C$27</f>
        <v>62099.999999999993</v>
      </c>
      <c r="H27" s="129"/>
      <c r="I27" s="129">
        <f>G27*$C$27</f>
        <v>64273.499999999985</v>
      </c>
      <c r="J27" s="129"/>
      <c r="K27" s="129">
        <f>I27*$C$27</f>
        <v>66523.07249999998</v>
      </c>
      <c r="L27" s="129"/>
      <c r="M27" s="129">
        <f>K27*$C$27</f>
        <v>68851.38003749997</v>
      </c>
      <c r="N27" s="129"/>
      <c r="O27" s="129">
        <f>M27*$C$27</f>
        <v>71261.17833881246</v>
      </c>
      <c r="P27" s="129"/>
      <c r="Q27" s="129">
        <f>O27*$C$27</f>
        <v>73755.319580670897</v>
      </c>
      <c r="R27" s="129"/>
      <c r="S27" s="129">
        <f>Q27*$C$27</f>
        <v>76336.75576599437</v>
      </c>
      <c r="T27" s="129"/>
      <c r="U27" s="129">
        <f>S27*$C$27</f>
        <v>79008.542217804163</v>
      </c>
      <c r="V27" s="129"/>
      <c r="W27" s="129">
        <f>U27*$C$27</f>
        <v>81773.841195427303</v>
      </c>
      <c r="X27" s="129"/>
      <c r="Y27" s="129">
        <f>W27*$C$27</f>
        <v>84635.925637267253</v>
      </c>
      <c r="Z27" s="129"/>
      <c r="AA27" s="129">
        <f>Y27*$C$27</f>
        <v>87598.183034571601</v>
      </c>
      <c r="AB27" s="129"/>
      <c r="AC27" s="129">
        <f>AA27*$C$27</f>
        <v>90664.119440781593</v>
      </c>
      <c r="AD27" s="129"/>
      <c r="AE27" s="129">
        <f>AC27*$C$27</f>
        <v>93837.363621208948</v>
      </c>
      <c r="AF27" s="129"/>
      <c r="AG27" s="129">
        <f>AE27*$C$27</f>
        <v>97121.671347951255</v>
      </c>
    </row>
    <row r="28" spans="1:33" s="118" customFormat="1" ht="14.25">
      <c r="A28" s="118" t="s">
        <v>2601</v>
      </c>
      <c r="C28" s="1224"/>
      <c r="E28" s="129">
        <f>Application!AC898</f>
        <v>76500</v>
      </c>
      <c r="F28" s="129"/>
      <c r="G28" s="129">
        <f>$E$28</f>
        <v>76500</v>
      </c>
      <c r="H28" s="129"/>
      <c r="I28" s="129">
        <f>$E$28</f>
        <v>76500</v>
      </c>
      <c r="J28" s="129"/>
      <c r="K28" s="129">
        <f>$E$28</f>
        <v>76500</v>
      </c>
      <c r="L28" s="129"/>
      <c r="M28" s="129">
        <f>$E$28</f>
        <v>76500</v>
      </c>
      <c r="N28" s="129"/>
      <c r="O28" s="129">
        <f>$E$28</f>
        <v>76500</v>
      </c>
      <c r="P28" s="129"/>
      <c r="Q28" s="129">
        <f>$E$28</f>
        <v>76500</v>
      </c>
      <c r="R28" s="129"/>
      <c r="S28" s="129">
        <f>$E$28</f>
        <v>76500</v>
      </c>
      <c r="T28" s="129"/>
      <c r="U28" s="129">
        <f>$E$28</f>
        <v>76500</v>
      </c>
      <c r="V28" s="129"/>
      <c r="W28" s="129">
        <f>$E$28</f>
        <v>76500</v>
      </c>
      <c r="X28" s="129"/>
      <c r="Y28" s="129">
        <f>$E$28</f>
        <v>76500</v>
      </c>
      <c r="Z28" s="129"/>
      <c r="AA28" s="129">
        <f>$E$28</f>
        <v>76500</v>
      </c>
      <c r="AB28" s="129"/>
      <c r="AC28" s="129">
        <f>$E$28</f>
        <v>76500</v>
      </c>
      <c r="AD28" s="129"/>
      <c r="AE28" s="129">
        <f>$E$28</f>
        <v>76500</v>
      </c>
      <c r="AF28" s="129"/>
      <c r="AG28" s="129">
        <f>$E$28</f>
        <v>76500</v>
      </c>
    </row>
    <row r="29" spans="1:33" s="118" customFormat="1" ht="14.25">
      <c r="A29" s="118" t="s">
        <v>2602</v>
      </c>
      <c r="C29" s="1224"/>
      <c r="E29" s="129">
        <f>Application!AC899</f>
        <v>0</v>
      </c>
      <c r="F29" s="129"/>
      <c r="G29" s="129">
        <f>$E$29</f>
        <v>0</v>
      </c>
      <c r="H29" s="129"/>
      <c r="I29" s="129">
        <f>$E$29</f>
        <v>0</v>
      </c>
      <c r="J29" s="129"/>
      <c r="K29" s="129">
        <f>$E$29</f>
        <v>0</v>
      </c>
      <c r="L29" s="129"/>
      <c r="M29" s="129">
        <f>$E$29</f>
        <v>0</v>
      </c>
      <c r="N29" s="129"/>
      <c r="O29" s="129">
        <f>$E$29</f>
        <v>0</v>
      </c>
      <c r="P29" s="129"/>
      <c r="Q29" s="129">
        <f>$E$29</f>
        <v>0</v>
      </c>
      <c r="R29" s="129"/>
      <c r="S29" s="129">
        <f>$E$29</f>
        <v>0</v>
      </c>
      <c r="T29" s="129"/>
      <c r="U29" s="129">
        <f>$E$29</f>
        <v>0</v>
      </c>
      <c r="V29" s="129"/>
      <c r="W29" s="129">
        <f>$E$29</f>
        <v>0</v>
      </c>
      <c r="X29" s="129"/>
      <c r="Y29" s="129">
        <f>$E$29</f>
        <v>0</v>
      </c>
      <c r="Z29" s="129"/>
      <c r="AA29" s="129">
        <f>$E$29</f>
        <v>0</v>
      </c>
      <c r="AB29" s="129"/>
      <c r="AC29" s="129">
        <f>$E$29</f>
        <v>0</v>
      </c>
      <c r="AD29" s="129"/>
      <c r="AE29" s="129">
        <f>$E$29</f>
        <v>0</v>
      </c>
      <c r="AF29" s="129"/>
      <c r="AG29" s="129">
        <f>$E$29</f>
        <v>0</v>
      </c>
    </row>
    <row r="30" spans="1:33" s="118" customFormat="1" ht="14.25">
      <c r="A30" s="118" t="s">
        <v>2603</v>
      </c>
      <c r="C30" s="1224">
        <v>1.02</v>
      </c>
      <c r="E30" s="129">
        <f>Application!AC900</f>
        <v>23000</v>
      </c>
      <c r="F30" s="129"/>
      <c r="G30" s="129">
        <f>E30*$C$30</f>
        <v>23460</v>
      </c>
      <c r="H30" s="129"/>
      <c r="I30" s="129">
        <f>G30*$C$30</f>
        <v>23929.200000000001</v>
      </c>
      <c r="J30" s="129"/>
      <c r="K30" s="129">
        <f>I30*$C$30</f>
        <v>24407.784</v>
      </c>
      <c r="L30" s="129"/>
      <c r="M30" s="129">
        <f>K30*$C$30</f>
        <v>24895.939679999999</v>
      </c>
      <c r="N30" s="129"/>
      <c r="O30" s="129">
        <f>M30*$C$30</f>
        <v>25393.858473600001</v>
      </c>
      <c r="P30" s="129"/>
      <c r="Q30" s="129">
        <f>O30*$C$30</f>
        <v>25901.735643072003</v>
      </c>
      <c r="R30" s="129"/>
      <c r="S30" s="129">
        <f>Q30*$C$30</f>
        <v>26419.770355933444</v>
      </c>
      <c r="T30" s="129"/>
      <c r="U30" s="129">
        <f>S30*$C$30</f>
        <v>26948.165763052115</v>
      </c>
      <c r="V30" s="129"/>
      <c r="W30" s="129">
        <f>U30*$C$30</f>
        <v>27487.129078313159</v>
      </c>
      <c r="X30" s="129"/>
      <c r="Y30" s="129">
        <f>W30*$C$30</f>
        <v>28036.871659879424</v>
      </c>
      <c r="Z30" s="129"/>
      <c r="AA30" s="129">
        <f>Y30*$C$30</f>
        <v>28597.609093077011</v>
      </c>
      <c r="AB30" s="129"/>
      <c r="AC30" s="129">
        <f>AA30*$C$30</f>
        <v>29169.561274938551</v>
      </c>
      <c r="AD30" s="129"/>
      <c r="AE30" s="129">
        <f>AC30*$C$30</f>
        <v>29752.952500437321</v>
      </c>
      <c r="AF30" s="129"/>
      <c r="AG30" s="129">
        <f>AE30*$C$30</f>
        <v>30348.011550446066</v>
      </c>
    </row>
    <row r="31" spans="1:33" s="118" customFormat="1" ht="14.25">
      <c r="A31" s="118" t="s">
        <v>2604</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Other (Specify):</v>
      </c>
      <c r="C32" s="1226">
        <v>1.0349999999999999</v>
      </c>
      <c r="E32" s="129">
        <f>Application!AC903</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1464</v>
      </c>
      <c r="C35" s="131"/>
      <c r="E35" s="130">
        <f>SUM(E22:E33)</f>
        <v>1241586</v>
      </c>
      <c r="G35" s="130">
        <f>SUM(G22:G33)</f>
        <v>1282019.01</v>
      </c>
      <c r="I35" s="130">
        <f>SUM(I22:I33)</f>
        <v>1323860.27535</v>
      </c>
      <c r="K35" s="130">
        <f>SUM(K22:K33)</f>
        <v>1367158.9469872497</v>
      </c>
      <c r="M35" s="130">
        <f>SUM(M22:M33)</f>
        <v>1411965.8933718035</v>
      </c>
      <c r="O35" s="130">
        <f>SUM(O22:O33)</f>
        <v>1458333.7605446163</v>
      </c>
      <c r="Q35" s="130">
        <f>SUM(Q22:Q33)</f>
        <v>1506317.0342865738</v>
      </c>
      <c r="S35" s="130">
        <f>SUM(S22:S33)</f>
        <v>1555972.1044519576</v>
      </c>
      <c r="U35" s="130">
        <f>SUM(U22:U33)</f>
        <v>1607357.331552437</v>
      </c>
      <c r="W35" s="130">
        <f>SUM(W22:W33)</f>
        <v>1660533.1156703266</v>
      </c>
      <c r="Y35" s="130">
        <f>SUM(Y22:Y33)</f>
        <v>1715561.9677826131</v>
      </c>
      <c r="AA35" s="130">
        <f>SUM(AA22:AA33)</f>
        <v>1772508.583580106</v>
      </c>
      <c r="AC35" s="130">
        <f>SUM(AC22:AC33)</f>
        <v>1831439.9198690136</v>
      </c>
      <c r="AE35" s="130">
        <f>SUM(AE22:AE33)</f>
        <v>1892425.2736453051</v>
      </c>
      <c r="AG35" s="130">
        <f>SUM(AG22:AG33)</f>
        <v>1955536.363935384</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2605</v>
      </c>
      <c r="C37" s="131"/>
      <c r="E37" s="130">
        <f>E11-E35</f>
        <v>1961128.6597716557</v>
      </c>
      <c r="G37" s="130">
        <f>G11-G35</f>
        <v>2000763.5162659471</v>
      </c>
      <c r="I37" s="130">
        <f>I11-I35</f>
        <v>2040991.8140725957</v>
      </c>
      <c r="K37" s="130">
        <f>K11-K35</f>
        <v>2081814.4446709098</v>
      </c>
      <c r="M37" s="130">
        <f>M11-M35</f>
        <v>2123231.8330778107</v>
      </c>
      <c r="O37" s="130">
        <f>O11-O35</f>
        <v>2165243.9090662375</v>
      </c>
      <c r="Q37" s="130">
        <f>Q11-Q35</f>
        <v>2207850.0770645505</v>
      </c>
      <c r="S37" s="130">
        <f>S11-S35</f>
        <v>2251049.1846829448</v>
      </c>
      <c r="U37" s="130">
        <f>U11-U35</f>
        <v>2294839.489810837</v>
      </c>
      <c r="W37" s="130">
        <f>W11-W35</f>
        <v>2339218.6262270291</v>
      </c>
      <c r="Y37" s="130">
        <f>Y11-Y35</f>
        <v>2384183.5676621757</v>
      </c>
      <c r="AA37" s="130">
        <f>AA11-AA35</f>
        <v>2429730.5902508027</v>
      </c>
      <c r="AC37" s="130">
        <f>AC11-AC35</f>
        <v>2475855.2333076675</v>
      </c>
      <c r="AE37" s="130">
        <f>AE11-AE35</f>
        <v>2522552.2583607938</v>
      </c>
      <c r="AG37" s="130">
        <f>AG11-AG35</f>
        <v>2569815.6063708654</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2606</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Tax Exempt Perm Loan</v>
      </c>
      <c r="B40" s="133"/>
      <c r="C40" s="127"/>
      <c r="E40" s="129">
        <f>Application!AF635</f>
        <v>1633240</v>
      </c>
      <c r="F40" s="129"/>
      <c r="G40" s="129">
        <f>$E$40</f>
        <v>1633240</v>
      </c>
      <c r="H40" s="129"/>
      <c r="I40" s="129">
        <f>$E$40</f>
        <v>1633240</v>
      </c>
      <c r="J40" s="129"/>
      <c r="K40" s="129">
        <f>$E$40</f>
        <v>1633240</v>
      </c>
      <c r="L40" s="129"/>
      <c r="M40" s="129">
        <f>$E$40</f>
        <v>1633240</v>
      </c>
      <c r="N40" s="129"/>
      <c r="O40" s="129">
        <f>$E$40</f>
        <v>1633240</v>
      </c>
      <c r="P40" s="129"/>
      <c r="Q40" s="129">
        <f>$E$40</f>
        <v>1633240</v>
      </c>
      <c r="R40" s="129"/>
      <c r="S40" s="129">
        <f>$E$40</f>
        <v>1633240</v>
      </c>
      <c r="T40" s="129"/>
      <c r="U40" s="129">
        <f>$E$40</f>
        <v>1633240</v>
      </c>
      <c r="V40" s="129"/>
      <c r="W40" s="129">
        <f>$E$40</f>
        <v>1633240</v>
      </c>
      <c r="X40" s="129"/>
      <c r="Y40" s="129">
        <f>$E$40</f>
        <v>1633240</v>
      </c>
      <c r="Z40" s="129"/>
      <c r="AA40" s="129">
        <f>$E$40</f>
        <v>1633240</v>
      </c>
      <c r="AB40" s="129"/>
      <c r="AC40" s="129">
        <f>$E$40</f>
        <v>1633240</v>
      </c>
      <c r="AD40" s="129"/>
      <c r="AE40" s="129">
        <f>$E$40</f>
        <v>1633240</v>
      </c>
      <c r="AF40" s="129"/>
      <c r="AG40" s="129">
        <f>$E$40</f>
        <v>1633240</v>
      </c>
    </row>
    <row r="41" spans="1:33" s="118" customFormat="1" ht="14.25">
      <c r="A41" s="132" t="s">
        <v>2783</v>
      </c>
      <c r="B41" s="133"/>
      <c r="C41" s="127"/>
      <c r="E41" s="129">
        <f>Application!AF639</f>
        <v>71400</v>
      </c>
      <c r="F41" s="129"/>
      <c r="G41" s="129">
        <f>$E$41</f>
        <v>71400</v>
      </c>
      <c r="H41" s="129"/>
      <c r="I41" s="129">
        <f>$E$41</f>
        <v>71400</v>
      </c>
      <c r="J41" s="129"/>
      <c r="K41" s="129">
        <f>$E$41</f>
        <v>71400</v>
      </c>
      <c r="L41" s="129"/>
      <c r="M41" s="129">
        <f>$E$41</f>
        <v>71400</v>
      </c>
      <c r="N41" s="129"/>
      <c r="O41" s="129">
        <f>$E$41</f>
        <v>71400</v>
      </c>
      <c r="P41" s="129"/>
      <c r="Q41" s="129">
        <f>$E$41</f>
        <v>71400</v>
      </c>
      <c r="R41" s="129"/>
      <c r="S41" s="129">
        <f>$E$41</f>
        <v>71400</v>
      </c>
      <c r="T41" s="129"/>
      <c r="U41" s="129">
        <f>$E$41</f>
        <v>71400</v>
      </c>
      <c r="V41" s="129"/>
      <c r="W41" s="129">
        <f>$E$41</f>
        <v>71400</v>
      </c>
      <c r="X41" s="129"/>
      <c r="Y41" s="129">
        <f>$E$41</f>
        <v>71400</v>
      </c>
      <c r="Z41" s="129"/>
      <c r="AA41" s="129">
        <f>$E$41</f>
        <v>71400</v>
      </c>
      <c r="AB41" s="129"/>
      <c r="AC41" s="129">
        <f>$E$41</f>
        <v>71400</v>
      </c>
      <c r="AD41" s="129"/>
      <c r="AE41" s="129">
        <f>$E$41</f>
        <v>71400</v>
      </c>
      <c r="AF41" s="129"/>
      <c r="AG41" s="129">
        <f>$E$41</f>
        <v>71400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2607</v>
      </c>
      <c r="C43" s="131"/>
      <c r="E43" s="130">
        <f>SUM(E40:E42)</f>
        <v>1704640</v>
      </c>
      <c r="G43" s="130">
        <f>SUM(G40:G42)</f>
        <v>1704640</v>
      </c>
      <c r="I43" s="130">
        <f>SUM(I40:I42)</f>
        <v>1704640</v>
      </c>
      <c r="K43" s="130">
        <f>SUM(K40:K42)</f>
        <v>1704640</v>
      </c>
      <c r="M43" s="130">
        <f>SUM(M40:M42)</f>
        <v>1704640</v>
      </c>
      <c r="O43" s="130">
        <f>SUM(O40:O42)</f>
        <v>1704640</v>
      </c>
      <c r="Q43" s="130">
        <f>SUM(Q40:Q42)</f>
        <v>1704640</v>
      </c>
      <c r="S43" s="130">
        <f>SUM(S40:S42)</f>
        <v>1704640</v>
      </c>
      <c r="U43" s="130">
        <f>SUM(U40:U42)</f>
        <v>1704640</v>
      </c>
      <c r="W43" s="130">
        <f>SUM(W40:W42)</f>
        <v>1704640</v>
      </c>
      <c r="Y43" s="130">
        <f>SUM(Y40:Y42)</f>
        <v>1704640</v>
      </c>
      <c r="AA43" s="130">
        <f>SUM(AA40:AA42)</f>
        <v>1704640</v>
      </c>
      <c r="AC43" s="130">
        <f>SUM(AC40:AC42)</f>
        <v>1704640</v>
      </c>
      <c r="AE43" s="130">
        <f>SUM(AE40:AE42)</f>
        <v>1704640</v>
      </c>
      <c r="AG43" s="130">
        <f>SUM(AG40:AG42)</f>
        <v>1704640</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2608</v>
      </c>
      <c r="C45" s="131"/>
      <c r="E45" s="130">
        <f>E37-E43</f>
        <v>256488.65977165569</v>
      </c>
      <c r="G45" s="130">
        <f>G37-G43</f>
        <v>296123.51626594714</v>
      </c>
      <c r="I45" s="130">
        <f>I37-I43</f>
        <v>336351.81407259568</v>
      </c>
      <c r="K45" s="130">
        <f>K37-K43</f>
        <v>377174.44467090978</v>
      </c>
      <c r="M45" s="130">
        <f>M37-M43</f>
        <v>418591.8330778107</v>
      </c>
      <c r="O45" s="130">
        <f>O37-O43</f>
        <v>460603.90906623751</v>
      </c>
      <c r="Q45" s="130">
        <f>Q37-Q43</f>
        <v>503210.07706455048</v>
      </c>
      <c r="S45" s="130">
        <f>S37-S43</f>
        <v>546409.18468294479</v>
      </c>
      <c r="U45" s="130">
        <f>U37-U43</f>
        <v>590199.48981083697</v>
      </c>
      <c r="W45" s="130">
        <f>W37-W43</f>
        <v>634578.62622702913</v>
      </c>
      <c r="Y45" s="130">
        <f>Y37-Y43</f>
        <v>679543.56766217574</v>
      </c>
      <c r="AA45" s="130">
        <f>AA37-AA43</f>
        <v>725090.59025080269</v>
      </c>
      <c r="AC45" s="130">
        <f>AC37-AC43</f>
        <v>771215.23330766754</v>
      </c>
      <c r="AE45" s="130">
        <f>AE37-AE43</f>
        <v>817912.25836079381</v>
      </c>
      <c r="AG45" s="130">
        <f>AG37-AG43</f>
        <v>865175.60637086537</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2609</v>
      </c>
      <c r="C47" s="127"/>
      <c r="E47" s="134">
        <f>E45/(E4+E6+E8)</f>
        <v>7.5721551947622479E-2</v>
      </c>
      <c r="G47" s="134">
        <f>G45/(G4+G6+G8)</f>
        <v>8.5290443068595193E-2</v>
      </c>
      <c r="I47" s="134">
        <f>I45/(I4+I6+I8)</f>
        <v>9.4514269440660548E-2</v>
      </c>
      <c r="K47" s="134">
        <f>K45/(K4+K6+K8)</f>
        <v>0.10340034828594261</v>
      </c>
      <c r="M47" s="134">
        <f>M45/(M4+M6+M8)</f>
        <v>0.11195580768200443</v>
      </c>
      <c r="O47" s="134">
        <f>O45/(O4+O6+O8)</f>
        <v>0.12018759107074956</v>
      </c>
      <c r="Q47" s="134">
        <f>Q45/(Q4+Q6+Q8)</f>
        <v>0.12810246165633707</v>
      </c>
      <c r="S47" s="134">
        <f>S45/(S4+S6+S8)</f>
        <v>0.13570700669480062</v>
      </c>
      <c r="U47" s="134">
        <f>U45/(U4+U6+U8)</f>
        <v>0.143007641678005</v>
      </c>
      <c r="W47" s="134">
        <f>W45/(W4+W6+W8)</f>
        <v>0.15001061441451052</v>
      </c>
      <c r="Y47" s="134">
        <f>Y45/(Y4+Y6+Y8)</f>
        <v>0.15672200900984315</v>
      </c>
      <c r="AA47" s="134">
        <f>AA45/(AA4+AA6+AA8)</f>
        <v>0.16314774974861987</v>
      </c>
      <c r="AC47" s="134">
        <f>AC45/(AC4+AC6+AC8)</f>
        <v>0.16929360488090733</v>
      </c>
      <c r="AE47" s="134">
        <f>AE45/(AE4+AE6+AE8)</f>
        <v>0.17516519031514419</v>
      </c>
      <c r="AG47" s="134">
        <f>AG45/(AG4+AG6+AG8)</f>
        <v>0.18076797321988955</v>
      </c>
    </row>
    <row r="48" spans="1:33" s="134" customFormat="1" ht="14.25">
      <c r="A48" s="134" t="s">
        <v>2610</v>
      </c>
      <c r="C48" s="127"/>
      <c r="E48" s="134">
        <f>E45/E43</f>
        <v>0.15046500127396734</v>
      </c>
      <c r="G48" s="134">
        <f>G45/G43</f>
        <v>0.17371616075297255</v>
      </c>
      <c r="I48" s="134">
        <f>I45/I43</f>
        <v>0.1973154531587876</v>
      </c>
      <c r="K48" s="134">
        <f>K45/K43</f>
        <v>0.22126340146359921</v>
      </c>
      <c r="M48" s="134">
        <f>M45/M43</f>
        <v>0.24556025499683845</v>
      </c>
      <c r="O48" s="134">
        <f>O45/O43</f>
        <v>0.27020597256091461</v>
      </c>
      <c r="Q48" s="134">
        <f>Q45/Q43</f>
        <v>0.29520020477317821</v>
      </c>
      <c r="S48" s="134">
        <f>S45/S43</f>
        <v>0.32054227560244086</v>
      </c>
      <c r="U48" s="134">
        <f>U45/U43</f>
        <v>0.34623116306717955</v>
      </c>
      <c r="W48" s="134">
        <f>W45/W43</f>
        <v>0.37226547906128515</v>
      </c>
      <c r="Y48" s="134">
        <f>Y45/Y43</f>
        <v>0.39864344827187898</v>
      </c>
      <c r="AA48" s="134">
        <f>AA45/AA43</f>
        <v>0.42536288615238566</v>
      </c>
      <c r="AC48" s="134">
        <f>AC45/AC43</f>
        <v>0.45242117591260766</v>
      </c>
      <c r="AE48" s="134">
        <f>AE45/AE43</f>
        <v>0.47981524448610485</v>
      </c>
      <c r="AG48" s="134">
        <f>AG45/AG43</f>
        <v>0.5075415374336314</v>
      </c>
    </row>
    <row r="49" spans="1:34" s="135" customFormat="1" ht="14.25">
      <c r="A49" s="135" t="s">
        <v>2150</v>
      </c>
      <c r="C49" s="136"/>
      <c r="E49" s="1228">
        <f>E37/E43</f>
        <v>1.1504650012739674</v>
      </c>
      <c r="G49" s="135">
        <f>G37/G43</f>
        <v>1.1737161607529725</v>
      </c>
      <c r="I49" s="135">
        <f>I37/I43</f>
        <v>1.1973154531587875</v>
      </c>
      <c r="K49" s="135">
        <f>K37/K43</f>
        <v>1.2212634014635992</v>
      </c>
      <c r="M49" s="135">
        <f>M37/M43</f>
        <v>1.2455602549968385</v>
      </c>
      <c r="O49" s="135">
        <f>O37/O43</f>
        <v>1.2702059725609147</v>
      </c>
      <c r="Q49" s="135">
        <f>Q37/Q43</f>
        <v>1.2952002047731781</v>
      </c>
      <c r="S49" s="135">
        <f>S37/S43</f>
        <v>1.3205422756024408</v>
      </c>
      <c r="U49" s="135">
        <f>U37/U43</f>
        <v>1.3462311630671795</v>
      </c>
      <c r="W49" s="135">
        <f>W37/W43</f>
        <v>1.3722654790612852</v>
      </c>
      <c r="Y49" s="135">
        <f>Y37/Y43</f>
        <v>1.398643448271879</v>
      </c>
      <c r="AA49" s="135">
        <f>AA37/AA43</f>
        <v>1.4253628861523857</v>
      </c>
      <c r="AC49" s="135">
        <f>AC37/AC43</f>
        <v>1.4524211759126078</v>
      </c>
      <c r="AE49" s="135">
        <f>AE37/AE43</f>
        <v>1.4798152444861048</v>
      </c>
      <c r="AG49" s="135">
        <f>AG37/AG43</f>
        <v>1.5075415374336314</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2611</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8" t="s">
        <v>2787</v>
      </c>
      <c r="B52" s="2618"/>
      <c r="C52" s="2618"/>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1922</v>
      </c>
      <c r="C53" s="760">
        <v>1.0249999999999999</v>
      </c>
      <c r="E53" s="761">
        <v>15000</v>
      </c>
      <c r="G53" s="757">
        <f>E53*$C$53</f>
        <v>15374.999999999998</v>
      </c>
      <c r="I53" s="757">
        <f>G53*$C$53</f>
        <v>15759.374999999996</v>
      </c>
      <c r="K53" s="757">
        <f>I53*$C$53</f>
        <v>16153.359374999995</v>
      </c>
      <c r="M53" s="757">
        <f>K53*$C$53</f>
        <v>16557.193359374993</v>
      </c>
      <c r="O53" s="757">
        <f>M53*$C$53</f>
        <v>16971.123193359366</v>
      </c>
      <c r="Q53" s="757">
        <f>O53*$C$53</f>
        <v>17395.401273193347</v>
      </c>
      <c r="S53" s="757">
        <f>Q53*$C$53</f>
        <v>17830.286305023179</v>
      </c>
      <c r="U53" s="757">
        <f>S53*$C$53</f>
        <v>18276.043462648759</v>
      </c>
      <c r="W53" s="757">
        <f>U53*$C$53</f>
        <v>18732.944549214975</v>
      </c>
      <c r="Y53" s="757">
        <f>W53*$C$53</f>
        <v>19201.268162945347</v>
      </c>
      <c r="AA53" s="757">
        <f>Y53*$C$53</f>
        <v>19681.299867018981</v>
      </c>
      <c r="AC53" s="757">
        <f>AA53*$C$53</f>
        <v>20173.332363694455</v>
      </c>
      <c r="AE53" s="757">
        <f>AC53*$C$53</f>
        <v>20677.665672786814</v>
      </c>
      <c r="AG53" s="757">
        <f>AE53*$C$53</f>
        <v>21194.607314606481</v>
      </c>
    </row>
    <row r="54" spans="1:34" s="2" customFormat="1">
      <c r="A54" s="2" t="s">
        <v>2612</v>
      </c>
      <c r="C54" s="755"/>
      <c r="E54" s="762">
        <v>5000</v>
      </c>
      <c r="F54" s="757"/>
      <c r="G54" s="757">
        <f t="shared" ref="G54:AG57" si="1">E54*$C$53</f>
        <v>5125</v>
      </c>
      <c r="H54" s="757"/>
      <c r="I54" s="757">
        <f t="shared" si="1"/>
        <v>5253.1249999999991</v>
      </c>
      <c r="J54" s="757"/>
      <c r="K54" s="757">
        <f t="shared" si="1"/>
        <v>5384.4531249999982</v>
      </c>
      <c r="L54" s="757"/>
      <c r="M54" s="757">
        <f t="shared" si="1"/>
        <v>5519.0644531249973</v>
      </c>
      <c r="N54" s="757"/>
      <c r="O54" s="757">
        <f t="shared" si="1"/>
        <v>5657.0410644531221</v>
      </c>
      <c r="P54" s="757"/>
      <c r="Q54" s="757">
        <f t="shared" si="1"/>
        <v>5798.46709106445</v>
      </c>
      <c r="R54" s="757"/>
      <c r="S54" s="757">
        <f t="shared" si="1"/>
        <v>5943.4287683410603</v>
      </c>
      <c r="T54" s="757"/>
      <c r="U54" s="757">
        <f t="shared" si="1"/>
        <v>6092.0144875495862</v>
      </c>
      <c r="V54" s="757"/>
      <c r="W54" s="757">
        <f t="shared" si="1"/>
        <v>6244.3148497383254</v>
      </c>
      <c r="X54" s="757"/>
      <c r="Y54" s="757">
        <f t="shared" si="1"/>
        <v>6400.4227209817827</v>
      </c>
      <c r="Z54" s="757"/>
      <c r="AA54" s="757">
        <f t="shared" si="1"/>
        <v>6560.433289006327</v>
      </c>
      <c r="AB54" s="757"/>
      <c r="AC54" s="757">
        <f t="shared" si="1"/>
        <v>6724.4441212314841</v>
      </c>
      <c r="AD54" s="757"/>
      <c r="AE54" s="757">
        <f t="shared" si="1"/>
        <v>6892.5552242622707</v>
      </c>
      <c r="AF54" s="757"/>
      <c r="AG54" s="757">
        <f t="shared" si="1"/>
        <v>7064.869104868827</v>
      </c>
      <c r="AH54" s="757"/>
    </row>
    <row r="55" spans="1:34" s="2" customFormat="1">
      <c r="A55" s="2" t="s">
        <v>2613</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2614</v>
      </c>
      <c r="C58" s="766"/>
      <c r="E58" s="757">
        <f>SUM(E53:E57)</f>
        <v>20000</v>
      </c>
      <c r="F58" s="757"/>
      <c r="G58" s="757">
        <f>SUM(G53:G57)</f>
        <v>20500</v>
      </c>
      <c r="H58" s="757"/>
      <c r="I58" s="757">
        <f>SUM(I53:I57)</f>
        <v>21012.499999999996</v>
      </c>
      <c r="J58" s="757"/>
      <c r="K58" s="757">
        <f>SUM(K53:K57)</f>
        <v>21537.812499999993</v>
      </c>
      <c r="L58" s="757"/>
      <c r="M58" s="757">
        <f>SUM(M53:M57)</f>
        <v>22076.257812499989</v>
      </c>
      <c r="N58" s="757"/>
      <c r="O58" s="757">
        <f>SUM(O53:O57)</f>
        <v>22628.164257812488</v>
      </c>
      <c r="P58" s="757"/>
      <c r="Q58" s="757">
        <f>SUM(Q53:Q57)</f>
        <v>23193.868364257796</v>
      </c>
      <c r="R58" s="757"/>
      <c r="S58" s="757">
        <f>SUM(S53:S57)</f>
        <v>23773.715073364241</v>
      </c>
      <c r="T58" s="757"/>
      <c r="U58" s="757">
        <f>SUM(U53:U57)</f>
        <v>24368.057950198345</v>
      </c>
      <c r="V58" s="757"/>
      <c r="W58" s="757">
        <f>SUM(W53:W57)</f>
        <v>24977.259398953302</v>
      </c>
      <c r="X58" s="757"/>
      <c r="Y58" s="757">
        <f>SUM(Y53:Y57)</f>
        <v>25601.690883927131</v>
      </c>
      <c r="Z58" s="757"/>
      <c r="AA58" s="757">
        <f>SUM(AA53:AA57)</f>
        <v>26241.733156025308</v>
      </c>
      <c r="AB58" s="757"/>
      <c r="AC58" s="757">
        <f>SUM(AC53:AC57)</f>
        <v>26897.77648492594</v>
      </c>
      <c r="AD58" s="757"/>
      <c r="AE58" s="757">
        <f>SUM(AE53:AE57)</f>
        <v>27570.220897049083</v>
      </c>
      <c r="AF58" s="757"/>
      <c r="AG58" s="757">
        <f>SUM(AG53:AG57)</f>
        <v>28259.476419475308</v>
      </c>
      <c r="AH58" s="757"/>
    </row>
    <row r="59" spans="1:34" s="2" customFormat="1" ht="12.75" customHeight="1">
      <c r="A59" s="759"/>
      <c r="C59" s="766"/>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2615</v>
      </c>
      <c r="C60" s="766"/>
      <c r="E60" s="759">
        <f>E45-E58</f>
        <v>236488.65977165569</v>
      </c>
      <c r="G60" s="759">
        <f>G45-G58</f>
        <v>275623.51626594714</v>
      </c>
      <c r="I60" s="759">
        <f>I45-I58</f>
        <v>315339.31407259568</v>
      </c>
      <c r="K60" s="759">
        <f>K45-K58</f>
        <v>355636.63217090978</v>
      </c>
      <c r="M60" s="759">
        <f>M45-M58</f>
        <v>396515.5752653107</v>
      </c>
      <c r="O60" s="759">
        <f>O45-O58</f>
        <v>437975.74480842502</v>
      </c>
      <c r="Q60" s="759">
        <f>Q45-Q58</f>
        <v>480016.20870029269</v>
      </c>
      <c r="S60" s="759">
        <f>S45-S58</f>
        <v>522635.46960958053</v>
      </c>
      <c r="U60" s="759">
        <f>U45-U58</f>
        <v>565831.43186063867</v>
      </c>
      <c r="W60" s="759">
        <f>W45-W58</f>
        <v>609601.36682807584</v>
      </c>
      <c r="Y60" s="759">
        <f>Y45-Y58</f>
        <v>653941.87677824858</v>
      </c>
      <c r="AA60" s="759">
        <f>AA45-AA58</f>
        <v>698848.8570947774</v>
      </c>
      <c r="AC60" s="759">
        <f>AC45-AC58</f>
        <v>744317.45682274154</v>
      </c>
      <c r="AE60" s="759">
        <f>AE45-AE58</f>
        <v>790342.03746374475</v>
      </c>
      <c r="AG60" s="759">
        <f>AG45-AG58</f>
        <v>836916.12995139009</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2616</v>
      </c>
      <c r="C62" s="756">
        <v>1</v>
      </c>
      <c r="E62" s="761">
        <f>E60</f>
        <v>236488.65977165569</v>
      </c>
      <c r="G62" s="759">
        <f>G60*$C$62</f>
        <v>275623.51626594714</v>
      </c>
      <c r="I62" s="759">
        <f>I60*$C$62</f>
        <v>315339.31407259568</v>
      </c>
      <c r="K62" s="759">
        <f t="shared" ref="K62" si="2">K60*$C$62</f>
        <v>355636.63217090978</v>
      </c>
      <c r="M62" s="759">
        <f t="shared" ref="M62" si="3">M60*$C$62</f>
        <v>396515.5752653107</v>
      </c>
      <c r="O62" s="759">
        <v>52508</v>
      </c>
    </row>
    <row r="63" spans="1:34" s="759" customFormat="1">
      <c r="A63" s="2618" t="s">
        <v>2787</v>
      </c>
      <c r="B63" s="2618"/>
      <c r="C63" s="2618"/>
      <c r="K63" s="757"/>
    </row>
    <row r="64" spans="1:34" s="2" customFormat="1" ht="8.25" customHeight="1">
      <c r="C64" s="758"/>
      <c r="E64" s="757"/>
      <c r="F64" s="757"/>
      <c r="G64" s="757"/>
      <c r="H64" s="757"/>
      <c r="I64" s="757"/>
      <c r="J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2617</v>
      </c>
      <c r="C65" s="756">
        <v>0.5</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t="str">
        <f>Application!C636</f>
        <v>CalHFA MIP</v>
      </c>
      <c r="B66" s="761"/>
      <c r="C66" s="1229">
        <f>Application!AO636/SUM(Application!AO636:AS639)/2</f>
        <v>0.10240959886535626</v>
      </c>
      <c r="E66" s="761">
        <v>0</v>
      </c>
      <c r="G66" s="757">
        <f t="shared" ref="G66" si="4">(G$60-G$62)*$C$66</f>
        <v>0</v>
      </c>
      <c r="I66" s="757">
        <f t="shared" ref="I66" si="5">(I$60-I$62)*$C$66</f>
        <v>0</v>
      </c>
      <c r="K66" s="757">
        <f t="shared" ref="K66" si="6">(K$60-K$62)*$C$66</f>
        <v>0</v>
      </c>
      <c r="M66" s="757">
        <f t="shared" ref="M66" si="7">(M$60-M$62)*$C$66</f>
        <v>0</v>
      </c>
      <c r="O66" s="757">
        <f>(O$60-O$62)*$C$66</f>
        <v>39475.597121364321</v>
      </c>
      <c r="Q66" s="757">
        <f>Q$60*$C66</f>
        <v>49158.267381866106</v>
      </c>
      <c r="S66" s="757">
        <f>S$60*$C66</f>
        <v>53522.888795524239</v>
      </c>
      <c r="U66" s="757">
        <f>U$60*$C66</f>
        <v>57946.569962258174</v>
      </c>
      <c r="W66" s="757">
        <f>W$60*$C66</f>
        <v>62429.031444636144</v>
      </c>
      <c r="Y66" s="757">
        <f>Y$60*$C66</f>
        <v>66969.925282118667</v>
      </c>
      <c r="AA66" s="757">
        <f>AA$60*$C66</f>
        <v>71568.831122588832</v>
      </c>
      <c r="AC66" s="757">
        <f>AC$60*$C66</f>
        <v>76225.252181699092</v>
      </c>
      <c r="AE66" s="757">
        <f>AE$60*$C66</f>
        <v>80938.611023090474</v>
      </c>
      <c r="AG66" s="757">
        <f>AG$60*$C66</f>
        <v>85708.245152268239</v>
      </c>
    </row>
    <row r="67" spans="1:34" s="757" customFormat="1">
      <c r="A67" s="762" t="str">
        <f>Application!C637</f>
        <v>City of Long Beach &amp; Long Beach Community Investment Company</v>
      </c>
      <c r="B67" s="762"/>
      <c r="C67" s="756">
        <f>Application!AO637/SUM(Application!AO636:AS639)/2</f>
        <v>8.5341332387796884E-2</v>
      </c>
      <c r="E67" s="761">
        <v>0</v>
      </c>
      <c r="G67" s="757">
        <f t="shared" ref="G67" si="8">(G$60-G$62)*$C$67</f>
        <v>0</v>
      </c>
      <c r="I67" s="757">
        <f t="shared" ref="I67" si="9">(I$60-I$62)*$C$67</f>
        <v>0</v>
      </c>
      <c r="K67" s="757">
        <f t="shared" ref="K67" si="10">(K$60-K$62)*$C$67</f>
        <v>0</v>
      </c>
      <c r="M67" s="757">
        <f t="shared" ref="M67" si="11">(M$60-M$62)*$C$67</f>
        <v>0</v>
      </c>
      <c r="O67" s="757">
        <f>(O$60-O$62)*$C$67</f>
        <v>32896.330934470265</v>
      </c>
      <c r="Q67" s="757">
        <f>Q$60*$C67</f>
        <v>40965.222818221759</v>
      </c>
      <c r="S67" s="757">
        <f>S$60*$C67</f>
        <v>44602.407329603528</v>
      </c>
      <c r="U67" s="757">
        <f>U$60*$C67</f>
        <v>48288.808301881807</v>
      </c>
      <c r="W67" s="757">
        <f>W$60*$C67</f>
        <v>52024.192870530118</v>
      </c>
      <c r="Y67" s="757">
        <f>Y$60*$C67</f>
        <v>55808.271068432223</v>
      </c>
      <c r="AA67" s="757">
        <f>AA$60*$C67</f>
        <v>59640.69260215736</v>
      </c>
      <c r="AC67" s="757">
        <f>AC$60*$C67</f>
        <v>63521.043484749243</v>
      </c>
      <c r="AE67" s="757">
        <f>AE$60*$C67</f>
        <v>67448.842519242055</v>
      </c>
      <c r="AG67" s="757">
        <f>AG$60*$C67</f>
        <v>71423.537626890189</v>
      </c>
    </row>
    <row r="68" spans="1:34" s="757" customFormat="1">
      <c r="A68" s="762" t="str">
        <f>Application!C638</f>
        <v>Gateway Cities Affordable Housing Trust</v>
      </c>
      <c r="B68" s="762"/>
      <c r="C68" s="756">
        <f>Application!AO638/SUM(Application!AO636:AS639)/2</f>
        <v>2.2088538628337439E-2</v>
      </c>
      <c r="E68" s="762">
        <v>0</v>
      </c>
      <c r="G68" s="757">
        <f t="shared" ref="G68" si="12">(G$60-G$62)*$C$68</f>
        <v>0</v>
      </c>
      <c r="I68" s="757">
        <f t="shared" ref="I68" si="13">(I$60-I$62)*$C$68</f>
        <v>0</v>
      </c>
      <c r="K68" s="757">
        <f t="shared" ref="K68" si="14">(K$60-K$62)*$C$68</f>
        <v>0</v>
      </c>
      <c r="M68" s="757">
        <f t="shared" ref="M68" si="15">(M$60-M$62)*$C$68</f>
        <v>0</v>
      </c>
      <c r="O68" s="757">
        <f>(O$60-O$62)*$C$68</f>
        <v>8514.4191711790136</v>
      </c>
      <c r="Q68" s="757">
        <f>Q$60*$C68</f>
        <v>10602.8565681045</v>
      </c>
      <c r="S68" s="757">
        <f>S$60*$C68</f>
        <v>11544.253759010497</v>
      </c>
      <c r="U68" s="757">
        <f>U$60*$C68</f>
        <v>12498.3894397812</v>
      </c>
      <c r="W68" s="757">
        <f>W$60*$C68</f>
        <v>13465.203339069254</v>
      </c>
      <c r="Y68" s="757">
        <f>Y$60*$C68</f>
        <v>14444.620405903825</v>
      </c>
      <c r="AA68" s="757">
        <f>AA$60*$C68</f>
        <v>15436.549975307462</v>
      </c>
      <c r="AC68" s="757">
        <f>AC$60*$C68</f>
        <v>16440.884896775009</v>
      </c>
      <c r="AE68" s="757">
        <f>AE$60*$C68</f>
        <v>17457.500624116841</v>
      </c>
      <c r="AG68" s="757">
        <f>AG$60*$C68</f>
        <v>18486.254265109957</v>
      </c>
    </row>
    <row r="69" spans="1:34" s="757" customFormat="1">
      <c r="A69" s="762" t="str">
        <f>Application!C639</f>
        <v>HCD - AHSC</v>
      </c>
      <c r="B69" s="762"/>
      <c r="C69" s="756">
        <f>Application!AO639/SUM(Application!AO636:AS639)/2</f>
        <v>0.2901605301185094</v>
      </c>
      <c r="E69" s="764">
        <v>0</v>
      </c>
      <c r="G69" s="757">
        <f t="shared" ref="G69" si="16">(G$60-G$62)*$C$69</f>
        <v>0</v>
      </c>
      <c r="I69" s="757">
        <f t="shared" ref="I69" si="17">(I$60-I$62)*$C$69</f>
        <v>0</v>
      </c>
      <c r="K69" s="757">
        <f t="shared" ref="K69" si="18">(K$60-K$62)*$C$69</f>
        <v>0</v>
      </c>
      <c r="M69" s="757">
        <f t="shared" ref="M69" si="19">(M$60-M$62)*$C$69</f>
        <v>0</v>
      </c>
      <c r="O69" s="757">
        <f>(O$60-O$62)*$C$69</f>
        <v>111847.5251771989</v>
      </c>
      <c r="Q69" s="757">
        <f>Q$60*$C69</f>
        <v>139281.75758195398</v>
      </c>
      <c r="S69" s="757">
        <f>S$60*$C69</f>
        <v>151648.18492065198</v>
      </c>
      <c r="U69" s="757">
        <f>U$60*$C69</f>
        <v>164181.94822639815</v>
      </c>
      <c r="W69" s="757">
        <f>W$60*$C69</f>
        <v>176882.25575980239</v>
      </c>
      <c r="Y69" s="757">
        <f>Y$60*$C69</f>
        <v>189748.12163266956</v>
      </c>
      <c r="AA69" s="757">
        <f>AA$60*$C69</f>
        <v>202778.35484733502</v>
      </c>
      <c r="AC69" s="757">
        <f>AC$60*$C69</f>
        <v>215971.54784814743</v>
      </c>
      <c r="AE69" s="757">
        <f>AE$60*$C69</f>
        <v>229326.064565423</v>
      </c>
      <c r="AG69" s="757">
        <f>AG$60*$C69</f>
        <v>242840.02793142665</v>
      </c>
    </row>
    <row r="70" spans="1:34" s="757" customFormat="1">
      <c r="A70" s="759" t="s">
        <v>2614</v>
      </c>
      <c r="C70" s="767"/>
      <c r="E70" s="757">
        <f>SUM(E66:E69)</f>
        <v>0</v>
      </c>
      <c r="G70" s="757">
        <f>SUM(G66:G69)</f>
        <v>0</v>
      </c>
      <c r="I70" s="757">
        <f>SUM(I66:I69)</f>
        <v>0</v>
      </c>
      <c r="K70" s="757">
        <f>SUM(K66:K69)</f>
        <v>0</v>
      </c>
      <c r="M70" s="757">
        <f>SUM(M66:M69)</f>
        <v>0</v>
      </c>
      <c r="O70" s="757">
        <f>SUM(O66:O69)</f>
        <v>192733.87240421248</v>
      </c>
      <c r="Q70" s="757">
        <f>SUM(Q66:Q69)</f>
        <v>240008.10435014634</v>
      </c>
      <c r="S70" s="757">
        <f>SUM(S66:S69)</f>
        <v>261317.73480479023</v>
      </c>
      <c r="U70" s="757">
        <f>SUM(U66:U69)</f>
        <v>282915.71593031933</v>
      </c>
      <c r="W70" s="757">
        <f>SUM(W66:W69)</f>
        <v>304800.68341403792</v>
      </c>
      <c r="Y70" s="757">
        <f>SUM(Y66:Y69)</f>
        <v>326970.93838912423</v>
      </c>
      <c r="AA70" s="757">
        <f>SUM(AA66:AA69)</f>
        <v>349424.42854738864</v>
      </c>
      <c r="AC70" s="757">
        <f>SUM(AC66:AC69)</f>
        <v>372158.72841137077</v>
      </c>
      <c r="AE70" s="757">
        <f>SUM(AE66:AE69)</f>
        <v>395171.01873187232</v>
      </c>
      <c r="AG70" s="757">
        <f>SUM(AG66:AG69)</f>
        <v>418458.06497569504</v>
      </c>
    </row>
    <row r="71" spans="1:34" s="757" customFormat="1">
      <c r="A71" s="759"/>
      <c r="C71" s="767"/>
    </row>
    <row r="72" spans="1:34" s="757" customFormat="1">
      <c r="A72" s="759" t="s">
        <v>2618</v>
      </c>
      <c r="C72" s="767"/>
      <c r="E72" s="759">
        <f>E60-E62-E70</f>
        <v>0</v>
      </c>
      <c r="G72" s="759">
        <f>G60-G62-G70</f>
        <v>0</v>
      </c>
      <c r="I72" s="759">
        <f>I60-I62-I70</f>
        <v>0</v>
      </c>
      <c r="K72" s="759">
        <f>K60-K62-K70</f>
        <v>0</v>
      </c>
      <c r="M72" s="759">
        <f>M60-M62-M70</f>
        <v>0</v>
      </c>
      <c r="O72" s="759">
        <f>O60-O62-O70</f>
        <v>192733.87240421254</v>
      </c>
      <c r="Q72" s="759">
        <f>Q60-Q62-Q70</f>
        <v>240008.10435014634</v>
      </c>
      <c r="S72" s="759">
        <f>S60-S62-S70</f>
        <v>261317.73480479029</v>
      </c>
      <c r="U72" s="759">
        <f>U60-U62-U70</f>
        <v>282915.71593031933</v>
      </c>
      <c r="W72" s="759">
        <f>W60-W62-W70</f>
        <v>304800.68341403792</v>
      </c>
      <c r="Y72" s="759">
        <f>Y60-Y62-Y70</f>
        <v>326970.93838912435</v>
      </c>
      <c r="AA72" s="759">
        <f>AA60-AA62-AA70</f>
        <v>349424.42854738876</v>
      </c>
      <c r="AC72" s="759">
        <f>AC60-AC62-AC70</f>
        <v>372158.72841137077</v>
      </c>
      <c r="AE72" s="759">
        <f>AE60-AE62-AE70</f>
        <v>395171.01873187243</v>
      </c>
      <c r="AG72" s="759">
        <f>AG60-AG62-AG70</f>
        <v>418458.06497569504</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2619</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7" t="s">
        <v>2620</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2621</v>
      </c>
    </row>
    <row r="2" spans="1:1" ht="15.75">
      <c r="A2" s="196"/>
    </row>
    <row r="3" spans="1:1" ht="15.75">
      <c r="A3" s="197" t="s">
        <v>2622</v>
      </c>
    </row>
    <row r="4" spans="1:1" ht="15.75">
      <c r="A4" s="197" t="s">
        <v>2623</v>
      </c>
    </row>
    <row r="5" spans="1:1" ht="15.75">
      <c r="A5" s="197" t="s">
        <v>2624</v>
      </c>
    </row>
    <row r="6" spans="1:1" ht="15.75">
      <c r="A6" s="197" t="s">
        <v>2625</v>
      </c>
    </row>
    <row r="7" spans="1:1" ht="15.75">
      <c r="A7" s="197" t="s">
        <v>2626</v>
      </c>
    </row>
    <row r="8" spans="1:1" ht="15.75">
      <c r="A8" s="221" t="s">
        <v>2627</v>
      </c>
    </row>
    <row r="9" spans="1:1" ht="15.75">
      <c r="A9" s="197" t="s">
        <v>2628</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6" sqref="B6"/>
    </sheetView>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2629</v>
      </c>
      <c r="D1" s="168"/>
    </row>
    <row r="2" spans="1:6" s="163" customFormat="1">
      <c r="A2" s="147" t="s">
        <v>2630</v>
      </c>
      <c r="B2" s="149"/>
      <c r="C2" s="149"/>
      <c r="D2" s="146"/>
      <c r="E2" s="150"/>
      <c r="F2" s="149"/>
    </row>
    <row r="3" spans="1:6" s="226" customFormat="1" ht="80.25" customHeight="1">
      <c r="A3" s="165"/>
      <c r="B3" s="151" t="s">
        <v>2631</v>
      </c>
      <c r="C3" s="151" t="s">
        <v>2632</v>
      </c>
      <c r="D3" s="151" t="s">
        <v>2633</v>
      </c>
      <c r="E3" s="148" t="s">
        <v>2634</v>
      </c>
      <c r="F3" s="148"/>
    </row>
    <row r="4" spans="1:6" s="227" customFormat="1">
      <c r="A4" s="152" t="s">
        <v>1647</v>
      </c>
      <c r="B4" s="152"/>
      <c r="C4" s="152"/>
      <c r="D4" s="152"/>
      <c r="E4" s="170"/>
      <c r="F4" s="152"/>
    </row>
    <row r="5" spans="1:6" s="227" customFormat="1">
      <c r="A5" s="238" t="s">
        <v>1648</v>
      </c>
      <c r="B5" s="154">
        <f>'Sources and Uses Budget'!$C4</f>
        <v>6500000</v>
      </c>
      <c r="C5" s="154">
        <f>'Sources and Uses Budget'!$C4</f>
        <v>6500000</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1649</v>
      </c>
      <c r="B7" s="154">
        <f>'Sources and Uses Budget'!$C6</f>
        <v>0</v>
      </c>
      <c r="C7" s="154">
        <f>'Sources and Uses Budget'!$C6</f>
        <v>0</v>
      </c>
      <c r="D7" s="158">
        <f t="shared" si="0"/>
        <v>0</v>
      </c>
      <c r="E7" s="156"/>
      <c r="F7" s="155"/>
    </row>
    <row r="8" spans="1:6" s="227" customFormat="1">
      <c r="A8" s="238" t="s">
        <v>1650</v>
      </c>
      <c r="B8" s="154">
        <f>'Sources and Uses Budget'!$C7</f>
        <v>0</v>
      </c>
      <c r="C8" s="154">
        <f>'Sources and Uses Budget'!$C7</f>
        <v>0</v>
      </c>
      <c r="D8" s="158">
        <f t="shared" si="0"/>
        <v>0</v>
      </c>
      <c r="E8" s="156"/>
      <c r="F8" s="155"/>
    </row>
    <row r="9" spans="1:6" s="227" customFormat="1">
      <c r="A9" s="239" t="s">
        <v>1651</v>
      </c>
      <c r="B9" s="158">
        <f>SUM(B5:B8)</f>
        <v>6500000</v>
      </c>
      <c r="C9" s="158">
        <f>SUM(C5:C8)</f>
        <v>6500000</v>
      </c>
      <c r="D9" s="158">
        <f t="shared" si="0"/>
        <v>0</v>
      </c>
      <c r="E9" s="156"/>
      <c r="F9" s="155"/>
    </row>
    <row r="10" spans="1:6" s="227" customFormat="1">
      <c r="A10" s="238" t="s">
        <v>1652</v>
      </c>
      <c r="B10" s="154">
        <f>'Sources and Uses Budget'!$C9</f>
        <v>0</v>
      </c>
      <c r="C10" s="154">
        <f>'Sources and Uses Budget'!$C9</f>
        <v>0</v>
      </c>
      <c r="D10" s="158">
        <f t="shared" si="0"/>
        <v>0</v>
      </c>
      <c r="E10" s="156"/>
      <c r="F10" s="155"/>
    </row>
    <row r="11" spans="1:6" s="227" customFormat="1">
      <c r="A11" s="238" t="s">
        <v>1653</v>
      </c>
      <c r="B11" s="154">
        <f>'Sources and Uses Budget'!$C10</f>
        <v>355000</v>
      </c>
      <c r="C11" s="154">
        <f>'Sources and Uses Budget'!$C10</f>
        <v>355000</v>
      </c>
      <c r="D11" s="158">
        <f t="shared" si="0"/>
        <v>0</v>
      </c>
      <c r="E11" s="156"/>
      <c r="F11" s="155"/>
    </row>
    <row r="12" spans="1:6" s="227" customFormat="1">
      <c r="A12" s="239" t="s">
        <v>1654</v>
      </c>
      <c r="B12" s="158">
        <f>SUM(B10:B11)</f>
        <v>355000</v>
      </c>
      <c r="C12" s="158">
        <f>SUM(C10:C11)</f>
        <v>355000</v>
      </c>
      <c r="D12" s="158">
        <f t="shared" si="0"/>
        <v>0</v>
      </c>
      <c r="E12" s="156"/>
      <c r="F12" s="155"/>
    </row>
    <row r="13" spans="1:6" s="227" customFormat="1">
      <c r="A13" s="239" t="s">
        <v>1655</v>
      </c>
      <c r="B13" s="158">
        <f>SUM(B9+B12)</f>
        <v>6855000</v>
      </c>
      <c r="C13" s="158">
        <f>SUM(C9+C12)</f>
        <v>6855000</v>
      </c>
      <c r="D13" s="158">
        <f t="shared" si="0"/>
        <v>0</v>
      </c>
      <c r="E13" s="156"/>
      <c r="F13" s="155"/>
    </row>
    <row r="14" spans="1:6" s="227" customFormat="1">
      <c r="A14" s="240" t="s">
        <v>1656</v>
      </c>
      <c r="B14" s="154">
        <f>'Sources and Uses Budget'!$C13</f>
        <v>253604</v>
      </c>
      <c r="C14" s="154">
        <f>'Sources and Uses Budget'!$C13</f>
        <v>253604</v>
      </c>
      <c r="D14" s="158">
        <f t="shared" si="0"/>
        <v>0</v>
      </c>
      <c r="E14" s="156"/>
      <c r="F14" s="155"/>
    </row>
    <row r="15" spans="1:6" s="227" customFormat="1" ht="24">
      <c r="A15" s="238" t="s">
        <v>1769</v>
      </c>
      <c r="B15" s="154">
        <f>'Sources and Uses Budget'!$C14</f>
        <v>0</v>
      </c>
      <c r="C15" s="154">
        <f>'Sources and Uses Budget'!$C14</f>
        <v>0</v>
      </c>
      <c r="D15" s="158">
        <f t="shared" si="0"/>
        <v>0</v>
      </c>
      <c r="E15" s="156"/>
      <c r="F15" s="155"/>
    </row>
    <row r="16" spans="1:6" s="227" customFormat="1">
      <c r="A16" s="238" t="s">
        <v>1658</v>
      </c>
      <c r="B16" s="154">
        <f>'Sources and Uses Budget'!$C15</f>
        <v>0</v>
      </c>
      <c r="C16" s="154">
        <f>'Sources and Uses Budget'!$C15</f>
        <v>0</v>
      </c>
      <c r="D16" s="158">
        <f t="shared" si="0"/>
        <v>0</v>
      </c>
      <c r="E16" s="156"/>
      <c r="F16" s="155"/>
    </row>
    <row r="17" spans="1:6" s="227" customFormat="1">
      <c r="A17" s="152" t="s">
        <v>1659</v>
      </c>
      <c r="B17" s="152"/>
      <c r="C17" s="152"/>
      <c r="D17" s="152"/>
      <c r="E17" s="170"/>
      <c r="F17" s="152"/>
    </row>
    <row r="18" spans="1:6" s="227" customFormat="1">
      <c r="A18" s="171" t="s">
        <v>1660</v>
      </c>
      <c r="B18" s="154">
        <f>'Sources and Uses Budget'!$C17</f>
        <v>0</v>
      </c>
      <c r="C18" s="154">
        <f>'Sources and Uses Budget'!$C17</f>
        <v>0</v>
      </c>
      <c r="D18" s="158">
        <f t="shared" si="0"/>
        <v>0</v>
      </c>
      <c r="E18" s="156"/>
      <c r="F18" s="155"/>
    </row>
    <row r="19" spans="1:6" s="227" customFormat="1">
      <c r="A19" s="171" t="s">
        <v>1661</v>
      </c>
      <c r="B19" s="154">
        <f>'Sources and Uses Budget'!$C18</f>
        <v>0</v>
      </c>
      <c r="C19" s="154">
        <f>'Sources and Uses Budget'!$C18</f>
        <v>0</v>
      </c>
      <c r="D19" s="158">
        <f t="shared" si="0"/>
        <v>0</v>
      </c>
      <c r="E19" s="156"/>
      <c r="F19" s="155"/>
    </row>
    <row r="20" spans="1:6" s="227" customFormat="1">
      <c r="A20" s="171" t="s">
        <v>1662</v>
      </c>
      <c r="B20" s="154">
        <f>'Sources and Uses Budget'!$C19</f>
        <v>0</v>
      </c>
      <c r="C20" s="154">
        <f>'Sources and Uses Budget'!$C19</f>
        <v>0</v>
      </c>
      <c r="D20" s="158">
        <f t="shared" si="0"/>
        <v>0</v>
      </c>
      <c r="E20" s="156"/>
      <c r="F20" s="155"/>
    </row>
    <row r="21" spans="1:6" s="227" customFormat="1">
      <c r="A21" s="171" t="s">
        <v>1663</v>
      </c>
      <c r="B21" s="154">
        <f>'Sources and Uses Budget'!$C20</f>
        <v>0</v>
      </c>
      <c r="C21" s="154">
        <f>'Sources and Uses Budget'!$C20</f>
        <v>0</v>
      </c>
      <c r="D21" s="158">
        <f t="shared" si="0"/>
        <v>0</v>
      </c>
      <c r="E21" s="156"/>
      <c r="F21" s="155"/>
    </row>
    <row r="22" spans="1:6" s="227" customFormat="1">
      <c r="A22" s="171" t="s">
        <v>1664</v>
      </c>
      <c r="B22" s="154">
        <f>'Sources and Uses Budget'!$C21</f>
        <v>0</v>
      </c>
      <c r="C22" s="154">
        <f>'Sources and Uses Budget'!$C21</f>
        <v>0</v>
      </c>
      <c r="D22" s="158">
        <f t="shared" si="0"/>
        <v>0</v>
      </c>
      <c r="E22" s="156"/>
      <c r="F22" s="155"/>
    </row>
    <row r="23" spans="1:6" s="227" customFormat="1">
      <c r="A23" s="171" t="s">
        <v>1665</v>
      </c>
      <c r="B23" s="154">
        <f>'Sources and Uses Budget'!$C22</f>
        <v>0</v>
      </c>
      <c r="C23" s="154">
        <f>'Sources and Uses Budget'!$C22</f>
        <v>0</v>
      </c>
      <c r="D23" s="158">
        <f t="shared" si="0"/>
        <v>0</v>
      </c>
      <c r="E23" s="156"/>
      <c r="F23" s="155"/>
    </row>
    <row r="24" spans="1:6" s="227" customFormat="1">
      <c r="A24" s="171" t="s">
        <v>1666</v>
      </c>
      <c r="B24" s="154">
        <f>'Sources and Uses Budget'!$C23</f>
        <v>0</v>
      </c>
      <c r="C24" s="154">
        <f>'Sources and Uses Budget'!$C23</f>
        <v>0</v>
      </c>
      <c r="D24" s="158">
        <f t="shared" si="0"/>
        <v>0</v>
      </c>
      <c r="E24" s="156"/>
      <c r="F24" s="155"/>
    </row>
    <row r="25" spans="1:6" s="227" customFormat="1">
      <c r="A25" s="361" t="s">
        <v>1667</v>
      </c>
      <c r="B25" s="154">
        <f>'Sources and Uses Budget'!$C24</f>
        <v>0</v>
      </c>
      <c r="C25" s="154">
        <f>'Sources and Uses Budget'!$C24</f>
        <v>0</v>
      </c>
      <c r="D25" s="158">
        <f t="shared" si="0"/>
        <v>0</v>
      </c>
      <c r="E25" s="156"/>
      <c r="F25" s="155"/>
    </row>
    <row r="26" spans="1:6" s="227" customFormat="1">
      <c r="A26" s="361" t="str">
        <f>'Sources and Uses Budget'!A25</f>
        <v>Other: Bond Premium</v>
      </c>
      <c r="B26" s="154">
        <f>'Sources and Uses Budget'!$C25</f>
        <v>0</v>
      </c>
      <c r="C26" s="154">
        <f>'Sources and Uses Budget'!$C25</f>
        <v>0</v>
      </c>
      <c r="D26" s="158">
        <f t="shared" si="0"/>
        <v>0</v>
      </c>
      <c r="E26" s="156"/>
      <c r="F26" s="155"/>
    </row>
    <row r="27" spans="1:6" s="227" customFormat="1">
      <c r="A27" s="801" t="s">
        <v>1669</v>
      </c>
      <c r="B27" s="158">
        <f>SUM(B18:B26)</f>
        <v>0</v>
      </c>
      <c r="C27" s="158">
        <f>SUM(C18:C26)</f>
        <v>0</v>
      </c>
      <c r="D27" s="158">
        <f>SUM(D18:D26)</f>
        <v>0</v>
      </c>
      <c r="E27" s="156"/>
      <c r="F27" s="155"/>
    </row>
    <row r="28" spans="1:6" s="227" customFormat="1">
      <c r="A28" s="159" t="s">
        <v>1670</v>
      </c>
      <c r="B28" s="154">
        <f>'Sources and Uses Budget'!$C$27</f>
        <v>0</v>
      </c>
      <c r="C28" s="154">
        <f>'Sources and Uses Budget'!$C$27</f>
        <v>0</v>
      </c>
      <c r="D28" s="158">
        <f t="shared" si="0"/>
        <v>0</v>
      </c>
      <c r="E28" s="156"/>
      <c r="F28" s="155"/>
    </row>
    <row r="29" spans="1:6" s="227" customFormat="1">
      <c r="A29" s="152" t="s">
        <v>1671</v>
      </c>
      <c r="B29" s="152"/>
      <c r="C29" s="152"/>
      <c r="D29" s="152"/>
      <c r="E29" s="170"/>
      <c r="F29" s="152"/>
    </row>
    <row r="30" spans="1:6" s="227" customFormat="1">
      <c r="A30" s="171" t="s">
        <v>1660</v>
      </c>
      <c r="B30" s="154">
        <f>'Sources and Uses Budget'!$C29</f>
        <v>2980205</v>
      </c>
      <c r="C30" s="154">
        <f>'Sources and Uses Budget'!$C29</f>
        <v>2980205</v>
      </c>
      <c r="D30" s="158">
        <f t="shared" si="0"/>
        <v>0</v>
      </c>
      <c r="E30" s="156"/>
      <c r="F30" s="155"/>
    </row>
    <row r="31" spans="1:6" s="227" customFormat="1">
      <c r="A31" s="171" t="s">
        <v>1661</v>
      </c>
      <c r="B31" s="154">
        <f>'Sources and Uses Budget'!$C30</f>
        <v>57908284</v>
      </c>
      <c r="C31" s="154">
        <f>'Sources and Uses Budget'!$C30</f>
        <v>57908284</v>
      </c>
      <c r="D31" s="158">
        <f t="shared" si="0"/>
        <v>0</v>
      </c>
      <c r="E31" s="156"/>
      <c r="F31" s="155"/>
    </row>
    <row r="32" spans="1:6" s="227" customFormat="1">
      <c r="A32" s="171" t="s">
        <v>1662</v>
      </c>
      <c r="B32" s="154">
        <f>'Sources and Uses Budget'!$C31</f>
        <v>2185440</v>
      </c>
      <c r="C32" s="154">
        <f>'Sources and Uses Budget'!$C31</f>
        <v>2185440</v>
      </c>
      <c r="D32" s="158">
        <f t="shared" si="0"/>
        <v>0</v>
      </c>
      <c r="E32" s="156"/>
      <c r="F32" s="155"/>
    </row>
    <row r="33" spans="1:6" s="227" customFormat="1">
      <c r="A33" s="171" t="s">
        <v>1663</v>
      </c>
      <c r="B33" s="154">
        <f>'Sources and Uses Budget'!$C32</f>
        <v>1230496</v>
      </c>
      <c r="C33" s="154">
        <f>'Sources and Uses Budget'!$C32</f>
        <v>1230496</v>
      </c>
      <c r="D33" s="158">
        <f t="shared" si="0"/>
        <v>0</v>
      </c>
      <c r="E33" s="156"/>
      <c r="F33" s="155"/>
    </row>
    <row r="34" spans="1:6" s="227" customFormat="1">
      <c r="A34" s="171" t="s">
        <v>1664</v>
      </c>
      <c r="B34" s="154">
        <f>'Sources and Uses Budget'!$C33</f>
        <v>1230496</v>
      </c>
      <c r="C34" s="154">
        <f>'Sources and Uses Budget'!$C33</f>
        <v>1230496</v>
      </c>
      <c r="D34" s="158">
        <f t="shared" si="0"/>
        <v>0</v>
      </c>
      <c r="E34" s="156"/>
      <c r="F34" s="155"/>
    </row>
    <row r="35" spans="1:6" s="227" customFormat="1">
      <c r="A35" s="171" t="s">
        <v>1665</v>
      </c>
      <c r="B35" s="154">
        <f>'Sources and Uses Budget'!$C34</f>
        <v>0</v>
      </c>
      <c r="C35" s="154">
        <f>'Sources and Uses Budget'!$C34</f>
        <v>0</v>
      </c>
      <c r="D35" s="158">
        <f t="shared" si="0"/>
        <v>0</v>
      </c>
      <c r="E35" s="156"/>
      <c r="F35" s="155"/>
    </row>
    <row r="36" spans="1:6" s="227" customFormat="1">
      <c r="A36" s="171" t="s">
        <v>1666</v>
      </c>
      <c r="B36" s="154">
        <f>'Sources and Uses Budget'!$C35</f>
        <v>732884</v>
      </c>
      <c r="C36" s="154">
        <f>'Sources and Uses Budget'!$C35</f>
        <v>732884</v>
      </c>
      <c r="D36" s="158">
        <f t="shared" si="0"/>
        <v>0</v>
      </c>
      <c r="E36" s="156"/>
      <c r="F36" s="155"/>
    </row>
    <row r="37" spans="1:6" s="227" customFormat="1">
      <c r="A37" s="171" t="s">
        <v>1667</v>
      </c>
      <c r="B37" s="154">
        <f>'Sources and Uses Budget'!$C36</f>
        <v>0</v>
      </c>
      <c r="C37" s="154">
        <f>'Sources and Uses Budget'!$C36</f>
        <v>0</v>
      </c>
      <c r="D37" s="158"/>
      <c r="E37" s="156"/>
      <c r="F37" s="155"/>
    </row>
    <row r="38" spans="1:6" s="227" customFormat="1">
      <c r="A38" s="361" t="str">
        <f>'Sources and Uses Budget'!A37</f>
        <v>Other: Bond Premium</v>
      </c>
      <c r="B38" s="154">
        <f>'Sources and Uses Budget'!$C37</f>
        <v>659661</v>
      </c>
      <c r="C38" s="154">
        <f>'Sources and Uses Budget'!$C37</f>
        <v>659661</v>
      </c>
      <c r="D38" s="158">
        <f t="shared" si="0"/>
        <v>0</v>
      </c>
      <c r="E38" s="156"/>
      <c r="F38" s="155"/>
    </row>
    <row r="39" spans="1:6" s="227" customFormat="1">
      <c r="A39" s="159" t="s">
        <v>1672</v>
      </c>
      <c r="B39" s="158">
        <f>SUM(B30:B38)</f>
        <v>66927466</v>
      </c>
      <c r="C39" s="158">
        <f>SUM(C30:C38)</f>
        <v>66927466</v>
      </c>
      <c r="D39" s="158">
        <f t="shared" si="0"/>
        <v>0</v>
      </c>
      <c r="E39" s="156"/>
      <c r="F39" s="155"/>
    </row>
    <row r="40" spans="1:6" s="227" customFormat="1">
      <c r="A40" s="152" t="s">
        <v>1673</v>
      </c>
      <c r="B40" s="152"/>
      <c r="C40" s="152"/>
      <c r="D40" s="152"/>
      <c r="E40" s="170"/>
      <c r="F40" s="152"/>
    </row>
    <row r="41" spans="1:6" s="227" customFormat="1">
      <c r="A41" s="157" t="s">
        <v>1674</v>
      </c>
      <c r="B41" s="154">
        <f>'Sources and Uses Budget'!$C40</f>
        <v>1368980</v>
      </c>
      <c r="C41" s="154">
        <f>'Sources and Uses Budget'!$C40</f>
        <v>1368980</v>
      </c>
      <c r="D41" s="158">
        <f t="shared" si="0"/>
        <v>0</v>
      </c>
      <c r="E41" s="156"/>
      <c r="F41" s="155"/>
    </row>
    <row r="42" spans="1:6" s="227" customFormat="1">
      <c r="A42" s="157" t="s">
        <v>1675</v>
      </c>
      <c r="B42" s="154">
        <f>'Sources and Uses Budget'!$C41</f>
        <v>252000</v>
      </c>
      <c r="C42" s="154">
        <f>'Sources and Uses Budget'!$C41</f>
        <v>252000</v>
      </c>
      <c r="D42" s="158">
        <f t="shared" si="0"/>
        <v>0</v>
      </c>
      <c r="E42" s="156"/>
      <c r="F42" s="155"/>
    </row>
    <row r="43" spans="1:6" s="227" customFormat="1">
      <c r="A43" s="159" t="s">
        <v>1676</v>
      </c>
      <c r="B43" s="158">
        <f>SUM(B41:B42)</f>
        <v>1620980</v>
      </c>
      <c r="C43" s="158">
        <f>SUM(C41:C42)</f>
        <v>1620980</v>
      </c>
      <c r="D43" s="158">
        <f t="shared" si="0"/>
        <v>0</v>
      </c>
      <c r="E43" s="156"/>
      <c r="F43" s="155"/>
    </row>
    <row r="44" spans="1:6" s="227" customFormat="1">
      <c r="A44" s="159" t="s">
        <v>1677</v>
      </c>
      <c r="B44" s="154">
        <f>'Sources and Uses Budget'!$C43</f>
        <v>1037720</v>
      </c>
      <c r="C44" s="154">
        <f>'Sources and Uses Budget'!$C43</f>
        <v>1037720</v>
      </c>
      <c r="D44" s="158">
        <f t="shared" si="0"/>
        <v>0</v>
      </c>
      <c r="E44" s="156"/>
      <c r="F44" s="155"/>
    </row>
    <row r="45" spans="1:6" s="227" customFormat="1" ht="12" customHeight="1">
      <c r="A45" s="152" t="s">
        <v>1678</v>
      </c>
      <c r="B45" s="152"/>
      <c r="C45" s="152"/>
      <c r="D45" s="152"/>
      <c r="E45" s="170"/>
      <c r="F45" s="152"/>
    </row>
    <row r="46" spans="1:6" s="227" customFormat="1">
      <c r="A46" s="171" t="s">
        <v>1679</v>
      </c>
      <c r="B46" s="154">
        <f>'Sources and Uses Budget'!$C45</f>
        <v>10230777</v>
      </c>
      <c r="C46" s="154">
        <f>'Sources and Uses Budget'!$C45</f>
        <v>10230777</v>
      </c>
      <c r="D46" s="158">
        <f t="shared" si="0"/>
        <v>0</v>
      </c>
      <c r="E46" s="156"/>
      <c r="F46" s="155"/>
    </row>
    <row r="47" spans="1:6" s="227" customFormat="1">
      <c r="A47" s="171" t="s">
        <v>1680</v>
      </c>
      <c r="B47" s="154">
        <f>'Sources and Uses Budget'!$C46</f>
        <v>873147</v>
      </c>
      <c r="C47" s="154">
        <f>'Sources and Uses Budget'!$C46</f>
        <v>873147</v>
      </c>
      <c r="D47" s="158">
        <f t="shared" si="0"/>
        <v>0</v>
      </c>
      <c r="E47" s="156"/>
      <c r="F47" s="155"/>
    </row>
    <row r="48" spans="1:6" s="227" customFormat="1" ht="12" customHeight="1">
      <c r="A48" s="1210" t="s">
        <v>1681</v>
      </c>
      <c r="B48" s="154">
        <f>'Sources and Uses Budget'!$C47</f>
        <v>0</v>
      </c>
      <c r="C48" s="154">
        <f>'Sources and Uses Budget'!$C47</f>
        <v>0</v>
      </c>
      <c r="D48" s="158">
        <f t="shared" si="0"/>
        <v>0</v>
      </c>
      <c r="E48" s="156"/>
      <c r="F48" s="155"/>
    </row>
    <row r="49" spans="1:6" s="227" customFormat="1">
      <c r="A49" s="171" t="s">
        <v>1682</v>
      </c>
      <c r="B49" s="154">
        <f>'Sources and Uses Budget'!$C48</f>
        <v>0</v>
      </c>
      <c r="C49" s="154">
        <f>'Sources and Uses Budget'!$C48</f>
        <v>0</v>
      </c>
      <c r="D49" s="158">
        <f t="shared" si="0"/>
        <v>0</v>
      </c>
      <c r="E49" s="156"/>
      <c r="F49" s="155"/>
    </row>
    <row r="50" spans="1:6" s="227" customFormat="1">
      <c r="A50" s="171" t="s">
        <v>1683</v>
      </c>
      <c r="B50" s="154">
        <f>'Sources and Uses Budget'!$C49</f>
        <v>349467</v>
      </c>
      <c r="C50" s="154">
        <f>'Sources and Uses Budget'!$C49</f>
        <v>349467</v>
      </c>
      <c r="D50" s="158">
        <f t="shared" si="0"/>
        <v>0</v>
      </c>
      <c r="E50" s="156"/>
      <c r="F50" s="155"/>
    </row>
    <row r="51" spans="1:6" s="227" customFormat="1">
      <c r="A51" s="171" t="s">
        <v>1684</v>
      </c>
      <c r="B51" s="154">
        <f>'Sources and Uses Budget'!$C50</f>
        <v>100000</v>
      </c>
      <c r="C51" s="154">
        <f>'Sources and Uses Budget'!$C50</f>
        <v>100000</v>
      </c>
      <c r="D51" s="158">
        <f t="shared" si="0"/>
        <v>0</v>
      </c>
      <c r="E51" s="156"/>
      <c r="F51" s="155"/>
    </row>
    <row r="52" spans="1:6" s="227" customFormat="1">
      <c r="A52" s="171" t="s">
        <v>1685</v>
      </c>
      <c r="B52" s="154">
        <f>'Sources and Uses Budget'!$C51</f>
        <v>320000</v>
      </c>
      <c r="C52" s="154">
        <f>'Sources and Uses Budget'!$C51</f>
        <v>320000</v>
      </c>
      <c r="D52" s="158">
        <f t="shared" si="0"/>
        <v>0</v>
      </c>
      <c r="E52" s="156"/>
      <c r="F52" s="155"/>
    </row>
    <row r="53" spans="1:6" s="227" customFormat="1">
      <c r="A53" s="171" t="s">
        <v>1452</v>
      </c>
      <c r="B53" s="154">
        <f>'Sources and Uses Budget'!$C52</f>
        <v>1079884</v>
      </c>
      <c r="C53" s="154">
        <f>'Sources and Uses Budget'!$C52</f>
        <v>1079884</v>
      </c>
      <c r="D53" s="158">
        <f t="shared" si="0"/>
        <v>0</v>
      </c>
      <c r="E53" s="156"/>
      <c r="F53" s="155"/>
    </row>
    <row r="54" spans="1:6" s="227" customFormat="1">
      <c r="A54" s="361" t="str">
        <f>'Sources and Uses Budget'!A53</f>
        <v>Other:</v>
      </c>
      <c r="B54" s="154">
        <f>'Sources and Uses Budget'!$C53</f>
        <v>0</v>
      </c>
      <c r="C54" s="154">
        <f>'Sources and Uses Budget'!$C53</f>
        <v>0</v>
      </c>
      <c r="D54" s="158">
        <f t="shared" si="0"/>
        <v>0</v>
      </c>
      <c r="E54" s="156"/>
      <c r="F54" s="155"/>
    </row>
    <row r="55" spans="1:6" s="228" customFormat="1">
      <c r="A55" s="159" t="s">
        <v>1686</v>
      </c>
      <c r="B55" s="161">
        <f>SUM(B46:B54)</f>
        <v>12953275</v>
      </c>
      <c r="C55" s="161">
        <f>SUM(C46:C54)</f>
        <v>12953275</v>
      </c>
      <c r="D55" s="158">
        <f t="shared" si="0"/>
        <v>0</v>
      </c>
      <c r="E55" s="156"/>
      <c r="F55" s="155"/>
    </row>
    <row r="56" spans="1:6" s="227" customFormat="1">
      <c r="A56" s="152" t="s">
        <v>1273</v>
      </c>
      <c r="B56" s="152"/>
      <c r="C56" s="152"/>
      <c r="D56" s="152"/>
      <c r="E56" s="170"/>
      <c r="F56" s="152"/>
    </row>
    <row r="57" spans="1:6" s="227" customFormat="1">
      <c r="A57" s="157" t="s">
        <v>1687</v>
      </c>
      <c r="B57" s="154">
        <f>'Sources and Uses Budget'!$C56</f>
        <v>323970</v>
      </c>
      <c r="C57" s="154">
        <f>'Sources and Uses Budget'!$C56</f>
        <v>323970</v>
      </c>
      <c r="D57" s="158">
        <f t="shared" si="0"/>
        <v>0</v>
      </c>
      <c r="E57" s="156"/>
      <c r="F57" s="155"/>
    </row>
    <row r="58" spans="1:6" s="227" customFormat="1" ht="12" customHeight="1">
      <c r="A58" s="157" t="s">
        <v>1681</v>
      </c>
      <c r="B58" s="154">
        <f>'Sources and Uses Budget'!$C57</f>
        <v>0</v>
      </c>
      <c r="C58" s="154">
        <f>'Sources and Uses Budget'!$C57</f>
        <v>0</v>
      </c>
      <c r="D58" s="158">
        <f t="shared" si="0"/>
        <v>0</v>
      </c>
      <c r="E58" s="156"/>
      <c r="F58" s="155"/>
    </row>
    <row r="59" spans="1:6" s="227" customFormat="1">
      <c r="A59" s="157" t="s">
        <v>1684</v>
      </c>
      <c r="B59" s="154">
        <f>'Sources and Uses Budget'!$C58</f>
        <v>20000</v>
      </c>
      <c r="C59" s="154">
        <f>'Sources and Uses Budget'!$C58</f>
        <v>20000</v>
      </c>
      <c r="D59" s="158">
        <f t="shared" si="0"/>
        <v>0</v>
      </c>
      <c r="E59" s="156"/>
      <c r="F59" s="155"/>
    </row>
    <row r="60" spans="1:6" s="227" customFormat="1">
      <c r="A60" s="157" t="s">
        <v>1685</v>
      </c>
      <c r="B60" s="154">
        <f>'Sources and Uses Budget'!$C59</f>
        <v>0</v>
      </c>
      <c r="C60" s="154">
        <f>'Sources and Uses Budget'!$C59</f>
        <v>0</v>
      </c>
      <c r="D60" s="158">
        <f t="shared" si="0"/>
        <v>0</v>
      </c>
      <c r="E60" s="156"/>
      <c r="F60" s="155"/>
    </row>
    <row r="61" spans="1:6" s="227" customFormat="1">
      <c r="A61" s="157" t="s">
        <v>1452</v>
      </c>
      <c r="B61" s="154">
        <f>'Sources and Uses Budget'!$C60</f>
        <v>0</v>
      </c>
      <c r="C61" s="154">
        <f>'Sources and Uses Budget'!$C60</f>
        <v>0</v>
      </c>
      <c r="D61" s="158">
        <f t="shared" si="0"/>
        <v>0</v>
      </c>
      <c r="E61" s="156"/>
      <c r="F61" s="155"/>
    </row>
    <row r="62" spans="1:6" s="227" customFormat="1">
      <c r="A62" s="802" t="str">
        <f>'Sources and Uses Budget'!A61</f>
        <v>Other: CalHFA MIP Fees</v>
      </c>
      <c r="B62" s="154">
        <f>'Sources and Uses Budget'!$C61</f>
        <v>60000</v>
      </c>
      <c r="C62" s="154">
        <f>'Sources and Uses Budget'!$C61</f>
        <v>60000</v>
      </c>
      <c r="D62" s="158">
        <f t="shared" si="0"/>
        <v>0</v>
      </c>
      <c r="E62" s="156"/>
      <c r="F62" s="155"/>
    </row>
    <row r="63" spans="1:6" s="227" customFormat="1" ht="13.9" customHeight="1">
      <c r="A63" s="159" t="s">
        <v>1688</v>
      </c>
      <c r="B63" s="158">
        <f>SUM(B57:B62)</f>
        <v>403970</v>
      </c>
      <c r="C63" s="158">
        <f>SUM(C57:C62)</f>
        <v>403970</v>
      </c>
      <c r="D63" s="158">
        <f t="shared" si="0"/>
        <v>0</v>
      </c>
      <c r="E63" s="156"/>
      <c r="F63" s="155"/>
    </row>
    <row r="64" spans="1:6" s="227" customFormat="1">
      <c r="A64" s="162" t="s">
        <v>1689</v>
      </c>
      <c r="B64" s="158">
        <f>SUM(B9+B12+B14+B15+B17+B26+B28+B39+B43+B44+B55+B63)</f>
        <v>90052015</v>
      </c>
      <c r="C64" s="158">
        <f>SUM(C9+C12+C14+C15+C17+C26+C28+C39+C43+C44+C55+C63)</f>
        <v>90052015</v>
      </c>
      <c r="D64" s="158">
        <f t="shared" si="0"/>
        <v>0</v>
      </c>
      <c r="E64" s="156"/>
      <c r="F64" s="155"/>
    </row>
    <row r="65" spans="1:6" s="227" customFormat="1" ht="24">
      <c r="A65" s="83" t="s">
        <v>1690</v>
      </c>
      <c r="B65" s="152"/>
      <c r="C65" s="152"/>
      <c r="D65" s="152"/>
      <c r="E65" s="170"/>
      <c r="F65" s="152"/>
    </row>
    <row r="66" spans="1:6" s="227" customFormat="1">
      <c r="A66" s="171" t="s">
        <v>1691</v>
      </c>
      <c r="B66" s="154">
        <f>'Sources and Uses Budget'!$C65</f>
        <v>275000</v>
      </c>
      <c r="C66" s="154">
        <f>'Sources and Uses Budget'!$C65</f>
        <v>275000</v>
      </c>
      <c r="D66" s="158">
        <f t="shared" si="0"/>
        <v>0</v>
      </c>
      <c r="E66" s="156"/>
      <c r="F66" s="155"/>
    </row>
    <row r="67" spans="1:6" s="227" customFormat="1" ht="24">
      <c r="A67" s="171" t="s">
        <v>1692</v>
      </c>
      <c r="B67" s="154">
        <f>'Sources and Uses Budget'!$C66</f>
        <v>0</v>
      </c>
      <c r="C67" s="154">
        <f>'Sources and Uses Budget'!$C66</f>
        <v>0</v>
      </c>
      <c r="D67" s="158"/>
      <c r="E67" s="156"/>
      <c r="F67" s="155"/>
    </row>
    <row r="68" spans="1:6" s="227" customFormat="1" ht="24">
      <c r="A68" s="171" t="s">
        <v>1693</v>
      </c>
      <c r="B68" s="154">
        <f>'Sources and Uses Budget'!$C67</f>
        <v>0</v>
      </c>
      <c r="C68" s="154">
        <f>'Sources and Uses Budget'!$C67</f>
        <v>0</v>
      </c>
      <c r="D68" s="158"/>
      <c r="E68" s="156"/>
      <c r="F68" s="155"/>
    </row>
    <row r="69" spans="1:6" s="227" customFormat="1">
      <c r="A69" s="171" t="s">
        <v>1694</v>
      </c>
      <c r="B69" s="154">
        <f>'Sources and Uses Budget'!$C68</f>
        <v>0</v>
      </c>
      <c r="C69" s="154">
        <f>'Sources and Uses Budget'!$C68</f>
        <v>0</v>
      </c>
      <c r="D69" s="158"/>
      <c r="E69" s="156"/>
      <c r="F69" s="155"/>
    </row>
    <row r="70" spans="1:6" s="227" customFormat="1">
      <c r="A70" s="361" t="str">
        <f>'Sources and Uses Budget'!A69</f>
        <v>Other: (Specify)</v>
      </c>
      <c r="B70" s="154">
        <f>'Sources and Uses Budget'!$C69</f>
        <v>0</v>
      </c>
      <c r="C70" s="154">
        <f>'Sources and Uses Budget'!$C69</f>
        <v>0</v>
      </c>
      <c r="D70" s="158">
        <f t="shared" si="0"/>
        <v>0</v>
      </c>
      <c r="E70" s="156"/>
      <c r="F70" s="155"/>
    </row>
    <row r="71" spans="1:6" s="227" customFormat="1">
      <c r="A71" s="85" t="s">
        <v>1695</v>
      </c>
      <c r="B71" s="158">
        <f>SUM(B66:B70)</f>
        <v>275000</v>
      </c>
      <c r="C71" s="158">
        <f>SUM(C66:C70)</f>
        <v>275000</v>
      </c>
      <c r="D71" s="158">
        <f t="shared" si="0"/>
        <v>0</v>
      </c>
      <c r="E71" s="156"/>
      <c r="F71" s="155"/>
    </row>
    <row r="72" spans="1:6" s="227" customFormat="1">
      <c r="A72" s="152" t="s">
        <v>1696</v>
      </c>
      <c r="B72" s="152"/>
      <c r="C72" s="152"/>
      <c r="D72" s="152"/>
      <c r="E72" s="170"/>
      <c r="F72" s="152"/>
    </row>
    <row r="73" spans="1:6" s="227" customFormat="1">
      <c r="A73" s="157" t="s">
        <v>1697</v>
      </c>
      <c r="B73" s="154">
        <f>'Sources and Uses Budget'!$C72</f>
        <v>0</v>
      </c>
      <c r="C73" s="154">
        <f>'Sources and Uses Budget'!$C72</f>
        <v>0</v>
      </c>
      <c r="D73" s="158">
        <f t="shared" si="0"/>
        <v>0</v>
      </c>
      <c r="E73" s="156"/>
      <c r="F73" s="155"/>
    </row>
    <row r="74" spans="1:6" s="227" customFormat="1">
      <c r="A74" s="157" t="s">
        <v>1698</v>
      </c>
      <c r="B74" s="154">
        <f>'Sources and Uses Budget'!$C73</f>
        <v>0</v>
      </c>
      <c r="C74" s="154">
        <f>'Sources and Uses Budget'!$C73</f>
        <v>0</v>
      </c>
      <c r="D74" s="158">
        <f t="shared" si="0"/>
        <v>0</v>
      </c>
      <c r="E74" s="156"/>
      <c r="F74" s="155"/>
    </row>
    <row r="75" spans="1:6" s="227" customFormat="1">
      <c r="A75" s="173" t="s">
        <v>1699</v>
      </c>
      <c r="B75" s="154">
        <f>'Sources and Uses Budget'!$C74</f>
        <v>0</v>
      </c>
      <c r="C75" s="154">
        <f>'Sources and Uses Budget'!$C74</f>
        <v>0</v>
      </c>
      <c r="D75" s="158">
        <f t="shared" si="0"/>
        <v>0</v>
      </c>
      <c r="E75" s="156"/>
      <c r="F75" s="155"/>
    </row>
    <row r="76" spans="1:6" s="227" customFormat="1">
      <c r="A76" s="157" t="s">
        <v>1700</v>
      </c>
      <c r="B76" s="154">
        <f>'Sources and Uses Budget'!$C75</f>
        <v>982098</v>
      </c>
      <c r="C76" s="154">
        <f>'Sources and Uses Budget'!$C75</f>
        <v>982098</v>
      </c>
      <c r="D76" s="158">
        <f t="shared" si="0"/>
        <v>0</v>
      </c>
      <c r="E76" s="156"/>
      <c r="F76" s="155"/>
    </row>
    <row r="77" spans="1:6" s="227" customFormat="1">
      <c r="A77" s="160" t="s">
        <v>1668</v>
      </c>
      <c r="B77" s="154">
        <f>'Sources and Uses Budget'!$C76</f>
        <v>175770</v>
      </c>
      <c r="C77" s="154">
        <f>'Sources and Uses Budget'!$C76</f>
        <v>175770</v>
      </c>
      <c r="D77" s="158">
        <f t="shared" si="0"/>
        <v>0</v>
      </c>
      <c r="E77" s="156"/>
      <c r="F77" s="155"/>
    </row>
    <row r="78" spans="1:6" s="227" customFormat="1">
      <c r="A78" s="159" t="s">
        <v>1701</v>
      </c>
      <c r="B78" s="158">
        <f>SUM(B73:B77)</f>
        <v>1157868</v>
      </c>
      <c r="C78" s="158">
        <f>SUM(C73:C77)</f>
        <v>1157868</v>
      </c>
      <c r="D78" s="158">
        <f t="shared" ref="D78:D106" si="1">C78-B78</f>
        <v>0</v>
      </c>
      <c r="E78" s="156"/>
      <c r="F78" s="155"/>
    </row>
    <row r="79" spans="1:6" s="227" customFormat="1">
      <c r="A79" s="152" t="s">
        <v>1702</v>
      </c>
      <c r="B79" s="152"/>
      <c r="C79" s="152"/>
      <c r="D79" s="152"/>
      <c r="E79" s="170"/>
      <c r="F79" s="152"/>
    </row>
    <row r="80" spans="1:6" s="227" customFormat="1">
      <c r="A80" s="362" t="s">
        <v>1703</v>
      </c>
      <c r="B80" s="154">
        <f>'Sources and Uses Budget'!$C79</f>
        <v>4709773</v>
      </c>
      <c r="C80" s="154">
        <f>'Sources and Uses Budget'!$C79</f>
        <v>4709773</v>
      </c>
      <c r="D80" s="158">
        <f t="shared" si="1"/>
        <v>0</v>
      </c>
      <c r="E80" s="156"/>
      <c r="F80" s="155"/>
    </row>
    <row r="81" spans="1:6" s="227" customFormat="1">
      <c r="A81" s="362" t="s">
        <v>1704</v>
      </c>
      <c r="B81" s="154">
        <f>'Sources and Uses Budget'!$C80</f>
        <v>544327</v>
      </c>
      <c r="C81" s="154">
        <f>'Sources and Uses Budget'!$C80</f>
        <v>544327</v>
      </c>
      <c r="D81" s="158">
        <f>C81-B81</f>
        <v>0</v>
      </c>
      <c r="E81" s="156"/>
      <c r="F81" s="155"/>
    </row>
    <row r="82" spans="1:6" s="227" customFormat="1">
      <c r="A82" s="159" t="s">
        <v>1705</v>
      </c>
      <c r="B82" s="158">
        <f>SUM(B80:B81)</f>
        <v>5254100</v>
      </c>
      <c r="C82" s="158">
        <f>SUM(C80:C81)</f>
        <v>5254100</v>
      </c>
      <c r="D82" s="158">
        <f t="shared" si="1"/>
        <v>0</v>
      </c>
      <c r="E82" s="156"/>
      <c r="F82" s="155"/>
    </row>
    <row r="83" spans="1:6" s="227" customFormat="1">
      <c r="A83" s="152" t="s">
        <v>1706</v>
      </c>
      <c r="B83" s="152"/>
      <c r="C83" s="152"/>
      <c r="D83" s="152"/>
      <c r="E83" s="170"/>
      <c r="F83" s="152"/>
    </row>
    <row r="84" spans="1:6" s="227" customFormat="1" ht="13.9" customHeight="1">
      <c r="A84" s="157" t="s">
        <v>2635</v>
      </c>
      <c r="B84" s="154">
        <f>'Sources and Uses Budget'!$C83</f>
        <v>159433</v>
      </c>
      <c r="C84" s="154">
        <f>'Sources and Uses Budget'!$C83</f>
        <v>159433</v>
      </c>
      <c r="D84" s="158">
        <f t="shared" si="1"/>
        <v>0</v>
      </c>
      <c r="E84" s="156"/>
      <c r="F84" s="155"/>
    </row>
    <row r="85" spans="1:6" s="227" customFormat="1">
      <c r="A85" s="157" t="s">
        <v>1708</v>
      </c>
      <c r="B85" s="154">
        <f>'Sources and Uses Budget'!$C84</f>
        <v>9000</v>
      </c>
      <c r="C85" s="154">
        <f>'Sources and Uses Budget'!$C84</f>
        <v>9000</v>
      </c>
      <c r="D85" s="158">
        <f t="shared" si="1"/>
        <v>0</v>
      </c>
      <c r="E85" s="156"/>
      <c r="F85" s="155"/>
    </row>
    <row r="86" spans="1:6" s="227" customFormat="1">
      <c r="A86" s="157" t="s">
        <v>1709</v>
      </c>
      <c r="B86" s="154">
        <f>'Sources and Uses Budget'!$C85</f>
        <v>1856297</v>
      </c>
      <c r="C86" s="154">
        <f>'Sources and Uses Budget'!$C85</f>
        <v>1856297</v>
      </c>
      <c r="D86" s="158">
        <f t="shared" si="1"/>
        <v>0</v>
      </c>
      <c r="E86" s="156"/>
      <c r="F86" s="155"/>
    </row>
    <row r="87" spans="1:6" s="227" customFormat="1">
      <c r="A87" s="157" t="s">
        <v>1710</v>
      </c>
      <c r="B87" s="154">
        <f>'Sources and Uses Budget'!$C86</f>
        <v>355000</v>
      </c>
      <c r="C87" s="154">
        <f>'Sources and Uses Budget'!$C86</f>
        <v>355000</v>
      </c>
      <c r="D87" s="158">
        <f t="shared" si="1"/>
        <v>0</v>
      </c>
      <c r="E87" s="156"/>
      <c r="F87" s="155"/>
    </row>
    <row r="88" spans="1:6" s="227" customFormat="1">
      <c r="A88" s="157" t="s">
        <v>1711</v>
      </c>
      <c r="B88" s="154">
        <f>'Sources and Uses Budget'!$C87</f>
        <v>0</v>
      </c>
      <c r="C88" s="154">
        <f>'Sources and Uses Budget'!$C87</f>
        <v>0</v>
      </c>
      <c r="D88" s="158">
        <f t="shared" si="1"/>
        <v>0</v>
      </c>
      <c r="E88" s="156"/>
      <c r="F88" s="155"/>
    </row>
    <row r="89" spans="1:6" s="227" customFormat="1">
      <c r="A89" s="157" t="s">
        <v>1712</v>
      </c>
      <c r="B89" s="154">
        <f>'Sources and Uses Budget'!$C88</f>
        <v>100525</v>
      </c>
      <c r="C89" s="154">
        <f>'Sources and Uses Budget'!$C88</f>
        <v>100525</v>
      </c>
      <c r="D89" s="158">
        <f t="shared" si="1"/>
        <v>0</v>
      </c>
      <c r="E89" s="156"/>
      <c r="F89" s="155"/>
    </row>
    <row r="90" spans="1:6" s="227" customFormat="1">
      <c r="A90" s="157" t="s">
        <v>1713</v>
      </c>
      <c r="B90" s="154">
        <f>'Sources and Uses Budget'!$C89</f>
        <v>229500</v>
      </c>
      <c r="C90" s="154">
        <f>'Sources and Uses Budget'!$C89</f>
        <v>229500</v>
      </c>
      <c r="D90" s="158">
        <f t="shared" si="1"/>
        <v>0</v>
      </c>
      <c r="E90" s="156"/>
      <c r="F90" s="155"/>
    </row>
    <row r="91" spans="1:6" s="227" customFormat="1">
      <c r="A91" s="157" t="s">
        <v>1714</v>
      </c>
      <c r="B91" s="154">
        <f>'Sources and Uses Budget'!$C90</f>
        <v>21402</v>
      </c>
      <c r="C91" s="154">
        <f>'Sources and Uses Budget'!$C90</f>
        <v>21402</v>
      </c>
      <c r="D91" s="158">
        <f t="shared" si="1"/>
        <v>0</v>
      </c>
      <c r="E91" s="156"/>
      <c r="F91" s="155"/>
    </row>
    <row r="92" spans="1:6" s="227" customFormat="1">
      <c r="A92" s="157" t="s">
        <v>1715</v>
      </c>
      <c r="B92" s="154">
        <f>'Sources and Uses Budget'!$C91</f>
        <v>0</v>
      </c>
      <c r="C92" s="154">
        <f>'Sources and Uses Budget'!$C91</f>
        <v>0</v>
      </c>
      <c r="D92" s="158">
        <f t="shared" si="1"/>
        <v>0</v>
      </c>
      <c r="E92" s="156"/>
      <c r="F92" s="155"/>
    </row>
    <row r="93" spans="1:6" s="227" customFormat="1">
      <c r="A93" s="362" t="s">
        <v>1716</v>
      </c>
      <c r="B93" s="154">
        <f>'Sources and Uses Budget'!$C92</f>
        <v>8700</v>
      </c>
      <c r="C93" s="154">
        <f>'Sources and Uses Budget'!$C92</f>
        <v>8700</v>
      </c>
      <c r="D93" s="158">
        <f t="shared" si="1"/>
        <v>0</v>
      </c>
      <c r="E93" s="156"/>
      <c r="F93" s="155"/>
    </row>
    <row r="94" spans="1:6" s="227" customFormat="1">
      <c r="A94" s="160" t="s">
        <v>1668</v>
      </c>
      <c r="B94" s="154">
        <f>'Sources and Uses Budget'!$C93</f>
        <v>400000</v>
      </c>
      <c r="C94" s="154">
        <f>'Sources and Uses Budget'!$C93</f>
        <v>400000</v>
      </c>
      <c r="D94" s="158">
        <f t="shared" si="1"/>
        <v>0</v>
      </c>
      <c r="E94" s="156"/>
      <c r="F94" s="155"/>
    </row>
    <row r="95" spans="1:6" s="227" customFormat="1">
      <c r="A95" s="160" t="s">
        <v>1668</v>
      </c>
      <c r="B95" s="154">
        <f>'Sources and Uses Budget'!$C94</f>
        <v>0</v>
      </c>
      <c r="C95" s="154">
        <f>'Sources and Uses Budget'!$C94</f>
        <v>0</v>
      </c>
      <c r="D95" s="158">
        <f t="shared" si="1"/>
        <v>0</v>
      </c>
      <c r="E95" s="156"/>
      <c r="F95" s="155"/>
    </row>
    <row r="96" spans="1:6" s="227" customFormat="1">
      <c r="A96" s="160" t="s">
        <v>1668</v>
      </c>
      <c r="B96" s="154">
        <f>'Sources and Uses Budget'!$C95</f>
        <v>0</v>
      </c>
      <c r="C96" s="154">
        <f>'Sources and Uses Budget'!$C95</f>
        <v>0</v>
      </c>
      <c r="D96" s="158">
        <f t="shared" si="1"/>
        <v>0</v>
      </c>
      <c r="E96" s="156"/>
      <c r="F96" s="155"/>
    </row>
    <row r="97" spans="1:6" s="227" customFormat="1">
      <c r="A97" s="159" t="s">
        <v>1717</v>
      </c>
      <c r="B97" s="158">
        <f>SUM(B84:B96)</f>
        <v>3139857</v>
      </c>
      <c r="C97" s="158">
        <f>SUM(C84:C96)</f>
        <v>3139857</v>
      </c>
      <c r="D97" s="158">
        <f t="shared" si="1"/>
        <v>0</v>
      </c>
      <c r="E97" s="156"/>
      <c r="F97" s="155"/>
    </row>
    <row r="98" spans="1:6" s="227" customFormat="1">
      <c r="A98" s="159" t="s">
        <v>1718</v>
      </c>
      <c r="B98" s="158">
        <f>SUM(B64+B71+B78+B82+B97)</f>
        <v>99878840</v>
      </c>
      <c r="C98" s="158">
        <f>SUM(C64+C71+C78+C82+C97)</f>
        <v>99878840</v>
      </c>
      <c r="D98" s="158">
        <f t="shared" si="1"/>
        <v>0</v>
      </c>
      <c r="E98" s="156"/>
      <c r="F98" s="155"/>
    </row>
    <row r="99" spans="1:6" s="227" customFormat="1">
      <c r="A99" s="152" t="s">
        <v>1719</v>
      </c>
      <c r="B99" s="152"/>
      <c r="C99" s="152"/>
      <c r="D99" s="152"/>
      <c r="E99" s="170"/>
      <c r="F99" s="152"/>
    </row>
    <row r="100" spans="1:6" s="227" customFormat="1">
      <c r="A100" s="171" t="s">
        <v>1720</v>
      </c>
      <c r="B100" s="154">
        <f>'Sources and Uses Budget'!$C99</f>
        <v>12728357</v>
      </c>
      <c r="C100" s="154">
        <f>'Sources and Uses Budget'!$C99</f>
        <v>12728357</v>
      </c>
      <c r="D100" s="158">
        <f t="shared" si="1"/>
        <v>0</v>
      </c>
      <c r="E100" s="156"/>
      <c r="F100" s="155"/>
    </row>
    <row r="101" spans="1:6" s="227" customFormat="1">
      <c r="A101" s="171" t="s">
        <v>1721</v>
      </c>
      <c r="B101" s="154">
        <f>'Sources and Uses Budget'!$C100</f>
        <v>0</v>
      </c>
      <c r="C101" s="154">
        <f>'Sources and Uses Budget'!$C100</f>
        <v>0</v>
      </c>
      <c r="D101" s="158">
        <f t="shared" si="1"/>
        <v>0</v>
      </c>
      <c r="E101" s="156"/>
      <c r="F101" s="155"/>
    </row>
    <row r="102" spans="1:6" s="227" customFormat="1">
      <c r="A102" s="171" t="s">
        <v>1722</v>
      </c>
      <c r="B102" s="154">
        <f>'Sources and Uses Budget'!$C101</f>
        <v>0</v>
      </c>
      <c r="C102" s="154">
        <f>'Sources and Uses Budget'!$C101</f>
        <v>0</v>
      </c>
      <c r="D102" s="158">
        <f t="shared" si="1"/>
        <v>0</v>
      </c>
      <c r="E102" s="156"/>
      <c r="F102" s="155"/>
    </row>
    <row r="103" spans="1:6" s="227" customFormat="1" ht="12" customHeight="1">
      <c r="A103" s="171" t="s">
        <v>1723</v>
      </c>
      <c r="B103" s="154">
        <f>'Sources and Uses Budget'!$C102</f>
        <v>0</v>
      </c>
      <c r="C103" s="154">
        <f>'Sources and Uses Budget'!$C102</f>
        <v>0</v>
      </c>
      <c r="D103" s="158">
        <f t="shared" si="1"/>
        <v>0</v>
      </c>
      <c r="E103" s="156"/>
      <c r="F103" s="155"/>
    </row>
    <row r="104" spans="1:6" s="227" customFormat="1">
      <c r="A104" s="802" t="str">
        <f>'Sources and Uses Budget'!A103</f>
        <v>Other: (Specify)</v>
      </c>
      <c r="B104" s="154">
        <f>'Sources and Uses Budget'!$C103</f>
        <v>0</v>
      </c>
      <c r="C104" s="154">
        <f>'Sources and Uses Budget'!$C103</f>
        <v>0</v>
      </c>
      <c r="D104" s="158">
        <f t="shared" si="1"/>
        <v>0</v>
      </c>
      <c r="E104" s="156"/>
      <c r="F104" s="155"/>
    </row>
    <row r="105" spans="1:6" s="227" customFormat="1">
      <c r="A105" s="159" t="s">
        <v>1724</v>
      </c>
      <c r="B105" s="158">
        <f>SUM(B100:B104)</f>
        <v>12728357</v>
      </c>
      <c r="C105" s="158">
        <f>SUM(C100:C104)</f>
        <v>12728357</v>
      </c>
      <c r="D105" s="158">
        <f t="shared" si="1"/>
        <v>0</v>
      </c>
      <c r="E105" s="156"/>
      <c r="F105" s="155"/>
    </row>
    <row r="106" spans="1:6" s="227" customFormat="1">
      <c r="A106" s="159" t="s">
        <v>1725</v>
      </c>
      <c r="B106" s="161">
        <f>SUM(B98+B105)</f>
        <v>112607197</v>
      </c>
      <c r="C106" s="161">
        <f>SUM(C98+C105)</f>
        <v>112607197</v>
      </c>
      <c r="D106" s="158">
        <f t="shared" si="1"/>
        <v>0</v>
      </c>
      <c r="E106" s="156"/>
      <c r="F106" s="155"/>
    </row>
    <row r="107" spans="1:6" s="227" customFormat="1">
      <c r="A107" s="165" t="s">
        <v>2636</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75" customHeight="1" zeroHeight="1"/>
  <cols>
    <col min="1" max="10" width="10.7109375" style="273" customWidth="1"/>
    <col min="11" max="16384" width="8.85546875" style="273" hidden="1"/>
  </cols>
  <sheetData>
    <row r="1" spans="1:10" ht="15.75">
      <c r="A1" s="1257" t="s">
        <v>293</v>
      </c>
      <c r="B1" s="1258"/>
      <c r="C1" s="1258"/>
      <c r="D1" s="1258"/>
      <c r="E1" s="1258"/>
      <c r="F1" s="1258"/>
      <c r="G1" s="1258"/>
      <c r="H1" s="1258"/>
      <c r="I1" s="1258"/>
      <c r="J1" s="1258"/>
    </row>
    <row r="2" spans="1:10" ht="15">
      <c r="A2" s="1261" t="s">
        <v>294</v>
      </c>
      <c r="B2" s="1262"/>
      <c r="C2" s="1262"/>
      <c r="D2" s="1262"/>
      <c r="E2" s="1262"/>
      <c r="F2" s="1262"/>
      <c r="G2" s="1262"/>
      <c r="H2" s="1262"/>
      <c r="I2" s="1262"/>
      <c r="J2" s="1262"/>
    </row>
    <row r="3" spans="1:10"/>
    <row r="4" spans="1:10" ht="12.75" customHeight="1">
      <c r="A4" s="1259" t="s">
        <v>295</v>
      </c>
      <c r="B4" s="1259"/>
      <c r="C4" s="1259"/>
      <c r="D4" s="1259"/>
      <c r="E4" s="1259"/>
      <c r="F4" s="1259"/>
      <c r="G4" s="1259"/>
      <c r="H4" s="1259"/>
      <c r="I4" s="1259"/>
      <c r="J4" s="1259"/>
    </row>
    <row r="5" spans="1:10">
      <c r="A5" s="1259"/>
      <c r="B5" s="1259"/>
      <c r="C5" s="1259"/>
      <c r="D5" s="1259"/>
      <c r="E5" s="1259"/>
      <c r="F5" s="1259"/>
      <c r="G5" s="1259"/>
      <c r="H5" s="1259"/>
      <c r="I5" s="1259"/>
      <c r="J5" s="1259"/>
    </row>
    <row r="6" spans="1:10" ht="30" customHeight="1">
      <c r="A6" s="1259"/>
      <c r="B6" s="1259"/>
      <c r="C6" s="1259"/>
      <c r="D6" s="1259"/>
      <c r="E6" s="1259"/>
      <c r="F6" s="1259"/>
      <c r="G6" s="1259"/>
      <c r="H6" s="1259"/>
      <c r="I6" s="1259"/>
      <c r="J6" s="1259"/>
    </row>
    <row r="7" spans="1:10">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row r="10" spans="1:10" ht="12.75" customHeight="1">
      <c r="A10" s="1263" t="s">
        <v>297</v>
      </c>
      <c r="B10" s="1263"/>
      <c r="C10" s="1263"/>
      <c r="D10" s="1263"/>
      <c r="E10" s="1263"/>
      <c r="F10" s="1263"/>
      <c r="G10" s="1263"/>
      <c r="H10" s="1263"/>
      <c r="I10" s="1263"/>
      <c r="J10" s="1263"/>
    </row>
    <row r="11" spans="1:10">
      <c r="A11" s="1263"/>
      <c r="B11" s="1263"/>
      <c r="C11" s="1263"/>
      <c r="D11" s="1263"/>
      <c r="E11" s="1263"/>
      <c r="F11" s="1263"/>
      <c r="G11" s="1263"/>
      <c r="H11" s="1263"/>
      <c r="I11" s="1263"/>
      <c r="J11" s="1263"/>
    </row>
    <row r="12" spans="1:10">
      <c r="A12" s="1263"/>
      <c r="B12" s="1263"/>
      <c r="C12" s="1263"/>
      <c r="D12" s="1263"/>
      <c r="E12" s="1263"/>
      <c r="F12" s="1263"/>
      <c r="G12" s="1263"/>
      <c r="H12" s="1263"/>
      <c r="I12" s="1263"/>
      <c r="J12" s="1263"/>
    </row>
    <row r="13" spans="1:10">
      <c r="A13" s="1263"/>
      <c r="B13" s="1263"/>
      <c r="C13" s="1263"/>
      <c r="D13" s="1263"/>
      <c r="E13" s="1263"/>
      <c r="F13" s="1263"/>
      <c r="G13" s="1263"/>
      <c r="H13" s="1263"/>
      <c r="I13" s="1263"/>
      <c r="J13" s="1263"/>
    </row>
    <row r="14" spans="1:10">
      <c r="A14" s="1263"/>
      <c r="B14" s="1263"/>
      <c r="C14" s="1263"/>
      <c r="D14" s="1263"/>
      <c r="E14" s="1263"/>
      <c r="F14" s="1263"/>
      <c r="G14" s="1263"/>
      <c r="H14" s="1263"/>
      <c r="I14" s="1263"/>
      <c r="J14" s="1263"/>
    </row>
    <row r="15" spans="1:10">
      <c r="A15" s="1263"/>
      <c r="B15" s="1263"/>
      <c r="C15" s="1263"/>
      <c r="D15" s="1263"/>
      <c r="E15" s="1263"/>
      <c r="F15" s="1263"/>
      <c r="G15" s="1263"/>
      <c r="H15" s="1263"/>
      <c r="I15" s="1263"/>
      <c r="J15" s="1263"/>
    </row>
    <row r="16" spans="1:10">
      <c r="A16" s="1046"/>
      <c r="B16" s="1046"/>
      <c r="C16" s="1046"/>
      <c r="D16" s="1046"/>
      <c r="E16" s="1046"/>
      <c r="F16" s="1046"/>
      <c r="G16" s="1046"/>
      <c r="H16" s="1046"/>
      <c r="I16" s="1046"/>
      <c r="J16" s="1046"/>
    </row>
    <row r="17" spans="1:10">
      <c r="A17" s="333" t="s">
        <v>298</v>
      </c>
      <c r="B17" s="1045"/>
      <c r="C17" s="1045"/>
      <c r="D17" s="1045"/>
      <c r="E17" s="1045"/>
      <c r="F17" s="1045"/>
      <c r="G17" s="1045"/>
      <c r="H17" s="1045"/>
      <c r="I17" s="1045"/>
      <c r="J17" s="1045"/>
    </row>
    <row r="18" spans="1:10">
      <c r="A18" s="1045" t="s">
        <v>254</v>
      </c>
      <c r="B18" s="1045"/>
      <c r="C18" s="1045"/>
      <c r="D18" s="1045"/>
      <c r="E18" s="1045"/>
      <c r="F18" s="1045"/>
      <c r="G18" s="1045"/>
      <c r="H18" s="1045"/>
      <c r="I18" s="1045"/>
      <c r="J18" s="1045"/>
    </row>
    <row r="19" spans="1:10">
      <c r="A19" s="1262" t="s">
        <v>299</v>
      </c>
      <c r="B19" s="1262"/>
      <c r="C19" s="1262"/>
      <c r="D19" s="1262"/>
      <c r="E19" s="1262"/>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59" t="s">
        <v>300</v>
      </c>
      <c r="B76" s="1259"/>
      <c r="C76" s="1259"/>
      <c r="D76" s="1259"/>
      <c r="E76" s="1259"/>
      <c r="F76" s="1259"/>
      <c r="G76" s="1259"/>
      <c r="H76" s="1259"/>
      <c r="I76" s="1259"/>
      <c r="J76" s="1259"/>
    </row>
    <row r="77" spans="1:10">
      <c r="A77" s="1259"/>
      <c r="B77" s="1259"/>
      <c r="C77" s="1259"/>
      <c r="D77" s="1259"/>
      <c r="E77" s="1259"/>
      <c r="F77" s="1259"/>
      <c r="G77" s="1259"/>
      <c r="H77" s="1259"/>
      <c r="I77" s="1259"/>
      <c r="J77" s="1259"/>
    </row>
    <row r="78" spans="1:10">
      <c r="A78" s="1259"/>
      <c r="B78" s="1259"/>
      <c r="C78" s="1259"/>
      <c r="D78" s="1259"/>
      <c r="E78" s="1259"/>
      <c r="F78" s="1259"/>
      <c r="G78" s="1259"/>
      <c r="H78" s="1259"/>
      <c r="I78" s="1259"/>
      <c r="J78" s="1259"/>
    </row>
    <row r="79" spans="1:10"/>
    <row r="80" spans="1:10">
      <c r="A80" s="273" t="s">
        <v>299</v>
      </c>
    </row>
    <row r="81" spans="1:9"/>
    <row r="82" spans="1:9"/>
    <row r="83" spans="1:9"/>
    <row r="84" spans="1:9"/>
    <row r="85" spans="1:9"/>
    <row r="86" spans="1:9"/>
    <row r="87" spans="1:9"/>
    <row r="88" spans="1:9"/>
    <row r="89" spans="1:9">
      <c r="A89" s="1260" t="s">
        <v>301</v>
      </c>
      <c r="B89" s="1260"/>
      <c r="C89" s="1260"/>
      <c r="D89" s="1260"/>
      <c r="E89" s="1260"/>
      <c r="F89" s="1260"/>
      <c r="G89" s="1260"/>
      <c r="H89" s="1260"/>
      <c r="I89" s="1260"/>
    </row>
    <row r="90" spans="1:9">
      <c r="A90" s="1250" t="s">
        <v>302</v>
      </c>
      <c r="B90" s="1250"/>
      <c r="C90" s="1250"/>
      <c r="D90" s="1250"/>
      <c r="E90" s="1250"/>
    </row>
    <row r="91" spans="1:9">
      <c r="A91" s="1250" t="s">
        <v>303</v>
      </c>
      <c r="B91" s="1250"/>
      <c r="C91" s="1250"/>
      <c r="D91" s="1250"/>
      <c r="E91" s="1250"/>
    </row>
    <row r="92" spans="1:9">
      <c r="A92" s="1250" t="s">
        <v>304</v>
      </c>
      <c r="B92" s="1250"/>
      <c r="C92" s="1250"/>
      <c r="D92" s="1250"/>
      <c r="E92" s="1250"/>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28575</xdr:colOff>
                <xdr:row>77</xdr:row>
                <xdr:rowOff>219075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41" workbookViewId="0">
      <selection activeCell="D551" sqref="D551:F552"/>
    </sheetView>
  </sheetViews>
  <sheetFormatPr defaultColWidth="0" defaultRowHeight="12.75" zeroHeight="1"/>
  <cols>
    <col min="1" max="1" width="3.42578125" style="336" customWidth="1"/>
    <col min="2" max="2" width="13.42578125" style="336" customWidth="1"/>
    <col min="3" max="3" width="2.42578125" style="336" customWidth="1"/>
    <col min="4" max="5" width="3.42578125" style="273" customWidth="1"/>
    <col min="6" max="6" width="65.42578125" style="273" customWidth="1"/>
    <col min="7" max="7" width="1.42578125" style="273" customWidth="1"/>
    <col min="8" max="8" width="3.42578125" style="273" customWidth="1"/>
    <col min="9" max="9" width="9.140625" style="275" customWidth="1"/>
    <col min="10" max="13" width="8.85546875" style="273" hidden="1" customWidth="1"/>
    <col min="14" max="16384" width="0" style="273" hidden="1"/>
  </cols>
  <sheetData>
    <row r="1" spans="1:13"/>
    <row r="2" spans="1:13">
      <c r="A2" s="1265" t="s">
        <v>305</v>
      </c>
      <c r="B2" s="1265"/>
      <c r="C2" s="1265"/>
      <c r="D2" s="1265"/>
      <c r="E2" s="1265"/>
      <c r="F2" s="1265"/>
      <c r="G2" s="1265"/>
      <c r="H2" s="1265"/>
      <c r="I2" s="1265"/>
    </row>
    <row r="3" spans="1:13">
      <c r="A3" s="1266" t="s">
        <v>306</v>
      </c>
      <c r="B3" s="1266"/>
      <c r="C3" s="1266"/>
      <c r="D3" s="1266"/>
      <c r="E3" s="1266"/>
      <c r="F3" s="1266"/>
      <c r="G3" s="1266"/>
      <c r="H3" s="1266"/>
      <c r="I3" s="1266"/>
    </row>
    <row r="4" spans="1:13">
      <c r="A4" s="1266"/>
      <c r="B4" s="1266"/>
      <c r="C4" s="1262"/>
      <c r="D4" s="1262"/>
      <c r="E4" s="1262"/>
      <c r="F4" s="1262"/>
      <c r="G4" s="1262"/>
    </row>
    <row r="5" spans="1:13">
      <c r="A5" s="1266"/>
      <c r="B5" s="1266"/>
      <c r="C5" s="1262"/>
      <c r="D5" s="1262"/>
      <c r="E5" s="1262"/>
      <c r="F5" s="1262"/>
      <c r="G5" s="1262"/>
    </row>
    <row r="6" spans="1:13" ht="12.75" customHeight="1">
      <c r="A6" s="1288" t="s">
        <v>307</v>
      </c>
      <c r="B6" s="1288"/>
      <c r="C6" s="1288"/>
      <c r="D6" s="1288"/>
      <c r="E6" s="1288"/>
      <c r="F6" s="1288"/>
      <c r="G6" s="1288"/>
      <c r="I6" s="1048"/>
    </row>
    <row r="7" spans="1:13">
      <c r="A7" s="1288"/>
      <c r="B7" s="1288"/>
      <c r="C7" s="1288"/>
      <c r="D7" s="1288"/>
      <c r="E7" s="1288"/>
      <c r="F7" s="1288"/>
      <c r="G7" s="1288"/>
      <c r="I7" s="1048"/>
    </row>
    <row r="8" spans="1:13">
      <c r="A8" s="1053"/>
      <c r="B8" s="1053"/>
      <c r="C8" s="1047"/>
      <c r="D8" s="1047"/>
      <c r="E8" s="1047"/>
      <c r="F8" s="1047"/>
    </row>
    <row r="9" spans="1:13">
      <c r="A9" s="1270" t="s">
        <v>308</v>
      </c>
      <c r="B9" s="1270"/>
      <c r="C9" s="1270"/>
      <c r="D9" s="1270"/>
      <c r="E9" s="1270"/>
      <c r="F9" s="1270"/>
      <c r="G9" s="1270"/>
      <c r="H9" s="809"/>
      <c r="I9" s="810"/>
    </row>
    <row r="10" spans="1:13">
      <c r="A10" s="1047"/>
      <c r="B10" s="1047"/>
      <c r="E10" s="275"/>
    </row>
    <row r="11" spans="1:13" ht="13.9" customHeight="1">
      <c r="C11" s="1047"/>
      <c r="D11" s="1287" t="s">
        <v>309</v>
      </c>
      <c r="E11" s="1287"/>
      <c r="F11" s="1287"/>
    </row>
    <row r="12" spans="1:13">
      <c r="C12" s="1047"/>
      <c r="D12" s="1287"/>
      <c r="E12" s="1287"/>
      <c r="F12" s="1287"/>
    </row>
    <row r="13" spans="1:13">
      <c r="A13" s="337"/>
      <c r="B13" s="337"/>
      <c r="C13" s="337"/>
      <c r="D13" s="1268" t="s">
        <v>310</v>
      </c>
      <c r="E13" s="1268"/>
      <c r="F13" s="1268"/>
      <c r="M13" s="55"/>
    </row>
    <row r="14" spans="1:13">
      <c r="A14" s="337"/>
      <c r="B14" s="337"/>
      <c r="C14" s="337"/>
      <c r="D14" s="333"/>
      <c r="L14" s="1058"/>
    </row>
    <row r="15" spans="1:13" ht="14.25">
      <c r="A15" s="338"/>
      <c r="B15" s="339" t="s">
        <v>2812</v>
      </c>
      <c r="C15" s="337"/>
      <c r="D15" s="1267" t="s">
        <v>312</v>
      </c>
      <c r="E15" s="1267"/>
      <c r="F15" s="1267"/>
      <c r="I15" s="1048"/>
    </row>
    <row r="16" spans="1:13">
      <c r="A16" s="337"/>
      <c r="B16" s="337"/>
      <c r="C16" s="337"/>
      <c r="D16" s="1267"/>
      <c r="E16" s="1267"/>
      <c r="F16" s="1267"/>
      <c r="I16" s="1048"/>
    </row>
    <row r="17" spans="1:9">
      <c r="A17" s="337"/>
      <c r="B17" s="337"/>
      <c r="C17" s="337"/>
      <c r="D17" s="1267"/>
      <c r="E17" s="1267"/>
      <c r="F17" s="1267"/>
      <c r="I17" s="1048"/>
    </row>
    <row r="18" spans="1:9">
      <c r="A18" s="337"/>
      <c r="B18" s="337"/>
      <c r="C18" s="337"/>
      <c r="D18" s="1049"/>
      <c r="E18" s="1058" t="s">
        <v>313</v>
      </c>
      <c r="F18" s="1049"/>
      <c r="I18" s="1048"/>
    </row>
    <row r="19" spans="1:9">
      <c r="A19" s="337"/>
      <c r="B19" s="337"/>
      <c r="C19" s="337"/>
      <c r="I19" s="1048"/>
    </row>
    <row r="20" spans="1:9" ht="14.25">
      <c r="A20" s="338"/>
      <c r="B20" s="339" t="s">
        <v>2812</v>
      </c>
      <c r="D20" s="1267" t="s">
        <v>314</v>
      </c>
      <c r="E20" s="1267"/>
      <c r="F20" s="1267"/>
      <c r="I20" s="1048"/>
    </row>
    <row r="21" spans="1:9" ht="14.25">
      <c r="A21" s="338"/>
      <c r="D21" s="1267"/>
      <c r="E21" s="1267"/>
      <c r="F21" s="1267"/>
      <c r="I21" s="1048"/>
    </row>
    <row r="22" spans="1:9" ht="14.25">
      <c r="A22" s="338"/>
      <c r="D22" s="1052"/>
      <c r="E22" s="55" t="s">
        <v>315</v>
      </c>
      <c r="F22" s="1052"/>
      <c r="I22" s="1048"/>
    </row>
    <row r="23" spans="1:9" ht="14.25">
      <c r="A23" s="338"/>
      <c r="B23" s="338"/>
      <c r="D23" s="1050"/>
      <c r="I23" s="1048"/>
    </row>
    <row r="24" spans="1:9" ht="14.25">
      <c r="A24" s="338"/>
      <c r="B24" s="339" t="s">
        <v>2811</v>
      </c>
      <c r="D24" s="1267" t="s">
        <v>316</v>
      </c>
      <c r="E24" s="1267"/>
      <c r="F24" s="1267"/>
      <c r="I24" s="1048"/>
    </row>
    <row r="25" spans="1:9" ht="14.25">
      <c r="A25" s="338"/>
      <c r="B25" s="338"/>
      <c r="D25" s="1267"/>
      <c r="E25" s="1267"/>
      <c r="F25" s="1267"/>
      <c r="I25" s="1048"/>
    </row>
    <row r="26" spans="1:9">
      <c r="I26" s="1048"/>
    </row>
    <row r="27" spans="1:9" ht="14.25">
      <c r="A27" s="338"/>
      <c r="B27" s="339" t="s">
        <v>2812</v>
      </c>
      <c r="D27" s="1267" t="s">
        <v>317</v>
      </c>
      <c r="E27" s="1267"/>
      <c r="F27" s="1267"/>
      <c r="I27" s="1048"/>
    </row>
    <row r="28" spans="1:9">
      <c r="D28" s="1267"/>
      <c r="E28" s="1267"/>
      <c r="F28" s="1267"/>
      <c r="I28" s="1048"/>
    </row>
    <row r="29" spans="1:9">
      <c r="D29" s="1267"/>
      <c r="E29" s="1267"/>
      <c r="F29" s="1267"/>
      <c r="I29" s="1048"/>
    </row>
    <row r="30" spans="1:9">
      <c r="D30" s="1267"/>
      <c r="E30" s="1267"/>
      <c r="F30" s="1267"/>
      <c r="I30" s="1048"/>
    </row>
    <row r="31" spans="1:9">
      <c r="D31" s="1267"/>
      <c r="E31" s="1267"/>
      <c r="F31" s="1267"/>
      <c r="I31" s="1048"/>
    </row>
    <row r="32" spans="1:9">
      <c r="D32" s="1056"/>
      <c r="I32" s="1048"/>
    </row>
    <row r="33" spans="1:9">
      <c r="B33" s="339" t="s">
        <v>2811</v>
      </c>
      <c r="D33" s="1267" t="s">
        <v>318</v>
      </c>
      <c r="E33" s="1267"/>
      <c r="F33" s="1267"/>
      <c r="I33" s="1048"/>
    </row>
    <row r="34" spans="1:9">
      <c r="D34" s="1267"/>
      <c r="E34" s="1267"/>
      <c r="F34" s="1267"/>
      <c r="I34" s="1048"/>
    </row>
    <row r="35" spans="1:9" ht="14.25">
      <c r="A35" s="338"/>
      <c r="B35" s="338"/>
      <c r="D35" s="1056"/>
      <c r="I35" s="1048"/>
    </row>
    <row r="36" spans="1:9" ht="14.65" customHeight="1">
      <c r="A36" s="338"/>
      <c r="B36" s="339" t="s">
        <v>2811</v>
      </c>
      <c r="D36" s="1267" t="s">
        <v>319</v>
      </c>
      <c r="E36" s="1267"/>
      <c r="F36" s="1267"/>
      <c r="I36" s="1048"/>
    </row>
    <row r="37" spans="1:9" ht="14.25">
      <c r="A37" s="338"/>
      <c r="B37" s="338"/>
      <c r="D37" s="1267"/>
      <c r="E37" s="1267"/>
      <c r="F37" s="1267"/>
      <c r="I37" s="1048"/>
    </row>
    <row r="38" spans="1:9" ht="14.25">
      <c r="A38" s="338"/>
      <c r="B38" s="338"/>
      <c r="D38" s="1267"/>
      <c r="E38" s="1267"/>
      <c r="F38" s="1267"/>
      <c r="I38" s="1048"/>
    </row>
    <row r="39" spans="1:9" ht="14.25">
      <c r="A39" s="338"/>
      <c r="B39" s="338"/>
      <c r="D39" s="1267"/>
      <c r="E39" s="1267"/>
      <c r="F39" s="1267"/>
      <c r="I39" s="1048"/>
    </row>
    <row r="40" spans="1:9" ht="14.25">
      <c r="A40" s="338"/>
      <c r="B40" s="338"/>
      <c r="I40" s="1048"/>
    </row>
    <row r="41" spans="1:9" ht="14.25">
      <c r="A41" s="338"/>
      <c r="B41" s="339" t="s">
        <v>2811</v>
      </c>
      <c r="D41" s="1267" t="s">
        <v>320</v>
      </c>
      <c r="E41" s="1267"/>
      <c r="F41" s="1267"/>
      <c r="I41" s="1048"/>
    </row>
    <row r="42" spans="1:9" ht="14.25">
      <c r="A42" s="338"/>
      <c r="B42" s="338"/>
      <c r="D42" s="1267"/>
      <c r="E42" s="1267"/>
      <c r="F42" s="1267"/>
      <c r="I42" s="1048"/>
    </row>
    <row r="43" spans="1:9" ht="14.25">
      <c r="A43" s="338"/>
      <c r="B43" s="338"/>
      <c r="D43" s="1267"/>
      <c r="E43" s="1267"/>
      <c r="F43" s="1267"/>
      <c r="I43" s="1048"/>
    </row>
    <row r="44" spans="1:9" ht="14.25">
      <c r="A44" s="338"/>
      <c r="B44" s="338"/>
      <c r="D44" s="1267"/>
      <c r="E44" s="1267"/>
      <c r="F44" s="1267"/>
      <c r="I44" s="1048"/>
    </row>
    <row r="45" spans="1:9" ht="14.25">
      <c r="A45" s="338"/>
      <c r="B45" s="338"/>
      <c r="D45" s="1267"/>
      <c r="E45" s="1267"/>
      <c r="F45" s="1267"/>
      <c r="I45" s="1048"/>
    </row>
    <row r="46" spans="1:9" ht="14.25">
      <c r="A46" s="338"/>
      <c r="B46" s="338"/>
      <c r="D46" s="1049"/>
      <c r="E46" s="1049"/>
      <c r="F46" s="1049"/>
      <c r="I46" s="1048"/>
    </row>
    <row r="47" spans="1:9" ht="14.25">
      <c r="A47" s="338"/>
      <c r="B47" s="339" t="s">
        <v>2811</v>
      </c>
      <c r="D47" s="1267" t="s">
        <v>321</v>
      </c>
      <c r="E47" s="1267"/>
      <c r="F47" s="1267"/>
      <c r="I47" s="1048"/>
    </row>
    <row r="48" spans="1:9" ht="14.25">
      <c r="A48" s="338"/>
      <c r="B48" s="338"/>
      <c r="D48" s="1267"/>
      <c r="E48" s="1267"/>
      <c r="F48" s="1267"/>
      <c r="I48" s="1048"/>
    </row>
    <row r="49" spans="1:9" ht="14.25">
      <c r="A49" s="338"/>
      <c r="B49" s="338"/>
      <c r="D49" s="1267"/>
      <c r="E49" s="1267"/>
      <c r="F49" s="1267"/>
      <c r="I49" s="1048"/>
    </row>
    <row r="50" spans="1:9" ht="23.25" customHeight="1">
      <c r="A50" s="338"/>
      <c r="B50" s="338"/>
      <c r="D50" s="1267"/>
      <c r="E50" s="1267"/>
      <c r="F50" s="1267"/>
      <c r="I50" s="1048"/>
    </row>
    <row r="51" spans="1:9" ht="14.25">
      <c r="A51" s="338"/>
      <c r="B51" s="338"/>
      <c r="D51" s="1050"/>
      <c r="I51" s="1048"/>
    </row>
    <row r="52" spans="1:9" ht="14.65" customHeight="1">
      <c r="A52" s="338"/>
      <c r="B52" s="339" t="s">
        <v>2811</v>
      </c>
      <c r="D52" s="1267" t="s">
        <v>322</v>
      </c>
      <c r="E52" s="1267"/>
      <c r="F52" s="1267"/>
      <c r="I52" s="1048"/>
    </row>
    <row r="53" spans="1:9" ht="14.25">
      <c r="A53" s="338"/>
      <c r="B53" s="338"/>
      <c r="D53" s="1267"/>
      <c r="E53" s="1267"/>
      <c r="F53" s="1267"/>
      <c r="I53" s="1048"/>
    </row>
    <row r="54" spans="1:9" ht="14.25">
      <c r="A54" s="338"/>
      <c r="B54" s="338"/>
      <c r="D54" s="1267"/>
      <c r="E54" s="1267"/>
      <c r="F54" s="1267"/>
      <c r="I54" s="1048"/>
    </row>
    <row r="55" spans="1:9" ht="14.25">
      <c r="A55" s="338"/>
      <c r="B55" s="338"/>
      <c r="I55" s="1048"/>
    </row>
    <row r="56" spans="1:9" ht="14.25">
      <c r="A56" s="338"/>
      <c r="B56" s="339" t="s">
        <v>2812</v>
      </c>
      <c r="D56" s="1289" t="s">
        <v>323</v>
      </c>
      <c r="E56" s="1289"/>
      <c r="F56" s="1289"/>
      <c r="I56" s="1048"/>
    </row>
    <row r="57" spans="1:9" ht="14.25">
      <c r="A57" s="338"/>
      <c r="B57" s="338"/>
      <c r="D57" s="1289"/>
      <c r="E57" s="1289"/>
      <c r="F57" s="1289"/>
      <c r="I57" s="1048"/>
    </row>
    <row r="58" spans="1:9" ht="14.25">
      <c r="A58" s="338"/>
      <c r="B58" s="338"/>
      <c r="D58" s="1052" t="s">
        <v>324</v>
      </c>
      <c r="E58" s="1049"/>
      <c r="F58" s="1049"/>
      <c r="I58" s="1048"/>
    </row>
    <row r="59" spans="1:9" ht="14.25">
      <c r="A59" s="338"/>
      <c r="B59" s="338"/>
      <c r="D59" s="1049"/>
      <c r="E59" s="1058" t="s">
        <v>313</v>
      </c>
      <c r="F59" s="1049"/>
      <c r="I59" s="1048"/>
    </row>
    <row r="60" spans="1:9">
      <c r="D60" s="1056"/>
      <c r="I60" s="1048"/>
    </row>
    <row r="61" spans="1:9" ht="14.25">
      <c r="A61" s="338"/>
      <c r="B61" s="339" t="s">
        <v>2811</v>
      </c>
      <c r="D61" s="1267" t="s">
        <v>325</v>
      </c>
      <c r="E61" s="1267"/>
      <c r="F61" s="1267"/>
      <c r="I61" s="1048"/>
    </row>
    <row r="62" spans="1:9">
      <c r="D62" s="1267"/>
      <c r="E62" s="1267"/>
      <c r="F62" s="1267"/>
      <c r="I62" s="1048"/>
    </row>
    <row r="63" spans="1:9">
      <c r="D63" s="1267"/>
      <c r="E63" s="1267"/>
      <c r="F63" s="1267"/>
      <c r="I63" s="1048"/>
    </row>
    <row r="64" spans="1:9">
      <c r="I64" s="1048"/>
    </row>
    <row r="65" spans="1:9" ht="14.25">
      <c r="A65" s="338"/>
      <c r="B65" s="339" t="s">
        <v>2811</v>
      </c>
      <c r="D65" s="1267" t="s">
        <v>326</v>
      </c>
      <c r="E65" s="1267"/>
      <c r="F65" s="1267"/>
      <c r="I65" s="1048"/>
    </row>
    <row r="66" spans="1:9">
      <c r="D66" s="1267"/>
      <c r="E66" s="1267"/>
      <c r="F66" s="1267"/>
      <c r="I66" s="1048"/>
    </row>
    <row r="67" spans="1:9">
      <c r="I67" s="1048"/>
    </row>
    <row r="68" spans="1:9" ht="14.25">
      <c r="A68" s="338"/>
      <c r="B68" s="339" t="s">
        <v>2811</v>
      </c>
      <c r="D68" s="1267" t="s">
        <v>327</v>
      </c>
      <c r="E68" s="1267"/>
      <c r="F68" s="1267"/>
      <c r="I68" s="1048"/>
    </row>
    <row r="69" spans="1:9">
      <c r="D69" s="1267"/>
      <c r="E69" s="1267"/>
      <c r="F69" s="1267"/>
      <c r="I69" s="1048"/>
    </row>
    <row r="70" spans="1:9">
      <c r="D70" s="1267"/>
      <c r="E70" s="1267"/>
      <c r="F70" s="1267"/>
      <c r="I70" s="1048"/>
    </row>
    <row r="71" spans="1:9">
      <c r="I71" s="1048"/>
    </row>
    <row r="72" spans="1:9" ht="14.25">
      <c r="A72" s="338"/>
      <c r="B72" s="339" t="s">
        <v>2811</v>
      </c>
      <c r="D72" s="1267" t="s">
        <v>328</v>
      </c>
      <c r="E72" s="1267"/>
      <c r="F72" s="1267"/>
      <c r="I72" s="1048"/>
    </row>
    <row r="73" spans="1:9">
      <c r="D73" s="1267"/>
      <c r="E73" s="1267"/>
      <c r="F73" s="1267"/>
      <c r="I73" s="1048"/>
    </row>
    <row r="74" spans="1:9" ht="14.25">
      <c r="A74" s="338"/>
      <c r="B74" s="338"/>
      <c r="D74" s="1050"/>
      <c r="I74" s="1048"/>
    </row>
    <row r="75" spans="1:9">
      <c r="A75" s="1270" t="s">
        <v>329</v>
      </c>
      <c r="B75" s="1270"/>
      <c r="C75" s="1270"/>
      <c r="D75" s="1270"/>
      <c r="E75" s="1270"/>
      <c r="F75" s="1270"/>
      <c r="G75" s="1270"/>
      <c r="H75" s="809"/>
      <c r="I75" s="929"/>
    </row>
    <row r="76" spans="1:9">
      <c r="I76" s="1048"/>
    </row>
    <row r="77" spans="1:9">
      <c r="C77" s="340"/>
      <c r="D77" s="1269" t="s">
        <v>330</v>
      </c>
      <c r="E77" s="1269"/>
      <c r="F77" s="1269"/>
      <c r="I77" s="1048"/>
    </row>
    <row r="78" spans="1:9">
      <c r="A78" s="1050"/>
      <c r="B78" s="1050"/>
      <c r="D78" s="1267" t="s">
        <v>331</v>
      </c>
      <c r="E78" s="1267"/>
      <c r="F78" s="1267"/>
      <c r="I78" s="1048"/>
    </row>
    <row r="79" spans="1:9">
      <c r="A79" s="1050"/>
      <c r="B79" s="1050"/>
      <c r="I79" s="1048"/>
    </row>
    <row r="80" spans="1:9" ht="13.9" customHeight="1">
      <c r="A80" s="338"/>
      <c r="B80" s="339" t="s">
        <v>2812</v>
      </c>
      <c r="D80" s="1267" t="s">
        <v>332</v>
      </c>
      <c r="E80" s="1267"/>
      <c r="F80" s="1267"/>
      <c r="I80" s="1048"/>
    </row>
    <row r="81" spans="1:9" ht="14.25">
      <c r="A81" s="338"/>
      <c r="B81" s="338"/>
      <c r="D81" s="1267"/>
      <c r="E81" s="1267"/>
      <c r="F81" s="1267"/>
      <c r="I81" s="1048"/>
    </row>
    <row r="82" spans="1:9" ht="14.25">
      <c r="A82" s="338"/>
      <c r="B82" s="338"/>
      <c r="D82" s="1267"/>
      <c r="E82" s="1267"/>
      <c r="F82" s="1267"/>
      <c r="I82" s="1048"/>
    </row>
    <row r="83" spans="1:9" ht="14.25">
      <c r="A83" s="338"/>
      <c r="B83" s="338"/>
      <c r="D83" s="1267"/>
      <c r="E83" s="1267"/>
      <c r="F83" s="1267"/>
      <c r="I83" s="1048"/>
    </row>
    <row r="84" spans="1:9" ht="14.25">
      <c r="A84" s="338"/>
      <c r="B84" s="338"/>
      <c r="D84" s="1267"/>
      <c r="E84" s="1267"/>
      <c r="F84" s="1267"/>
      <c r="I84" s="1048"/>
    </row>
    <row r="85" spans="1:9" ht="14.25">
      <c r="A85" s="338"/>
      <c r="B85" s="338"/>
      <c r="D85" s="1267"/>
      <c r="E85" s="1267"/>
      <c r="F85" s="1267"/>
      <c r="I85" s="1048"/>
    </row>
    <row r="86" spans="1:9" ht="14.25">
      <c r="A86" s="338"/>
      <c r="B86" s="338"/>
      <c r="D86" s="1267"/>
      <c r="E86" s="1267"/>
      <c r="F86" s="1267"/>
      <c r="I86" s="1048"/>
    </row>
    <row r="87" spans="1:9" ht="14.25">
      <c r="A87" s="338"/>
      <c r="B87" s="338"/>
      <c r="D87" s="1267"/>
      <c r="E87" s="1267"/>
      <c r="F87" s="1267"/>
      <c r="I87" s="1048"/>
    </row>
    <row r="88" spans="1:9" ht="14.25">
      <c r="A88" s="338"/>
      <c r="B88" s="338"/>
      <c r="D88" s="1060"/>
      <c r="E88" s="1060"/>
      <c r="F88" s="1060"/>
      <c r="I88" s="1048"/>
    </row>
    <row r="89" spans="1:9" ht="15" customHeight="1">
      <c r="A89" s="338"/>
      <c r="B89" s="339" t="s">
        <v>2812</v>
      </c>
      <c r="D89" s="1267" t="s">
        <v>333</v>
      </c>
      <c r="E89" s="1267"/>
      <c r="F89" s="1267"/>
      <c r="I89" s="1048"/>
    </row>
    <row r="90" spans="1:9" ht="14.25">
      <c r="A90" s="338"/>
      <c r="B90" s="338"/>
      <c r="D90" s="1267"/>
      <c r="E90" s="1267"/>
      <c r="F90" s="1267"/>
      <c r="I90" s="1048"/>
    </row>
    <row r="91" spans="1:9" ht="14.25">
      <c r="A91" s="338"/>
      <c r="B91" s="338"/>
      <c r="D91" s="1049"/>
      <c r="E91" s="1049"/>
      <c r="F91" s="1049"/>
      <c r="I91" s="1048"/>
    </row>
    <row r="92" spans="1:9" ht="14.25">
      <c r="A92" s="338"/>
      <c r="B92" s="339" t="s">
        <v>311</v>
      </c>
      <c r="D92" s="1267" t="s">
        <v>334</v>
      </c>
      <c r="E92" s="1267"/>
      <c r="F92" s="1267"/>
      <c r="I92" s="1048"/>
    </row>
    <row r="93" spans="1:9" ht="14.25">
      <c r="A93" s="338"/>
      <c r="B93" s="338"/>
      <c r="D93" s="1267"/>
      <c r="E93" s="1267"/>
      <c r="F93" s="1267"/>
      <c r="I93" s="1048"/>
    </row>
    <row r="94" spans="1:9" ht="14.25">
      <c r="A94" s="338"/>
      <c r="B94" s="338"/>
      <c r="D94" s="1267"/>
      <c r="E94" s="1267"/>
      <c r="F94" s="1267"/>
      <c r="I94" s="1048"/>
    </row>
    <row r="95" spans="1:9" ht="14.25">
      <c r="A95" s="338"/>
      <c r="B95" s="338"/>
      <c r="D95" s="1049"/>
      <c r="E95" s="1049"/>
      <c r="F95" s="1049"/>
      <c r="I95" s="1048"/>
    </row>
    <row r="96" spans="1:9" ht="14.25">
      <c r="A96" s="338"/>
      <c r="B96" s="339" t="s">
        <v>2812</v>
      </c>
      <c r="D96" s="1267" t="s">
        <v>335</v>
      </c>
      <c r="E96" s="1267"/>
      <c r="F96" s="1267"/>
      <c r="I96" s="1048"/>
    </row>
    <row r="97" spans="1:9" s="777" customFormat="1" ht="14.25">
      <c r="A97" s="775"/>
      <c r="B97" s="775"/>
      <c r="C97" s="776"/>
      <c r="D97" s="1267"/>
      <c r="E97" s="1267"/>
      <c r="F97" s="1267"/>
      <c r="I97" s="930"/>
    </row>
    <row r="98" spans="1:9" ht="14.25">
      <c r="A98" s="338"/>
      <c r="B98" s="338"/>
      <c r="D98" s="1052"/>
      <c r="E98" s="1058" t="s">
        <v>336</v>
      </c>
      <c r="F98" s="1049"/>
      <c r="I98" s="1048"/>
    </row>
    <row r="99" spans="1:9" ht="14.25">
      <c r="A99" s="338"/>
      <c r="B99" s="338"/>
      <c r="D99" s="1060"/>
      <c r="E99" s="1060"/>
      <c r="F99" s="1060"/>
      <c r="I99" s="1048"/>
    </row>
    <row r="100" spans="1:9" ht="14.25">
      <c r="A100" s="338"/>
      <c r="B100" s="339" t="s">
        <v>2811</v>
      </c>
      <c r="D100" s="1267" t="s">
        <v>337</v>
      </c>
      <c r="E100" s="1267"/>
      <c r="F100" s="1267"/>
      <c r="I100" s="1048"/>
    </row>
    <row r="101" spans="1:9" ht="14.25">
      <c r="A101" s="338"/>
      <c r="B101" s="338"/>
      <c r="D101" s="1267"/>
      <c r="E101" s="1267"/>
      <c r="F101" s="1267"/>
      <c r="I101" s="1048"/>
    </row>
    <row r="102" spans="1:9" ht="14.25">
      <c r="A102" s="338"/>
      <c r="B102" s="338"/>
      <c r="D102" s="1049"/>
      <c r="E102" s="1049"/>
      <c r="F102" s="1049"/>
      <c r="I102" s="1048"/>
    </row>
    <row r="103" spans="1:9" ht="14.65" customHeight="1">
      <c r="A103" s="338"/>
      <c r="B103" s="339" t="s">
        <v>2811</v>
      </c>
      <c r="D103" s="1267" t="s">
        <v>338</v>
      </c>
      <c r="E103" s="1267"/>
      <c r="F103" s="1267"/>
      <c r="I103" s="1048"/>
    </row>
    <row r="104" spans="1:9" ht="14.25">
      <c r="A104" s="338"/>
      <c r="B104" s="338"/>
      <c r="D104" s="1267"/>
      <c r="E104" s="1267"/>
      <c r="F104" s="1267"/>
      <c r="I104" s="1048"/>
    </row>
    <row r="105" spans="1:9" ht="14.25">
      <c r="A105" s="338"/>
      <c r="B105" s="338"/>
      <c r="D105" s="1267"/>
      <c r="E105" s="1267"/>
      <c r="F105" s="1267"/>
      <c r="I105" s="1048"/>
    </row>
    <row r="106" spans="1:9" ht="14.25">
      <c r="A106" s="338"/>
      <c r="B106" s="338"/>
      <c r="D106" s="1267"/>
      <c r="E106" s="1267"/>
      <c r="F106" s="1267"/>
      <c r="I106" s="1048"/>
    </row>
    <row r="107" spans="1:9" ht="14.25">
      <c r="A107" s="338"/>
      <c r="B107" s="338"/>
      <c r="D107" s="1267"/>
      <c r="E107" s="1267"/>
      <c r="F107" s="1267"/>
      <c r="I107" s="1048"/>
    </row>
    <row r="108" spans="1:9" ht="14.25">
      <c r="A108" s="338"/>
      <c r="B108" s="338"/>
      <c r="D108" s="1267"/>
      <c r="E108" s="1267"/>
      <c r="F108" s="1267"/>
      <c r="I108" s="1048"/>
    </row>
    <row r="109" spans="1:9" ht="14.25">
      <c r="A109" s="338"/>
      <c r="B109" s="338"/>
      <c r="D109" s="1267"/>
      <c r="E109" s="1267"/>
      <c r="F109" s="1267"/>
      <c r="I109" s="1048"/>
    </row>
    <row r="110" spans="1:9" ht="14.25">
      <c r="A110" s="338"/>
      <c r="B110" s="338"/>
      <c r="D110" s="1267"/>
      <c r="E110" s="1267"/>
      <c r="F110" s="1267"/>
      <c r="I110" s="1048"/>
    </row>
    <row r="111" spans="1:9" ht="14.25">
      <c r="A111" s="338"/>
      <c r="B111" s="338"/>
      <c r="D111" s="1267"/>
      <c r="E111" s="1267"/>
      <c r="F111" s="1267"/>
      <c r="I111" s="1048"/>
    </row>
    <row r="112" spans="1:9" ht="14.25">
      <c r="A112" s="338"/>
      <c r="B112" s="338"/>
      <c r="D112" s="1267"/>
      <c r="E112" s="1267"/>
      <c r="F112" s="1267"/>
      <c r="I112" s="1048"/>
    </row>
    <row r="113" spans="1:9" ht="14.25">
      <c r="A113" s="338"/>
      <c r="B113" s="338"/>
      <c r="D113" s="1267"/>
      <c r="E113" s="1267"/>
      <c r="F113" s="1267"/>
      <c r="I113" s="1048"/>
    </row>
    <row r="114" spans="1:9" ht="14.25">
      <c r="A114" s="338"/>
      <c r="B114" s="338"/>
      <c r="D114" s="1267"/>
      <c r="E114" s="1267"/>
      <c r="F114" s="1267"/>
      <c r="I114" s="1048"/>
    </row>
    <row r="115" spans="1:9" ht="14.25">
      <c r="A115" s="338"/>
      <c r="B115" s="338"/>
      <c r="D115" s="1267"/>
      <c r="E115" s="1267"/>
      <c r="F115" s="1267"/>
      <c r="I115" s="1048"/>
    </row>
    <row r="116" spans="1:9" ht="14.25">
      <c r="A116" s="338"/>
      <c r="B116" s="338"/>
      <c r="D116" s="1267"/>
      <c r="E116" s="1267"/>
      <c r="F116" s="1267"/>
      <c r="I116" s="1048"/>
    </row>
    <row r="117" spans="1:9" ht="14.25">
      <c r="A117" s="338"/>
      <c r="B117" s="338"/>
      <c r="D117" s="1267"/>
      <c r="E117" s="1267"/>
      <c r="F117" s="1267"/>
      <c r="I117" s="1048"/>
    </row>
    <row r="118" spans="1:9" ht="14.25">
      <c r="A118" s="338"/>
      <c r="B118" s="338"/>
      <c r="D118" s="1046"/>
      <c r="E118" s="1046"/>
      <c r="F118" s="1046"/>
      <c r="I118" s="1048"/>
    </row>
    <row r="119" spans="1:9" ht="14.25" customHeight="1">
      <c r="A119" s="338"/>
      <c r="B119" s="339" t="s">
        <v>2811</v>
      </c>
      <c r="D119" s="1285" t="s">
        <v>339</v>
      </c>
      <c r="E119" s="1285"/>
      <c r="F119" s="1285"/>
      <c r="I119" s="1048"/>
    </row>
    <row r="120" spans="1:9" ht="14.25">
      <c r="A120" s="338"/>
      <c r="B120" s="338"/>
      <c r="D120" s="1285"/>
      <c r="E120" s="1285"/>
      <c r="F120" s="1285"/>
      <c r="I120" s="1048"/>
    </row>
    <row r="121" spans="1:9" ht="14.25">
      <c r="A121" s="338"/>
      <c r="B121" s="338"/>
      <c r="D121" s="1285"/>
      <c r="E121" s="1285"/>
      <c r="F121" s="1285"/>
      <c r="I121" s="1048"/>
    </row>
    <row r="122" spans="1:9" ht="14.25">
      <c r="A122" s="338"/>
      <c r="B122" s="338"/>
      <c r="D122" s="1285"/>
      <c r="E122" s="1285"/>
      <c r="F122" s="1285"/>
      <c r="I122" s="1048"/>
    </row>
    <row r="123" spans="1:9" ht="14.25">
      <c r="A123" s="338"/>
      <c r="B123" s="338"/>
      <c r="D123" s="1285"/>
      <c r="E123" s="1285"/>
      <c r="F123" s="1285"/>
      <c r="I123" s="1048"/>
    </row>
    <row r="124" spans="1:9" ht="14.25">
      <c r="A124" s="338"/>
      <c r="B124" s="338"/>
      <c r="D124" s="1285"/>
      <c r="E124" s="1285"/>
      <c r="F124" s="1285"/>
      <c r="I124" s="1048"/>
    </row>
    <row r="125" spans="1:9" ht="14.25">
      <c r="A125" s="338"/>
      <c r="B125" s="338"/>
      <c r="D125" s="1285"/>
      <c r="E125" s="1285"/>
      <c r="F125" s="1285"/>
      <c r="I125" s="1048"/>
    </row>
    <row r="126" spans="1:9" ht="14.25">
      <c r="A126" s="338"/>
      <c r="B126" s="338"/>
      <c r="D126" s="1285"/>
      <c r="E126" s="1285"/>
      <c r="F126" s="1285"/>
      <c r="I126" s="1048"/>
    </row>
    <row r="127" spans="1:9">
      <c r="C127" s="273"/>
      <c r="D127" s="375"/>
      <c r="E127" s="375"/>
      <c r="F127" s="375"/>
      <c r="I127" s="1048"/>
    </row>
    <row r="128" spans="1:9" ht="14.25">
      <c r="A128" s="338"/>
      <c r="B128" s="339" t="s">
        <v>2812</v>
      </c>
      <c r="C128" s="273"/>
      <c r="D128" s="1285" t="s">
        <v>340</v>
      </c>
      <c r="E128" s="1285"/>
      <c r="F128" s="1285"/>
      <c r="I128" s="1048"/>
    </row>
    <row r="129" spans="1:9" ht="14.25">
      <c r="A129" s="338"/>
      <c r="B129" s="338"/>
      <c r="C129" s="273"/>
      <c r="D129" s="1285"/>
      <c r="E129" s="1285"/>
      <c r="F129" s="1285"/>
      <c r="I129" s="1048"/>
    </row>
    <row r="130" spans="1:9">
      <c r="I130" s="1048"/>
    </row>
    <row r="131" spans="1:9" ht="14.25">
      <c r="A131" s="338"/>
      <c r="B131" s="339" t="s">
        <v>2812</v>
      </c>
      <c r="D131" s="1267" t="s">
        <v>341</v>
      </c>
      <c r="E131" s="1267"/>
      <c r="F131" s="1267"/>
      <c r="I131" s="1048"/>
    </row>
    <row r="132" spans="1:9">
      <c r="D132" s="1267"/>
      <c r="E132" s="1267"/>
      <c r="F132" s="1267"/>
      <c r="I132" s="1048"/>
    </row>
    <row r="133" spans="1:9">
      <c r="D133" s="1267"/>
      <c r="E133" s="1267"/>
      <c r="F133" s="1267"/>
      <c r="I133" s="1048"/>
    </row>
    <row r="134" spans="1:9">
      <c r="D134" s="1267"/>
      <c r="E134" s="1267"/>
      <c r="F134" s="1267"/>
      <c r="I134" s="1048"/>
    </row>
    <row r="135" spans="1:9">
      <c r="D135" s="1267"/>
      <c r="E135" s="1267"/>
      <c r="F135" s="1267"/>
      <c r="I135" s="1048"/>
    </row>
    <row r="136" spans="1:9">
      <c r="I136" s="1048"/>
    </row>
    <row r="137" spans="1:9" ht="14.25">
      <c r="A137" s="338"/>
      <c r="B137" s="339" t="s">
        <v>2812</v>
      </c>
      <c r="D137" s="1267" t="s">
        <v>342</v>
      </c>
      <c r="E137" s="1267"/>
      <c r="F137" s="1267"/>
      <c r="I137" s="1048"/>
    </row>
    <row r="138" spans="1:9" s="287" customFormat="1" ht="13.9" customHeight="1">
      <c r="A138" s="342"/>
      <c r="B138" s="342"/>
      <c r="C138" s="342"/>
      <c r="D138" s="1267"/>
      <c r="E138" s="1267"/>
      <c r="F138" s="1267"/>
      <c r="I138" s="931"/>
    </row>
    <row r="139" spans="1:9" ht="13.9" customHeight="1">
      <c r="D139" s="1267"/>
      <c r="E139" s="1267"/>
      <c r="F139" s="1267"/>
      <c r="I139" s="1048"/>
    </row>
    <row r="140" spans="1:9" ht="13.9" customHeight="1">
      <c r="D140" s="1267"/>
      <c r="E140" s="1267"/>
      <c r="F140" s="1267"/>
      <c r="I140" s="1048"/>
    </row>
    <row r="141" spans="1:9" ht="13.9" customHeight="1">
      <c r="D141" s="1267"/>
      <c r="E141" s="1267"/>
      <c r="F141" s="1267"/>
      <c r="I141" s="1048"/>
    </row>
    <row r="142" spans="1:9" ht="13.9" customHeight="1">
      <c r="A142" s="343"/>
      <c r="B142" s="343"/>
      <c r="D142" s="1267"/>
      <c r="E142" s="1267"/>
      <c r="F142" s="1267"/>
      <c r="I142" s="1048"/>
    </row>
    <row r="143" spans="1:9" ht="13.9" customHeight="1">
      <c r="D143" s="1267"/>
      <c r="E143" s="1267"/>
      <c r="F143" s="1267"/>
      <c r="I143" s="1048"/>
    </row>
    <row r="144" spans="1:9" ht="13.9" customHeight="1">
      <c r="D144" s="1267"/>
      <c r="E144" s="1267"/>
      <c r="F144" s="1267"/>
      <c r="I144" s="1048"/>
    </row>
    <row r="145" spans="2:9" ht="13.9" customHeight="1">
      <c r="D145" s="1267"/>
      <c r="E145" s="1267"/>
      <c r="F145" s="1267"/>
      <c r="I145" s="1048"/>
    </row>
    <row r="146" spans="2:9" ht="13.9" customHeight="1">
      <c r="D146" s="1267"/>
      <c r="E146" s="1267"/>
      <c r="F146" s="1267"/>
      <c r="I146" s="1048"/>
    </row>
    <row r="147" spans="2:9" ht="13.9" customHeight="1">
      <c r="D147" s="1267"/>
      <c r="E147" s="1267"/>
      <c r="F147" s="1267"/>
      <c r="I147" s="1048"/>
    </row>
    <row r="148" spans="2:9" ht="13.9" customHeight="1">
      <c r="D148" s="1267"/>
      <c r="E148" s="1267"/>
      <c r="F148" s="1267"/>
      <c r="I148" s="1048"/>
    </row>
    <row r="149" spans="2:9" ht="13.9" customHeight="1">
      <c r="D149" s="1267"/>
      <c r="E149" s="1267"/>
      <c r="F149" s="1267"/>
      <c r="I149" s="1048"/>
    </row>
    <row r="150" spans="2:9" ht="13.9" customHeight="1">
      <c r="D150" s="333"/>
      <c r="E150" s="1050"/>
      <c r="F150" s="1050"/>
      <c r="I150" s="1048"/>
    </row>
    <row r="151" spans="2:9" ht="13.9" customHeight="1">
      <c r="B151" s="339" t="s">
        <v>2811</v>
      </c>
      <c r="D151" s="1267" t="s">
        <v>343</v>
      </c>
      <c r="E151" s="1267"/>
      <c r="F151" s="1267"/>
      <c r="I151" s="1048"/>
    </row>
    <row r="152" spans="2:9" ht="13.9" customHeight="1">
      <c r="D152" s="1267"/>
      <c r="E152" s="1267"/>
      <c r="F152" s="1267"/>
      <c r="I152" s="1048"/>
    </row>
    <row r="153" spans="2:9" ht="13.9" customHeight="1">
      <c r="D153" s="1267"/>
      <c r="E153" s="1267"/>
      <c r="F153" s="1267"/>
      <c r="I153" s="1048"/>
    </row>
    <row r="154" spans="2:9" ht="13.9" customHeight="1">
      <c r="D154" s="1267"/>
      <c r="E154" s="1267"/>
      <c r="F154" s="1267"/>
      <c r="I154" s="1048"/>
    </row>
    <row r="155" spans="2:9" ht="13.9" customHeight="1">
      <c r="D155" s="1267"/>
      <c r="E155" s="1267"/>
      <c r="F155" s="1267"/>
      <c r="I155" s="1048"/>
    </row>
    <row r="156" spans="2:9" ht="13.9" customHeight="1">
      <c r="D156" s="1267"/>
      <c r="E156" s="1267"/>
      <c r="F156" s="1267"/>
      <c r="I156" s="1048"/>
    </row>
    <row r="157" spans="2:9" ht="13.9" customHeight="1">
      <c r="D157" s="1267"/>
      <c r="E157" s="1267"/>
      <c r="F157" s="1267"/>
      <c r="I157" s="1048"/>
    </row>
    <row r="158" spans="2:9" ht="13.9" customHeight="1">
      <c r="D158" s="1267"/>
      <c r="E158" s="1267"/>
      <c r="F158" s="1267"/>
      <c r="I158" s="1048"/>
    </row>
    <row r="159" spans="2:9" ht="13.9" customHeight="1">
      <c r="D159" s="1267"/>
      <c r="E159" s="1267"/>
      <c r="F159" s="1267"/>
      <c r="I159" s="1048"/>
    </row>
    <row r="160" spans="2:9" ht="13.9" customHeight="1">
      <c r="D160" s="1267"/>
      <c r="E160" s="1267"/>
      <c r="F160" s="1267"/>
      <c r="I160" s="1048"/>
    </row>
    <row r="161" spans="1:9" ht="13.9" customHeight="1">
      <c r="D161" s="1267"/>
      <c r="E161" s="1267"/>
      <c r="F161" s="1267"/>
      <c r="I161" s="1048"/>
    </row>
    <row r="162" spans="1:9" ht="13.9" customHeight="1">
      <c r="D162" s="1267"/>
      <c r="E162" s="1267"/>
      <c r="F162" s="1267"/>
      <c r="I162" s="1048"/>
    </row>
    <row r="163" spans="1:9" ht="13.9" customHeight="1">
      <c r="D163" s="1267"/>
      <c r="E163" s="1267"/>
      <c r="F163" s="1267"/>
      <c r="I163" s="1048"/>
    </row>
    <row r="164" spans="1:9" ht="13.9" customHeight="1">
      <c r="D164" s="1267"/>
      <c r="E164" s="1267"/>
      <c r="F164" s="1267"/>
      <c r="I164" s="1048"/>
    </row>
    <row r="165" spans="1:9" ht="13.9" customHeight="1">
      <c r="D165" s="1267"/>
      <c r="E165" s="1267"/>
      <c r="F165" s="1267"/>
      <c r="I165" s="1048"/>
    </row>
    <row r="166" spans="1:9" ht="13.9" customHeight="1">
      <c r="D166" s="1267"/>
      <c r="E166" s="1267"/>
      <c r="F166" s="1267"/>
      <c r="I166" s="1048"/>
    </row>
    <row r="167" spans="1:9" ht="13.9" customHeight="1">
      <c r="D167" s="1267"/>
      <c r="E167" s="1267"/>
      <c r="F167" s="1267"/>
      <c r="I167" s="1048"/>
    </row>
    <row r="168" spans="1:9" ht="13.9" customHeight="1">
      <c r="D168" s="1267"/>
      <c r="E168" s="1267"/>
      <c r="F168" s="1267"/>
      <c r="I168" s="1048"/>
    </row>
    <row r="169" spans="1:9" ht="13.9" customHeight="1">
      <c r="D169" s="1286" t="s">
        <v>344</v>
      </c>
      <c r="E169" s="1286"/>
      <c r="F169" s="1286"/>
      <c r="G169" s="360"/>
      <c r="I169" s="1048"/>
    </row>
    <row r="170" spans="1:9" ht="13.9" customHeight="1">
      <c r="D170" s="1281"/>
      <c r="E170" s="1281"/>
      <c r="F170" s="1281"/>
      <c r="G170" s="1281"/>
      <c r="I170" s="1048"/>
    </row>
    <row r="171" spans="1:9" ht="14.65" customHeight="1">
      <c r="A171" s="343"/>
      <c r="B171" s="339" t="s">
        <v>2811</v>
      </c>
      <c r="C171" s="333"/>
      <c r="D171" s="1246" t="s">
        <v>345</v>
      </c>
      <c r="E171" s="1246"/>
      <c r="F171" s="1246"/>
      <c r="G171" s="333"/>
      <c r="I171" s="1048"/>
    </row>
    <row r="172" spans="1:9" ht="14.65" customHeight="1">
      <c r="A172" s="343"/>
      <c r="B172" s="343"/>
      <c r="C172" s="333"/>
      <c r="D172" s="1246"/>
      <c r="E172" s="1246"/>
      <c r="F172" s="1246"/>
      <c r="G172" s="333"/>
      <c r="I172" s="1048"/>
    </row>
    <row r="173" spans="1:9" ht="14.65" customHeight="1">
      <c r="A173" s="343"/>
      <c r="B173" s="343"/>
      <c r="C173" s="333"/>
      <c r="D173" s="1246"/>
      <c r="E173" s="1246"/>
      <c r="F173" s="1246"/>
      <c r="G173" s="333"/>
      <c r="I173" s="1048"/>
    </row>
    <row r="174" spans="1:9" ht="14.65" customHeight="1">
      <c r="A174" s="343"/>
      <c r="B174" s="343"/>
      <c r="C174" s="333"/>
      <c r="D174" s="1246"/>
      <c r="E174" s="1246"/>
      <c r="F174" s="1246"/>
      <c r="G174" s="333"/>
      <c r="I174" s="1048"/>
    </row>
    <row r="175" spans="1:9" ht="13.9" customHeight="1">
      <c r="A175" s="343"/>
      <c r="B175" s="343"/>
      <c r="C175" s="333"/>
      <c r="D175" s="1246"/>
      <c r="E175" s="1246"/>
      <c r="F175" s="1246"/>
      <c r="G175" s="333"/>
      <c r="I175" s="1048"/>
    </row>
    <row r="176" spans="1:9" ht="13.9" customHeight="1">
      <c r="A176" s="343"/>
      <c r="B176" s="343"/>
      <c r="C176" s="333"/>
      <c r="D176" s="333"/>
      <c r="E176" s="333"/>
      <c r="F176" s="333"/>
      <c r="G176" s="333"/>
      <c r="I176" s="1048"/>
    </row>
    <row r="177" spans="1:9" ht="13.9" customHeight="1">
      <c r="A177" s="343"/>
      <c r="B177" s="339" t="s">
        <v>2811</v>
      </c>
      <c r="C177" s="333"/>
      <c r="D177" s="1246" t="s">
        <v>346</v>
      </c>
      <c r="E177" s="1246"/>
      <c r="F177" s="1246"/>
      <c r="G177" s="333"/>
      <c r="I177" s="1048"/>
    </row>
    <row r="178" spans="1:9" ht="13.9" customHeight="1">
      <c r="A178" s="343"/>
      <c r="B178" s="343"/>
      <c r="C178" s="333"/>
      <c r="D178" s="1246"/>
      <c r="E178" s="1246"/>
      <c r="F178" s="1246"/>
      <c r="G178" s="333"/>
      <c r="I178" s="1048"/>
    </row>
    <row r="179" spans="1:9" ht="13.9" customHeight="1">
      <c r="A179" s="343"/>
      <c r="B179" s="343"/>
      <c r="C179" s="333"/>
      <c r="D179" s="1246"/>
      <c r="E179" s="1246"/>
      <c r="F179" s="1246"/>
      <c r="G179" s="333"/>
      <c r="I179" s="1048"/>
    </row>
    <row r="180" spans="1:9" ht="13.9" customHeight="1">
      <c r="A180" s="343"/>
      <c r="B180" s="343"/>
      <c r="C180" s="333"/>
      <c r="D180" s="1246"/>
      <c r="E180" s="1246"/>
      <c r="F180" s="1246"/>
      <c r="G180" s="333"/>
      <c r="I180" s="1048"/>
    </row>
    <row r="181" spans="1:9" ht="13.9" customHeight="1">
      <c r="D181" s="1050"/>
      <c r="E181" s="1050"/>
      <c r="F181" s="1050"/>
      <c r="I181" s="1048"/>
    </row>
    <row r="182" spans="1:9" ht="13.9" hidden="1" customHeight="1">
      <c r="B182" s="339" t="s">
        <v>311</v>
      </c>
      <c r="D182" s="1271" t="s">
        <v>347</v>
      </c>
      <c r="E182" s="1271"/>
      <c r="F182" s="1271"/>
      <c r="I182" s="1048"/>
    </row>
    <row r="183" spans="1:9" ht="13.9" hidden="1" customHeight="1">
      <c r="D183" s="1271"/>
      <c r="E183" s="1271"/>
      <c r="F183" s="1271"/>
      <c r="I183" s="1048"/>
    </row>
    <row r="184" spans="1:9" ht="13.9" hidden="1" customHeight="1">
      <c r="D184" s="1271"/>
      <c r="E184" s="1271"/>
      <c r="F184" s="1271"/>
      <c r="I184" s="1048"/>
    </row>
    <row r="185" spans="1:9" ht="13.9" customHeight="1">
      <c r="A185" s="1048"/>
      <c r="B185" s="1048"/>
      <c r="E185" s="1050"/>
      <c r="F185" s="1050"/>
      <c r="I185" s="1048"/>
    </row>
    <row r="186" spans="1:9">
      <c r="A186" s="1270" t="s">
        <v>348</v>
      </c>
      <c r="B186" s="1270"/>
      <c r="C186" s="1270"/>
      <c r="D186" s="1270"/>
      <c r="E186" s="1270"/>
      <c r="F186" s="1270"/>
      <c r="G186" s="1270"/>
      <c r="H186" s="809"/>
      <c r="I186" s="929"/>
    </row>
    <row r="187" spans="1:9" ht="12" customHeight="1">
      <c r="D187" s="1050"/>
      <c r="E187" s="1050"/>
      <c r="F187" s="1050"/>
      <c r="I187" s="1048"/>
    </row>
    <row r="188" spans="1:9">
      <c r="B188" s="1274" t="s">
        <v>349</v>
      </c>
      <c r="C188" s="1274"/>
      <c r="D188" s="1274"/>
      <c r="E188" s="1274"/>
      <c r="F188" s="1274"/>
      <c r="I188" s="1048"/>
    </row>
    <row r="189" spans="1:9">
      <c r="B189" s="1052" t="s">
        <v>350</v>
      </c>
      <c r="C189" s="1052"/>
      <c r="D189" s="1052"/>
      <c r="E189" s="1052"/>
      <c r="F189" s="1052"/>
      <c r="I189" s="1048"/>
    </row>
    <row r="190" spans="1:9" ht="12" customHeight="1">
      <c r="A190" s="1047"/>
      <c r="B190" s="1047"/>
      <c r="C190" s="1047"/>
      <c r="I190" s="1048"/>
    </row>
    <row r="191" spans="1:9">
      <c r="A191" s="1270" t="s">
        <v>351</v>
      </c>
      <c r="B191" s="1270"/>
      <c r="C191" s="1270"/>
      <c r="D191" s="1270"/>
      <c r="E191" s="1270"/>
      <c r="F191" s="1270"/>
      <c r="G191" s="1270"/>
      <c r="H191" s="809"/>
      <c r="I191" s="929"/>
    </row>
    <row r="192" spans="1:9" ht="12" customHeight="1">
      <c r="A192" s="275"/>
      <c r="B192" s="275"/>
      <c r="E192" s="275"/>
      <c r="I192" s="1048"/>
    </row>
    <row r="193" spans="1:9" ht="13.9" customHeight="1">
      <c r="A193" s="275"/>
      <c r="B193" s="275"/>
      <c r="D193" s="1269" t="s">
        <v>352</v>
      </c>
      <c r="E193" s="1269"/>
      <c r="F193" s="1269"/>
      <c r="I193" s="1048"/>
    </row>
    <row r="194" spans="1:9">
      <c r="A194" s="275"/>
      <c r="B194" s="275"/>
      <c r="D194" s="1269"/>
      <c r="E194" s="1269"/>
      <c r="F194" s="1269"/>
      <c r="I194" s="1048"/>
    </row>
    <row r="195" spans="1:9">
      <c r="A195" s="275"/>
      <c r="B195" s="275"/>
      <c r="D195" s="1274" t="s">
        <v>353</v>
      </c>
      <c r="E195" s="1274"/>
      <c r="F195" s="1274"/>
      <c r="I195" s="1048"/>
    </row>
    <row r="196" spans="1:9">
      <c r="A196" s="275"/>
      <c r="B196" s="275"/>
      <c r="D196" s="1052"/>
      <c r="E196" s="1052"/>
      <c r="F196" s="1052"/>
      <c r="I196" s="1048"/>
    </row>
    <row r="197" spans="1:9">
      <c r="A197" s="275"/>
      <c r="B197" s="339" t="s">
        <v>2812</v>
      </c>
      <c r="D197" s="1282" t="s">
        <v>354</v>
      </c>
      <c r="E197" s="1282"/>
      <c r="F197" s="1282"/>
      <c r="I197" s="1048"/>
    </row>
    <row r="198" spans="1:9">
      <c r="A198" s="275"/>
      <c r="B198" s="275"/>
      <c r="D198" s="1283" t="s">
        <v>355</v>
      </c>
      <c r="E198" s="1283"/>
      <c r="F198" s="1283"/>
      <c r="I198" s="1048"/>
    </row>
    <row r="199" spans="1:9">
      <c r="A199" s="275"/>
      <c r="B199" s="275"/>
      <c r="D199" s="55" t="s">
        <v>356</v>
      </c>
      <c r="E199" s="1284" t="s">
        <v>357</v>
      </c>
      <c r="F199" s="1284"/>
      <c r="I199" s="1048"/>
    </row>
    <row r="200" spans="1:9">
      <c r="A200" s="275"/>
      <c r="B200" s="275"/>
      <c r="D200" s="2"/>
      <c r="E200" s="2"/>
      <c r="F200" s="2"/>
      <c r="I200" s="1048"/>
    </row>
    <row r="201" spans="1:9">
      <c r="A201" s="275"/>
      <c r="B201" s="339" t="s">
        <v>2811</v>
      </c>
      <c r="D201" s="1283" t="s">
        <v>358</v>
      </c>
      <c r="E201" s="1283"/>
      <c r="F201" s="1283"/>
      <c r="I201" s="1048"/>
    </row>
    <row r="202" spans="1:9">
      <c r="A202" s="275"/>
      <c r="B202" s="275"/>
      <c r="D202" s="1282" t="s">
        <v>355</v>
      </c>
      <c r="E202" s="1282"/>
      <c r="F202" s="1282"/>
      <c r="I202" s="1048"/>
    </row>
    <row r="203" spans="1:9">
      <c r="A203" s="275"/>
      <c r="B203" s="275"/>
      <c r="D203" s="38" t="s">
        <v>359</v>
      </c>
      <c r="E203" s="1284" t="s">
        <v>360</v>
      </c>
      <c r="F203" s="1284"/>
      <c r="I203" s="1048"/>
    </row>
    <row r="204" spans="1:9">
      <c r="A204" s="275"/>
      <c r="B204" s="275"/>
      <c r="D204" s="2"/>
      <c r="E204" s="2"/>
      <c r="F204" s="2"/>
      <c r="I204" s="1048"/>
    </row>
    <row r="205" spans="1:9">
      <c r="A205" s="275"/>
      <c r="B205" s="339" t="s">
        <v>2811</v>
      </c>
      <c r="D205" s="1283" t="s">
        <v>361</v>
      </c>
      <c r="E205" s="1283"/>
      <c r="F205" s="1283"/>
      <c r="I205" s="1048"/>
    </row>
    <row r="206" spans="1:9">
      <c r="A206" s="275"/>
      <c r="B206" s="275"/>
      <c r="D206" s="1282" t="s">
        <v>355</v>
      </c>
      <c r="E206" s="1282"/>
      <c r="F206" s="1282"/>
      <c r="I206" s="1048"/>
    </row>
    <row r="207" spans="1:9">
      <c r="A207" s="275"/>
      <c r="B207" s="275"/>
      <c r="D207" s="38" t="s">
        <v>356</v>
      </c>
      <c r="E207" s="1284" t="s">
        <v>362</v>
      </c>
      <c r="F207" s="1284"/>
      <c r="I207" s="1048"/>
    </row>
    <row r="208" spans="1:9">
      <c r="A208" s="275"/>
      <c r="B208" s="275"/>
      <c r="D208" s="1052"/>
      <c r="E208" s="1052"/>
      <c r="F208" s="1052"/>
      <c r="I208" s="1048"/>
    </row>
    <row r="209" spans="1:9" ht="14.25" customHeight="1">
      <c r="A209" s="338"/>
      <c r="B209" s="339" t="s">
        <v>2811</v>
      </c>
      <c r="D209" s="259" t="s">
        <v>363</v>
      </c>
      <c r="E209" s="1060"/>
      <c r="F209" s="1060"/>
      <c r="I209" s="1048"/>
    </row>
    <row r="210" spans="1:9" ht="14.25">
      <c r="A210" s="338"/>
      <c r="B210" s="338"/>
      <c r="D210" s="1282" t="s">
        <v>355</v>
      </c>
      <c r="E210" s="1282"/>
      <c r="F210" s="1282"/>
      <c r="I210" s="1048"/>
    </row>
    <row r="211" spans="1:9">
      <c r="D211" s="1060"/>
      <c r="E211" s="1284" t="s">
        <v>364</v>
      </c>
      <c r="F211" s="1284"/>
      <c r="I211" s="1048"/>
    </row>
    <row r="212" spans="1:9">
      <c r="D212" s="1056"/>
      <c r="I212" s="1048"/>
    </row>
    <row r="213" spans="1:9">
      <c r="B213" s="339" t="s">
        <v>2811</v>
      </c>
      <c r="D213" s="1283" t="s">
        <v>365</v>
      </c>
      <c r="E213" s="1283"/>
      <c r="F213" s="1283"/>
      <c r="I213" s="1048"/>
    </row>
    <row r="214" spans="1:9">
      <c r="D214" s="1282" t="s">
        <v>355</v>
      </c>
      <c r="E214" s="1282"/>
      <c r="F214" s="1282"/>
      <c r="I214" s="1048"/>
    </row>
    <row r="215" spans="1:9">
      <c r="D215" s="38" t="s">
        <v>356</v>
      </c>
      <c r="E215" s="1284" t="s">
        <v>366</v>
      </c>
      <c r="F215" s="1284"/>
      <c r="I215" s="1048"/>
    </row>
    <row r="216" spans="1:9">
      <c r="D216" s="1040"/>
      <c r="E216" s="1040"/>
      <c r="F216" s="1040"/>
      <c r="I216" s="1048"/>
    </row>
    <row r="217" spans="1:9" ht="14.25">
      <c r="A217" s="338"/>
      <c r="B217" s="339" t="s">
        <v>2811</v>
      </c>
      <c r="D217" s="1267" t="s">
        <v>367</v>
      </c>
      <c r="E217" s="1267"/>
      <c r="F217" s="1267"/>
      <c r="I217" s="1048"/>
    </row>
    <row r="218" spans="1:9" ht="14.65" customHeight="1">
      <c r="A218" s="338"/>
      <c r="B218" s="273"/>
      <c r="D218" s="1267"/>
      <c r="E218" s="1267"/>
      <c r="F218" s="1267"/>
      <c r="I218" s="1048"/>
    </row>
    <row r="219" spans="1:9" ht="14.25">
      <c r="A219" s="338"/>
      <c r="D219" s="1267"/>
      <c r="E219" s="1267"/>
      <c r="F219" s="1267"/>
      <c r="I219" s="1048"/>
    </row>
    <row r="220" spans="1:9" ht="14.25">
      <c r="A220" s="338"/>
      <c r="D220" s="1267"/>
      <c r="E220" s="1267"/>
      <c r="F220" s="1267"/>
      <c r="I220" s="1048"/>
    </row>
    <row r="221" spans="1:9">
      <c r="D221" s="1040"/>
      <c r="E221" s="1040"/>
      <c r="F221" s="1040"/>
      <c r="I221" s="1048"/>
    </row>
    <row r="222" spans="1:9">
      <c r="A222" s="1270" t="s">
        <v>368</v>
      </c>
      <c r="B222" s="1270"/>
      <c r="C222" s="1270"/>
      <c r="D222" s="1270"/>
      <c r="E222" s="1270"/>
      <c r="F222" s="1270"/>
      <c r="G222" s="1270"/>
      <c r="H222" s="809"/>
      <c r="I222" s="929"/>
    </row>
    <row r="223" spans="1:9" ht="12" customHeight="1">
      <c r="D223" s="1050"/>
      <c r="E223" s="1050"/>
      <c r="F223" s="1050"/>
      <c r="I223" s="1048"/>
    </row>
    <row r="224" spans="1:9">
      <c r="C224" s="340"/>
      <c r="D224" s="1276" t="s">
        <v>369</v>
      </c>
      <c r="E224" s="1276"/>
      <c r="F224" s="1276"/>
      <c r="I224" s="1048"/>
    </row>
    <row r="225" spans="1:9">
      <c r="A225" s="1047"/>
      <c r="B225" s="1047"/>
      <c r="C225" s="1047"/>
      <c r="D225" s="1268" t="s">
        <v>370</v>
      </c>
      <c r="E225" s="1268"/>
      <c r="F225" s="1268"/>
      <c r="I225" s="1048"/>
    </row>
    <row r="226" spans="1:9" ht="12" customHeight="1">
      <c r="A226" s="1048"/>
      <c r="B226" s="1048"/>
      <c r="C226" s="1048"/>
      <c r="I226" s="1048"/>
    </row>
    <row r="227" spans="1:9" ht="13.9" customHeight="1">
      <c r="A227" s="1048"/>
      <c r="C227" s="1048"/>
      <c r="D227" s="1276" t="s">
        <v>371</v>
      </c>
      <c r="E227" s="1276"/>
      <c r="F227" s="1276"/>
      <c r="I227" s="1048"/>
    </row>
    <row r="228" spans="1:9" ht="14.25">
      <c r="A228" s="338"/>
      <c r="B228" s="339" t="s">
        <v>2812</v>
      </c>
      <c r="D228" s="1267" t="s">
        <v>372</v>
      </c>
      <c r="E228" s="1267"/>
      <c r="F228" s="1267"/>
      <c r="I228" s="1048"/>
    </row>
    <row r="229" spans="1:9" ht="14.25" customHeight="1">
      <c r="A229" s="338"/>
      <c r="B229" s="338"/>
      <c r="D229" s="1267"/>
      <c r="E229" s="1267"/>
      <c r="F229" s="1267"/>
      <c r="I229" s="1048"/>
    </row>
    <row r="230" spans="1:9" ht="14.25" customHeight="1">
      <c r="A230" s="338"/>
      <c r="B230" s="338"/>
      <c r="D230" s="1267"/>
      <c r="E230" s="1267"/>
      <c r="F230" s="1267"/>
      <c r="I230" s="1048"/>
    </row>
    <row r="231" spans="1:9" ht="14.25">
      <c r="A231" s="338"/>
      <c r="B231" s="338"/>
      <c r="D231" s="1267"/>
      <c r="E231" s="1267"/>
      <c r="F231" s="1267"/>
      <c r="I231" s="1048"/>
    </row>
    <row r="232" spans="1:9" ht="14.25">
      <c r="A232" s="338"/>
      <c r="B232" s="338"/>
      <c r="D232" s="1049"/>
      <c r="E232" s="1049"/>
      <c r="F232" s="1049"/>
      <c r="I232" s="1048"/>
    </row>
    <row r="233" spans="1:9" ht="14.25">
      <c r="A233" s="338"/>
      <c r="B233" s="339" t="s">
        <v>2812</v>
      </c>
      <c r="D233" s="1267" t="s">
        <v>373</v>
      </c>
      <c r="E233" s="1267"/>
      <c r="F233" s="1267"/>
      <c r="I233" s="1048"/>
    </row>
    <row r="234" spans="1:9" ht="14.25">
      <c r="A234" s="338"/>
      <c r="B234" s="338"/>
      <c r="D234" s="1267"/>
      <c r="E234" s="1267"/>
      <c r="F234" s="1267"/>
      <c r="I234" s="1048"/>
    </row>
    <row r="235" spans="1:9" ht="14.25">
      <c r="A235" s="338"/>
      <c r="B235" s="338"/>
      <c r="D235" s="1267"/>
      <c r="E235" s="1267"/>
      <c r="F235" s="1267"/>
      <c r="I235" s="1048"/>
    </row>
    <row r="236" spans="1:9" ht="14.25">
      <c r="A236" s="338"/>
      <c r="B236" s="338"/>
      <c r="D236" s="1267"/>
      <c r="E236" s="1267"/>
      <c r="F236" s="1267"/>
      <c r="I236" s="1048"/>
    </row>
    <row r="237" spans="1:9" ht="14.25" customHeight="1">
      <c r="A237" s="338"/>
      <c r="B237" s="338"/>
      <c r="D237" s="1267"/>
      <c r="E237" s="1267"/>
      <c r="F237" s="1267"/>
      <c r="I237" s="1048"/>
    </row>
    <row r="238" spans="1:9" ht="14.25" customHeight="1">
      <c r="A238" s="338"/>
      <c r="B238" s="338"/>
      <c r="D238" s="1049"/>
      <c r="E238" s="1049"/>
      <c r="F238" s="1049"/>
      <c r="I238" s="1048"/>
    </row>
    <row r="239" spans="1:9" ht="14.25">
      <c r="A239" s="338"/>
      <c r="B239" s="338"/>
      <c r="D239" s="1267" t="s">
        <v>374</v>
      </c>
      <c r="E239" s="1267"/>
      <c r="F239" s="1267"/>
      <c r="I239" s="1048"/>
    </row>
    <row r="240" spans="1:9" ht="14.25">
      <c r="A240" s="338"/>
      <c r="B240" s="338"/>
      <c r="D240" s="1267"/>
      <c r="E240" s="1267"/>
      <c r="F240" s="1267"/>
      <c r="I240" s="1048"/>
    </row>
    <row r="241" spans="1:9" ht="14.25">
      <c r="A241" s="338"/>
      <c r="B241" s="338"/>
      <c r="D241" s="1267"/>
      <c r="E241" s="1267"/>
      <c r="F241" s="1267"/>
      <c r="I241" s="1048"/>
    </row>
    <row r="242" spans="1:9" ht="14.25">
      <c r="A242" s="338"/>
      <c r="B242" s="338"/>
      <c r="D242" s="1267"/>
      <c r="E242" s="1267"/>
      <c r="F242" s="1267"/>
      <c r="I242" s="1048"/>
    </row>
    <row r="243" spans="1:9" ht="14.25">
      <c r="A243" s="338"/>
      <c r="B243" s="338"/>
      <c r="D243" s="1267"/>
      <c r="E243" s="1267"/>
      <c r="F243" s="1267"/>
      <c r="I243" s="1048"/>
    </row>
    <row r="244" spans="1:9" ht="14.25">
      <c r="A244" s="338"/>
      <c r="B244" s="338"/>
      <c r="D244" s="1050"/>
      <c r="E244" s="1050"/>
      <c r="F244" s="1050"/>
      <c r="I244" s="1048"/>
    </row>
    <row r="245" spans="1:9" ht="14.25">
      <c r="A245" s="338"/>
      <c r="B245" s="339" t="s">
        <v>2811</v>
      </c>
      <c r="D245" s="1267" t="s">
        <v>375</v>
      </c>
      <c r="E245" s="1267"/>
      <c r="F245" s="1267"/>
      <c r="I245" s="1048"/>
    </row>
    <row r="246" spans="1:9" ht="14.25">
      <c r="A246" s="338"/>
      <c r="B246" s="338"/>
      <c r="D246" s="1267"/>
      <c r="E246" s="1267"/>
      <c r="F246" s="1267"/>
      <c r="I246" s="1048"/>
    </row>
    <row r="247" spans="1:9" ht="14.25">
      <c r="A247" s="338"/>
      <c r="B247" s="338"/>
      <c r="D247" s="1267"/>
      <c r="E247" s="1267"/>
      <c r="F247" s="1267"/>
      <c r="I247" s="1048"/>
    </row>
    <row r="248" spans="1:9" ht="14.25">
      <c r="A248" s="338"/>
      <c r="B248" s="338"/>
      <c r="E248" s="817" t="s">
        <v>376</v>
      </c>
      <c r="I248" s="1048"/>
    </row>
    <row r="249" spans="1:9" ht="14.25">
      <c r="A249" s="338"/>
      <c r="B249" s="338"/>
      <c r="D249" s="1050"/>
      <c r="E249" s="1050"/>
      <c r="F249" s="1050"/>
      <c r="I249" s="1048"/>
    </row>
    <row r="250" spans="1:9" ht="14.65" customHeight="1">
      <c r="A250" s="338"/>
      <c r="B250" s="339" t="s">
        <v>2811</v>
      </c>
      <c r="D250" s="1267" t="s">
        <v>377</v>
      </c>
      <c r="E250" s="1267"/>
      <c r="F250" s="1267"/>
      <c r="I250" s="1048"/>
    </row>
    <row r="251" spans="1:9" ht="14.25">
      <c r="A251" s="338"/>
      <c r="B251" s="338"/>
      <c r="D251" s="1267"/>
      <c r="E251" s="1267"/>
      <c r="F251" s="1267"/>
      <c r="I251" s="1048"/>
    </row>
    <row r="252" spans="1:9" ht="14.25">
      <c r="A252" s="338"/>
      <c r="B252" s="338"/>
      <c r="D252" s="1267"/>
      <c r="E252" s="1267"/>
      <c r="F252" s="1267"/>
      <c r="I252" s="1048"/>
    </row>
    <row r="253" spans="1:9" ht="14.25">
      <c r="A253" s="338"/>
      <c r="B253" s="338"/>
      <c r="D253" s="1267"/>
      <c r="E253" s="1267"/>
      <c r="F253" s="1267"/>
      <c r="I253" s="1048"/>
    </row>
    <row r="254" spans="1:9" ht="14.25">
      <c r="A254" s="338"/>
      <c r="B254" s="338"/>
      <c r="D254" s="1267"/>
      <c r="E254" s="1267"/>
      <c r="F254" s="1267"/>
      <c r="I254" s="1048"/>
    </row>
    <row r="255" spans="1:9" ht="14.25">
      <c r="A255" s="338"/>
      <c r="B255" s="338"/>
      <c r="D255" s="1049"/>
      <c r="E255" s="1049"/>
      <c r="F255" s="1049"/>
      <c r="I255" s="1048"/>
    </row>
    <row r="256" spans="1:9" ht="14.25">
      <c r="A256" s="338"/>
      <c r="B256" s="339" t="s">
        <v>2812</v>
      </c>
      <c r="D256" s="1052" t="s">
        <v>378</v>
      </c>
      <c r="E256" s="1049"/>
      <c r="F256" s="1049"/>
      <c r="I256" s="1048"/>
    </row>
    <row r="257" spans="1:9" ht="14.25">
      <c r="A257" s="338"/>
      <c r="B257" s="338"/>
      <c r="E257" s="817" t="s">
        <v>379</v>
      </c>
      <c r="I257" s="1048"/>
    </row>
    <row r="258" spans="1:9">
      <c r="D258" s="1050"/>
      <c r="E258" s="1050"/>
      <c r="F258" s="1050"/>
      <c r="I258" s="1048"/>
    </row>
    <row r="259" spans="1:9" ht="14.25">
      <c r="A259" s="338"/>
      <c r="B259" s="339" t="s">
        <v>2812</v>
      </c>
      <c r="D259" s="1267" t="s">
        <v>380</v>
      </c>
      <c r="E259" s="1267"/>
      <c r="F259" s="1267"/>
      <c r="I259" s="1048"/>
    </row>
    <row r="260" spans="1:9" ht="14.25">
      <c r="A260" s="338"/>
      <c r="B260" s="338"/>
      <c r="D260" s="1267"/>
      <c r="E260" s="1267"/>
      <c r="F260" s="1267"/>
      <c r="I260" s="1048"/>
    </row>
    <row r="261" spans="1:9">
      <c r="D261" s="344"/>
      <c r="I261" s="1048"/>
    </row>
    <row r="262" spans="1:9">
      <c r="A262" s="1270" t="s">
        <v>381</v>
      </c>
      <c r="B262" s="1270"/>
      <c r="C262" s="1270"/>
      <c r="D262" s="1270"/>
      <c r="E262" s="1270"/>
      <c r="F262" s="1270"/>
      <c r="G262" s="1270"/>
      <c r="H262" s="809"/>
      <c r="I262" s="929"/>
    </row>
    <row r="263" spans="1:9">
      <c r="D263" s="344"/>
      <c r="I263" s="1048"/>
    </row>
    <row r="264" spans="1:9">
      <c r="C264" s="340"/>
      <c r="D264" s="1276" t="s">
        <v>382</v>
      </c>
      <c r="E264" s="1276"/>
      <c r="F264" s="1276"/>
      <c r="I264" s="1048"/>
    </row>
    <row r="265" spans="1:9">
      <c r="A265" s="1047"/>
      <c r="B265" s="1047"/>
      <c r="C265" s="1047"/>
      <c r="D265" s="1050"/>
      <c r="E265" s="1050"/>
      <c r="F265" s="1050"/>
      <c r="I265" s="1048"/>
    </row>
    <row r="266" spans="1:9">
      <c r="A266" s="337"/>
      <c r="B266" s="337"/>
      <c r="C266" s="337"/>
      <c r="D266" s="1276" t="s">
        <v>383</v>
      </c>
      <c r="E266" s="1276"/>
      <c r="F266" s="1276"/>
      <c r="I266" s="1048"/>
    </row>
    <row r="267" spans="1:9" ht="14.65" customHeight="1">
      <c r="A267" s="338"/>
      <c r="B267" s="339" t="s">
        <v>2812</v>
      </c>
      <c r="D267" s="1267" t="s">
        <v>384</v>
      </c>
      <c r="E267" s="1267"/>
      <c r="F267" s="1267"/>
      <c r="I267" s="1048"/>
    </row>
    <row r="268" spans="1:9">
      <c r="D268" s="1267"/>
      <c r="E268" s="1267"/>
      <c r="F268" s="1267"/>
      <c r="I268" s="1048"/>
    </row>
    <row r="269" spans="1:9">
      <c r="E269" s="817" t="s">
        <v>385</v>
      </c>
      <c r="I269" s="1048"/>
    </row>
    <row r="270" spans="1:9">
      <c r="D270" s="1050"/>
      <c r="E270" s="1050"/>
      <c r="F270" s="1050"/>
      <c r="I270" s="1048"/>
    </row>
    <row r="271" spans="1:9" ht="14.65" customHeight="1">
      <c r="A271" s="338"/>
      <c r="B271" s="339" t="s">
        <v>2811</v>
      </c>
      <c r="D271" s="1267" t="s">
        <v>386</v>
      </c>
      <c r="E271" s="1267"/>
      <c r="F271" s="1267"/>
      <c r="I271" s="1048"/>
    </row>
    <row r="272" spans="1:9">
      <c r="D272" s="1267"/>
      <c r="E272" s="1267"/>
      <c r="F272" s="1267"/>
      <c r="I272" s="1048"/>
    </row>
    <row r="273" spans="1:9">
      <c r="D273" s="1267"/>
      <c r="E273" s="1267"/>
      <c r="F273" s="1267"/>
      <c r="I273" s="1048"/>
    </row>
    <row r="274" spans="1:9">
      <c r="D274" s="1267"/>
      <c r="E274" s="1267"/>
      <c r="F274" s="1267"/>
      <c r="I274" s="1048"/>
    </row>
    <row r="275" spans="1:9">
      <c r="D275" s="1267"/>
      <c r="E275" s="1267"/>
      <c r="F275" s="1267"/>
      <c r="I275" s="1048"/>
    </row>
    <row r="276" spans="1:9">
      <c r="D276" s="1267"/>
      <c r="E276" s="1267"/>
      <c r="F276" s="1267"/>
      <c r="I276" s="1048"/>
    </row>
    <row r="277" spans="1:9">
      <c r="D277" s="1050"/>
      <c r="E277" s="1050"/>
      <c r="F277" s="1050"/>
      <c r="I277" s="1048"/>
    </row>
    <row r="278" spans="1:9" ht="14.25">
      <c r="A278" s="338"/>
      <c r="B278" s="339" t="s">
        <v>2811</v>
      </c>
      <c r="D278" s="1267" t="s">
        <v>387</v>
      </c>
      <c r="E278" s="1267"/>
      <c r="F278" s="1267"/>
      <c r="I278" s="1048"/>
    </row>
    <row r="279" spans="1:9">
      <c r="D279" s="1267"/>
      <c r="E279" s="1267"/>
      <c r="F279" s="1267"/>
      <c r="I279" s="1048"/>
    </row>
    <row r="280" spans="1:9">
      <c r="D280" s="1267"/>
      <c r="E280" s="1267"/>
      <c r="F280" s="1267"/>
      <c r="I280" s="1048"/>
    </row>
    <row r="281" spans="1:9">
      <c r="D281" s="345"/>
      <c r="E281" s="1050"/>
      <c r="F281" s="1050"/>
      <c r="I281" s="1048"/>
    </row>
    <row r="282" spans="1:9">
      <c r="A282" s="1270" t="s">
        <v>388</v>
      </c>
      <c r="B282" s="1270"/>
      <c r="C282" s="1270"/>
      <c r="D282" s="1270"/>
      <c r="E282" s="1270"/>
      <c r="F282" s="1270"/>
      <c r="G282" s="1270"/>
      <c r="H282" s="809"/>
      <c r="I282" s="929"/>
    </row>
    <row r="283" spans="1:9">
      <c r="D283" s="345"/>
      <c r="E283" s="1050"/>
      <c r="F283" s="1050"/>
      <c r="I283" s="1048"/>
    </row>
    <row r="284" spans="1:9">
      <c r="C284" s="1047"/>
      <c r="D284" s="1269" t="s">
        <v>389</v>
      </c>
      <c r="E284" s="1269"/>
      <c r="F284" s="1269"/>
      <c r="I284" s="1048"/>
    </row>
    <row r="285" spans="1:9">
      <c r="C285" s="1047"/>
      <c r="D285" s="1269"/>
      <c r="E285" s="1269"/>
      <c r="F285" s="1269"/>
      <c r="I285" s="1048"/>
    </row>
    <row r="286" spans="1:9">
      <c r="A286" s="337"/>
      <c r="B286" s="337"/>
      <c r="C286" s="337"/>
      <c r="D286" s="275"/>
      <c r="I286" s="1048"/>
    </row>
    <row r="287" spans="1:9">
      <c r="C287" s="337"/>
      <c r="D287" s="1276" t="s">
        <v>390</v>
      </c>
      <c r="E287" s="1276"/>
      <c r="F287" s="1276"/>
      <c r="I287" s="1048"/>
    </row>
    <row r="288" spans="1:9" ht="15.75" customHeight="1">
      <c r="A288" s="338"/>
      <c r="B288" s="338"/>
      <c r="D288" s="1279" t="s">
        <v>391</v>
      </c>
      <c r="E288" s="1279"/>
      <c r="F288" s="1279"/>
      <c r="I288" s="1048"/>
    </row>
    <row r="289" spans="1:9">
      <c r="E289" s="1050"/>
      <c r="F289" s="1050"/>
      <c r="I289" s="1048"/>
    </row>
    <row r="290" spans="1:9" ht="14.25">
      <c r="A290" s="338"/>
      <c r="B290" s="339" t="s">
        <v>2811</v>
      </c>
      <c r="D290" s="1267" t="s">
        <v>392</v>
      </c>
      <c r="E290" s="1267"/>
      <c r="F290" s="1267"/>
      <c r="I290" s="1048"/>
    </row>
    <row r="291" spans="1:9" ht="14.25">
      <c r="A291" s="338"/>
      <c r="B291" s="338"/>
      <c r="D291" s="1267"/>
      <c r="E291" s="1267"/>
      <c r="F291" s="1267"/>
      <c r="I291" s="1048"/>
    </row>
    <row r="292" spans="1:9">
      <c r="D292" s="1050"/>
      <c r="E292" s="1050"/>
      <c r="F292" s="1050"/>
      <c r="I292" s="1048"/>
    </row>
    <row r="293" spans="1:9" ht="14.25">
      <c r="A293" s="338"/>
      <c r="B293" s="339" t="s">
        <v>2811</v>
      </c>
      <c r="D293" s="1267" t="s">
        <v>393</v>
      </c>
      <c r="E293" s="1267"/>
      <c r="F293" s="1267"/>
      <c r="I293" s="1048"/>
    </row>
    <row r="294" spans="1:9" ht="14.25">
      <c r="A294" s="338"/>
      <c r="B294" s="338"/>
      <c r="D294" s="1267"/>
      <c r="E294" s="1267"/>
      <c r="F294" s="1267"/>
      <c r="I294" s="1048"/>
    </row>
    <row r="295" spans="1:9" ht="14.25">
      <c r="A295" s="338"/>
      <c r="B295" s="338"/>
      <c r="D295" s="1267"/>
      <c r="E295" s="1267"/>
      <c r="F295" s="1267"/>
      <c r="I295" s="1048"/>
    </row>
    <row r="296" spans="1:9">
      <c r="D296" s="1050"/>
      <c r="E296" s="1050"/>
      <c r="F296" s="1050"/>
      <c r="I296" s="1048"/>
    </row>
    <row r="297" spans="1:9" ht="14.25">
      <c r="A297" s="338"/>
      <c r="B297" s="339" t="s">
        <v>2811</v>
      </c>
      <c r="D297" s="1267" t="s">
        <v>394</v>
      </c>
      <c r="E297" s="1267"/>
      <c r="F297" s="1267"/>
      <c r="I297" s="1048"/>
    </row>
    <row r="298" spans="1:9" ht="14.25">
      <c r="A298" s="338"/>
      <c r="B298" s="338"/>
      <c r="D298" s="1267"/>
      <c r="E298" s="1267"/>
      <c r="F298" s="1267"/>
      <c r="I298" s="1048"/>
    </row>
    <row r="299" spans="1:9">
      <c r="A299" s="1048"/>
      <c r="B299" s="1048"/>
      <c r="E299" s="1050"/>
      <c r="F299" s="1050"/>
      <c r="I299" s="1048"/>
    </row>
    <row r="300" spans="1:9">
      <c r="A300" s="1270" t="s">
        <v>395</v>
      </c>
      <c r="B300" s="1270"/>
      <c r="C300" s="1270"/>
      <c r="D300" s="1270"/>
      <c r="E300" s="1270"/>
      <c r="F300" s="1270"/>
      <c r="G300" s="1270"/>
      <c r="H300" s="809"/>
      <c r="I300" s="929"/>
    </row>
    <row r="301" spans="1:9">
      <c r="A301" s="1048"/>
      <c r="B301" s="1048"/>
      <c r="D301" s="1050"/>
      <c r="E301" s="1050"/>
      <c r="F301" s="1050"/>
      <c r="I301" s="1048"/>
    </row>
    <row r="302" spans="1:9">
      <c r="C302" s="1048"/>
      <c r="D302" s="1276" t="s">
        <v>396</v>
      </c>
      <c r="E302" s="1276"/>
      <c r="F302" s="1276"/>
      <c r="I302" s="1048"/>
    </row>
    <row r="303" spans="1:9">
      <c r="C303" s="1048"/>
      <c r="D303" s="1268" t="s">
        <v>397</v>
      </c>
      <c r="E303" s="1268"/>
      <c r="F303" s="1268"/>
      <c r="I303" s="1048"/>
    </row>
    <row r="304" spans="1:9">
      <c r="C304" s="1048"/>
      <c r="D304" s="346"/>
      <c r="I304" s="1048"/>
    </row>
    <row r="305" spans="1:9">
      <c r="B305" s="339" t="s">
        <v>2811</v>
      </c>
      <c r="D305" s="1268" t="s">
        <v>398</v>
      </c>
      <c r="E305" s="1268"/>
      <c r="F305" s="1268"/>
      <c r="I305" s="1048"/>
    </row>
    <row r="306" spans="1:9" ht="14.25">
      <c r="A306" s="338"/>
      <c r="B306" s="338"/>
      <c r="D306" s="347"/>
      <c r="E306" s="348"/>
      <c r="F306" s="348"/>
      <c r="I306" s="1048"/>
    </row>
    <row r="307" spans="1:9" ht="13.9" customHeight="1">
      <c r="B307" s="339" t="s">
        <v>2811</v>
      </c>
      <c r="D307" s="1291" t="s">
        <v>399</v>
      </c>
      <c r="E307" s="1291"/>
      <c r="F307" s="1291"/>
      <c r="I307" s="1048"/>
    </row>
    <row r="308" spans="1:9" ht="14.25">
      <c r="A308" s="338"/>
      <c r="B308" s="338"/>
      <c r="D308" s="1291"/>
      <c r="E308" s="1291"/>
      <c r="F308" s="1291"/>
      <c r="I308" s="1048"/>
    </row>
    <row r="309" spans="1:9" ht="14.25">
      <c r="A309" s="338"/>
      <c r="B309" s="338"/>
      <c r="D309" s="1291"/>
      <c r="E309" s="1291"/>
      <c r="F309" s="1291"/>
      <c r="I309" s="1048"/>
    </row>
    <row r="310" spans="1:9" ht="14.25">
      <c r="A310" s="338"/>
      <c r="B310" s="338"/>
      <c r="D310" s="1291"/>
      <c r="E310" s="1291"/>
      <c r="F310" s="1291"/>
      <c r="I310" s="1048"/>
    </row>
    <row r="311" spans="1:9" ht="14.25">
      <c r="A311" s="338"/>
      <c r="B311" s="338"/>
      <c r="D311" s="1291"/>
      <c r="E311" s="1291"/>
      <c r="F311" s="1291"/>
      <c r="I311" s="1048"/>
    </row>
    <row r="312" spans="1:9" ht="14.25">
      <c r="A312" s="338"/>
      <c r="B312" s="338"/>
      <c r="D312" s="347"/>
      <c r="E312" s="348"/>
      <c r="F312" s="348"/>
      <c r="I312" s="1048"/>
    </row>
    <row r="313" spans="1:9" ht="13.9" customHeight="1">
      <c r="B313" s="339" t="s">
        <v>2811</v>
      </c>
      <c r="D313" s="1291" t="s">
        <v>400</v>
      </c>
      <c r="E313" s="1291"/>
      <c r="F313" s="1291"/>
      <c r="I313" s="1048"/>
    </row>
    <row r="314" spans="1:9">
      <c r="D314" s="1291"/>
      <c r="E314" s="1291"/>
      <c r="F314" s="1291"/>
      <c r="I314" s="1048"/>
    </row>
    <row r="315" spans="1:9" ht="14.25">
      <c r="A315" s="338"/>
      <c r="B315" s="338"/>
      <c r="D315" s="347"/>
      <c r="E315" s="348"/>
      <c r="F315" s="348"/>
      <c r="I315" s="1048"/>
    </row>
    <row r="316" spans="1:9">
      <c r="B316" s="339" t="s">
        <v>2811</v>
      </c>
      <c r="D316" s="1268" t="s">
        <v>401</v>
      </c>
      <c r="E316" s="1268"/>
      <c r="F316" s="1268"/>
      <c r="I316" s="1048"/>
    </row>
    <row r="317" spans="1:9">
      <c r="E317" s="1050"/>
      <c r="F317" s="1050"/>
      <c r="I317" s="1048"/>
    </row>
    <row r="318" spans="1:9" ht="14.25">
      <c r="A318" s="338"/>
      <c r="B318" s="339" t="s">
        <v>2811</v>
      </c>
      <c r="D318" s="1267" t="s">
        <v>402</v>
      </c>
      <c r="E318" s="1267"/>
      <c r="F318" s="1267"/>
      <c r="I318" s="1048"/>
    </row>
    <row r="319" spans="1:9" ht="14.25">
      <c r="A319" s="338"/>
      <c r="B319" s="338"/>
      <c r="D319" s="1267"/>
      <c r="E319" s="1267"/>
      <c r="F319" s="1267"/>
      <c r="I319" s="1048"/>
    </row>
    <row r="320" spans="1:9" ht="14.25">
      <c r="A320" s="338"/>
      <c r="B320" s="338"/>
      <c r="D320" s="1267"/>
      <c r="E320" s="1267"/>
      <c r="F320" s="1267"/>
      <c r="I320" s="1048"/>
    </row>
    <row r="321" spans="1:9" ht="14.25">
      <c r="A321" s="338"/>
      <c r="B321" s="338"/>
      <c r="D321" s="1267"/>
      <c r="E321" s="1267"/>
      <c r="F321" s="1267"/>
      <c r="I321" s="1048"/>
    </row>
    <row r="322" spans="1:9" ht="14.25">
      <c r="A322" s="338"/>
      <c r="B322" s="338"/>
      <c r="D322" s="1267"/>
      <c r="E322" s="1267"/>
      <c r="F322" s="1267"/>
      <c r="I322" s="1048"/>
    </row>
    <row r="323" spans="1:9" ht="14.25">
      <c r="A323" s="338"/>
      <c r="B323" s="338"/>
      <c r="D323" s="1267"/>
      <c r="E323" s="1267"/>
      <c r="F323" s="1267"/>
      <c r="I323" s="1048"/>
    </row>
    <row r="324" spans="1:9" ht="14.25">
      <c r="A324" s="338"/>
      <c r="B324" s="338"/>
      <c r="D324" s="1267"/>
      <c r="E324" s="1267"/>
      <c r="F324" s="1267"/>
      <c r="I324" s="1048"/>
    </row>
    <row r="325" spans="1:9" ht="14.25">
      <c r="A325" s="338"/>
      <c r="B325" s="338"/>
      <c r="D325" s="1267"/>
      <c r="E325" s="1267"/>
      <c r="F325" s="1267"/>
      <c r="I325" s="1048"/>
    </row>
    <row r="326" spans="1:9" ht="14.25">
      <c r="A326" s="338"/>
      <c r="B326" s="338"/>
      <c r="D326" s="1267"/>
      <c r="E326" s="1267"/>
      <c r="F326" s="1267"/>
      <c r="I326" s="1048"/>
    </row>
    <row r="327" spans="1:9" ht="14.25">
      <c r="A327" s="338"/>
      <c r="B327" s="338"/>
      <c r="D327" s="1267"/>
      <c r="E327" s="1267"/>
      <c r="F327" s="1267"/>
      <c r="I327" s="1048"/>
    </row>
    <row r="328" spans="1:9" ht="14.25">
      <c r="A328" s="338"/>
      <c r="B328" s="338"/>
      <c r="D328" s="1267"/>
      <c r="E328" s="1267"/>
      <c r="F328" s="1267"/>
      <c r="I328" s="1048"/>
    </row>
    <row r="329" spans="1:9" ht="14.25">
      <c r="A329" s="338"/>
      <c r="B329" s="338"/>
      <c r="D329" s="1267"/>
      <c r="E329" s="1267"/>
      <c r="F329" s="1267"/>
      <c r="I329" s="1048"/>
    </row>
    <row r="330" spans="1:9" ht="14.25">
      <c r="A330" s="338"/>
      <c r="B330" s="338"/>
      <c r="D330" s="1267"/>
      <c r="E330" s="1267"/>
      <c r="F330" s="1267"/>
      <c r="I330" s="1048"/>
    </row>
    <row r="331" spans="1:9" ht="14.25">
      <c r="A331" s="338"/>
      <c r="B331" s="338"/>
      <c r="D331" s="1267"/>
      <c r="E331" s="1267"/>
      <c r="F331" s="1267"/>
      <c r="I331" s="1048"/>
    </row>
    <row r="332" spans="1:9" ht="14.25">
      <c r="A332" s="338"/>
      <c r="B332" s="338"/>
      <c r="D332" s="1267"/>
      <c r="E332" s="1267"/>
      <c r="F332" s="1267"/>
      <c r="I332" s="1048"/>
    </row>
    <row r="333" spans="1:9">
      <c r="D333" s="1050"/>
      <c r="E333" s="1050"/>
      <c r="F333" s="1050"/>
      <c r="I333" s="1048"/>
    </row>
    <row r="334" spans="1:9" ht="14.25">
      <c r="A334" s="338"/>
      <c r="B334" s="339" t="s">
        <v>2811</v>
      </c>
      <c r="D334" s="1267" t="s">
        <v>403</v>
      </c>
      <c r="E334" s="1267"/>
      <c r="F334" s="1267"/>
      <c r="I334" s="1048"/>
    </row>
    <row r="335" spans="1:9">
      <c r="D335" s="1267"/>
      <c r="E335" s="1267"/>
      <c r="F335" s="1267"/>
      <c r="I335" s="1048"/>
    </row>
    <row r="336" spans="1:9">
      <c r="D336" s="1267"/>
      <c r="E336" s="1267"/>
      <c r="F336" s="1267"/>
      <c r="I336" s="1048"/>
    </row>
    <row r="337" spans="1:9">
      <c r="D337" s="1267"/>
      <c r="E337" s="1267"/>
      <c r="F337" s="1267"/>
      <c r="I337" s="1048"/>
    </row>
    <row r="338" spans="1:9">
      <c r="D338" s="1267"/>
      <c r="E338" s="1267"/>
      <c r="F338" s="1267"/>
      <c r="I338" s="1048"/>
    </row>
    <row r="339" spans="1:9">
      <c r="D339" s="1267"/>
      <c r="E339" s="1267"/>
      <c r="F339" s="1267"/>
      <c r="I339" s="1048"/>
    </row>
    <row r="340" spans="1:9">
      <c r="D340" s="1267"/>
      <c r="E340" s="1267"/>
      <c r="F340" s="1267"/>
      <c r="I340" s="1048"/>
    </row>
    <row r="341" spans="1:9">
      <c r="D341" s="1267"/>
      <c r="E341" s="1267"/>
      <c r="F341" s="1267"/>
      <c r="I341" s="1048"/>
    </row>
    <row r="342" spans="1:9">
      <c r="D342" s="1267"/>
      <c r="E342" s="1267"/>
      <c r="F342" s="1267"/>
      <c r="I342" s="1048"/>
    </row>
    <row r="343" spans="1:9">
      <c r="D343" s="1050"/>
      <c r="E343" s="1050"/>
      <c r="F343" s="1050"/>
      <c r="I343" s="1048"/>
    </row>
    <row r="344" spans="1:9" ht="14.25" customHeight="1">
      <c r="A344" s="338"/>
      <c r="B344" s="339" t="s">
        <v>2811</v>
      </c>
      <c r="D344" s="1267" t="s">
        <v>404</v>
      </c>
      <c r="E344" s="1267"/>
      <c r="F344" s="1267"/>
      <c r="I344" s="1048"/>
    </row>
    <row r="345" spans="1:9">
      <c r="D345" s="1267"/>
      <c r="E345" s="1267"/>
      <c r="F345" s="1267"/>
      <c r="I345" s="1048"/>
    </row>
    <row r="346" spans="1:9">
      <c r="D346" s="1267"/>
      <c r="E346" s="1267"/>
      <c r="F346" s="1267"/>
      <c r="I346" s="1048"/>
    </row>
    <row r="347" spans="1:9">
      <c r="D347" s="1267"/>
      <c r="E347" s="1267"/>
      <c r="F347" s="1267"/>
      <c r="I347" s="1048"/>
    </row>
    <row r="348" spans="1:9">
      <c r="D348" s="259" t="s">
        <v>355</v>
      </c>
      <c r="E348" s="1060"/>
      <c r="F348" s="1060"/>
      <c r="I348" s="1048"/>
    </row>
    <row r="349" spans="1:9">
      <c r="D349" s="1060"/>
      <c r="E349" s="55" t="s">
        <v>405</v>
      </c>
      <c r="G349" s="55"/>
      <c r="I349" s="1048"/>
    </row>
    <row r="350" spans="1:9">
      <c r="D350" s="1049"/>
      <c r="E350" s="1049"/>
      <c r="F350" s="1049"/>
      <c r="I350" s="1048"/>
    </row>
    <row r="351" spans="1:9" ht="13.5" thickBot="1">
      <c r="A351" s="804"/>
      <c r="B351" s="804"/>
      <c r="C351" s="804"/>
      <c r="D351" s="1300" t="s">
        <v>406</v>
      </c>
      <c r="E351" s="1300"/>
      <c r="F351" s="1300"/>
      <c r="G351" s="808"/>
      <c r="H351" s="808"/>
      <c r="I351" s="932"/>
    </row>
    <row r="352" spans="1:9" ht="13.5" thickTop="1">
      <c r="D352" s="1299" t="s">
        <v>407</v>
      </c>
      <c r="E352" s="1299"/>
      <c r="F352" s="1299"/>
      <c r="I352" s="1048"/>
    </row>
    <row r="353" spans="1:9">
      <c r="D353" s="1050"/>
      <c r="E353" s="1050"/>
      <c r="F353" s="1050"/>
      <c r="I353" s="1048"/>
    </row>
    <row r="354" spans="1:9">
      <c r="A354" s="333"/>
      <c r="B354" s="333"/>
      <c r="C354" s="333"/>
      <c r="D354" s="1056"/>
      <c r="E354" s="1056"/>
      <c r="F354" s="1050"/>
      <c r="I354" s="1048"/>
    </row>
    <row r="355" spans="1:9" ht="14.25">
      <c r="A355" s="338"/>
      <c r="B355" s="339" t="s">
        <v>2811</v>
      </c>
      <c r="C355" s="341"/>
      <c r="D355" s="1268" t="s">
        <v>408</v>
      </c>
      <c r="E355" s="1268"/>
      <c r="F355" s="1268"/>
      <c r="I355" s="1048"/>
    </row>
    <row r="356" spans="1:9" ht="12.75" customHeight="1">
      <c r="D356" s="818"/>
      <c r="E356" s="55" t="s">
        <v>409</v>
      </c>
      <c r="F356" s="818"/>
      <c r="I356" s="1048"/>
    </row>
    <row r="357" spans="1:9">
      <c r="D357" s="1267" t="s">
        <v>410</v>
      </c>
      <c r="E357" s="1267"/>
      <c r="F357" s="1267"/>
      <c r="I357" s="1048"/>
    </row>
    <row r="358" spans="1:9">
      <c r="D358" s="1267"/>
      <c r="E358" s="1267"/>
      <c r="F358" s="1267"/>
      <c r="I358" s="1048"/>
    </row>
    <row r="359" spans="1:9">
      <c r="D359" s="1267"/>
      <c r="E359" s="1267"/>
      <c r="F359" s="1267"/>
      <c r="I359" s="1048"/>
    </row>
    <row r="360" spans="1:9" ht="14.25">
      <c r="A360" s="338"/>
      <c r="B360" s="339" t="s">
        <v>2811</v>
      </c>
      <c r="C360" s="333"/>
      <c r="D360" s="1281" t="s">
        <v>411</v>
      </c>
      <c r="E360" s="1281"/>
      <c r="F360" s="1281"/>
      <c r="I360" s="336"/>
    </row>
    <row r="361" spans="1:9">
      <c r="A361" s="333"/>
      <c r="B361" s="333"/>
      <c r="C361" s="333"/>
      <c r="D361" s="1056"/>
      <c r="E361" s="1056"/>
      <c r="F361" s="1050"/>
      <c r="I361" s="1048"/>
    </row>
    <row r="362" spans="1:9">
      <c r="A362" s="333"/>
      <c r="B362" s="339" t="s">
        <v>2811</v>
      </c>
      <c r="C362" s="333"/>
      <c r="D362" s="1246" t="s">
        <v>412</v>
      </c>
      <c r="E362" s="1246"/>
      <c r="F362" s="1246"/>
      <c r="I362" s="1048"/>
    </row>
    <row r="363" spans="1:9">
      <c r="A363" s="333"/>
      <c r="B363" s="333"/>
      <c r="C363" s="333"/>
      <c r="D363" s="1246"/>
      <c r="E363" s="1246"/>
      <c r="F363" s="1246"/>
      <c r="I363" s="1048"/>
    </row>
    <row r="364" spans="1:9">
      <c r="A364" s="333"/>
      <c r="B364" s="333"/>
      <c r="C364" s="333"/>
      <c r="D364" s="1246"/>
      <c r="E364" s="1246"/>
      <c r="F364" s="1246"/>
      <c r="I364" s="1048"/>
    </row>
    <row r="365" spans="1:9">
      <c r="A365" s="333"/>
      <c r="B365" s="333"/>
      <c r="C365" s="333"/>
      <c r="D365" s="1246"/>
      <c r="E365" s="1246"/>
      <c r="F365" s="1246"/>
      <c r="I365" s="1048"/>
    </row>
    <row r="366" spans="1:9">
      <c r="A366" s="333"/>
      <c r="B366" s="333"/>
      <c r="C366" s="333"/>
      <c r="D366" s="1246"/>
      <c r="E366" s="1246"/>
      <c r="F366" s="1246"/>
      <c r="I366" s="1048"/>
    </row>
    <row r="367" spans="1:9">
      <c r="A367" s="333"/>
      <c r="B367" s="333"/>
      <c r="C367" s="333"/>
      <c r="D367" s="1246"/>
      <c r="E367" s="1246"/>
      <c r="F367" s="1246"/>
      <c r="I367" s="1048"/>
    </row>
    <row r="368" spans="1:9">
      <c r="A368" s="333"/>
      <c r="B368" s="333"/>
      <c r="C368" s="333"/>
      <c r="D368" s="1246"/>
      <c r="E368" s="1246"/>
      <c r="F368" s="1246"/>
      <c r="I368" s="1048"/>
    </row>
    <row r="369" spans="1:9">
      <c r="A369" s="333"/>
      <c r="B369" s="333"/>
      <c r="C369" s="333"/>
      <c r="D369" s="1246"/>
      <c r="E369" s="1246"/>
      <c r="F369" s="1246"/>
      <c r="I369" s="1048"/>
    </row>
    <row r="370" spans="1:9">
      <c r="A370" s="333"/>
      <c r="B370" s="333"/>
      <c r="C370" s="333"/>
      <c r="D370" s="1246"/>
      <c r="E370" s="1246"/>
      <c r="F370" s="1246"/>
      <c r="I370" s="1048"/>
    </row>
    <row r="371" spans="1:9">
      <c r="A371" s="333"/>
      <c r="B371" s="333"/>
      <c r="C371" s="333"/>
      <c r="D371" s="1246"/>
      <c r="E371" s="1246"/>
      <c r="F371" s="1246"/>
      <c r="I371" s="1048"/>
    </row>
    <row r="372" spans="1:9">
      <c r="A372" s="333"/>
      <c r="B372" s="333"/>
      <c r="C372" s="333"/>
      <c r="D372" s="1246"/>
      <c r="E372" s="1246"/>
      <c r="F372" s="1246"/>
      <c r="I372" s="1048"/>
    </row>
    <row r="373" spans="1:9">
      <c r="A373" s="333"/>
      <c r="B373" s="333"/>
      <c r="C373" s="333"/>
      <c r="D373" s="1246"/>
      <c r="E373" s="1246"/>
      <c r="F373" s="1246"/>
      <c r="I373" s="1048"/>
    </row>
    <row r="374" spans="1:9">
      <c r="A374" s="333"/>
      <c r="B374" s="333"/>
      <c r="C374" s="333"/>
      <c r="D374" s="1040"/>
      <c r="E374" s="1040"/>
      <c r="F374" s="1040"/>
      <c r="I374" s="1048"/>
    </row>
    <row r="375" spans="1:9" ht="12.75" customHeight="1">
      <c r="A375" s="333"/>
      <c r="B375" s="339" t="s">
        <v>2811</v>
      </c>
      <c r="C375" s="333"/>
      <c r="D375" s="1263" t="s">
        <v>413</v>
      </c>
      <c r="E375" s="1263"/>
      <c r="F375" s="1263"/>
      <c r="I375" s="1048"/>
    </row>
    <row r="376" spans="1:9">
      <c r="A376" s="333"/>
      <c r="B376" s="333"/>
      <c r="C376" s="333"/>
      <c r="D376" s="1263"/>
      <c r="E376" s="1263"/>
      <c r="F376" s="1263"/>
      <c r="I376" s="1048"/>
    </row>
    <row r="377" spans="1:9">
      <c r="A377" s="333"/>
      <c r="B377" s="333"/>
      <c r="C377" s="333"/>
      <c r="D377" s="1263"/>
      <c r="E377" s="1263"/>
      <c r="F377" s="1263"/>
      <c r="I377" s="1048"/>
    </row>
    <row r="378" spans="1:9">
      <c r="A378" s="333"/>
      <c r="B378" s="333"/>
      <c r="C378" s="333"/>
      <c r="D378" s="1263"/>
      <c r="E378" s="1263"/>
      <c r="F378" s="1263"/>
      <c r="I378" s="1048"/>
    </row>
    <row r="379" spans="1:9">
      <c r="A379" s="333"/>
      <c r="B379" s="333"/>
      <c r="C379" s="333"/>
      <c r="D379" s="1046"/>
      <c r="E379" s="1046"/>
      <c r="F379" s="1046"/>
      <c r="I379" s="1048"/>
    </row>
    <row r="380" spans="1:9">
      <c r="A380" s="333"/>
      <c r="B380" s="339" t="s">
        <v>2811</v>
      </c>
      <c r="C380" s="333"/>
      <c r="D380" s="273" t="s">
        <v>414</v>
      </c>
      <c r="E380" s="1046"/>
      <c r="F380" s="1046"/>
      <c r="I380" s="1048"/>
    </row>
    <row r="381" spans="1:9">
      <c r="A381" s="333"/>
      <c r="B381" s="333"/>
      <c r="C381" s="333"/>
      <c r="D381" s="273" t="s">
        <v>415</v>
      </c>
      <c r="E381" s="1046"/>
      <c r="F381" s="1046"/>
      <c r="I381" s="1048"/>
    </row>
    <row r="382" spans="1:9">
      <c r="A382" s="333"/>
      <c r="B382" s="333"/>
      <c r="C382" s="333"/>
      <c r="D382" s="273" t="s">
        <v>416</v>
      </c>
      <c r="E382" s="1046"/>
      <c r="F382" s="1046"/>
      <c r="I382" s="1048"/>
    </row>
    <row r="383" spans="1:9">
      <c r="A383" s="333"/>
      <c r="B383" s="333"/>
      <c r="C383" s="333"/>
      <c r="D383" s="273" t="s">
        <v>417</v>
      </c>
      <c r="E383" s="1046"/>
      <c r="F383" s="1046"/>
      <c r="I383" s="1048"/>
    </row>
    <row r="384" spans="1:9">
      <c r="A384" s="333"/>
      <c r="B384" s="333"/>
      <c r="C384" s="333"/>
      <c r="D384" s="273" t="s">
        <v>418</v>
      </c>
      <c r="E384" s="1046"/>
      <c r="F384" s="1046"/>
      <c r="I384" s="1048"/>
    </row>
    <row r="385" spans="1:9">
      <c r="A385" s="333"/>
      <c r="B385" s="333"/>
      <c r="C385" s="333"/>
      <c r="D385" s="273" t="s">
        <v>419</v>
      </c>
      <c r="E385" s="1046"/>
      <c r="F385" s="1046"/>
      <c r="I385" s="1048"/>
    </row>
    <row r="386" spans="1:9">
      <c r="A386" s="333"/>
      <c r="B386" s="333"/>
      <c r="C386" s="333"/>
      <c r="E386" s="1056"/>
      <c r="F386" s="1050"/>
      <c r="I386" s="1048"/>
    </row>
    <row r="387" spans="1:9" ht="14.25">
      <c r="A387" s="338"/>
      <c r="B387" s="339" t="s">
        <v>2811</v>
      </c>
      <c r="C387" s="333"/>
      <c r="D387" s="1246" t="s">
        <v>420</v>
      </c>
      <c r="E387" s="1246"/>
      <c r="F387" s="1246"/>
      <c r="I387" s="1048"/>
    </row>
    <row r="388" spans="1:9">
      <c r="A388" s="333"/>
      <c r="B388" s="333"/>
      <c r="C388" s="333"/>
      <c r="D388" s="1246"/>
      <c r="E388" s="1246"/>
      <c r="F388" s="1246"/>
      <c r="I388" s="1048"/>
    </row>
    <row r="389" spans="1:9">
      <c r="A389" s="333"/>
      <c r="B389" s="333"/>
      <c r="C389" s="333"/>
      <c r="D389" s="1246"/>
      <c r="E389" s="1246"/>
      <c r="F389" s="1246"/>
      <c r="I389" s="1048"/>
    </row>
    <row r="390" spans="1:9">
      <c r="A390" s="333"/>
      <c r="B390" s="333"/>
      <c r="C390" s="333"/>
      <c r="D390" s="1246"/>
      <c r="E390" s="1246"/>
      <c r="F390" s="1246"/>
      <c r="I390" s="1048"/>
    </row>
    <row r="391" spans="1:9">
      <c r="A391" s="333"/>
      <c r="B391" s="333"/>
      <c r="C391" s="333"/>
      <c r="D391" s="1056"/>
      <c r="E391" s="1056"/>
      <c r="F391" s="1050"/>
      <c r="I391" s="1048"/>
    </row>
    <row r="392" spans="1:9">
      <c r="A392" s="333"/>
      <c r="B392" s="333"/>
      <c r="C392" s="333"/>
      <c r="D392" s="1246" t="s">
        <v>421</v>
      </c>
      <c r="E392" s="1246"/>
      <c r="F392" s="1246"/>
      <c r="I392" s="1048"/>
    </row>
    <row r="393" spans="1:9">
      <c r="A393" s="333"/>
      <c r="B393" s="333"/>
      <c r="C393" s="333"/>
      <c r="D393" s="1246"/>
      <c r="E393" s="1246"/>
      <c r="F393" s="1246"/>
      <c r="I393" s="1048"/>
    </row>
    <row r="394" spans="1:9">
      <c r="A394" s="333"/>
      <c r="B394" s="333"/>
      <c r="C394" s="333"/>
      <c r="D394" s="1246"/>
      <c r="E394" s="1246"/>
      <c r="F394" s="1246"/>
      <c r="I394" s="1048"/>
    </row>
    <row r="395" spans="1:9">
      <c r="A395" s="333"/>
      <c r="B395" s="333"/>
      <c r="C395" s="333"/>
      <c r="D395" s="1246"/>
      <c r="E395" s="1246"/>
      <c r="F395" s="1246"/>
      <c r="I395" s="1048"/>
    </row>
    <row r="396" spans="1:9" ht="18" customHeight="1">
      <c r="A396" s="333"/>
      <c r="B396" s="333"/>
      <c r="C396" s="333"/>
      <c r="D396" s="1246"/>
      <c r="E396" s="1246"/>
      <c r="F396" s="1246"/>
      <c r="I396" s="1048"/>
    </row>
    <row r="397" spans="1:9">
      <c r="A397" s="333"/>
      <c r="B397" s="333"/>
      <c r="C397" s="333"/>
      <c r="D397" s="1246"/>
      <c r="E397" s="1246"/>
      <c r="F397" s="1246"/>
      <c r="I397" s="1048"/>
    </row>
    <row r="398" spans="1:9">
      <c r="A398" s="333"/>
      <c r="B398" s="333"/>
      <c r="C398" s="333"/>
      <c r="D398" s="1246"/>
      <c r="E398" s="1246"/>
      <c r="F398" s="1246"/>
      <c r="I398" s="1048"/>
    </row>
    <row r="399" spans="1:9">
      <c r="A399" s="333"/>
      <c r="B399" s="333"/>
      <c r="C399" s="333"/>
      <c r="D399" s="1246"/>
      <c r="E399" s="1246"/>
      <c r="F399" s="1246"/>
      <c r="I399" s="1048"/>
    </row>
    <row r="400" spans="1:9" ht="8.25" customHeight="1">
      <c r="A400" s="333"/>
      <c r="B400" s="333"/>
      <c r="C400" s="333"/>
      <c r="D400" s="1246"/>
      <c r="E400" s="1246"/>
      <c r="F400" s="1246"/>
      <c r="I400" s="1048"/>
    </row>
    <row r="401" spans="1:9" ht="13.9" customHeight="1">
      <c r="A401" s="333"/>
      <c r="B401" s="333"/>
      <c r="C401" s="333"/>
      <c r="D401" s="1246" t="s">
        <v>422</v>
      </c>
      <c r="E401" s="1246"/>
      <c r="F401" s="1246"/>
      <c r="I401" s="1048"/>
    </row>
    <row r="402" spans="1:9">
      <c r="A402" s="333"/>
      <c r="B402" s="333"/>
      <c r="C402" s="333"/>
      <c r="D402" s="1246"/>
      <c r="E402" s="1246"/>
      <c r="F402" s="1246"/>
      <c r="I402" s="1048"/>
    </row>
    <row r="403" spans="1:9">
      <c r="A403" s="333"/>
      <c r="B403" s="333"/>
      <c r="C403" s="333"/>
      <c r="D403" s="1246"/>
      <c r="E403" s="1246"/>
      <c r="F403" s="1246"/>
      <c r="I403" s="1048"/>
    </row>
    <row r="404" spans="1:9">
      <c r="A404" s="333"/>
      <c r="B404" s="333"/>
      <c r="C404" s="333"/>
      <c r="D404" s="1246"/>
      <c r="E404" s="1246"/>
      <c r="F404" s="1246"/>
      <c r="I404" s="1048"/>
    </row>
    <row r="405" spans="1:9">
      <c r="A405" s="333"/>
      <c r="B405" s="333"/>
      <c r="C405" s="333"/>
      <c r="D405" s="1246"/>
      <c r="E405" s="1246"/>
      <c r="F405" s="1246"/>
      <c r="I405" s="1048"/>
    </row>
    <row r="406" spans="1:9">
      <c r="A406" s="333"/>
      <c r="B406" s="333"/>
      <c r="C406" s="333"/>
      <c r="D406" s="1246"/>
      <c r="E406" s="1246"/>
      <c r="F406" s="1246"/>
      <c r="I406" s="1048"/>
    </row>
    <row r="407" spans="1:9">
      <c r="A407" s="333"/>
      <c r="B407" s="333"/>
      <c r="C407" s="333"/>
      <c r="D407" s="1246"/>
      <c r="E407" s="1246"/>
      <c r="F407" s="1246"/>
      <c r="I407" s="1048"/>
    </row>
    <row r="408" spans="1:9">
      <c r="A408" s="333"/>
      <c r="B408" s="333"/>
      <c r="C408" s="333"/>
      <c r="D408" s="1246"/>
      <c r="E408" s="1246"/>
      <c r="F408" s="1246"/>
      <c r="I408" s="1048"/>
    </row>
    <row r="409" spans="1:9">
      <c r="A409" s="333"/>
      <c r="B409" s="333"/>
      <c r="C409" s="333"/>
      <c r="D409" s="1246"/>
      <c r="E409" s="1246"/>
      <c r="F409" s="1246"/>
      <c r="I409" s="1048"/>
    </row>
    <row r="410" spans="1:9">
      <c r="A410" s="333"/>
      <c r="B410" s="333"/>
      <c r="C410" s="333"/>
      <c r="D410" s="1246"/>
      <c r="E410" s="1246"/>
      <c r="F410" s="1246"/>
      <c r="I410" s="1048"/>
    </row>
    <row r="411" spans="1:9">
      <c r="A411" s="333"/>
      <c r="B411" s="333"/>
      <c r="C411" s="333"/>
      <c r="D411" s="1246"/>
      <c r="E411" s="1246"/>
      <c r="F411" s="1246"/>
      <c r="I411" s="1048"/>
    </row>
    <row r="412" spans="1:9">
      <c r="A412" s="333"/>
      <c r="B412" s="333"/>
      <c r="C412" s="333"/>
      <c r="D412" s="1246"/>
      <c r="E412" s="1246"/>
      <c r="F412" s="1246"/>
      <c r="I412" s="1048"/>
    </row>
    <row r="413" spans="1:9">
      <c r="A413" s="333"/>
      <c r="B413" s="333"/>
      <c r="C413" s="349"/>
      <c r="D413" s="1246"/>
      <c r="E413" s="1246"/>
      <c r="F413" s="1246"/>
      <c r="I413" s="1048"/>
    </row>
    <row r="414" spans="1:9">
      <c r="A414" s="333"/>
      <c r="B414" s="333"/>
      <c r="C414" s="349"/>
      <c r="D414" s="1246"/>
      <c r="E414" s="1246"/>
      <c r="F414" s="1246"/>
      <c r="I414" s="1048"/>
    </row>
    <row r="415" spans="1:9">
      <c r="A415" s="333"/>
      <c r="B415" s="333"/>
      <c r="C415" s="333"/>
      <c r="D415" s="1246"/>
      <c r="E415" s="1246"/>
      <c r="F415" s="1246"/>
      <c r="I415" s="1048"/>
    </row>
    <row r="416" spans="1:9">
      <c r="A416" s="333"/>
      <c r="B416" s="333"/>
      <c r="C416" s="349"/>
      <c r="D416" s="1246"/>
      <c r="E416" s="1246"/>
      <c r="F416" s="1246"/>
      <c r="I416" s="1048"/>
    </row>
    <row r="417" spans="1:9">
      <c r="A417" s="333"/>
      <c r="B417" s="333"/>
      <c r="C417" s="349"/>
      <c r="D417" s="1246"/>
      <c r="E417" s="1246"/>
      <c r="F417" s="1246"/>
      <c r="I417" s="1048"/>
    </row>
    <row r="418" spans="1:9">
      <c r="A418" s="333"/>
      <c r="B418" s="333"/>
      <c r="C418" s="349"/>
      <c r="D418" s="1246"/>
      <c r="E418" s="1246"/>
      <c r="F418" s="1246"/>
      <c r="I418" s="1048"/>
    </row>
    <row r="419" spans="1:9">
      <c r="A419" s="333"/>
      <c r="B419" s="333"/>
      <c r="C419" s="333"/>
      <c r="D419" s="1056"/>
      <c r="E419" s="1056"/>
      <c r="F419" s="1050"/>
      <c r="I419" s="1048"/>
    </row>
    <row r="420" spans="1:9">
      <c r="A420" s="333"/>
      <c r="B420" s="339" t="s">
        <v>2811</v>
      </c>
      <c r="C420" s="333"/>
      <c r="D420" s="1246" t="s">
        <v>423</v>
      </c>
      <c r="E420" s="1246"/>
      <c r="F420" s="1246"/>
      <c r="I420" s="1048"/>
    </row>
    <row r="421" spans="1:9">
      <c r="A421" s="333"/>
      <c r="B421" s="333"/>
      <c r="C421" s="333"/>
      <c r="D421" s="1246"/>
      <c r="E421" s="1246"/>
      <c r="F421" s="1246"/>
      <c r="I421" s="1048"/>
    </row>
    <row r="422" spans="1:9">
      <c r="A422" s="333"/>
      <c r="B422" s="333"/>
      <c r="C422" s="333"/>
      <c r="D422" s="1040"/>
      <c r="E422" s="1040"/>
      <c r="F422" s="1040"/>
      <c r="I422" s="1048"/>
    </row>
    <row r="423" spans="1:9" ht="14.65" customHeight="1">
      <c r="A423" s="338"/>
      <c r="B423" s="339" t="s">
        <v>2811</v>
      </c>
      <c r="D423" s="1246" t="s">
        <v>424</v>
      </c>
      <c r="E423" s="1246"/>
      <c r="F423" s="1246"/>
      <c r="I423" s="1048"/>
    </row>
    <row r="424" spans="1:9" ht="14.65" customHeight="1">
      <c r="A424" s="338"/>
      <c r="D424" s="1246"/>
      <c r="E424" s="1246"/>
      <c r="F424" s="1246"/>
      <c r="I424" s="1048"/>
    </row>
    <row r="425" spans="1:9" ht="14.65" customHeight="1">
      <c r="A425" s="338"/>
      <c r="D425" s="1246"/>
      <c r="E425" s="1246"/>
      <c r="F425" s="1246"/>
      <c r="I425" s="1048"/>
    </row>
    <row r="426" spans="1:9" ht="14.65" customHeight="1">
      <c r="A426" s="338"/>
      <c r="D426" s="1246"/>
      <c r="E426" s="1246"/>
      <c r="F426" s="1246"/>
      <c r="I426" s="1048"/>
    </row>
    <row r="427" spans="1:9" ht="14.65" customHeight="1">
      <c r="A427" s="338"/>
      <c r="D427" s="1246"/>
      <c r="E427" s="1246"/>
      <c r="F427" s="1246"/>
      <c r="I427" s="1048"/>
    </row>
    <row r="428" spans="1:9" ht="14.65" customHeight="1">
      <c r="A428" s="338"/>
      <c r="D428" s="1060"/>
      <c r="E428" s="1060"/>
      <c r="F428" s="1060"/>
      <c r="I428" s="1048"/>
    </row>
    <row r="429" spans="1:9" ht="13.9" customHeight="1">
      <c r="A429" s="338"/>
      <c r="B429" s="339" t="s">
        <v>2811</v>
      </c>
      <c r="C429" s="333"/>
      <c r="D429" s="1246" t="s">
        <v>425</v>
      </c>
      <c r="E429" s="1246"/>
      <c r="F429" s="1246"/>
      <c r="I429" s="1048"/>
    </row>
    <row r="430" spans="1:9" ht="14.25">
      <c r="A430" s="350"/>
      <c r="B430" s="350"/>
      <c r="C430" s="333"/>
      <c r="D430" s="1246"/>
      <c r="E430" s="1246"/>
      <c r="F430" s="1246"/>
      <c r="I430" s="1048"/>
    </row>
    <row r="431" spans="1:9" ht="14.25">
      <c r="A431" s="350"/>
      <c r="B431" s="350"/>
      <c r="C431" s="333"/>
      <c r="D431" s="1246"/>
      <c r="E431" s="1246"/>
      <c r="F431" s="1246"/>
      <c r="I431" s="1048"/>
    </row>
    <row r="432" spans="1:9" ht="14.25">
      <c r="A432" s="350"/>
      <c r="B432" s="350"/>
      <c r="C432" s="333"/>
      <c r="D432" s="1246"/>
      <c r="E432" s="1246"/>
      <c r="F432" s="1246"/>
      <c r="I432" s="1048"/>
    </row>
    <row r="433" spans="1:9" ht="15.75" customHeight="1">
      <c r="A433" s="350"/>
      <c r="B433" s="350"/>
      <c r="C433" s="333"/>
      <c r="D433" s="1273" t="s">
        <v>426</v>
      </c>
      <c r="E433" s="1246"/>
      <c r="F433" s="1246"/>
      <c r="I433" s="1048"/>
    </row>
    <row r="434" spans="1:9">
      <c r="D434" s="1050"/>
      <c r="E434" s="1050"/>
      <c r="F434" s="1050"/>
      <c r="I434" s="1048"/>
    </row>
    <row r="435" spans="1:9" ht="14.25">
      <c r="A435" s="338"/>
      <c r="B435" s="339" t="s">
        <v>2811</v>
      </c>
      <c r="C435" s="341"/>
      <c r="D435" s="1267" t="s">
        <v>427</v>
      </c>
      <c r="E435" s="1267"/>
      <c r="F435" s="1267"/>
      <c r="I435" s="1048"/>
    </row>
    <row r="436" spans="1:9" ht="14.25">
      <c r="A436" s="338"/>
      <c r="B436" s="338"/>
      <c r="D436" s="1267"/>
      <c r="E436" s="1267"/>
      <c r="F436" s="1267"/>
      <c r="I436" s="1048"/>
    </row>
    <row r="437" spans="1:9">
      <c r="D437" s="1267"/>
      <c r="E437" s="1267"/>
      <c r="F437" s="1267"/>
      <c r="I437" s="1048"/>
    </row>
    <row r="438" spans="1:9">
      <c r="D438" s="1267"/>
      <c r="E438" s="1267"/>
      <c r="F438" s="1267"/>
      <c r="I438" s="1048"/>
    </row>
    <row r="439" spans="1:9">
      <c r="D439" s="1267"/>
      <c r="E439" s="1267"/>
      <c r="F439" s="1267"/>
      <c r="I439" s="1048"/>
    </row>
    <row r="440" spans="1:9">
      <c r="D440" s="1267"/>
      <c r="E440" s="1267"/>
      <c r="F440" s="1267"/>
      <c r="I440" s="1048"/>
    </row>
    <row r="441" spans="1:9">
      <c r="D441" s="1267"/>
      <c r="E441" s="1267"/>
      <c r="F441" s="1267"/>
      <c r="I441" s="1048"/>
    </row>
    <row r="442" spans="1:9">
      <c r="D442" s="1267"/>
      <c r="E442" s="1267"/>
      <c r="F442" s="1267"/>
      <c r="I442" s="1048"/>
    </row>
    <row r="443" spans="1:9">
      <c r="D443" s="1267"/>
      <c r="E443" s="1267"/>
      <c r="F443" s="1267"/>
      <c r="I443" s="1048"/>
    </row>
    <row r="444" spans="1:9">
      <c r="D444" s="1267"/>
      <c r="E444" s="1267"/>
      <c r="F444" s="1267"/>
      <c r="I444" s="1048"/>
    </row>
    <row r="445" spans="1:9">
      <c r="D445" s="1267"/>
      <c r="E445" s="1267"/>
      <c r="F445" s="1267"/>
      <c r="I445" s="1048"/>
    </row>
    <row r="446" spans="1:9">
      <c r="D446" s="1267"/>
      <c r="E446" s="1267"/>
      <c r="F446" s="1267"/>
      <c r="I446" s="1048"/>
    </row>
    <row r="447" spans="1:9">
      <c r="D447" s="1267"/>
      <c r="E447" s="1267"/>
      <c r="F447" s="1267"/>
      <c r="I447" s="1048"/>
    </row>
    <row r="448" spans="1:9">
      <c r="A448" s="273"/>
      <c r="B448" s="273"/>
      <c r="C448" s="273"/>
      <c r="D448" s="1267"/>
      <c r="E448" s="1267"/>
      <c r="F448" s="1267"/>
      <c r="I448" s="1048"/>
    </row>
    <row r="449" spans="1:9">
      <c r="A449" s="273"/>
      <c r="B449" s="273"/>
      <c r="C449" s="273"/>
      <c r="D449" s="1267"/>
      <c r="E449" s="1267"/>
      <c r="F449" s="1267"/>
      <c r="I449" s="1048"/>
    </row>
    <row r="450" spans="1:9">
      <c r="A450" s="273"/>
      <c r="B450" s="273"/>
      <c r="C450" s="273"/>
      <c r="D450" s="1267"/>
      <c r="E450" s="1267"/>
      <c r="F450" s="1267"/>
      <c r="I450" s="1048"/>
    </row>
    <row r="451" spans="1:9">
      <c r="A451" s="273"/>
      <c r="B451" s="273"/>
      <c r="C451" s="273"/>
      <c r="D451" s="1267"/>
      <c r="E451" s="1267"/>
      <c r="F451" s="1267"/>
      <c r="I451" s="1048"/>
    </row>
    <row r="452" spans="1:9">
      <c r="A452" s="273"/>
      <c r="B452" s="273"/>
      <c r="C452" s="273"/>
      <c r="D452" s="1267"/>
      <c r="E452" s="1267"/>
      <c r="F452" s="1267"/>
      <c r="I452" s="1048"/>
    </row>
    <row r="453" spans="1:9">
      <c r="A453" s="273"/>
      <c r="B453" s="273"/>
      <c r="C453" s="273"/>
      <c r="D453" s="1267"/>
      <c r="E453" s="1267"/>
      <c r="F453" s="1267"/>
      <c r="I453" s="1048"/>
    </row>
    <row r="454" spans="1:9">
      <c r="A454" s="273"/>
      <c r="B454" s="273"/>
      <c r="C454" s="273"/>
      <c r="D454" s="1267"/>
      <c r="E454" s="1267"/>
      <c r="F454" s="1267"/>
      <c r="I454" s="1048"/>
    </row>
    <row r="455" spans="1:9">
      <c r="A455" s="273"/>
      <c r="B455" s="273"/>
      <c r="C455" s="273"/>
      <c r="D455" s="1267"/>
      <c r="E455" s="1267"/>
      <c r="F455" s="1267"/>
      <c r="I455" s="1048"/>
    </row>
    <row r="456" spans="1:9">
      <c r="A456" s="273"/>
      <c r="B456" s="273"/>
      <c r="C456" s="273"/>
      <c r="D456" s="1267"/>
      <c r="E456" s="1267"/>
      <c r="F456" s="1267"/>
      <c r="I456" s="1048"/>
    </row>
    <row r="457" spans="1:9">
      <c r="A457" s="273"/>
      <c r="B457" s="273"/>
      <c r="C457" s="273"/>
      <c r="D457" s="1267"/>
      <c r="E457" s="1267"/>
      <c r="F457" s="1267"/>
      <c r="I457" s="1048"/>
    </row>
    <row r="458" spans="1:9">
      <c r="A458" s="273"/>
      <c r="B458" s="273"/>
      <c r="C458" s="273"/>
      <c r="D458" s="1267"/>
      <c r="E458" s="1267"/>
      <c r="F458" s="1267"/>
      <c r="I458" s="1048"/>
    </row>
    <row r="459" spans="1:9">
      <c r="A459" s="273"/>
      <c r="B459" s="273"/>
      <c r="C459" s="273"/>
      <c r="D459" s="1267"/>
      <c r="E459" s="1267"/>
      <c r="F459" s="1267"/>
      <c r="I459" s="1048"/>
    </row>
    <row r="460" spans="1:9">
      <c r="A460" s="273"/>
      <c r="B460" s="273"/>
      <c r="C460" s="273"/>
      <c r="D460" s="1267"/>
      <c r="E460" s="1267"/>
      <c r="F460" s="1267"/>
      <c r="I460" s="1048"/>
    </row>
    <row r="461" spans="1:9">
      <c r="A461" s="273"/>
      <c r="B461" s="273"/>
      <c r="C461" s="273"/>
      <c r="D461" s="1267"/>
      <c r="E461" s="1267"/>
      <c r="F461" s="1267"/>
      <c r="I461" s="1048"/>
    </row>
    <row r="462" spans="1:9">
      <c r="A462" s="273"/>
      <c r="B462" s="273"/>
      <c r="C462" s="273"/>
      <c r="D462" s="1267"/>
      <c r="E462" s="1267"/>
      <c r="F462" s="1267"/>
      <c r="I462" s="1048"/>
    </row>
    <row r="463" spans="1:9">
      <c r="A463" s="273"/>
      <c r="B463" s="273"/>
      <c r="C463" s="273"/>
      <c r="D463" s="1267"/>
      <c r="E463" s="1267"/>
      <c r="F463" s="1267"/>
      <c r="I463" s="1048"/>
    </row>
    <row r="464" spans="1:9">
      <c r="D464" s="1267"/>
      <c r="E464" s="1267"/>
      <c r="F464" s="1267"/>
      <c r="I464" s="1048"/>
    </row>
    <row r="465" spans="1:9" ht="40.9" customHeight="1">
      <c r="D465" s="1267"/>
      <c r="E465" s="1267"/>
      <c r="F465" s="1267"/>
      <c r="I465" s="1048"/>
    </row>
    <row r="466" spans="1:9">
      <c r="D466" s="1050"/>
      <c r="E466" s="1050"/>
      <c r="F466" s="1050"/>
      <c r="I466" s="1048"/>
    </row>
    <row r="467" spans="1:9" ht="14.25">
      <c r="A467" s="338"/>
      <c r="B467" s="339" t="s">
        <v>2811</v>
      </c>
      <c r="C467" s="341"/>
      <c r="D467" s="1267" t="s">
        <v>428</v>
      </c>
      <c r="E467" s="1267"/>
      <c r="F467" s="1267"/>
      <c r="I467" s="1048"/>
    </row>
    <row r="468" spans="1:9">
      <c r="D468" s="1267"/>
      <c r="E468" s="1267"/>
      <c r="F468" s="1267"/>
      <c r="I468" s="1048"/>
    </row>
    <row r="469" spans="1:9">
      <c r="D469" s="1267"/>
      <c r="E469" s="1267"/>
      <c r="F469" s="1267"/>
      <c r="I469" s="1048"/>
    </row>
    <row r="470" spans="1:9">
      <c r="D470" s="1049"/>
      <c r="E470" s="1049"/>
      <c r="F470" s="1049"/>
      <c r="I470" s="1048"/>
    </row>
    <row r="471" spans="1:9" ht="14.25">
      <c r="B471" s="339" t="s">
        <v>2811</v>
      </c>
      <c r="C471" s="338"/>
      <c r="D471" s="1267" t="s">
        <v>429</v>
      </c>
      <c r="E471" s="1267"/>
      <c r="F471" s="1267"/>
      <c r="I471" s="1048"/>
    </row>
    <row r="472" spans="1:9">
      <c r="D472" s="1267"/>
      <c r="E472" s="1267"/>
      <c r="F472" s="1267"/>
      <c r="I472" s="1048"/>
    </row>
    <row r="473" spans="1:9">
      <c r="D473" s="1050"/>
      <c r="E473" s="1050"/>
      <c r="F473" s="1050"/>
      <c r="I473" s="1048"/>
    </row>
    <row r="474" spans="1:9" ht="14.25">
      <c r="B474" s="339" t="s">
        <v>2811</v>
      </c>
      <c r="C474" s="338"/>
      <c r="D474" s="1267" t="s">
        <v>430</v>
      </c>
      <c r="E474" s="1267"/>
      <c r="F474" s="1267"/>
      <c r="I474" s="1048"/>
    </row>
    <row r="475" spans="1:9">
      <c r="D475" s="1267"/>
      <c r="E475" s="1267"/>
      <c r="F475" s="1267"/>
      <c r="I475" s="1048"/>
    </row>
    <row r="476" spans="1:9">
      <c r="D476" s="1267"/>
      <c r="E476" s="1267"/>
      <c r="F476" s="1267"/>
      <c r="I476" s="1048"/>
    </row>
    <row r="477" spans="1:9">
      <c r="D477" s="1267"/>
      <c r="E477" s="1267"/>
      <c r="F477" s="1267"/>
      <c r="I477" s="1048"/>
    </row>
    <row r="478" spans="1:9">
      <c r="B478" s="339" t="s">
        <v>2811</v>
      </c>
      <c r="D478" s="1267"/>
      <c r="E478" s="1267"/>
      <c r="F478" s="1267"/>
      <c r="I478" s="1048"/>
    </row>
    <row r="479" spans="1:9">
      <c r="A479" s="273"/>
      <c r="B479" s="273"/>
      <c r="C479" s="273"/>
      <c r="D479" s="1267"/>
      <c r="E479" s="1267"/>
      <c r="F479" s="1267"/>
      <c r="I479" s="1048"/>
    </row>
    <row r="480" spans="1:9">
      <c r="A480" s="273"/>
      <c r="C480" s="273"/>
      <c r="D480" s="1267"/>
      <c r="E480" s="1267"/>
      <c r="F480" s="1267"/>
      <c r="I480" s="1048"/>
    </row>
    <row r="481" spans="1:9">
      <c r="A481" s="273"/>
      <c r="B481" s="339" t="s">
        <v>2811</v>
      </c>
      <c r="C481" s="273"/>
      <c r="D481" s="1267"/>
      <c r="E481" s="1267"/>
      <c r="F481" s="1267"/>
      <c r="I481" s="1048"/>
    </row>
    <row r="482" spans="1:9">
      <c r="A482" s="273"/>
      <c r="B482" s="273"/>
      <c r="C482" s="273"/>
      <c r="D482" s="1267"/>
      <c r="E482" s="1267"/>
      <c r="F482" s="1267"/>
      <c r="I482" s="1048"/>
    </row>
    <row r="483" spans="1:9">
      <c r="A483" s="273"/>
      <c r="C483" s="273"/>
      <c r="D483" s="1267"/>
      <c r="E483" s="1267"/>
      <c r="F483" s="1267"/>
      <c r="I483" s="1048"/>
    </row>
    <row r="484" spans="1:9">
      <c r="A484" s="273"/>
      <c r="C484" s="273"/>
      <c r="D484" s="1267"/>
      <c r="E484" s="1267"/>
      <c r="F484" s="1267"/>
      <c r="I484" s="1048"/>
    </row>
    <row r="485" spans="1:9">
      <c r="A485" s="273"/>
      <c r="C485" s="273"/>
      <c r="D485" s="1267"/>
      <c r="E485" s="1267"/>
      <c r="F485" s="1267"/>
      <c r="I485" s="1048"/>
    </row>
    <row r="486" spans="1:9">
      <c r="A486" s="273"/>
      <c r="B486" s="339" t="s">
        <v>2811</v>
      </c>
      <c r="C486" s="273"/>
      <c r="D486" s="1267"/>
      <c r="E486" s="1267"/>
      <c r="F486" s="1267"/>
      <c r="I486" s="1048"/>
    </row>
    <row r="487" spans="1:9">
      <c r="A487" s="273"/>
      <c r="C487" s="273"/>
      <c r="D487" s="1267"/>
      <c r="E487" s="1267"/>
      <c r="F487" s="1267"/>
      <c r="I487" s="1048"/>
    </row>
    <row r="488" spans="1:9">
      <c r="A488" s="273"/>
      <c r="B488" s="339" t="s">
        <v>2811</v>
      </c>
      <c r="C488" s="273"/>
      <c r="D488" s="1267" t="s">
        <v>431</v>
      </c>
      <c r="E488" s="1267"/>
      <c r="F488" s="1267"/>
      <c r="I488" s="1048"/>
    </row>
    <row r="489" spans="1:9">
      <c r="A489" s="273"/>
      <c r="B489" s="273"/>
      <c r="C489" s="273"/>
      <c r="D489" s="1267"/>
      <c r="E489" s="1267"/>
      <c r="F489" s="1267"/>
      <c r="I489" s="1048"/>
    </row>
    <row r="490" spans="1:9">
      <c r="A490" s="273"/>
      <c r="B490" s="273"/>
      <c r="C490" s="273"/>
      <c r="D490" s="1267"/>
      <c r="E490" s="1267"/>
      <c r="F490" s="1267"/>
      <c r="I490" s="1048"/>
    </row>
    <row r="491" spans="1:9">
      <c r="A491" s="273"/>
      <c r="B491" s="273"/>
      <c r="C491" s="273"/>
      <c r="D491" s="1267"/>
      <c r="E491" s="1267"/>
      <c r="F491" s="1267"/>
      <c r="I491" s="1048"/>
    </row>
    <row r="492" spans="1:9">
      <c r="D492" s="1267"/>
      <c r="E492" s="1267"/>
      <c r="F492" s="1267"/>
      <c r="I492" s="1048"/>
    </row>
    <row r="493" spans="1:9">
      <c r="D493" s="1050"/>
      <c r="E493" s="1050"/>
      <c r="F493" s="1050"/>
      <c r="I493" s="1048"/>
    </row>
    <row r="494" spans="1:9">
      <c r="B494" s="339" t="s">
        <v>2811</v>
      </c>
      <c r="D494" s="1268" t="s">
        <v>432</v>
      </c>
      <c r="E494" s="1268"/>
      <c r="F494" s="1268"/>
      <c r="I494" s="1048"/>
    </row>
    <row r="495" spans="1:9">
      <c r="A495" s="1050"/>
      <c r="B495" s="1050"/>
      <c r="I495" s="1048"/>
    </row>
    <row r="496" spans="1:9">
      <c r="A496" s="1270" t="s">
        <v>433</v>
      </c>
      <c r="B496" s="1270"/>
      <c r="C496" s="1270"/>
      <c r="D496" s="1270"/>
      <c r="E496" s="1270"/>
      <c r="F496" s="1270"/>
      <c r="G496" s="1270"/>
      <c r="H496" s="809"/>
      <c r="I496" s="929"/>
    </row>
    <row r="497" spans="1:9">
      <c r="A497" s="1050"/>
      <c r="B497" s="1050"/>
      <c r="I497" s="1048"/>
    </row>
    <row r="498" spans="1:9">
      <c r="D498" s="1280" t="s">
        <v>434</v>
      </c>
      <c r="E498" s="1280"/>
      <c r="F498" s="1280"/>
      <c r="I498" s="1048"/>
    </row>
    <row r="499" spans="1:9" ht="14.25">
      <c r="A499" s="338"/>
      <c r="B499" s="338"/>
      <c r="D499" s="1281" t="s">
        <v>435</v>
      </c>
      <c r="E499" s="1281"/>
      <c r="F499" s="1281"/>
      <c r="I499" s="1048"/>
    </row>
    <row r="500" spans="1:9" ht="14.25">
      <c r="A500" s="338"/>
      <c r="B500" s="338"/>
      <c r="D500" s="1056"/>
      <c r="I500" s="1048"/>
    </row>
    <row r="501" spans="1:9" ht="14.25">
      <c r="A501" s="338"/>
      <c r="B501" s="339" t="s">
        <v>2811</v>
      </c>
      <c r="D501" s="1246" t="s">
        <v>436</v>
      </c>
      <c r="E501" s="1246"/>
      <c r="F501" s="1246"/>
      <c r="I501" s="1048"/>
    </row>
    <row r="502" spans="1:9" ht="14.25">
      <c r="A502" s="338"/>
      <c r="B502" s="338"/>
      <c r="D502" s="1246"/>
      <c r="E502" s="1246"/>
      <c r="F502" s="1246"/>
      <c r="I502" s="1048"/>
    </row>
    <row r="503" spans="1:9" ht="14.25">
      <c r="A503" s="338"/>
      <c r="B503" s="338"/>
      <c r="D503" s="1050"/>
      <c r="I503" s="1048"/>
    </row>
    <row r="504" spans="1:9" ht="12.75" customHeight="1">
      <c r="B504" s="339" t="s">
        <v>2811</v>
      </c>
      <c r="D504" s="1271" t="s">
        <v>437</v>
      </c>
      <c r="E504" s="1271"/>
      <c r="F504" s="1271"/>
      <c r="I504" s="1048"/>
    </row>
    <row r="505" spans="1:9" ht="14.25">
      <c r="A505" s="338"/>
      <c r="D505" s="1271"/>
      <c r="E505" s="1271"/>
      <c r="F505" s="1271"/>
      <c r="I505" s="1048"/>
    </row>
    <row r="506" spans="1:9" ht="14.25">
      <c r="A506" s="338"/>
      <c r="B506" s="338"/>
      <c r="D506" s="1271"/>
      <c r="E506" s="1271"/>
      <c r="F506" s="1271"/>
      <c r="I506" s="1048"/>
    </row>
    <row r="507" spans="1:9" ht="14.25">
      <c r="A507" s="338"/>
      <c r="B507" s="338"/>
      <c r="D507" s="1271"/>
      <c r="E507" s="1271"/>
      <c r="F507" s="1271"/>
      <c r="I507" s="1048"/>
    </row>
    <row r="508" spans="1:9" ht="14.25">
      <c r="A508" s="338"/>
      <c r="D508" s="371"/>
      <c r="E508" s="371"/>
      <c r="F508" s="371"/>
      <c r="I508" s="1048"/>
    </row>
    <row r="509" spans="1:9" ht="14.25">
      <c r="A509" s="338"/>
      <c r="B509" s="339" t="s">
        <v>2811</v>
      </c>
      <c r="D509" s="1268" t="s">
        <v>438</v>
      </c>
      <c r="E509" s="1268"/>
      <c r="F509" s="1268"/>
      <c r="I509" s="1048"/>
    </row>
    <row r="510" spans="1:9" ht="14.25">
      <c r="A510" s="338"/>
      <c r="B510" s="338"/>
      <c r="D510" s="1050"/>
      <c r="I510" s="1048"/>
    </row>
    <row r="511" spans="1:9" ht="14.25">
      <c r="A511" s="338"/>
      <c r="B511" s="339" t="s">
        <v>2811</v>
      </c>
      <c r="D511" s="1267" t="s">
        <v>439</v>
      </c>
      <c r="E511" s="1267"/>
      <c r="F511" s="1267"/>
      <c r="I511" s="1048"/>
    </row>
    <row r="512" spans="1:9" ht="14.25">
      <c r="A512" s="338"/>
      <c r="D512" s="1267"/>
      <c r="E512" s="1267"/>
      <c r="F512" s="1267"/>
      <c r="I512" s="1048"/>
    </row>
    <row r="513" spans="1:9">
      <c r="A513" s="1048"/>
      <c r="B513" s="1048"/>
      <c r="D513" s="1056"/>
      <c r="I513" s="1048"/>
    </row>
    <row r="514" spans="1:9">
      <c r="A514" s="1048"/>
      <c r="B514" s="339" t="s">
        <v>2811</v>
      </c>
      <c r="D514" s="1268" t="s">
        <v>440</v>
      </c>
      <c r="E514" s="1268"/>
      <c r="F514" s="1268"/>
      <c r="I514" s="1048"/>
    </row>
    <row r="515" spans="1:9">
      <c r="D515" s="1050"/>
      <c r="E515" s="1050"/>
      <c r="F515" s="1050"/>
      <c r="I515" s="1048"/>
    </row>
    <row r="516" spans="1:9">
      <c r="B516" s="339" t="s">
        <v>2811</v>
      </c>
      <c r="D516" s="1267" t="s">
        <v>441</v>
      </c>
      <c r="E516" s="1267"/>
      <c r="F516" s="1267"/>
      <c r="I516" s="1048"/>
    </row>
    <row r="517" spans="1:9">
      <c r="D517" s="1267"/>
      <c r="E517" s="1267"/>
      <c r="F517" s="1267"/>
      <c r="I517" s="1048"/>
    </row>
    <row r="518" spans="1:9">
      <c r="D518" s="1267"/>
      <c r="E518" s="1267"/>
      <c r="F518" s="1267"/>
      <c r="I518" s="1048"/>
    </row>
    <row r="519" spans="1:9">
      <c r="D519" s="1050"/>
      <c r="E519" s="1050"/>
      <c r="F519" s="1050"/>
      <c r="I519" s="1048"/>
    </row>
    <row r="520" spans="1:9" ht="14.25">
      <c r="A520" s="338"/>
      <c r="B520" s="338"/>
      <c r="D520" s="1050"/>
      <c r="I520" s="1048"/>
    </row>
    <row r="521" spans="1:9">
      <c r="A521" s="1270" t="s">
        <v>442</v>
      </c>
      <c r="B521" s="1270"/>
      <c r="C521" s="1270"/>
      <c r="D521" s="1270"/>
      <c r="E521" s="1270"/>
      <c r="F521" s="1270"/>
      <c r="G521" s="1270"/>
      <c r="H521" s="809"/>
      <c r="I521" s="929"/>
    </row>
    <row r="522" spans="1:9" ht="12" customHeight="1">
      <c r="A522" s="338"/>
      <c r="B522" s="338"/>
      <c r="D522" s="1050"/>
      <c r="I522" s="1048"/>
    </row>
    <row r="523" spans="1:9">
      <c r="C523" s="1047"/>
      <c r="D523" s="1276" t="s">
        <v>443</v>
      </c>
      <c r="E523" s="1276"/>
      <c r="F523" s="1276"/>
      <c r="I523" s="1048"/>
    </row>
    <row r="524" spans="1:9">
      <c r="C524" s="1047"/>
      <c r="D524" s="359" t="s">
        <v>444</v>
      </c>
      <c r="E524" s="359"/>
      <c r="F524" s="359"/>
      <c r="I524" s="1048"/>
    </row>
    <row r="525" spans="1:9">
      <c r="C525" s="1047"/>
      <c r="D525" s="359" t="s">
        <v>445</v>
      </c>
      <c r="E525" s="359"/>
      <c r="F525" s="359"/>
      <c r="I525" s="1048"/>
    </row>
    <row r="526" spans="1:9">
      <c r="C526" s="1047"/>
      <c r="D526" s="1053"/>
      <c r="E526" s="1053"/>
      <c r="F526" s="1053"/>
      <c r="I526" s="1048"/>
    </row>
    <row r="527" spans="1:9" ht="13.9" customHeight="1">
      <c r="A527" s="337"/>
      <c r="B527" s="339" t="s">
        <v>2812</v>
      </c>
      <c r="C527" s="337"/>
      <c r="D527" s="1246" t="s">
        <v>446</v>
      </c>
      <c r="E527" s="1246"/>
      <c r="F527" s="1246"/>
      <c r="I527" s="1048"/>
    </row>
    <row r="528" spans="1:9">
      <c r="A528" s="337"/>
      <c r="B528" s="337"/>
      <c r="C528" s="337"/>
      <c r="D528" s="1246"/>
      <c r="E528" s="1246"/>
      <c r="F528" s="1246"/>
      <c r="I528" s="1048"/>
    </row>
    <row r="529" spans="1:9">
      <c r="A529" s="337"/>
      <c r="B529" s="337"/>
      <c r="C529" s="337"/>
      <c r="D529" s="1040"/>
      <c r="E529" s="1040"/>
      <c r="F529" s="1040"/>
      <c r="I529" s="336"/>
    </row>
    <row r="530" spans="1:9" ht="12.75" customHeight="1">
      <c r="A530" s="337"/>
      <c r="B530" s="339" t="s">
        <v>2811</v>
      </c>
      <c r="D530" s="259" t="s">
        <v>447</v>
      </c>
      <c r="E530" s="1060"/>
      <c r="F530" s="1060"/>
      <c r="I530" s="1048"/>
    </row>
    <row r="531" spans="1:9">
      <c r="A531" s="337"/>
      <c r="B531" s="337"/>
      <c r="C531" s="337"/>
      <c r="D531" s="1060"/>
      <c r="E531" s="55" t="s">
        <v>448</v>
      </c>
      <c r="I531" s="1048"/>
    </row>
    <row r="532" spans="1:9">
      <c r="A532" s="337"/>
      <c r="B532" s="337"/>
      <c r="D532" s="1263" t="s">
        <v>449</v>
      </c>
      <c r="E532" s="1263"/>
      <c r="F532" s="1263"/>
      <c r="I532" s="1048"/>
    </row>
    <row r="533" spans="1:9">
      <c r="A533" s="337"/>
      <c r="B533" s="337"/>
      <c r="D533" s="1263"/>
      <c r="E533" s="1263"/>
      <c r="F533" s="1263"/>
      <c r="I533" s="1048"/>
    </row>
    <row r="534" spans="1:9">
      <c r="A534" s="337"/>
      <c r="B534" s="337"/>
      <c r="C534" s="337"/>
      <c r="D534" s="1263"/>
      <c r="E534" s="1263"/>
      <c r="F534" s="1263"/>
      <c r="I534" s="1048"/>
    </row>
    <row r="535" spans="1:9">
      <c r="A535" s="337"/>
      <c r="B535" s="337"/>
      <c r="C535" s="337"/>
      <c r="D535" s="351"/>
      <c r="F535" s="1050"/>
      <c r="I535" s="1048"/>
    </row>
    <row r="536" spans="1:9" ht="13.5" customHeight="1">
      <c r="A536" s="337"/>
      <c r="B536" s="339" t="s">
        <v>2811</v>
      </c>
      <c r="C536" s="337"/>
      <c r="D536" s="1267" t="s">
        <v>450</v>
      </c>
      <c r="E536" s="1267"/>
      <c r="F536" s="1267"/>
      <c r="I536" s="1048"/>
    </row>
    <row r="537" spans="1:9" ht="13.5" customHeight="1">
      <c r="A537" s="337"/>
      <c r="B537" s="337"/>
      <c r="C537" s="337"/>
      <c r="D537" s="1267"/>
      <c r="E537" s="1267"/>
      <c r="F537" s="1267"/>
      <c r="I537" s="1048"/>
    </row>
    <row r="538" spans="1:9">
      <c r="A538" s="337"/>
      <c r="B538" s="337"/>
      <c r="C538" s="337"/>
      <c r="D538" s="1267"/>
      <c r="E538" s="1267"/>
      <c r="F538" s="1267"/>
      <c r="I538" s="1048"/>
    </row>
    <row r="539" spans="1:9" ht="12" customHeight="1">
      <c r="A539" s="1050"/>
      <c r="B539" s="1050"/>
      <c r="C539" s="341"/>
      <c r="D539" s="1050"/>
      <c r="F539" s="1055"/>
      <c r="I539" s="1048"/>
    </row>
    <row r="540" spans="1:9">
      <c r="A540" s="1270" t="s">
        <v>451</v>
      </c>
      <c r="B540" s="1270"/>
      <c r="C540" s="1270"/>
      <c r="D540" s="1270"/>
      <c r="E540" s="1270"/>
      <c r="F540" s="1270"/>
      <c r="G540" s="1270"/>
      <c r="H540" s="809"/>
      <c r="I540" s="929"/>
    </row>
    <row r="541" spans="1:9">
      <c r="A541" s="1050"/>
      <c r="B541" s="1050"/>
      <c r="C541" s="341"/>
      <c r="F541" s="1055"/>
      <c r="I541" s="1048"/>
    </row>
    <row r="542" spans="1:9">
      <c r="B542" s="1274" t="s">
        <v>349</v>
      </c>
      <c r="C542" s="1274"/>
      <c r="D542" s="1274"/>
      <c r="E542" s="1274"/>
      <c r="F542" s="1274"/>
      <c r="I542" s="1048"/>
    </row>
    <row r="543" spans="1:9">
      <c r="A543" s="1050"/>
      <c r="B543" s="1050"/>
      <c r="C543" s="341"/>
      <c r="D543" s="1050"/>
      <c r="F543" s="1050"/>
      <c r="I543" s="1048"/>
    </row>
    <row r="544" spans="1:9">
      <c r="A544" s="1275" t="s">
        <v>452</v>
      </c>
      <c r="B544" s="1275"/>
      <c r="C544" s="1275"/>
      <c r="D544" s="1275"/>
      <c r="E544" s="1275"/>
      <c r="F544" s="1275"/>
      <c r="G544" s="1275"/>
      <c r="H544" s="809"/>
      <c r="I544" s="929"/>
    </row>
    <row r="545" spans="1:9">
      <c r="A545" s="1050"/>
      <c r="B545" s="1050"/>
      <c r="C545" s="341"/>
      <c r="D545" s="1050"/>
      <c r="F545" s="1050"/>
      <c r="I545" s="1048"/>
    </row>
    <row r="546" spans="1:9">
      <c r="C546" s="341"/>
      <c r="D546" s="1276" t="s">
        <v>453</v>
      </c>
      <c r="E546" s="1276"/>
      <c r="F546" s="1276"/>
      <c r="I546" s="1048"/>
    </row>
    <row r="547" spans="1:9">
      <c r="C547" s="341"/>
      <c r="D547" s="1268" t="s">
        <v>454</v>
      </c>
      <c r="E547" s="1268"/>
      <c r="F547" s="1268"/>
      <c r="I547" s="1048"/>
    </row>
    <row r="548" spans="1:9">
      <c r="C548" s="341"/>
      <c r="D548" s="1050"/>
      <c r="E548" s="1050"/>
      <c r="F548" s="1050"/>
      <c r="I548" s="1048"/>
    </row>
    <row r="549" spans="1:9" ht="13.9" customHeight="1">
      <c r="A549" s="338"/>
      <c r="B549" s="339" t="s">
        <v>2812</v>
      </c>
      <c r="C549" s="341"/>
      <c r="D549" s="1268" t="s">
        <v>455</v>
      </c>
      <c r="E549" s="1268"/>
      <c r="F549" s="1268"/>
      <c r="I549" s="1048"/>
    </row>
    <row r="550" spans="1:9" ht="13.9" customHeight="1">
      <c r="A550" s="341"/>
      <c r="B550" s="341"/>
      <c r="C550" s="341"/>
      <c r="D550" s="1050"/>
      <c r="I550" s="1048"/>
    </row>
    <row r="551" spans="1:9" ht="14.25">
      <c r="A551" s="338"/>
      <c r="B551" s="339" t="s">
        <v>2812</v>
      </c>
      <c r="C551" s="341"/>
      <c r="D551" s="1267" t="s">
        <v>456</v>
      </c>
      <c r="E551" s="1267"/>
      <c r="F551" s="1267"/>
      <c r="I551" s="1048"/>
    </row>
    <row r="552" spans="1:9">
      <c r="A552" s="341"/>
      <c r="B552" s="341"/>
      <c r="C552" s="341"/>
      <c r="D552" s="1267"/>
      <c r="E552" s="1267"/>
      <c r="F552" s="1267"/>
      <c r="I552" s="1048"/>
    </row>
    <row r="553" spans="1:9">
      <c r="A553" s="341"/>
      <c r="B553" s="341"/>
      <c r="C553" s="341"/>
      <c r="D553" s="1050"/>
      <c r="E553" s="1050"/>
      <c r="F553" s="1050"/>
      <c r="I553" s="1048"/>
    </row>
    <row r="554" spans="1:9" ht="14.25">
      <c r="A554" s="338"/>
      <c r="B554" s="339" t="s">
        <v>2812</v>
      </c>
      <c r="C554" s="341"/>
      <c r="D554" s="1267" t="s">
        <v>457</v>
      </c>
      <c r="E554" s="1267"/>
      <c r="F554" s="1267"/>
      <c r="I554" s="1048"/>
    </row>
    <row r="555" spans="1:9">
      <c r="A555" s="341"/>
      <c r="B555" s="341"/>
      <c r="C555" s="341"/>
      <c r="D555" s="1267"/>
      <c r="E555" s="1267"/>
      <c r="F555" s="1267"/>
      <c r="I555" s="1048"/>
    </row>
    <row r="556" spans="1:9">
      <c r="A556" s="341"/>
      <c r="B556" s="341"/>
      <c r="C556" s="341"/>
      <c r="D556" s="1050"/>
      <c r="E556" s="1050"/>
      <c r="F556" s="1050"/>
      <c r="I556" s="1048"/>
    </row>
    <row r="557" spans="1:9" ht="14.25">
      <c r="A557" s="338"/>
      <c r="B557" s="339" t="s">
        <v>2812</v>
      </c>
      <c r="C557" s="341"/>
      <c r="D557" s="1267" t="s">
        <v>458</v>
      </c>
      <c r="E557" s="1267"/>
      <c r="F557" s="1267"/>
      <c r="I557" s="1048"/>
    </row>
    <row r="558" spans="1:9">
      <c r="A558" s="341"/>
      <c r="B558" s="341"/>
      <c r="C558" s="341"/>
      <c r="D558" s="1267"/>
      <c r="E558" s="1267"/>
      <c r="F558" s="1267"/>
      <c r="I558" s="1048"/>
    </row>
    <row r="559" spans="1:9">
      <c r="A559" s="341"/>
      <c r="B559" s="341"/>
      <c r="C559" s="341"/>
      <c r="D559" s="1050"/>
      <c r="E559" s="1050"/>
      <c r="F559" s="1050"/>
      <c r="I559" s="1048"/>
    </row>
    <row r="560" spans="1:9" ht="14.25">
      <c r="A560" s="338"/>
      <c r="B560" s="339" t="s">
        <v>2812</v>
      </c>
      <c r="C560" s="341"/>
      <c r="D560" s="1267" t="s">
        <v>459</v>
      </c>
      <c r="E560" s="1267"/>
      <c r="F560" s="1267"/>
      <c r="I560" s="1048"/>
    </row>
    <row r="561" spans="1:9">
      <c r="A561" s="341"/>
      <c r="B561" s="341"/>
      <c r="C561" s="341"/>
      <c r="D561" s="1267"/>
      <c r="E561" s="1267"/>
      <c r="F561" s="1267"/>
      <c r="I561" s="1048"/>
    </row>
    <row r="562" spans="1:9">
      <c r="A562" s="341"/>
      <c r="B562" s="341"/>
      <c r="C562" s="341"/>
      <c r="D562" s="1267"/>
      <c r="E562" s="1267"/>
      <c r="F562" s="1267"/>
      <c r="I562" s="1048"/>
    </row>
    <row r="563" spans="1:9">
      <c r="A563" s="341"/>
      <c r="B563" s="341"/>
      <c r="C563" s="341"/>
      <c r="D563" s="1050"/>
      <c r="E563" s="1050"/>
      <c r="F563" s="1050"/>
      <c r="I563" s="1048"/>
    </row>
    <row r="564" spans="1:9" ht="14.25">
      <c r="A564" s="338"/>
      <c r="B564" s="339" t="s">
        <v>2811</v>
      </c>
      <c r="C564" s="341"/>
      <c r="D564" s="1267" t="s">
        <v>460</v>
      </c>
      <c r="E564" s="1267"/>
      <c r="F564" s="1267"/>
      <c r="I564" s="1048"/>
    </row>
    <row r="565" spans="1:9">
      <c r="A565" s="341"/>
      <c r="B565" s="341"/>
      <c r="C565" s="341"/>
      <c r="D565" s="1267"/>
      <c r="E565" s="1267"/>
      <c r="F565" s="1267"/>
      <c r="I565" s="1048"/>
    </row>
    <row r="566" spans="1:9">
      <c r="A566" s="341"/>
      <c r="B566" s="341"/>
      <c r="C566" s="341"/>
      <c r="D566" s="1050"/>
      <c r="E566" s="1050"/>
      <c r="F566" s="1050"/>
      <c r="I566" s="1048"/>
    </row>
    <row r="567" spans="1:9" ht="14.25">
      <c r="A567" s="338"/>
      <c r="B567" s="339" t="s">
        <v>2811</v>
      </c>
      <c r="C567" s="341"/>
      <c r="D567" s="1267" t="s">
        <v>461</v>
      </c>
      <c r="E567" s="1267"/>
      <c r="F567" s="1267"/>
      <c r="I567" s="1048"/>
    </row>
    <row r="568" spans="1:9">
      <c r="A568" s="341"/>
      <c r="B568" s="341"/>
      <c r="C568" s="341"/>
      <c r="D568" s="1267"/>
      <c r="E568" s="1267"/>
      <c r="F568" s="1267"/>
      <c r="I568" s="1048"/>
    </row>
    <row r="569" spans="1:9">
      <c r="A569" s="341"/>
      <c r="B569" s="341"/>
      <c r="C569" s="341"/>
      <c r="D569" s="1050"/>
      <c r="E569" s="1050"/>
      <c r="F569" s="1050"/>
      <c r="I569" s="1048"/>
    </row>
    <row r="570" spans="1:9" ht="14.25">
      <c r="A570" s="338"/>
      <c r="B570" s="339" t="s">
        <v>2812</v>
      </c>
      <c r="C570" s="341"/>
      <c r="D570" s="1268" t="s">
        <v>462</v>
      </c>
      <c r="E570" s="1268"/>
      <c r="F570" s="1268"/>
      <c r="I570" s="1048"/>
    </row>
    <row r="571" spans="1:9">
      <c r="A571" s="1048"/>
      <c r="B571" s="1048"/>
      <c r="C571" s="341"/>
      <c r="D571" s="1268" t="s">
        <v>463</v>
      </c>
      <c r="E571" s="1268"/>
      <c r="F571" s="1268"/>
      <c r="I571" s="1048"/>
    </row>
    <row r="572" spans="1:9">
      <c r="A572" s="1048"/>
      <c r="B572" s="1048"/>
      <c r="C572" s="341"/>
      <c r="E572" s="55" t="s">
        <v>464</v>
      </c>
      <c r="F572" s="275"/>
      <c r="I572" s="1048"/>
    </row>
    <row r="573" spans="1:9" ht="14.25">
      <c r="A573" s="338"/>
      <c r="B573" s="338"/>
      <c r="C573" s="341"/>
      <c r="E573" s="1050"/>
      <c r="F573" s="1050"/>
      <c r="I573" s="1048"/>
    </row>
    <row r="574" spans="1:9" ht="14.25">
      <c r="A574" s="338"/>
      <c r="B574" s="339" t="s">
        <v>2812</v>
      </c>
      <c r="C574" s="341"/>
      <c r="D574" s="1268" t="s">
        <v>465</v>
      </c>
      <c r="E574" s="1268"/>
      <c r="F574" s="1268"/>
      <c r="I574" s="1048"/>
    </row>
    <row r="575" spans="1:9">
      <c r="C575" s="341"/>
      <c r="D575" s="1267" t="s">
        <v>466</v>
      </c>
      <c r="E575" s="1267"/>
      <c r="F575" s="1267"/>
      <c r="I575" s="1048"/>
    </row>
    <row r="576" spans="1:9">
      <c r="A576" s="341"/>
      <c r="B576" s="341"/>
      <c r="C576" s="341"/>
      <c r="D576" s="1267"/>
      <c r="E576" s="1267"/>
      <c r="F576" s="1267"/>
      <c r="I576" s="1048"/>
    </row>
    <row r="577" spans="1:9">
      <c r="A577" s="341"/>
      <c r="B577" s="341"/>
      <c r="C577" s="341"/>
      <c r="D577" s="1267"/>
      <c r="E577" s="1267"/>
      <c r="F577" s="1267"/>
      <c r="I577" s="1048"/>
    </row>
    <row r="578" spans="1:9">
      <c r="A578" s="341"/>
      <c r="B578" s="341"/>
      <c r="C578" s="341"/>
      <c r="D578" s="1050"/>
      <c r="E578" s="1050"/>
      <c r="F578" s="1050"/>
      <c r="I578" s="1048"/>
    </row>
    <row r="579" spans="1:9" ht="14.25">
      <c r="A579" s="338"/>
      <c r="B579" s="339" t="s">
        <v>2812</v>
      </c>
      <c r="C579" s="341"/>
      <c r="D579" s="1267" t="s">
        <v>467</v>
      </c>
      <c r="E579" s="1267"/>
      <c r="F579" s="1267"/>
      <c r="I579" s="1048"/>
    </row>
    <row r="580" spans="1:9" ht="14.25">
      <c r="A580" s="338"/>
      <c r="B580" s="338"/>
      <c r="C580" s="341"/>
      <c r="D580" s="1267"/>
      <c r="E580" s="1267"/>
      <c r="F580" s="1267"/>
      <c r="I580" s="1048"/>
    </row>
    <row r="581" spans="1:9" ht="14.25">
      <c r="A581" s="338"/>
      <c r="B581" s="338"/>
      <c r="C581" s="341"/>
      <c r="D581" s="1267"/>
      <c r="E581" s="1267"/>
      <c r="F581" s="1267"/>
      <c r="I581" s="1048"/>
    </row>
    <row r="582" spans="1:9" ht="14.25">
      <c r="A582" s="338"/>
      <c r="B582" s="338"/>
      <c r="C582" s="341"/>
      <c r="D582" s="1267"/>
      <c r="E582" s="1267"/>
      <c r="F582" s="1267"/>
      <c r="I582" s="1048"/>
    </row>
    <row r="583" spans="1:9" ht="14.25">
      <c r="A583" s="338"/>
      <c r="B583" s="338"/>
      <c r="C583" s="341"/>
      <c r="D583" s="1050"/>
      <c r="E583" s="1050"/>
      <c r="F583" s="1050"/>
      <c r="I583" s="1048"/>
    </row>
    <row r="584" spans="1:9">
      <c r="A584" s="1270" t="s">
        <v>468</v>
      </c>
      <c r="B584" s="1270"/>
      <c r="C584" s="1270"/>
      <c r="D584" s="1270"/>
      <c r="E584" s="1270"/>
      <c r="F584" s="1270"/>
      <c r="G584" s="1270"/>
      <c r="H584" s="809"/>
      <c r="I584" s="929"/>
    </row>
    <row r="585" spans="1:9">
      <c r="A585" s="341"/>
      <c r="B585" s="341"/>
      <c r="C585" s="341"/>
      <c r="E585" s="1050"/>
      <c r="F585" s="1050"/>
      <c r="I585" s="1048"/>
    </row>
    <row r="586" spans="1:9" ht="12.75" customHeight="1">
      <c r="C586" s="1047"/>
      <c r="D586" s="1269" t="s">
        <v>469</v>
      </c>
      <c r="E586" s="1269"/>
      <c r="F586" s="1269"/>
      <c r="I586" s="1048"/>
    </row>
    <row r="587" spans="1:9">
      <c r="A587" s="337"/>
      <c r="B587" s="337"/>
      <c r="C587" s="337"/>
      <c r="D587" s="1271" t="s">
        <v>470</v>
      </c>
      <c r="E587" s="1271"/>
      <c r="F587" s="1271"/>
      <c r="I587" s="1048"/>
    </row>
    <row r="588" spans="1:9">
      <c r="A588" s="273"/>
      <c r="B588" s="273"/>
      <c r="C588" s="337"/>
      <c r="D588" s="352"/>
      <c r="I588" s="1048"/>
    </row>
    <row r="589" spans="1:9">
      <c r="A589" s="337"/>
      <c r="B589" s="339" t="s">
        <v>2812</v>
      </c>
      <c r="D589" s="1271" t="s">
        <v>471</v>
      </c>
      <c r="E589" s="1271"/>
      <c r="F589" s="1271"/>
      <c r="I589" s="1048"/>
    </row>
    <row r="590" spans="1:9">
      <c r="A590" s="1048"/>
      <c r="B590" s="1048"/>
      <c r="D590" s="333"/>
      <c r="I590" s="1048"/>
    </row>
    <row r="591" spans="1:9">
      <c r="A591" s="1048"/>
      <c r="B591" s="339" t="s">
        <v>2812</v>
      </c>
      <c r="D591" s="1271" t="s">
        <v>472</v>
      </c>
      <c r="E591" s="1271"/>
      <c r="F591" s="1271"/>
      <c r="I591" s="1048"/>
    </row>
    <row r="592" spans="1:9">
      <c r="A592" s="1048"/>
      <c r="B592" s="1048"/>
      <c r="D592" s="1271"/>
      <c r="E592" s="1271"/>
      <c r="F592" s="1271"/>
      <c r="I592" s="1048"/>
    </row>
    <row r="593" spans="1:9">
      <c r="A593" s="1048"/>
      <c r="B593" s="1048"/>
      <c r="D593" s="1271"/>
      <c r="E593" s="1271"/>
      <c r="F593" s="1271"/>
      <c r="I593" s="1048"/>
    </row>
    <row r="594" spans="1:9">
      <c r="A594" s="1048"/>
      <c r="B594" s="1048"/>
      <c r="D594" s="1271"/>
      <c r="E594" s="1271"/>
      <c r="F594" s="1271"/>
      <c r="I594" s="1048"/>
    </row>
    <row r="595" spans="1:9">
      <c r="A595" s="1048"/>
      <c r="B595" s="339" t="s">
        <v>2811</v>
      </c>
      <c r="D595" s="1271" t="s">
        <v>473</v>
      </c>
      <c r="E595" s="1271"/>
      <c r="F595" s="1271"/>
      <c r="I595" s="1048"/>
    </row>
    <row r="596" spans="1:9">
      <c r="A596" s="1048"/>
      <c r="B596" s="1048"/>
      <c r="D596" s="1271"/>
      <c r="E596" s="1271"/>
      <c r="F596" s="1271"/>
      <c r="I596" s="1048"/>
    </row>
    <row r="597" spans="1:9">
      <c r="A597" s="1048"/>
      <c r="B597" s="1048"/>
      <c r="D597" s="1271"/>
      <c r="E597" s="1271"/>
      <c r="F597" s="1271"/>
      <c r="I597" s="1048"/>
    </row>
    <row r="598" spans="1:9">
      <c r="A598" s="1048"/>
      <c r="B598" s="1048"/>
      <c r="D598" s="1271"/>
      <c r="E598" s="1271"/>
      <c r="F598" s="1271"/>
      <c r="I598" s="1048"/>
    </row>
    <row r="599" spans="1:9">
      <c r="A599" s="1048"/>
      <c r="B599" s="1048"/>
      <c r="D599" s="1051"/>
      <c r="E599" s="1051"/>
      <c r="F599" s="1051"/>
      <c r="I599" s="1048"/>
    </row>
    <row r="600" spans="1:9">
      <c r="A600" s="1048"/>
      <c r="B600" s="339" t="s">
        <v>2812</v>
      </c>
      <c r="D600" s="1271" t="s">
        <v>474</v>
      </c>
      <c r="E600" s="1271"/>
      <c r="F600" s="1271"/>
      <c r="I600" s="1048"/>
    </row>
    <row r="601" spans="1:9">
      <c r="A601" s="1048"/>
      <c r="B601" s="1048"/>
      <c r="D601" s="1271"/>
      <c r="E601" s="1271"/>
      <c r="F601" s="1271"/>
      <c r="I601" s="1048"/>
    </row>
    <row r="602" spans="1:9">
      <c r="A602" s="1048"/>
      <c r="B602" s="1048"/>
      <c r="D602" s="352"/>
      <c r="I602" s="1048"/>
    </row>
    <row r="603" spans="1:9">
      <c r="A603" s="1048"/>
      <c r="B603" s="339" t="s">
        <v>2811</v>
      </c>
      <c r="D603" s="1271" t="s">
        <v>475</v>
      </c>
      <c r="E603" s="1271"/>
      <c r="F603" s="1271"/>
      <c r="I603" s="1048"/>
    </row>
    <row r="604" spans="1:9">
      <c r="A604" s="1048"/>
      <c r="B604" s="1048"/>
      <c r="D604" s="1271"/>
      <c r="E604" s="1271"/>
      <c r="F604" s="1271"/>
      <c r="I604" s="1048"/>
    </row>
    <row r="605" spans="1:9" ht="14.25">
      <c r="A605" s="338"/>
      <c r="B605" s="338"/>
      <c r="D605" s="352"/>
      <c r="I605" s="1048"/>
    </row>
    <row r="606" spans="1:9">
      <c r="A606" s="1270" t="s">
        <v>476</v>
      </c>
      <c r="B606" s="1270"/>
      <c r="C606" s="1270"/>
      <c r="D606" s="1270"/>
      <c r="E606" s="1270"/>
      <c r="F606" s="1270"/>
      <c r="G606" s="1270"/>
      <c r="H606" s="809"/>
      <c r="I606" s="929"/>
    </row>
    <row r="607" spans="1:9">
      <c r="I607" s="1048"/>
    </row>
    <row r="608" spans="1:9">
      <c r="D608" s="1276" t="s">
        <v>477</v>
      </c>
      <c r="E608" s="1276"/>
      <c r="F608" s="1276"/>
      <c r="I608" s="1048"/>
    </row>
    <row r="609" spans="1:9">
      <c r="D609" s="1277" t="s">
        <v>478</v>
      </c>
      <c r="E609" s="1277"/>
      <c r="F609" s="1277"/>
      <c r="I609" s="1048"/>
    </row>
    <row r="610" spans="1:9">
      <c r="D610" s="1054"/>
      <c r="I610" s="1048"/>
    </row>
    <row r="611" spans="1:9" ht="14.25" customHeight="1">
      <c r="A611" s="338"/>
      <c r="B611" s="339" t="s">
        <v>2812</v>
      </c>
      <c r="D611" s="1294" t="s">
        <v>479</v>
      </c>
      <c r="E611" s="1294"/>
      <c r="F611" s="1294"/>
      <c r="I611" s="1048"/>
    </row>
    <row r="612" spans="1:9">
      <c r="D612" s="1294"/>
      <c r="E612" s="1294"/>
      <c r="F612" s="1294"/>
      <c r="I612" s="1048"/>
    </row>
    <row r="613" spans="1:9">
      <c r="D613" s="1060"/>
      <c r="E613" s="817" t="s">
        <v>480</v>
      </c>
      <c r="F613" s="1060"/>
      <c r="I613" s="1048"/>
    </row>
    <row r="614" spans="1:9">
      <c r="I614" s="1048"/>
    </row>
    <row r="615" spans="1:9">
      <c r="A615" s="1270" t="s">
        <v>481</v>
      </c>
      <c r="B615" s="1270"/>
      <c r="C615" s="1270"/>
      <c r="D615" s="1270"/>
      <c r="E615" s="1270"/>
      <c r="F615" s="1270"/>
      <c r="G615" s="1270"/>
      <c r="H615" s="809"/>
      <c r="I615" s="929"/>
    </row>
    <row r="616" spans="1:9">
      <c r="A616" s="1050"/>
      <c r="B616" s="1050"/>
      <c r="I616" s="1048"/>
    </row>
    <row r="617" spans="1:9">
      <c r="A617" s="1047"/>
      <c r="B617" s="1047"/>
      <c r="C617" s="1047"/>
      <c r="D617" s="1301" t="s">
        <v>482</v>
      </c>
      <c r="E617" s="1301"/>
      <c r="F617" s="1301"/>
      <c r="I617" s="1048"/>
    </row>
    <row r="618" spans="1:9">
      <c r="A618" s="1047"/>
      <c r="B618" s="1047"/>
      <c r="C618" s="1047"/>
      <c r="D618" s="1301"/>
      <c r="E618" s="1301"/>
      <c r="F618" s="1301"/>
      <c r="I618" s="1048"/>
    </row>
    <row r="619" spans="1:9">
      <c r="C619" s="337"/>
      <c r="D619" s="1277" t="s">
        <v>483</v>
      </c>
      <c r="E619" s="1277"/>
      <c r="F619" s="1277"/>
      <c r="I619" s="1048"/>
    </row>
    <row r="620" spans="1:9">
      <c r="C620" s="337"/>
      <c r="D620" s="1054"/>
      <c r="E620" s="1054"/>
      <c r="F620" s="1054"/>
      <c r="I620" s="1048"/>
    </row>
    <row r="621" spans="1:9">
      <c r="B621" s="339" t="s">
        <v>2812</v>
      </c>
      <c r="C621" s="337"/>
      <c r="D621" s="1283" t="s">
        <v>484</v>
      </c>
      <c r="E621" s="1283"/>
      <c r="F621" s="1283"/>
      <c r="I621" s="1048"/>
    </row>
    <row r="622" spans="1:9">
      <c r="C622" s="337"/>
      <c r="D622" s="1054"/>
      <c r="E622" s="1054"/>
      <c r="F622" s="1054"/>
      <c r="I622" s="1048"/>
    </row>
    <row r="623" spans="1:9" ht="12.75" customHeight="1">
      <c r="A623" s="1048"/>
      <c r="B623" s="339" t="s">
        <v>2812</v>
      </c>
      <c r="D623" s="1278" t="s">
        <v>485</v>
      </c>
      <c r="E623" s="1278"/>
      <c r="F623" s="1278"/>
      <c r="I623" s="1048"/>
    </row>
    <row r="624" spans="1:9">
      <c r="D624" s="1278"/>
      <c r="E624" s="1278"/>
      <c r="F624" s="1278"/>
      <c r="I624" s="1048"/>
    </row>
    <row r="625" spans="1:9">
      <c r="I625" s="1048"/>
    </row>
    <row r="626" spans="1:9">
      <c r="B626" s="339" t="s">
        <v>2812</v>
      </c>
      <c r="D626" s="1278" t="s">
        <v>486</v>
      </c>
      <c r="E626" s="1278"/>
      <c r="F626" s="1278"/>
      <c r="I626" s="1048"/>
    </row>
    <row r="627" spans="1:9">
      <c r="C627" s="353"/>
      <c r="D627" s="1278"/>
      <c r="E627" s="1278"/>
      <c r="F627" s="1278"/>
      <c r="I627" s="1048"/>
    </row>
    <row r="628" spans="1:9">
      <c r="C628" s="353"/>
      <c r="I628" s="1048"/>
    </row>
    <row r="629" spans="1:9">
      <c r="B629" s="339" t="s">
        <v>2811</v>
      </c>
      <c r="C629" s="353"/>
      <c r="D629" s="1278" t="s">
        <v>487</v>
      </c>
      <c r="E629" s="1278"/>
      <c r="F629" s="1278"/>
      <c r="I629" s="1048"/>
    </row>
    <row r="630" spans="1:9">
      <c r="C630" s="353"/>
      <c r="D630" s="1278"/>
      <c r="E630" s="1278"/>
      <c r="F630" s="1278"/>
      <c r="I630" s="353"/>
    </row>
    <row r="631" spans="1:9">
      <c r="C631" s="353"/>
      <c r="I631" s="1048"/>
    </row>
    <row r="632" spans="1:9">
      <c r="B632" s="339" t="s">
        <v>2811</v>
      </c>
      <c r="C632" s="353"/>
      <c r="D632" s="1283" t="s">
        <v>488</v>
      </c>
      <c r="E632" s="1283"/>
      <c r="F632" s="1283"/>
      <c r="I632" s="1048"/>
    </row>
    <row r="633" spans="1:9">
      <c r="C633" s="353"/>
      <c r="I633" s="1048"/>
    </row>
    <row r="634" spans="1:9">
      <c r="A634" s="1270" t="s">
        <v>489</v>
      </c>
      <c r="B634" s="1270"/>
      <c r="C634" s="1270"/>
      <c r="D634" s="1270"/>
      <c r="E634" s="1270"/>
      <c r="F634" s="1270"/>
      <c r="G634" s="1270"/>
      <c r="H634" s="809"/>
      <c r="I634" s="929"/>
    </row>
    <row r="635" spans="1:9">
      <c r="A635" s="1047"/>
      <c r="B635" s="1047"/>
      <c r="C635" s="1047"/>
      <c r="I635" s="1048"/>
    </row>
    <row r="636" spans="1:9">
      <c r="C636" s="1048"/>
      <c r="D636" s="1276" t="s">
        <v>490</v>
      </c>
      <c r="E636" s="1276"/>
      <c r="F636" s="1276"/>
      <c r="I636" s="1048"/>
    </row>
    <row r="637" spans="1:9">
      <c r="A637" s="1048"/>
      <c r="B637" s="1048"/>
      <c r="D637" s="275"/>
      <c r="I637" s="1048"/>
    </row>
    <row r="638" spans="1:9" ht="14.25" customHeight="1">
      <c r="A638" s="338"/>
      <c r="B638" s="339" t="s">
        <v>2812</v>
      </c>
      <c r="D638" s="1294" t="s">
        <v>491</v>
      </c>
      <c r="E638" s="1294"/>
      <c r="F638" s="1294"/>
      <c r="I638" s="1048"/>
    </row>
    <row r="639" spans="1:9">
      <c r="D639" s="1294"/>
      <c r="E639" s="1294"/>
      <c r="F639" s="1294"/>
      <c r="I639" s="1048"/>
    </row>
    <row r="640" spans="1:9">
      <c r="D640" s="1060"/>
      <c r="E640" s="817" t="s">
        <v>492</v>
      </c>
      <c r="F640" s="1060"/>
      <c r="I640" s="1048"/>
    </row>
    <row r="641" spans="1:9">
      <c r="D641" s="1267" t="s">
        <v>493</v>
      </c>
      <c r="E641" s="1267"/>
      <c r="F641" s="1267"/>
      <c r="I641" s="1048"/>
    </row>
    <row r="642" spans="1:9">
      <c r="D642" s="1267"/>
      <c r="E642" s="1267"/>
      <c r="F642" s="1267"/>
      <c r="I642" s="1048"/>
    </row>
    <row r="643" spans="1:9">
      <c r="D643" s="1267"/>
      <c r="E643" s="1267"/>
      <c r="F643" s="1267"/>
      <c r="I643" s="1048"/>
    </row>
    <row r="644" spans="1:9">
      <c r="D644" s="1049"/>
      <c r="E644" s="1049"/>
      <c r="F644" s="1049"/>
      <c r="I644" s="1048"/>
    </row>
    <row r="645" spans="1:9" ht="14.25">
      <c r="A645" s="338"/>
      <c r="B645" s="339" t="s">
        <v>2811</v>
      </c>
      <c r="D645" s="1267" t="s">
        <v>494</v>
      </c>
      <c r="E645" s="1267"/>
      <c r="F645" s="1267"/>
      <c r="I645" s="1048"/>
    </row>
    <row r="646" spans="1:9">
      <c r="A646" s="341"/>
      <c r="B646" s="341"/>
      <c r="C646" s="341"/>
      <c r="D646" s="1267"/>
      <c r="E646" s="1267"/>
      <c r="F646" s="1267"/>
      <c r="I646" s="1048"/>
    </row>
    <row r="647" spans="1:9">
      <c r="A647" s="341"/>
      <c r="B647" s="341"/>
      <c r="C647" s="341"/>
      <c r="D647" s="1050"/>
      <c r="E647" s="1050"/>
      <c r="F647" s="1050"/>
      <c r="I647" s="1048"/>
    </row>
    <row r="648" spans="1:9" ht="14.25">
      <c r="A648" s="338"/>
      <c r="B648" s="339" t="s">
        <v>2811</v>
      </c>
      <c r="C648" s="341"/>
      <c r="D648" s="1267" t="s">
        <v>495</v>
      </c>
      <c r="E648" s="1267"/>
      <c r="F648" s="1267"/>
      <c r="I648" s="1048"/>
    </row>
    <row r="649" spans="1:9" ht="14.25">
      <c r="A649" s="338"/>
      <c r="B649" s="338"/>
      <c r="C649" s="341"/>
      <c r="D649" s="1267"/>
      <c r="E649" s="1267"/>
      <c r="F649" s="1267"/>
      <c r="I649" s="1048"/>
    </row>
    <row r="650" spans="1:9" ht="14.25">
      <c r="A650" s="338"/>
      <c r="B650" s="338"/>
      <c r="C650" s="341"/>
      <c r="D650" s="1267"/>
      <c r="E650" s="1267"/>
      <c r="F650" s="1267"/>
      <c r="I650" s="1048"/>
    </row>
    <row r="651" spans="1:9">
      <c r="A651" s="341"/>
      <c r="B651" s="339" t="s">
        <v>2811</v>
      </c>
      <c r="C651" s="341"/>
      <c r="D651" s="1268" t="s">
        <v>496</v>
      </c>
      <c r="E651" s="1268"/>
      <c r="F651" s="1268"/>
      <c r="I651" s="1048"/>
    </row>
    <row r="652" spans="1:9">
      <c r="A652" s="341"/>
      <c r="B652" s="341"/>
      <c r="C652" s="341"/>
      <c r="D652" s="1050"/>
      <c r="E652" s="1050"/>
      <c r="F652" s="1050"/>
      <c r="I652" s="1048"/>
    </row>
    <row r="653" spans="1:9">
      <c r="A653" s="1270" t="s">
        <v>497</v>
      </c>
      <c r="B653" s="1270"/>
      <c r="C653" s="1270"/>
      <c r="D653" s="1270"/>
      <c r="E653" s="1270"/>
      <c r="F653" s="1270"/>
      <c r="G653" s="1270"/>
      <c r="H653" s="809"/>
      <c r="I653" s="929"/>
    </row>
    <row r="654" spans="1:9">
      <c r="A654" s="1050"/>
      <c r="B654" s="1050"/>
      <c r="C654" s="341"/>
      <c r="D654" s="1050"/>
      <c r="E654" s="1050"/>
      <c r="F654" s="1050"/>
      <c r="I654" s="1048"/>
    </row>
    <row r="655" spans="1:9">
      <c r="C655" s="1047"/>
      <c r="D655" s="1276" t="s">
        <v>498</v>
      </c>
      <c r="E655" s="1276"/>
      <c r="F655" s="1276"/>
      <c r="I655" s="1048"/>
    </row>
    <row r="656" spans="1:9">
      <c r="A656" s="337"/>
      <c r="B656" s="337"/>
      <c r="C656" s="337"/>
      <c r="D656" s="1268" t="s">
        <v>499</v>
      </c>
      <c r="E656" s="1268"/>
      <c r="F656" s="1268"/>
      <c r="I656" s="1048"/>
    </row>
    <row r="657" spans="1:9">
      <c r="A657" s="337"/>
      <c r="B657" s="337"/>
      <c r="C657" s="337"/>
      <c r="D657" s="1050"/>
      <c r="E657" s="1050"/>
      <c r="F657" s="1050"/>
      <c r="I657" s="1048"/>
    </row>
    <row r="658" spans="1:9" ht="12.75" customHeight="1">
      <c r="B658" s="339" t="s">
        <v>2812</v>
      </c>
      <c r="C658" s="341"/>
      <c r="D658" s="1267" t="s">
        <v>500</v>
      </c>
      <c r="E658" s="1267"/>
      <c r="F658" s="1267"/>
      <c r="I658" s="1048"/>
    </row>
    <row r="659" spans="1:9">
      <c r="D659" s="1267"/>
      <c r="E659" s="1267"/>
      <c r="F659" s="1267"/>
      <c r="I659" s="1048"/>
    </row>
    <row r="660" spans="1:9">
      <c r="D660" s="1267"/>
      <c r="E660" s="1267"/>
      <c r="F660" s="1267"/>
      <c r="I660" s="1048"/>
    </row>
    <row r="661" spans="1:9">
      <c r="D661" s="1267"/>
      <c r="E661" s="1267"/>
      <c r="F661" s="1267"/>
      <c r="I661" s="1048"/>
    </row>
    <row r="662" spans="1:9" ht="14.65" customHeight="1">
      <c r="A662" s="338"/>
      <c r="B662" s="338"/>
      <c r="C662" s="341"/>
      <c r="D662" s="1060"/>
      <c r="E662" s="1060"/>
      <c r="F662" s="1060"/>
      <c r="I662" s="1048"/>
    </row>
    <row r="663" spans="1:9" ht="12.75" customHeight="1">
      <c r="A663" s="337"/>
      <c r="B663" s="339" t="s">
        <v>2812</v>
      </c>
      <c r="C663" s="341"/>
      <c r="D663" s="1267" t="s">
        <v>501</v>
      </c>
      <c r="E663" s="1267"/>
      <c r="F663" s="1267"/>
      <c r="I663" s="1048"/>
    </row>
    <row r="664" spans="1:9" ht="14.25">
      <c r="A664" s="337"/>
      <c r="B664" s="338"/>
      <c r="C664" s="341"/>
      <c r="D664" s="1267"/>
      <c r="E664" s="1267"/>
      <c r="F664" s="1267"/>
      <c r="I664" s="1048"/>
    </row>
    <row r="665" spans="1:9" ht="14.25">
      <c r="A665" s="337"/>
      <c r="B665" s="338"/>
      <c r="C665" s="341"/>
      <c r="D665" s="1267"/>
      <c r="E665" s="1267"/>
      <c r="F665" s="1267"/>
      <c r="I665" s="1048"/>
    </row>
    <row r="666" spans="1:9" ht="14.25">
      <c r="A666" s="337"/>
      <c r="B666" s="338"/>
      <c r="C666" s="341"/>
      <c r="D666" s="1267"/>
      <c r="E666" s="1267"/>
      <c r="F666" s="1267"/>
      <c r="I666" s="1048"/>
    </row>
    <row r="667" spans="1:9" ht="14.25">
      <c r="A667" s="337"/>
      <c r="B667" s="338"/>
      <c r="C667" s="341"/>
      <c r="D667" s="1267"/>
      <c r="E667" s="1267"/>
      <c r="F667" s="1267"/>
      <c r="I667" s="1048"/>
    </row>
    <row r="668" spans="1:9" ht="14.25" customHeight="1">
      <c r="A668" s="337"/>
      <c r="B668" s="338"/>
      <c r="C668" s="341"/>
      <c r="F668" s="259"/>
      <c r="I668" s="1048"/>
    </row>
    <row r="669" spans="1:9" ht="12.75" customHeight="1">
      <c r="A669" s="337"/>
      <c r="B669" s="339" t="s">
        <v>2812</v>
      </c>
      <c r="C669" s="341"/>
      <c r="D669" s="1267" t="s">
        <v>502</v>
      </c>
      <c r="E669" s="1267"/>
      <c r="F669" s="1267"/>
      <c r="I669" s="1048"/>
    </row>
    <row r="670" spans="1:9" ht="14.25">
      <c r="A670" s="337"/>
      <c r="B670" s="338"/>
      <c r="C670" s="341"/>
      <c r="D670" s="1267"/>
      <c r="E670" s="1267"/>
      <c r="F670" s="1267"/>
      <c r="I670" s="1048"/>
    </row>
    <row r="671" spans="1:9" ht="14.25">
      <c r="A671" s="338"/>
      <c r="B671" s="338"/>
      <c r="C671" s="341"/>
      <c r="D671" s="1267"/>
      <c r="E671" s="1267"/>
      <c r="F671" s="1267"/>
      <c r="I671" s="1048"/>
    </row>
    <row r="672" spans="1:9" ht="14.25">
      <c r="A672" s="338"/>
      <c r="B672" s="338"/>
      <c r="C672" s="341"/>
      <c r="D672" s="1267"/>
      <c r="E672" s="1267"/>
      <c r="F672" s="1267"/>
      <c r="I672" s="1048"/>
    </row>
    <row r="673" spans="1:11" ht="14.25">
      <c r="A673" s="338"/>
      <c r="B673" s="338"/>
      <c r="C673" s="341"/>
      <c r="D673" s="1049"/>
      <c r="E673" s="1049"/>
      <c r="F673" s="1049"/>
      <c r="I673" s="1048"/>
    </row>
    <row r="674" spans="1:11" ht="12.75" customHeight="1">
      <c r="A674" s="337"/>
      <c r="B674" s="339" t="s">
        <v>2811</v>
      </c>
      <c r="C674" s="341"/>
      <c r="D674" s="1267" t="s">
        <v>503</v>
      </c>
      <c r="E674" s="1267"/>
      <c r="F674" s="1267"/>
      <c r="I674" s="1048"/>
    </row>
    <row r="675" spans="1:11" ht="12.75" customHeight="1">
      <c r="A675" s="337"/>
      <c r="B675" s="338"/>
      <c r="C675" s="341"/>
      <c r="D675" s="1267"/>
      <c r="E675" s="1267"/>
      <c r="F675" s="1267"/>
      <c r="I675" s="1048"/>
    </row>
    <row r="676" spans="1:11" ht="12.75" customHeight="1">
      <c r="A676" s="337"/>
      <c r="B676" s="338"/>
      <c r="C676" s="341"/>
      <c r="D676" s="1267"/>
      <c r="E676" s="1267"/>
      <c r="F676" s="1267"/>
      <c r="I676" s="1048"/>
    </row>
    <row r="677" spans="1:11" ht="12.75" customHeight="1">
      <c r="A677" s="337"/>
      <c r="B677" s="338"/>
      <c r="C677" s="341"/>
      <c r="D677" s="1267"/>
      <c r="E677" s="1267"/>
      <c r="F677" s="1267"/>
      <c r="I677" s="1048"/>
    </row>
    <row r="678" spans="1:11" ht="12.75" customHeight="1">
      <c r="A678" s="337"/>
      <c r="B678" s="338"/>
      <c r="C678" s="341"/>
      <c r="D678" s="1267"/>
      <c r="E678" s="1267"/>
      <c r="F678" s="1267"/>
      <c r="I678" s="1048"/>
    </row>
    <row r="679" spans="1:11" ht="12.75" customHeight="1">
      <c r="A679" s="337"/>
      <c r="B679" s="338"/>
      <c r="C679" s="341"/>
      <c r="D679" s="1267"/>
      <c r="E679" s="1267"/>
      <c r="F679" s="1267"/>
      <c r="I679" s="1048"/>
    </row>
    <row r="680" spans="1:11" ht="12.75" customHeight="1">
      <c r="A680" s="337"/>
      <c r="B680" s="338"/>
      <c r="C680" s="341"/>
      <c r="D680" s="1267"/>
      <c r="E680" s="1267"/>
      <c r="F680" s="1267"/>
      <c r="I680" s="1048"/>
    </row>
    <row r="681" spans="1:11" ht="12.75" customHeight="1">
      <c r="A681" s="337"/>
      <c r="B681" s="338"/>
      <c r="C681" s="341"/>
      <c r="D681" s="1267"/>
      <c r="E681" s="1267"/>
      <c r="F681" s="1267"/>
      <c r="I681" s="1048"/>
    </row>
    <row r="682" spans="1:11" ht="12.75" customHeight="1">
      <c r="A682" s="337"/>
      <c r="B682" s="338"/>
      <c r="C682" s="341"/>
      <c r="D682" s="1267"/>
      <c r="E682" s="1267"/>
      <c r="F682" s="1267"/>
      <c r="I682" s="1048"/>
    </row>
    <row r="683" spans="1:11">
      <c r="A683" s="341"/>
      <c r="B683" s="341"/>
      <c r="C683" s="341"/>
      <c r="D683" s="1050"/>
      <c r="E683" s="1050"/>
      <c r="F683" s="1050"/>
      <c r="I683" s="1048"/>
    </row>
    <row r="684" spans="1:11">
      <c r="A684" s="1270" t="s">
        <v>504</v>
      </c>
      <c r="B684" s="1270"/>
      <c r="C684" s="1270"/>
      <c r="D684" s="1270"/>
      <c r="E684" s="1270"/>
      <c r="F684" s="1270"/>
      <c r="G684" s="1270"/>
      <c r="H684" s="811"/>
      <c r="I684" s="933"/>
      <c r="J684" s="354"/>
      <c r="K684" s="354"/>
    </row>
    <row r="685" spans="1:11">
      <c r="A685" s="1055"/>
      <c r="B685" s="1055"/>
      <c r="C685" s="1055"/>
      <c r="D685" s="1055"/>
      <c r="E685" s="1055"/>
      <c r="F685" s="1055"/>
      <c r="G685" s="1055"/>
      <c r="H685" s="354"/>
      <c r="I685" s="337"/>
      <c r="J685" s="354"/>
      <c r="K685" s="354"/>
    </row>
    <row r="686" spans="1:11">
      <c r="C686" s="1047"/>
      <c r="D686" s="1276" t="s">
        <v>505</v>
      </c>
      <c r="E686" s="1276"/>
      <c r="F686" s="1276"/>
      <c r="H686" s="354"/>
      <c r="I686" s="337"/>
      <c r="J686" s="354"/>
      <c r="K686" s="354"/>
    </row>
    <row r="687" spans="1:11">
      <c r="A687" s="1047"/>
      <c r="B687" s="1047"/>
      <c r="C687" s="1047"/>
      <c r="D687" s="1276" t="s">
        <v>506</v>
      </c>
      <c r="E687" s="1276"/>
      <c r="F687" s="1276"/>
      <c r="H687" s="354"/>
      <c r="I687" s="337"/>
      <c r="J687" s="354"/>
      <c r="K687" s="354"/>
    </row>
    <row r="688" spans="1:11">
      <c r="A688" s="337"/>
      <c r="B688" s="337"/>
      <c r="C688" s="337"/>
      <c r="D688" s="1268" t="s">
        <v>507</v>
      </c>
      <c r="E688" s="1268"/>
      <c r="F688" s="1268"/>
      <c r="H688" s="354"/>
      <c r="I688" s="337"/>
      <c r="J688" s="354"/>
      <c r="K688" s="354"/>
    </row>
    <row r="689" spans="1:11">
      <c r="A689" s="337"/>
      <c r="B689" s="337"/>
      <c r="C689" s="337"/>
      <c r="H689" s="354"/>
      <c r="I689" s="337"/>
      <c r="J689" s="354"/>
      <c r="K689" s="354"/>
    </row>
    <row r="690" spans="1:11" ht="14.25">
      <c r="A690" s="338"/>
      <c r="B690" s="339" t="s">
        <v>2812</v>
      </c>
      <c r="C690" s="337"/>
      <c r="D690" s="1268" t="s">
        <v>508</v>
      </c>
      <c r="E690" s="1268"/>
      <c r="F690" s="1268"/>
      <c r="H690" s="354"/>
      <c r="I690" s="337"/>
      <c r="J690" s="354"/>
      <c r="K690" s="354"/>
    </row>
    <row r="691" spans="1:11">
      <c r="A691" s="337"/>
      <c r="B691" s="337"/>
      <c r="C691" s="337"/>
      <c r="D691" s="1268" t="s">
        <v>509</v>
      </c>
      <c r="E691" s="1268"/>
      <c r="F691" s="1268"/>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0"/>
      <c r="H694" s="354"/>
      <c r="I694" s="337"/>
      <c r="J694" s="354"/>
      <c r="K694" s="354"/>
    </row>
    <row r="695" spans="1:11" ht="14.25">
      <c r="A695" s="338"/>
      <c r="B695" s="339" t="s">
        <v>2812</v>
      </c>
      <c r="C695" s="337"/>
      <c r="D695" s="1267" t="s">
        <v>512</v>
      </c>
      <c r="E695" s="1267"/>
      <c r="F695" s="1267"/>
      <c r="H695" s="354"/>
      <c r="I695" s="337"/>
      <c r="J695" s="354"/>
      <c r="K695" s="354"/>
    </row>
    <row r="696" spans="1:11">
      <c r="A696" s="1048"/>
      <c r="B696" s="1048"/>
      <c r="C696" s="337"/>
      <c r="D696" s="1267"/>
      <c r="E696" s="1267"/>
      <c r="F696" s="1267"/>
      <c r="H696" s="354"/>
      <c r="I696" s="337"/>
      <c r="J696" s="354"/>
      <c r="K696" s="354"/>
    </row>
    <row r="697" spans="1:11">
      <c r="A697" s="337"/>
      <c r="B697" s="337"/>
      <c r="C697" s="337"/>
      <c r="D697" s="1267"/>
      <c r="E697" s="1267"/>
      <c r="F697" s="1267"/>
      <c r="H697" s="354"/>
      <c r="I697" s="337"/>
      <c r="J697" s="354"/>
      <c r="K697" s="354"/>
    </row>
    <row r="698" spans="1:11">
      <c r="A698" s="337"/>
      <c r="B698" s="337"/>
      <c r="C698" s="337"/>
      <c r="H698" s="354"/>
      <c r="J698" s="354"/>
      <c r="K698" s="354"/>
    </row>
    <row r="699" spans="1:11" ht="14.25">
      <c r="A699" s="338"/>
      <c r="B699" s="339" t="s">
        <v>2812</v>
      </c>
      <c r="C699" s="337"/>
      <c r="D699" s="1268" t="s">
        <v>513</v>
      </c>
      <c r="E699" s="1268"/>
      <c r="F699" s="1268"/>
      <c r="H699" s="354"/>
      <c r="I699" s="337"/>
      <c r="J699" s="354"/>
      <c r="K699" s="354"/>
    </row>
    <row r="700" spans="1:11" ht="14.25">
      <c r="A700" s="338"/>
      <c r="B700" s="338"/>
      <c r="C700" s="337"/>
      <c r="D700" s="1268" t="s">
        <v>509</v>
      </c>
      <c r="E700" s="1268"/>
      <c r="F700" s="1268"/>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2811</v>
      </c>
      <c r="C703" s="337"/>
      <c r="D703" s="1268" t="s">
        <v>515</v>
      </c>
      <c r="E703" s="1268"/>
      <c r="F703" s="1268"/>
      <c r="H703" s="354"/>
      <c r="I703" s="337"/>
      <c r="J703" s="354"/>
      <c r="K703" s="354"/>
    </row>
    <row r="704" spans="1:11" ht="14.25">
      <c r="A704" s="338"/>
      <c r="B704" s="338"/>
      <c r="C704" s="337"/>
      <c r="D704" s="1268" t="s">
        <v>509</v>
      </c>
      <c r="E704" s="1268"/>
      <c r="F704" s="1268"/>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2812</v>
      </c>
      <c r="C707" s="337"/>
      <c r="D707" s="1267" t="s">
        <v>517</v>
      </c>
      <c r="E707" s="1267"/>
      <c r="F707" s="1267"/>
      <c r="H707" s="354"/>
      <c r="I707" s="337"/>
      <c r="J707" s="354"/>
      <c r="K707" s="354"/>
    </row>
    <row r="708" spans="1:11">
      <c r="A708" s="337"/>
      <c r="B708" s="337"/>
      <c r="C708" s="337"/>
      <c r="D708" s="1267"/>
      <c r="E708" s="1267"/>
      <c r="F708" s="1267"/>
      <c r="H708" s="354"/>
      <c r="I708" s="337"/>
      <c r="J708" s="354"/>
      <c r="K708" s="354"/>
    </row>
    <row r="709" spans="1:11">
      <c r="A709" s="337"/>
      <c r="B709" s="337"/>
      <c r="C709" s="337"/>
      <c r="D709" s="1267"/>
      <c r="E709" s="1267"/>
      <c r="F709" s="1267"/>
      <c r="H709" s="354"/>
      <c r="I709" s="337"/>
      <c r="J709" s="354"/>
      <c r="K709" s="354"/>
    </row>
    <row r="710" spans="1:11">
      <c r="A710" s="337"/>
      <c r="B710" s="337"/>
      <c r="C710" s="337"/>
      <c r="D710" s="1267"/>
      <c r="E710" s="1267"/>
      <c r="F710" s="1267"/>
      <c r="H710" s="354"/>
      <c r="I710" s="337"/>
      <c r="J710" s="354"/>
      <c r="K710" s="354"/>
    </row>
    <row r="711" spans="1:11">
      <c r="A711" s="337"/>
      <c r="B711" s="337"/>
      <c r="C711" s="337"/>
      <c r="D711" s="1267"/>
      <c r="E711" s="1267"/>
      <c r="F711" s="1267"/>
      <c r="H711" s="354"/>
      <c r="I711" s="337"/>
      <c r="J711" s="354"/>
      <c r="K711" s="354"/>
    </row>
    <row r="712" spans="1:11">
      <c r="A712" s="337"/>
      <c r="B712" s="337"/>
      <c r="C712" s="337"/>
      <c r="D712" s="1267"/>
      <c r="E712" s="1267"/>
      <c r="F712" s="1267"/>
      <c r="H712" s="354"/>
      <c r="I712" s="337"/>
      <c r="J712" s="354"/>
      <c r="K712" s="354"/>
    </row>
    <row r="713" spans="1:11">
      <c r="A713" s="337"/>
      <c r="B713" s="337"/>
      <c r="C713" s="337"/>
      <c r="D713" s="1049"/>
      <c r="E713" s="1049"/>
      <c r="F713" s="1049"/>
      <c r="H713" s="354"/>
      <c r="I713" s="337"/>
      <c r="J713" s="354"/>
      <c r="K713" s="354"/>
    </row>
    <row r="714" spans="1:11">
      <c r="A714" s="337"/>
      <c r="B714" s="339" t="s">
        <v>2812</v>
      </c>
      <c r="C714" s="337"/>
      <c r="D714" s="1267" t="s">
        <v>518</v>
      </c>
      <c r="E714" s="1267"/>
      <c r="F714" s="1267"/>
      <c r="H714" s="354"/>
      <c r="I714" s="337"/>
      <c r="J714" s="354"/>
      <c r="K714" s="354"/>
    </row>
    <row r="715" spans="1:11">
      <c r="A715" s="337"/>
      <c r="B715" s="337"/>
      <c r="C715" s="337"/>
      <c r="D715" s="1267"/>
      <c r="E715" s="1267"/>
      <c r="F715" s="1267"/>
      <c r="H715" s="354"/>
      <c r="I715" s="337"/>
      <c r="J715" s="354"/>
      <c r="K715" s="354"/>
    </row>
    <row r="716" spans="1:11">
      <c r="A716" s="337"/>
      <c r="B716" s="337"/>
      <c r="C716" s="337"/>
      <c r="D716" s="1049"/>
      <c r="E716" s="1049"/>
      <c r="F716" s="1049"/>
      <c r="H716" s="354"/>
      <c r="I716" s="337"/>
      <c r="J716" s="354"/>
      <c r="K716" s="354"/>
    </row>
    <row r="717" spans="1:11" ht="14.25">
      <c r="A717" s="338"/>
      <c r="B717" s="339" t="s">
        <v>2811</v>
      </c>
      <c r="C717" s="337"/>
      <c r="D717" s="1267" t="s">
        <v>519</v>
      </c>
      <c r="E717" s="1267"/>
      <c r="F717" s="1267"/>
      <c r="H717" s="354"/>
      <c r="I717" s="337"/>
      <c r="J717" s="354"/>
      <c r="K717" s="354"/>
    </row>
    <row r="718" spans="1:11">
      <c r="A718" s="337"/>
      <c r="B718" s="337"/>
      <c r="C718" s="337"/>
      <c r="D718" s="1267"/>
      <c r="E718" s="1267"/>
      <c r="F718" s="1267"/>
      <c r="H718" s="354"/>
      <c r="I718" s="337"/>
      <c r="J718" s="354"/>
      <c r="K718" s="354"/>
    </row>
    <row r="719" spans="1:11">
      <c r="A719" s="337"/>
      <c r="B719" s="337"/>
      <c r="C719" s="337"/>
      <c r="D719" s="1267"/>
      <c r="E719" s="1267"/>
      <c r="F719" s="1267"/>
      <c r="H719" s="354"/>
      <c r="I719" s="337"/>
      <c r="J719" s="354"/>
      <c r="K719" s="354"/>
    </row>
    <row r="720" spans="1:11" ht="15" customHeight="1">
      <c r="A720" s="337"/>
      <c r="B720" s="337"/>
      <c r="C720" s="337"/>
      <c r="D720" s="1267"/>
      <c r="E720" s="1267"/>
      <c r="F720" s="1267"/>
      <c r="H720" s="354"/>
      <c r="I720" s="337"/>
      <c r="J720" s="354"/>
      <c r="K720" s="354"/>
    </row>
    <row r="721" spans="1:11" ht="15" customHeight="1">
      <c r="A721" s="337"/>
      <c r="B721" s="337"/>
      <c r="C721" s="337"/>
      <c r="D721" s="1267"/>
      <c r="E721" s="1267"/>
      <c r="F721" s="1267"/>
      <c r="H721" s="354"/>
      <c r="I721" s="337"/>
      <c r="J721" s="354"/>
      <c r="K721" s="354"/>
    </row>
    <row r="722" spans="1:11">
      <c r="A722" s="337"/>
      <c r="B722" s="337"/>
      <c r="C722" s="337"/>
      <c r="D722" s="1267"/>
      <c r="E722" s="1267"/>
      <c r="F722" s="1267"/>
      <c r="H722" s="354"/>
      <c r="I722" s="337"/>
      <c r="J722" s="354"/>
      <c r="K722" s="354"/>
    </row>
    <row r="723" spans="1:11">
      <c r="A723" s="337"/>
      <c r="B723" s="337"/>
      <c r="C723" s="337"/>
      <c r="D723" s="1267"/>
      <c r="E723" s="1267"/>
      <c r="F723" s="1267"/>
      <c r="H723" s="354"/>
      <c r="I723" s="337"/>
      <c r="J723" s="354"/>
      <c r="K723" s="354"/>
    </row>
    <row r="724" spans="1:11">
      <c r="A724" s="337"/>
      <c r="B724" s="337"/>
      <c r="C724" s="337"/>
      <c r="D724" s="1267"/>
      <c r="E724" s="1267"/>
      <c r="F724" s="1267"/>
      <c r="H724" s="354"/>
      <c r="I724" s="337"/>
      <c r="J724" s="354"/>
      <c r="K724" s="354"/>
    </row>
    <row r="725" spans="1:11" ht="15" customHeight="1">
      <c r="A725" s="337"/>
      <c r="B725" s="337"/>
      <c r="C725" s="337"/>
      <c r="D725" s="1267"/>
      <c r="E725" s="1267"/>
      <c r="F725" s="1267"/>
      <c r="H725" s="354"/>
      <c r="I725" s="337"/>
      <c r="J725" s="354"/>
      <c r="K725" s="354"/>
    </row>
    <row r="726" spans="1:11">
      <c r="A726" s="337"/>
      <c r="B726" s="337"/>
      <c r="C726" s="337"/>
      <c r="D726" s="1267"/>
      <c r="E726" s="1267"/>
      <c r="F726" s="1267"/>
      <c r="H726" s="354"/>
      <c r="I726" s="337"/>
      <c r="J726" s="354"/>
      <c r="K726" s="354"/>
    </row>
    <row r="727" spans="1:11">
      <c r="A727" s="337"/>
      <c r="B727" s="337"/>
      <c r="C727" s="337"/>
      <c r="D727" s="1267"/>
      <c r="E727" s="1267"/>
      <c r="F727" s="1267"/>
      <c r="H727" s="354"/>
      <c r="I727" s="337"/>
      <c r="J727" s="354"/>
      <c r="K727" s="354"/>
    </row>
    <row r="728" spans="1:11">
      <c r="A728" s="337"/>
      <c r="B728" s="337"/>
      <c r="C728" s="337"/>
      <c r="D728" s="1267"/>
      <c r="E728" s="1267"/>
      <c r="F728" s="1267"/>
      <c r="H728" s="354"/>
      <c r="I728" s="337"/>
      <c r="J728" s="354"/>
      <c r="K728" s="354"/>
    </row>
    <row r="729" spans="1:11">
      <c r="A729" s="337"/>
      <c r="B729" s="337"/>
      <c r="C729" s="337"/>
      <c r="D729" s="1267"/>
      <c r="E729" s="1267"/>
      <c r="F729" s="1267"/>
      <c r="H729" s="354"/>
      <c r="I729" s="337"/>
      <c r="J729" s="354"/>
      <c r="K729" s="354"/>
    </row>
    <row r="730" spans="1:11">
      <c r="A730" s="337"/>
      <c r="B730" s="339" t="s">
        <v>2811</v>
      </c>
      <c r="C730" s="337"/>
      <c r="D730" s="1267" t="s">
        <v>520</v>
      </c>
      <c r="E730" s="1267"/>
      <c r="F730" s="1267"/>
      <c r="H730" s="354"/>
      <c r="I730" s="337"/>
      <c r="J730" s="354"/>
      <c r="K730" s="354"/>
    </row>
    <row r="731" spans="1:11">
      <c r="A731" s="337"/>
      <c r="B731" s="337"/>
      <c r="C731" s="337"/>
      <c r="D731" s="1267"/>
      <c r="E731" s="1267"/>
      <c r="F731" s="1267"/>
      <c r="H731" s="354"/>
      <c r="I731" s="337"/>
      <c r="J731" s="354"/>
      <c r="K731" s="354"/>
    </row>
    <row r="732" spans="1:11">
      <c r="A732" s="337"/>
      <c r="B732" s="337"/>
      <c r="C732" s="337"/>
      <c r="D732" s="1267"/>
      <c r="E732" s="1267"/>
      <c r="F732" s="1267"/>
      <c r="H732" s="354"/>
      <c r="I732" s="337"/>
      <c r="J732" s="354"/>
      <c r="K732" s="354"/>
    </row>
    <row r="733" spans="1:11">
      <c r="A733" s="337"/>
      <c r="B733" s="337"/>
      <c r="C733" s="337"/>
      <c r="D733" s="1049"/>
      <c r="E733" s="1049"/>
      <c r="F733" s="1049"/>
      <c r="H733" s="354"/>
      <c r="I733" s="337"/>
      <c r="J733" s="354"/>
      <c r="K733" s="354"/>
    </row>
    <row r="734" spans="1:11">
      <c r="A734" s="337"/>
      <c r="B734" s="339" t="s">
        <v>2811</v>
      </c>
      <c r="C734" s="337"/>
      <c r="D734" s="1267" t="s">
        <v>521</v>
      </c>
      <c r="E734" s="1267"/>
      <c r="F734" s="1267"/>
      <c r="H734" s="354"/>
      <c r="I734" s="337"/>
      <c r="J734" s="354"/>
      <c r="K734" s="354"/>
    </row>
    <row r="735" spans="1:11">
      <c r="A735" s="337"/>
      <c r="B735" s="337"/>
      <c r="C735" s="337"/>
      <c r="D735" s="1267"/>
      <c r="E735" s="1267"/>
      <c r="F735" s="1267"/>
      <c r="H735" s="354"/>
      <c r="I735" s="337"/>
      <c r="J735" s="354"/>
      <c r="K735" s="354"/>
    </row>
    <row r="736" spans="1:11">
      <c r="A736" s="337"/>
      <c r="B736" s="337"/>
      <c r="C736" s="337"/>
      <c r="D736" s="1267"/>
      <c r="E736" s="1267"/>
      <c r="F736" s="1267"/>
      <c r="H736" s="354"/>
      <c r="I736" s="337"/>
      <c r="J736" s="354"/>
      <c r="K736" s="354"/>
    </row>
    <row r="737" spans="1:11">
      <c r="A737" s="337"/>
      <c r="B737" s="337"/>
      <c r="C737" s="337"/>
      <c r="H737" s="354"/>
      <c r="I737" s="337"/>
      <c r="J737" s="354"/>
      <c r="K737" s="354"/>
    </row>
    <row r="738" spans="1:11">
      <c r="A738" s="337"/>
      <c r="B738" s="339" t="s">
        <v>2811</v>
      </c>
      <c r="C738" s="337"/>
      <c r="D738" s="1267" t="s">
        <v>522</v>
      </c>
      <c r="E738" s="1267"/>
      <c r="F738" s="1267"/>
      <c r="H738" s="354"/>
      <c r="I738" s="337"/>
      <c r="J738" s="354"/>
      <c r="K738" s="354"/>
    </row>
    <row r="739" spans="1:11">
      <c r="A739" s="337"/>
      <c r="B739" s="337"/>
      <c r="C739" s="337"/>
      <c r="D739" s="1267"/>
      <c r="E739" s="1267"/>
      <c r="F739" s="1267"/>
      <c r="H739" s="354"/>
      <c r="I739" s="337"/>
      <c r="J739" s="354"/>
      <c r="K739" s="354"/>
    </row>
    <row r="740" spans="1:11">
      <c r="A740" s="337"/>
      <c r="B740" s="337"/>
      <c r="C740" s="337"/>
      <c r="D740" s="1267"/>
      <c r="E740" s="1267"/>
      <c r="F740" s="1267"/>
      <c r="H740" s="354"/>
      <c r="I740" s="337"/>
      <c r="J740" s="354"/>
      <c r="K740" s="354"/>
    </row>
    <row r="741" spans="1:11">
      <c r="A741" s="337"/>
      <c r="B741" s="337"/>
      <c r="C741" s="337"/>
      <c r="D741" s="1267"/>
      <c r="E741" s="1267"/>
      <c r="F741" s="1267"/>
      <c r="H741" s="354"/>
      <c r="I741" s="337"/>
      <c r="J741" s="354"/>
      <c r="K741" s="354"/>
    </row>
    <row r="742" spans="1:11">
      <c r="A742" s="337"/>
      <c r="B742" s="337"/>
      <c r="C742" s="337"/>
      <c r="H742" s="354"/>
      <c r="I742" s="337"/>
      <c r="J742" s="354"/>
      <c r="K742" s="354"/>
    </row>
    <row r="743" spans="1:11" ht="14.25">
      <c r="A743" s="338"/>
      <c r="B743" s="339" t="s">
        <v>2811</v>
      </c>
      <c r="C743" s="337"/>
      <c r="D743" s="1267" t="s">
        <v>523</v>
      </c>
      <c r="E743" s="1267"/>
      <c r="F743" s="1267"/>
      <c r="H743" s="354"/>
      <c r="I743" s="337"/>
      <c r="J743" s="354"/>
      <c r="K743" s="354"/>
    </row>
    <row r="744" spans="1:11">
      <c r="A744" s="337"/>
      <c r="B744" s="337"/>
      <c r="C744" s="337"/>
      <c r="D744" s="1267"/>
      <c r="E744" s="1267"/>
      <c r="F744" s="1267"/>
      <c r="H744" s="354"/>
      <c r="I744" s="337"/>
      <c r="J744" s="354"/>
      <c r="K744" s="354"/>
    </row>
    <row r="745" spans="1:11">
      <c r="A745" s="337"/>
      <c r="B745" s="337"/>
      <c r="C745" s="337"/>
      <c r="D745" s="1267"/>
      <c r="E745" s="1267"/>
      <c r="F745" s="1267"/>
      <c r="H745" s="354"/>
      <c r="I745" s="337"/>
      <c r="J745" s="354"/>
      <c r="K745" s="354"/>
    </row>
    <row r="746" spans="1:11">
      <c r="A746" s="337"/>
      <c r="B746" s="337"/>
      <c r="C746" s="337"/>
      <c r="D746" s="1267"/>
      <c r="E746" s="1267"/>
      <c r="F746" s="1267"/>
      <c r="H746" s="354"/>
      <c r="I746" s="337"/>
      <c r="J746" s="354"/>
      <c r="K746" s="354"/>
    </row>
    <row r="747" spans="1:11">
      <c r="A747" s="337"/>
      <c r="B747" s="337"/>
      <c r="C747" s="337"/>
      <c r="D747" s="1267"/>
      <c r="E747" s="1267"/>
      <c r="F747" s="1267"/>
      <c r="H747" s="354"/>
      <c r="I747" s="337"/>
      <c r="J747" s="354"/>
      <c r="K747" s="354"/>
    </row>
    <row r="748" spans="1:11">
      <c r="A748" s="337"/>
      <c r="B748" s="337"/>
      <c r="C748" s="337"/>
      <c r="D748" s="345"/>
      <c r="H748" s="354"/>
      <c r="I748" s="337"/>
      <c r="J748" s="354"/>
      <c r="K748" s="354"/>
    </row>
    <row r="749" spans="1:11" ht="14.25">
      <c r="A749" s="338"/>
      <c r="B749" s="339" t="s">
        <v>2811</v>
      </c>
      <c r="C749" s="337"/>
      <c r="D749" s="1267" t="s">
        <v>524</v>
      </c>
      <c r="E749" s="1267"/>
      <c r="F749" s="1267"/>
      <c r="H749" s="354"/>
      <c r="I749" s="337"/>
      <c r="J749" s="354"/>
      <c r="K749" s="354"/>
    </row>
    <row r="750" spans="1:11">
      <c r="A750" s="337"/>
      <c r="B750" s="337"/>
      <c r="C750" s="337"/>
      <c r="D750" s="1267"/>
      <c r="E750" s="1267"/>
      <c r="F750" s="1267"/>
      <c r="H750" s="354"/>
      <c r="I750" s="337"/>
      <c r="J750" s="354"/>
      <c r="K750" s="354"/>
    </row>
    <row r="751" spans="1:11">
      <c r="A751" s="337"/>
      <c r="B751" s="337"/>
      <c r="C751" s="337"/>
      <c r="D751" s="1267"/>
      <c r="E751" s="1267"/>
      <c r="F751" s="1267"/>
      <c r="H751" s="354"/>
      <c r="I751" s="337"/>
      <c r="J751" s="354"/>
      <c r="K751" s="354"/>
    </row>
    <row r="752" spans="1:11">
      <c r="A752" s="337"/>
      <c r="B752" s="337"/>
      <c r="C752" s="337"/>
      <c r="D752" s="1267"/>
      <c r="E752" s="1267"/>
      <c r="F752" s="1267"/>
      <c r="H752" s="354"/>
      <c r="I752" s="337"/>
      <c r="J752" s="354"/>
      <c r="K752" s="354"/>
    </row>
    <row r="753" spans="1:11">
      <c r="A753" s="337"/>
      <c r="B753" s="337"/>
      <c r="C753" s="337"/>
      <c r="D753" s="1267"/>
      <c r="E753" s="1267"/>
      <c r="F753" s="1267"/>
      <c r="H753" s="354"/>
      <c r="I753" s="337"/>
      <c r="J753" s="354"/>
      <c r="K753" s="354"/>
    </row>
    <row r="754" spans="1:11">
      <c r="A754" s="337"/>
      <c r="B754" s="337"/>
      <c r="C754" s="337"/>
      <c r="D754" s="1267"/>
      <c r="E754" s="1267"/>
      <c r="F754" s="1267"/>
      <c r="H754" s="354"/>
      <c r="I754" s="337"/>
      <c r="J754" s="354"/>
      <c r="K754" s="354"/>
    </row>
    <row r="755" spans="1:11">
      <c r="A755" s="337"/>
      <c r="B755" s="337"/>
      <c r="C755" s="337"/>
      <c r="D755" s="1267"/>
      <c r="E755" s="1267"/>
      <c r="F755" s="1267"/>
      <c r="H755" s="354"/>
      <c r="I755" s="337"/>
      <c r="J755" s="354"/>
      <c r="K755" s="354"/>
    </row>
    <row r="756" spans="1:11">
      <c r="A756" s="337"/>
      <c r="B756" s="337"/>
      <c r="C756" s="337"/>
      <c r="D756" s="1305" t="s">
        <v>525</v>
      </c>
      <c r="E756" s="1305"/>
      <c r="F756" s="1305"/>
      <c r="H756" s="354"/>
      <c r="I756" s="337"/>
      <c r="J756" s="354"/>
      <c r="K756" s="354"/>
    </row>
    <row r="757" spans="1:11">
      <c r="A757" s="337"/>
      <c r="B757" s="337"/>
      <c r="C757" s="337"/>
      <c r="D757" s="1064"/>
      <c r="H757" s="354"/>
      <c r="I757" s="337"/>
      <c r="J757" s="354"/>
      <c r="K757" s="354"/>
    </row>
    <row r="758" spans="1:11">
      <c r="A758" s="1275" t="s">
        <v>526</v>
      </c>
      <c r="B758" s="1275"/>
      <c r="C758" s="1275"/>
      <c r="D758" s="1275"/>
      <c r="E758" s="1275"/>
      <c r="F758" s="1275"/>
      <c r="G758" s="1275"/>
      <c r="H758" s="811"/>
      <c r="I758" s="933"/>
      <c r="J758" s="354"/>
      <c r="K758" s="354"/>
    </row>
    <row r="759" spans="1:11">
      <c r="A759" s="337"/>
      <c r="B759" s="337"/>
      <c r="C759" s="337"/>
      <c r="D759" s="345"/>
      <c r="G759" s="354"/>
      <c r="H759" s="354"/>
      <c r="I759" s="337"/>
      <c r="J759" s="354"/>
      <c r="K759" s="354"/>
    </row>
    <row r="760" spans="1:11" ht="13.9" customHeight="1">
      <c r="C760" s="337"/>
      <c r="D760" s="1269" t="s">
        <v>527</v>
      </c>
      <c r="E760" s="1269"/>
      <c r="F760" s="1269"/>
      <c r="G760" s="354"/>
      <c r="H760" s="354"/>
      <c r="I760" s="337"/>
      <c r="J760" s="354"/>
      <c r="K760" s="354"/>
    </row>
    <row r="761" spans="1:11">
      <c r="A761" s="337"/>
      <c r="B761" s="337"/>
      <c r="C761" s="337"/>
      <c r="D761" s="1274" t="s">
        <v>528</v>
      </c>
      <c r="E761" s="1274"/>
      <c r="F761" s="1274"/>
      <c r="G761" s="354"/>
      <c r="H761" s="354"/>
      <c r="I761" s="337"/>
      <c r="J761" s="354"/>
      <c r="K761" s="354"/>
    </row>
    <row r="762" spans="1:11">
      <c r="A762" s="337"/>
      <c r="B762" s="337"/>
      <c r="C762" s="337"/>
      <c r="G762" s="354"/>
      <c r="H762" s="354"/>
      <c r="I762" s="337"/>
      <c r="J762" s="354"/>
      <c r="K762" s="354"/>
    </row>
    <row r="763" spans="1:11" ht="14.25">
      <c r="A763" s="338"/>
      <c r="B763" s="339" t="s">
        <v>2812</v>
      </c>
      <c r="D763" s="1267" t="s">
        <v>529</v>
      </c>
      <c r="E763" s="1267"/>
      <c r="F763" s="1267"/>
      <c r="G763" s="354"/>
      <c r="H763" s="354"/>
      <c r="I763" s="337"/>
      <c r="J763" s="354"/>
      <c r="K763" s="354"/>
    </row>
    <row r="764" spans="1:11" ht="10.5" customHeight="1">
      <c r="D764" s="1267"/>
      <c r="E764" s="1267"/>
      <c r="F764" s="1267"/>
      <c r="G764" s="354"/>
      <c r="H764" s="354"/>
      <c r="I764" s="337"/>
      <c r="J764" s="354"/>
      <c r="K764" s="354"/>
    </row>
    <row r="765" spans="1:11">
      <c r="D765" s="1267"/>
      <c r="E765" s="1267"/>
      <c r="F765" s="1267"/>
      <c r="G765" s="354"/>
      <c r="H765" s="354"/>
      <c r="I765" s="337"/>
      <c r="J765" s="354"/>
      <c r="K765" s="354"/>
    </row>
    <row r="766" spans="1:11">
      <c r="D766" s="1267"/>
      <c r="E766" s="1267"/>
      <c r="F766" s="1267"/>
      <c r="G766" s="354"/>
      <c r="H766" s="354"/>
      <c r="I766" s="337"/>
      <c r="J766" s="354"/>
      <c r="K766" s="354"/>
    </row>
    <row r="767" spans="1:11">
      <c r="D767" s="1267"/>
      <c r="E767" s="1267"/>
      <c r="F767" s="1267"/>
      <c r="G767" s="354"/>
      <c r="H767" s="354"/>
      <c r="I767" s="337"/>
      <c r="J767" s="354"/>
      <c r="K767" s="354"/>
    </row>
    <row r="768" spans="1:11" ht="15.75" customHeight="1">
      <c r="D768" s="1267"/>
      <c r="E768" s="1267"/>
      <c r="F768" s="1267"/>
      <c r="G768" s="354"/>
      <c r="H768" s="354"/>
      <c r="I768" s="337"/>
      <c r="J768" s="354"/>
      <c r="K768" s="354"/>
    </row>
    <row r="769" spans="1:11">
      <c r="D769" s="352"/>
      <c r="E769" s="1050"/>
      <c r="F769" s="1050"/>
      <c r="G769" s="354"/>
      <c r="H769" s="354"/>
      <c r="I769" s="337"/>
      <c r="J769" s="354"/>
      <c r="K769" s="354"/>
    </row>
    <row r="770" spans="1:11" s="358" customFormat="1" ht="14.25">
      <c r="A770" s="356"/>
      <c r="B770" s="339" t="s">
        <v>2812</v>
      </c>
      <c r="C770" s="357"/>
      <c r="D770" s="1267" t="s">
        <v>530</v>
      </c>
      <c r="E770" s="1267"/>
      <c r="F770" s="1267"/>
      <c r="I770" s="934"/>
    </row>
    <row r="771" spans="1:11" s="358" customFormat="1">
      <c r="A771" s="357"/>
      <c r="B771" s="357"/>
      <c r="C771" s="357"/>
      <c r="D771" s="1267"/>
      <c r="E771" s="1267"/>
      <c r="F771" s="1267"/>
      <c r="I771" s="934"/>
    </row>
    <row r="772" spans="1:11" s="358" customFormat="1">
      <c r="A772" s="357"/>
      <c r="B772" s="357"/>
      <c r="C772" s="357"/>
      <c r="D772" s="1267"/>
      <c r="E772" s="1267"/>
      <c r="F772" s="1267"/>
      <c r="I772" s="934"/>
    </row>
    <row r="773" spans="1:11" s="358" customFormat="1">
      <c r="A773" s="357"/>
      <c r="B773" s="357"/>
      <c r="C773" s="357"/>
      <c r="D773" s="1267"/>
      <c r="E773" s="1267"/>
      <c r="F773" s="1267"/>
      <c r="I773" s="934"/>
    </row>
    <row r="774" spans="1:11" s="358" customFormat="1">
      <c r="A774" s="357"/>
      <c r="B774" s="357"/>
      <c r="C774" s="357"/>
      <c r="D774" s="352"/>
      <c r="I774" s="934"/>
    </row>
    <row r="775" spans="1:11" s="358" customFormat="1" ht="14.25">
      <c r="A775" s="338"/>
      <c r="B775" s="339" t="s">
        <v>2812</v>
      </c>
      <c r="C775" s="357"/>
      <c r="D775" s="1278" t="s">
        <v>531</v>
      </c>
      <c r="E775" s="1278"/>
      <c r="F775" s="1278"/>
      <c r="I775" s="934"/>
    </row>
    <row r="776" spans="1:11" s="358" customFormat="1">
      <c r="A776" s="357"/>
      <c r="B776" s="357"/>
      <c r="C776" s="357"/>
      <c r="D776" s="1278"/>
      <c r="E776" s="1278"/>
      <c r="F776" s="1278"/>
      <c r="I776" s="934"/>
    </row>
    <row r="777" spans="1:11" s="358" customFormat="1">
      <c r="A777" s="357"/>
      <c r="B777" s="357"/>
      <c r="C777" s="357"/>
      <c r="D777" s="1278"/>
      <c r="E777" s="1278"/>
      <c r="F777" s="1278"/>
      <c r="I777" s="934"/>
    </row>
    <row r="778" spans="1:11">
      <c r="D778" s="352"/>
      <c r="E778" s="1050"/>
      <c r="F778" s="1050"/>
      <c r="G778" s="354"/>
      <c r="H778" s="354"/>
      <c r="I778" s="337"/>
      <c r="J778" s="354"/>
      <c r="K778" s="354"/>
    </row>
    <row r="779" spans="1:11" ht="14.25">
      <c r="A779" s="338"/>
      <c r="B779" s="339" t="s">
        <v>2811</v>
      </c>
      <c r="D779" s="1267" t="s">
        <v>532</v>
      </c>
      <c r="E779" s="1267"/>
      <c r="F779" s="1267"/>
      <c r="G779" s="354"/>
      <c r="H779" s="354"/>
      <c r="I779" s="337"/>
      <c r="J779" s="354"/>
      <c r="K779" s="354"/>
    </row>
    <row r="780" spans="1:11">
      <c r="D780" s="1267"/>
      <c r="E780" s="1267"/>
      <c r="F780" s="1267"/>
      <c r="G780" s="354"/>
      <c r="H780" s="354"/>
      <c r="I780" s="337"/>
      <c r="J780" s="354"/>
      <c r="K780" s="354"/>
    </row>
    <row r="781" spans="1:11">
      <c r="D781" s="1049"/>
      <c r="E781" s="1049"/>
      <c r="F781" s="1049"/>
      <c r="G781" s="354"/>
      <c r="H781" s="354"/>
      <c r="I781" s="337"/>
      <c r="J781" s="354"/>
      <c r="K781" s="354"/>
    </row>
    <row r="782" spans="1:11">
      <c r="B782" s="339" t="s">
        <v>2811</v>
      </c>
      <c r="D782" s="1267" t="s">
        <v>533</v>
      </c>
      <c r="E782" s="1267"/>
      <c r="F782" s="1267"/>
      <c r="G782" s="354"/>
      <c r="H782" s="354"/>
      <c r="I782" s="337"/>
      <c r="J782" s="354"/>
      <c r="K782" s="354"/>
    </row>
    <row r="783" spans="1:11">
      <c r="D783" s="1267"/>
      <c r="E783" s="1267"/>
      <c r="F783" s="1267"/>
      <c r="G783" s="354"/>
      <c r="H783" s="354"/>
      <c r="I783" s="337"/>
      <c r="J783" s="354"/>
      <c r="K783" s="354"/>
    </row>
    <row r="784" spans="1:11">
      <c r="D784" s="1267"/>
      <c r="E784" s="1267"/>
      <c r="F784" s="1267"/>
      <c r="G784" s="354"/>
      <c r="H784" s="354"/>
      <c r="I784" s="337"/>
      <c r="J784" s="354"/>
      <c r="K784" s="354"/>
    </row>
    <row r="785" spans="1:11">
      <c r="D785" s="1049"/>
      <c r="E785" s="1049"/>
      <c r="F785" s="1049"/>
      <c r="G785" s="354"/>
      <c r="H785" s="354"/>
      <c r="I785" s="337"/>
      <c r="J785" s="354"/>
      <c r="K785" s="354"/>
    </row>
    <row r="786" spans="1:11" hidden="1">
      <c r="A786" s="1297" t="s">
        <v>534</v>
      </c>
      <c r="B786" s="1297"/>
      <c r="C786" s="1297"/>
      <c r="D786" s="1297"/>
      <c r="E786" s="1297"/>
      <c r="F786" s="1297"/>
      <c r="G786" s="1297"/>
      <c r="H786" s="809"/>
      <c r="I786" s="929"/>
    </row>
    <row r="787" spans="1:11" hidden="1">
      <c r="A787" s="38"/>
      <c r="B787" s="38"/>
      <c r="C787" s="1110"/>
      <c r="D787" s="2"/>
      <c r="E787" s="2"/>
      <c r="F787" s="2"/>
      <c r="G787" s="2"/>
      <c r="I787" s="1048"/>
    </row>
    <row r="788" spans="1:11" hidden="1">
      <c r="A788" s="38"/>
      <c r="B788" s="38"/>
      <c r="C788" s="1110"/>
      <c r="D788" s="1296" t="s">
        <v>535</v>
      </c>
      <c r="E788" s="1296"/>
      <c r="F788" s="1296"/>
      <c r="G788" s="2"/>
      <c r="I788" s="1048"/>
    </row>
    <row r="789" spans="1:11" hidden="1">
      <c r="A789" s="38"/>
      <c r="B789" s="38"/>
      <c r="C789" s="1110"/>
      <c r="D789" s="1281" t="s">
        <v>536</v>
      </c>
      <c r="E789" s="1281"/>
      <c r="F789" s="1281"/>
      <c r="G789" s="2"/>
      <c r="I789" s="1048"/>
    </row>
    <row r="790" spans="1:11" hidden="1">
      <c r="A790" s="38"/>
      <c r="B790" s="38"/>
      <c r="C790" s="1110"/>
      <c r="D790" s="1056"/>
      <c r="E790" s="1056"/>
      <c r="F790" s="1056"/>
      <c r="G790" s="2"/>
      <c r="I790" s="1048"/>
    </row>
    <row r="791" spans="1:11" hidden="1">
      <c r="A791" s="38"/>
      <c r="B791" s="339" t="s">
        <v>311</v>
      </c>
      <c r="C791" s="1110"/>
      <c r="D791" s="1298" t="s">
        <v>537</v>
      </c>
      <c r="E791" s="1298"/>
      <c r="F791" s="1298"/>
      <c r="G791" s="2"/>
      <c r="I791" s="337"/>
    </row>
    <row r="792" spans="1:11" hidden="1">
      <c r="A792" s="38"/>
      <c r="B792" s="38"/>
      <c r="C792" s="1110"/>
      <c r="D792" s="1298"/>
      <c r="E792" s="1298"/>
      <c r="F792" s="1298"/>
      <c r="G792" s="2"/>
      <c r="I792" s="1048"/>
    </row>
    <row r="793" spans="1:11" hidden="1">
      <c r="A793" s="99"/>
      <c r="B793" s="99"/>
      <c r="C793" s="99"/>
      <c r="D793" s="1298"/>
      <c r="E793" s="1298"/>
      <c r="F793" s="1298"/>
      <c r="G793" s="68"/>
      <c r="I793" s="1048"/>
    </row>
    <row r="794" spans="1:11" hidden="1">
      <c r="A794" s="1110"/>
      <c r="B794" s="1110"/>
      <c r="C794" s="1110"/>
      <c r="D794" s="1062"/>
      <c r="E794" s="2"/>
      <c r="F794" s="2"/>
      <c r="G794" s="2"/>
      <c r="I794" s="1048"/>
    </row>
    <row r="795" spans="1:11" hidden="1">
      <c r="A795" s="98"/>
      <c r="B795" s="339" t="s">
        <v>311</v>
      </c>
      <c r="C795" s="98"/>
      <c r="D795" s="1298" t="s">
        <v>538</v>
      </c>
      <c r="E795" s="1298"/>
      <c r="F795" s="1298"/>
      <c r="G795" s="2"/>
      <c r="I795" s="337"/>
    </row>
    <row r="796" spans="1:11" hidden="1">
      <c r="A796" s="98"/>
      <c r="B796" s="98"/>
      <c r="C796" s="98"/>
      <c r="D796" s="1298"/>
      <c r="E796" s="1298"/>
      <c r="F796" s="1298"/>
      <c r="G796" s="2"/>
      <c r="I796" s="1048"/>
    </row>
    <row r="797" spans="1:11" hidden="1">
      <c r="A797" s="98"/>
      <c r="B797" s="98"/>
      <c r="C797" s="98"/>
      <c r="D797" s="1298"/>
      <c r="E797" s="1298"/>
      <c r="F797" s="1298"/>
      <c r="G797" s="2"/>
      <c r="I797" s="1048"/>
    </row>
    <row r="798" spans="1:11" hidden="1">
      <c r="A798" s="99"/>
      <c r="B798" s="99"/>
      <c r="C798" s="99"/>
      <c r="D798" s="2"/>
      <c r="E798" s="778"/>
      <c r="F798" s="778"/>
      <c r="G798" s="778"/>
      <c r="I798" s="1048"/>
    </row>
    <row r="799" spans="1:11" ht="14.25" hidden="1">
      <c r="A799" s="100"/>
      <c r="B799" s="339" t="s">
        <v>311</v>
      </c>
      <c r="C799" s="779"/>
      <c r="D799" s="1298" t="s">
        <v>539</v>
      </c>
      <c r="E799" s="1298"/>
      <c r="F799" s="1298"/>
      <c r="G799" s="778"/>
      <c r="I799" s="337"/>
    </row>
    <row r="800" spans="1:11" ht="14.25" hidden="1">
      <c r="A800" s="100"/>
      <c r="B800" s="100"/>
      <c r="C800" s="779"/>
      <c r="D800" s="1298"/>
      <c r="E800" s="1298"/>
      <c r="F800" s="1298"/>
      <c r="G800" s="778"/>
      <c r="I800" s="1048"/>
    </row>
    <row r="801" spans="1:9" ht="14.25" hidden="1">
      <c r="A801" s="100"/>
      <c r="B801" s="100"/>
      <c r="C801" s="779"/>
      <c r="D801" s="1298"/>
      <c r="E801" s="1298"/>
      <c r="F801" s="1298"/>
      <c r="G801" s="778"/>
      <c r="I801" s="1048"/>
    </row>
    <row r="802" spans="1:9" ht="14.25" hidden="1">
      <c r="A802" s="100"/>
      <c r="B802" s="100"/>
      <c r="C802" s="779"/>
      <c r="D802" s="68"/>
      <c r="E802" s="2"/>
      <c r="F802" s="2"/>
      <c r="G802" s="778"/>
      <c r="I802" s="1048"/>
    </row>
    <row r="803" spans="1:9" ht="14.25" hidden="1">
      <c r="A803" s="100"/>
      <c r="B803" s="339" t="s">
        <v>311</v>
      </c>
      <c r="C803" s="779"/>
      <c r="D803" s="1298" t="s">
        <v>540</v>
      </c>
      <c r="E803" s="1298"/>
      <c r="F803" s="1298"/>
      <c r="G803" s="778"/>
      <c r="I803" s="337"/>
    </row>
    <row r="804" spans="1:9" ht="14.25" hidden="1">
      <c r="A804" s="100"/>
      <c r="B804" s="100"/>
      <c r="C804" s="779"/>
      <c r="D804" s="1298"/>
      <c r="E804" s="1298"/>
      <c r="F804" s="1298"/>
      <c r="G804" s="778"/>
      <c r="I804" s="1048"/>
    </row>
    <row r="805" spans="1:9" ht="14.25" hidden="1">
      <c r="A805" s="100"/>
      <c r="B805" s="100"/>
      <c r="C805" s="779"/>
      <c r="D805" s="1298"/>
      <c r="E805" s="1298"/>
      <c r="F805" s="1298"/>
      <c r="G805" s="778"/>
      <c r="I805" s="1048"/>
    </row>
    <row r="806" spans="1:9" ht="14.25" hidden="1">
      <c r="A806" s="100"/>
      <c r="B806" s="100"/>
      <c r="C806" s="779"/>
      <c r="D806" s="1298"/>
      <c r="E806" s="1298"/>
      <c r="F806" s="1298"/>
      <c r="G806" s="778"/>
      <c r="I806" s="1048"/>
    </row>
    <row r="807" spans="1:9" ht="14.25" hidden="1">
      <c r="A807" s="100"/>
      <c r="B807" s="100"/>
      <c r="C807" s="779"/>
      <c r="D807" s="1298"/>
      <c r="E807" s="1298"/>
      <c r="F807" s="1298"/>
      <c r="G807" s="778"/>
      <c r="I807" s="1048"/>
    </row>
    <row r="808" spans="1:9" ht="14.25" hidden="1">
      <c r="A808" s="100"/>
      <c r="B808" s="100"/>
      <c r="C808" s="779"/>
      <c r="D808" s="1298"/>
      <c r="E808" s="1298"/>
      <c r="F808" s="1298"/>
      <c r="G808" s="778"/>
      <c r="I808" s="1048"/>
    </row>
    <row r="809" spans="1:9" ht="14.25" hidden="1">
      <c r="A809" s="100"/>
      <c r="B809" s="100"/>
      <c r="C809" s="779"/>
      <c r="D809" s="1298" t="s">
        <v>541</v>
      </c>
      <c r="E809" s="1298"/>
      <c r="F809" s="1298"/>
      <c r="G809" s="778"/>
      <c r="I809" s="1048"/>
    </row>
    <row r="810" spans="1:9" ht="14.25" hidden="1">
      <c r="A810" s="100"/>
      <c r="B810" s="100"/>
      <c r="C810" s="779"/>
      <c r="D810" s="1298"/>
      <c r="E810" s="1298"/>
      <c r="F810" s="1298"/>
      <c r="G810" s="778"/>
      <c r="I810" s="1048"/>
    </row>
    <row r="811" spans="1:9" ht="14.25" hidden="1">
      <c r="A811" s="100"/>
      <c r="B811" s="100"/>
      <c r="C811" s="779"/>
      <c r="D811" s="1298"/>
      <c r="E811" s="1298"/>
      <c r="F811" s="1298"/>
      <c r="G811" s="778"/>
      <c r="I811" s="1048"/>
    </row>
    <row r="812" spans="1:9" ht="14.25" hidden="1">
      <c r="A812" s="100"/>
      <c r="B812" s="1110"/>
      <c r="C812" s="779"/>
      <c r="D812" s="780"/>
      <c r="E812" s="780"/>
      <c r="F812" s="780"/>
      <c r="G812" s="778"/>
      <c r="I812" s="1048"/>
    </row>
    <row r="813" spans="1:9" ht="14.25" hidden="1">
      <c r="A813" s="100"/>
      <c r="B813" s="339" t="s">
        <v>311</v>
      </c>
      <c r="C813" s="779"/>
      <c r="D813" s="1298" t="s">
        <v>542</v>
      </c>
      <c r="E813" s="1298"/>
      <c r="F813" s="1298"/>
      <c r="G813" s="778"/>
      <c r="I813" s="337"/>
    </row>
    <row r="814" spans="1:9" ht="14.25" hidden="1">
      <c r="A814" s="100"/>
      <c r="B814" s="100"/>
      <c r="C814" s="779"/>
      <c r="D814" s="1298"/>
      <c r="E814" s="1298"/>
      <c r="F814" s="1298"/>
      <c r="G814" s="778"/>
      <c r="I814" s="1048"/>
    </row>
    <row r="815" spans="1:9" ht="14.25" hidden="1">
      <c r="A815" s="100"/>
      <c r="B815" s="100"/>
      <c r="C815" s="779"/>
      <c r="D815" s="1298"/>
      <c r="E815" s="1298"/>
      <c r="F815" s="1298"/>
      <c r="G815" s="778"/>
      <c r="I815" s="1048"/>
    </row>
    <row r="816" spans="1:9" ht="14.25" hidden="1">
      <c r="A816" s="100"/>
      <c r="B816" s="100"/>
      <c r="C816" s="779"/>
      <c r="D816" s="1298"/>
      <c r="E816" s="1298"/>
      <c r="F816" s="1298"/>
      <c r="G816" s="778"/>
      <c r="I816" s="1048"/>
    </row>
    <row r="817" spans="1:9" ht="14.25" hidden="1">
      <c r="A817" s="100"/>
      <c r="B817" s="100"/>
      <c r="C817" s="779"/>
      <c r="D817" s="1298"/>
      <c r="E817" s="1298"/>
      <c r="F817" s="1298"/>
      <c r="G817" s="778"/>
      <c r="I817" s="1048"/>
    </row>
    <row r="818" spans="1:9" ht="14.25" hidden="1">
      <c r="A818" s="100"/>
      <c r="B818" s="100"/>
      <c r="C818" s="779"/>
      <c r="D818" s="1298"/>
      <c r="E818" s="1298"/>
      <c r="F818" s="1298"/>
      <c r="G818" s="778"/>
      <c r="I818" s="1048"/>
    </row>
    <row r="819" spans="1:9" ht="14.25" hidden="1">
      <c r="A819" s="100"/>
      <c r="B819" s="100"/>
      <c r="C819" s="779"/>
      <c r="D819" s="1061"/>
      <c r="E819" s="1061"/>
      <c r="F819" s="1061"/>
      <c r="G819" s="778"/>
      <c r="I819" s="1048"/>
    </row>
    <row r="820" spans="1:9" ht="14.25" hidden="1">
      <c r="A820" s="100"/>
      <c r="B820" s="339" t="s">
        <v>311</v>
      </c>
      <c r="C820" s="779"/>
      <c r="D820" s="1298" t="s">
        <v>543</v>
      </c>
      <c r="E820" s="1298"/>
      <c r="F820" s="1298"/>
      <c r="G820" s="778"/>
      <c r="I820" s="337"/>
    </row>
    <row r="821" spans="1:9" ht="14.25" hidden="1">
      <c r="A821" s="100"/>
      <c r="B821" s="100"/>
      <c r="C821" s="779"/>
      <c r="D821" s="1298"/>
      <c r="E821" s="1298"/>
      <c r="F821" s="1298"/>
      <c r="G821" s="778"/>
      <c r="I821" s="1048"/>
    </row>
    <row r="822" spans="1:9" ht="14.25" hidden="1">
      <c r="A822" s="100"/>
      <c r="B822" s="100"/>
      <c r="C822" s="779"/>
      <c r="D822" s="1298"/>
      <c r="E822" s="1298"/>
      <c r="F822" s="1298"/>
      <c r="G822" s="778"/>
      <c r="I822" s="1048"/>
    </row>
    <row r="823" spans="1:9" ht="14.25" hidden="1">
      <c r="A823" s="100"/>
      <c r="B823" s="100"/>
      <c r="C823" s="779"/>
      <c r="D823" s="1298"/>
      <c r="E823" s="1298"/>
      <c r="F823" s="1298"/>
      <c r="G823" s="778"/>
      <c r="I823" s="1048"/>
    </row>
    <row r="824" spans="1:9" ht="14.25" hidden="1">
      <c r="A824" s="100"/>
      <c r="B824" s="100"/>
      <c r="C824" s="779"/>
      <c r="D824" s="1298"/>
      <c r="E824" s="1298"/>
      <c r="F824" s="1298"/>
      <c r="G824" s="778"/>
      <c r="I824" s="1048"/>
    </row>
    <row r="825" spans="1:9" ht="14.25" hidden="1">
      <c r="A825" s="100"/>
      <c r="B825" s="100"/>
      <c r="C825" s="779"/>
      <c r="D825" s="1298"/>
      <c r="E825" s="1298"/>
      <c r="F825" s="1298"/>
      <c r="G825" s="778"/>
      <c r="I825" s="1048"/>
    </row>
    <row r="826" spans="1:9" ht="14.25" hidden="1">
      <c r="A826" s="100"/>
      <c r="B826" s="100"/>
      <c r="C826" s="779"/>
      <c r="D826" s="1061"/>
      <c r="E826" s="1061"/>
      <c r="F826" s="1061"/>
      <c r="G826" s="778"/>
      <c r="I826" s="1048"/>
    </row>
    <row r="827" spans="1:9" ht="14.25" hidden="1">
      <c r="A827" s="100"/>
      <c r="B827" s="339" t="s">
        <v>311</v>
      </c>
      <c r="C827" s="779"/>
      <c r="D827" s="1272" t="s">
        <v>544</v>
      </c>
      <c r="E827" s="1272"/>
      <c r="F827" s="1272"/>
      <c r="G827" s="778"/>
      <c r="I827" s="337"/>
    </row>
    <row r="828" spans="1:9" ht="14.25" hidden="1">
      <c r="A828" s="100"/>
      <c r="B828" s="100"/>
      <c r="C828" s="779"/>
      <c r="D828" s="1272"/>
      <c r="E828" s="1272"/>
      <c r="F828" s="1272"/>
      <c r="G828" s="778"/>
      <c r="I828" s="1048"/>
    </row>
    <row r="829" spans="1:9" hidden="1">
      <c r="A829" s="1109"/>
      <c r="B829" s="1109"/>
      <c r="C829" s="779"/>
      <c r="D829" s="1272"/>
      <c r="E829" s="1272"/>
      <c r="F829" s="1272"/>
      <c r="G829" s="778"/>
      <c r="I829" s="1048"/>
    </row>
    <row r="830" spans="1:9" ht="14.25" hidden="1">
      <c r="A830" s="100"/>
      <c r="B830" s="1109"/>
      <c r="C830" s="779"/>
      <c r="D830" s="1272"/>
      <c r="E830" s="1272"/>
      <c r="F830" s="1272"/>
      <c r="G830" s="778"/>
      <c r="I830" s="1048"/>
    </row>
    <row r="831" spans="1:9" ht="12.75" hidden="1" customHeight="1">
      <c r="A831" s="100"/>
      <c r="B831" s="1109"/>
      <c r="C831" s="779"/>
      <c r="D831" s="1272"/>
      <c r="E831" s="1272"/>
      <c r="F831" s="1272"/>
      <c r="G831" s="778"/>
      <c r="I831" s="1048"/>
    </row>
    <row r="832" spans="1:9" ht="12.75" hidden="1" customHeight="1">
      <c r="A832" s="100"/>
      <c r="B832" s="1109"/>
      <c r="C832" s="779"/>
      <c r="D832" s="1272"/>
      <c r="E832" s="1272"/>
      <c r="F832" s="1272"/>
      <c r="G832" s="778"/>
      <c r="I832" s="1048"/>
    </row>
    <row r="833" spans="1:9" ht="12.75" hidden="1" customHeight="1">
      <c r="A833" s="1109"/>
      <c r="B833" s="1109"/>
      <c r="C833" s="779"/>
      <c r="D833" s="778"/>
      <c r="E833" s="2"/>
      <c r="F833" s="2"/>
      <c r="G833" s="778"/>
      <c r="I833" s="1048"/>
    </row>
    <row r="834" spans="1:9" ht="12.75" customHeight="1">
      <c r="A834" s="1290" t="s">
        <v>545</v>
      </c>
      <c r="B834" s="1290"/>
      <c r="C834" s="1290"/>
      <c r="D834" s="1290"/>
      <c r="E834" s="1290"/>
      <c r="F834" s="1290"/>
      <c r="G834" s="1290"/>
      <c r="H834" s="809"/>
      <c r="I834" s="929"/>
    </row>
    <row r="835" spans="1:9" ht="12.75" customHeight="1">
      <c r="A835" s="98"/>
      <c r="B835" s="98"/>
      <c r="C835" s="779"/>
      <c r="D835" s="778"/>
      <c r="E835" s="778"/>
      <c r="F835" s="778"/>
      <c r="G835" s="778"/>
      <c r="I835" s="1048"/>
    </row>
    <row r="836" spans="1:9" ht="12.75" customHeight="1">
      <c r="A836" s="100"/>
      <c r="B836" s="100"/>
      <c r="C836" s="1110"/>
      <c r="D836" s="1295" t="s">
        <v>546</v>
      </c>
      <c r="E836" s="1295"/>
      <c r="F836" s="1295"/>
      <c r="G836" s="2"/>
      <c r="I836" s="1048"/>
    </row>
    <row r="837" spans="1:9" ht="14.25" customHeight="1">
      <c r="A837" s="100"/>
      <c r="B837" s="100"/>
      <c r="C837" s="1110"/>
      <c r="D837" s="1243" t="s">
        <v>547</v>
      </c>
      <c r="E837" s="1243"/>
      <c r="F837" s="1243"/>
      <c r="G837" s="2"/>
      <c r="I837" s="1048"/>
    </row>
    <row r="838" spans="1:9" ht="12.75" customHeight="1">
      <c r="A838" s="100"/>
      <c r="B838" s="100"/>
      <c r="C838" s="1110"/>
      <c r="D838" s="1039"/>
      <c r="E838" s="1039"/>
      <c r="F838" s="1039"/>
      <c r="G838" s="2"/>
      <c r="I838" s="1048"/>
    </row>
    <row r="839" spans="1:9" ht="12.75" customHeight="1">
      <c r="A839" s="1110"/>
      <c r="B839" s="339" t="s">
        <v>2812</v>
      </c>
      <c r="C839" s="779"/>
      <c r="D839" s="1243" t="s">
        <v>548</v>
      </c>
      <c r="E839" s="1243"/>
      <c r="F839" s="1243"/>
      <c r="G839" s="2"/>
      <c r="I839" s="1048" t="s">
        <v>549</v>
      </c>
    </row>
    <row r="840" spans="1:9" ht="14.25" customHeight="1">
      <c r="A840" s="1109"/>
      <c r="B840" s="1109"/>
      <c r="C840" s="779"/>
      <c r="E840" s="817" t="s">
        <v>376</v>
      </c>
      <c r="F840" s="1069"/>
      <c r="G840" s="2"/>
      <c r="I840" s="1048"/>
    </row>
    <row r="841" spans="1:9" ht="12.75" customHeight="1">
      <c r="A841" s="1109"/>
      <c r="B841" s="1109"/>
      <c r="C841" s="779"/>
      <c r="D841" s="781"/>
      <c r="E841" s="2"/>
      <c r="F841" s="2"/>
      <c r="G841" s="2"/>
      <c r="I841" s="1048"/>
    </row>
    <row r="842" spans="1:9" ht="14.25" hidden="1" customHeight="1">
      <c r="A842" s="1109"/>
      <c r="B842" s="339" t="s">
        <v>311</v>
      </c>
      <c r="C842" s="779"/>
      <c r="D842" s="1304" t="s">
        <v>550</v>
      </c>
      <c r="E842" s="1304"/>
      <c r="F842" s="1304"/>
      <c r="G842" s="2"/>
      <c r="I842" s="1048"/>
    </row>
    <row r="843" spans="1:9" ht="12.75" hidden="1" customHeight="1">
      <c r="A843" s="1109"/>
      <c r="B843" s="1109"/>
      <c r="C843" s="779"/>
      <c r="D843" s="1304"/>
      <c r="E843" s="1304"/>
      <c r="F843" s="1304"/>
      <c r="G843" s="2"/>
      <c r="I843" s="1048"/>
    </row>
    <row r="844" spans="1:9" ht="12.75" hidden="1" customHeight="1">
      <c r="A844" s="1109"/>
      <c r="B844" s="1109"/>
      <c r="C844" s="779"/>
      <c r="D844" s="1304"/>
      <c r="E844" s="1304"/>
      <c r="F844" s="1304"/>
      <c r="G844" s="2"/>
      <c r="I844" s="1048"/>
    </row>
    <row r="845" spans="1:9" ht="12.75" hidden="1" customHeight="1">
      <c r="A845" s="1109"/>
      <c r="B845" s="1109"/>
      <c r="C845" s="779"/>
      <c r="D845" s="1304"/>
      <c r="E845" s="1304"/>
      <c r="F845" s="1304"/>
      <c r="G845" s="2"/>
      <c r="I845" s="1048"/>
    </row>
    <row r="846" spans="1:9" ht="12.75" hidden="1" customHeight="1">
      <c r="A846" s="1109"/>
      <c r="B846" s="1109"/>
      <c r="C846" s="779"/>
      <c r="D846" s="1304"/>
      <c r="E846" s="1304"/>
      <c r="F846" s="1304"/>
      <c r="G846" s="2"/>
      <c r="I846" s="1048"/>
    </row>
    <row r="847" spans="1:9" ht="12.75" hidden="1" customHeight="1">
      <c r="A847" s="1109"/>
      <c r="B847" s="1109"/>
      <c r="C847" s="779"/>
      <c r="D847" s="1304"/>
      <c r="E847" s="1304"/>
      <c r="F847" s="1304"/>
      <c r="G847" s="2"/>
      <c r="I847" s="1048"/>
    </row>
    <row r="848" spans="1:9" ht="12.75" hidden="1" customHeight="1">
      <c r="A848" s="1109"/>
      <c r="B848" s="1109"/>
      <c r="C848" s="779"/>
      <c r="D848" s="1304"/>
      <c r="E848" s="1304"/>
      <c r="F848" s="1304"/>
      <c r="G848" s="2"/>
      <c r="I848" s="1048"/>
    </row>
    <row r="849" spans="1:9" ht="12.75" hidden="1" customHeight="1">
      <c r="A849" s="1109"/>
      <c r="B849" s="1109"/>
      <c r="C849" s="779"/>
      <c r="D849" s="1304"/>
      <c r="E849" s="1304"/>
      <c r="F849" s="1304"/>
      <c r="G849" s="2"/>
      <c r="I849" s="1048"/>
    </row>
    <row r="850" spans="1:9" ht="12.75" hidden="1" customHeight="1">
      <c r="A850" s="1109"/>
      <c r="B850" s="1109"/>
      <c r="C850" s="779"/>
      <c r="D850" s="1304"/>
      <c r="E850" s="1304"/>
      <c r="F850" s="1304"/>
      <c r="G850" s="2"/>
      <c r="I850" s="1048"/>
    </row>
    <row r="851" spans="1:9" ht="12.75" hidden="1" customHeight="1">
      <c r="A851" s="1109"/>
      <c r="B851" s="1109"/>
      <c r="C851" s="779"/>
      <c r="D851" s="1304"/>
      <c r="E851" s="1304"/>
      <c r="F851" s="1304"/>
      <c r="G851" s="2"/>
      <c r="I851" s="1048"/>
    </row>
    <row r="852" spans="1:9" ht="12.75" hidden="1" customHeight="1">
      <c r="A852" s="1109"/>
      <c r="B852" s="1109"/>
      <c r="C852" s="779"/>
      <c r="D852" s="781"/>
      <c r="E852" s="2"/>
      <c r="F852" s="2"/>
      <c r="G852" s="2"/>
      <c r="I852" s="1048"/>
    </row>
    <row r="853" spans="1:9" ht="12.75" customHeight="1">
      <c r="A853" s="100"/>
      <c r="B853" s="339" t="s">
        <v>2812</v>
      </c>
      <c r="C853" s="779"/>
      <c r="D853" s="1243" t="s">
        <v>551</v>
      </c>
      <c r="E853" s="1243"/>
      <c r="F853" s="1243"/>
      <c r="G853" s="2"/>
      <c r="I853" s="1048" t="s">
        <v>552</v>
      </c>
    </row>
    <row r="854" spans="1:9" ht="12.75" customHeight="1">
      <c r="A854" s="100"/>
      <c r="B854" s="100"/>
      <c r="C854" s="779"/>
      <c r="D854" s="1243"/>
      <c r="E854" s="1243"/>
      <c r="F854" s="1243"/>
      <c r="G854" s="2"/>
      <c r="I854" s="1048"/>
    </row>
    <row r="855" spans="1:9" ht="12.75" customHeight="1">
      <c r="A855" s="100"/>
      <c r="B855" s="100"/>
      <c r="C855" s="779"/>
      <c r="D855" s="1243"/>
      <c r="E855" s="1243"/>
      <c r="F855" s="1243"/>
      <c r="G855" s="2"/>
      <c r="I855" s="1048"/>
    </row>
    <row r="856" spans="1:9" ht="12.75" customHeight="1">
      <c r="A856" s="100"/>
      <c r="B856" s="100"/>
      <c r="C856" s="779"/>
      <c r="D856" s="68"/>
      <c r="E856" s="2"/>
      <c r="F856" s="2"/>
      <c r="G856" s="2"/>
      <c r="I856" s="1048"/>
    </row>
    <row r="857" spans="1:9" ht="12.75" customHeight="1">
      <c r="A857" s="782"/>
      <c r="B857" s="339" t="s">
        <v>2811</v>
      </c>
      <c r="C857" s="779"/>
      <c r="D857" s="1295" t="s">
        <v>553</v>
      </c>
      <c r="E857" s="1295"/>
      <c r="F857" s="1295"/>
      <c r="G857" s="2"/>
      <c r="I857" s="1048"/>
    </row>
    <row r="858" spans="1:9" ht="12.75" customHeight="1">
      <c r="A858" s="1110"/>
      <c r="B858" s="782"/>
      <c r="C858" s="779"/>
      <c r="D858" s="1295"/>
      <c r="E858" s="1295"/>
      <c r="F858" s="1295"/>
      <c r="G858" s="2"/>
      <c r="I858" s="1048"/>
    </row>
    <row r="859" spans="1:9" ht="12.75" customHeight="1">
      <c r="A859" s="100"/>
      <c r="B859" s="1110"/>
      <c r="C859" s="779"/>
      <c r="D859" s="1243" t="s">
        <v>554</v>
      </c>
      <c r="E859" s="1243"/>
      <c r="F859" s="1243"/>
      <c r="G859" s="2"/>
      <c r="I859" s="1048"/>
    </row>
    <row r="860" spans="1:9" ht="12.75" customHeight="1">
      <c r="A860" s="100"/>
      <c r="B860" s="100"/>
      <c r="C860" s="779"/>
      <c r="D860" s="1243"/>
      <c r="E860" s="1243"/>
      <c r="F860" s="1243"/>
      <c r="G860" s="2"/>
      <c r="I860" s="1048"/>
    </row>
    <row r="861" spans="1:9" ht="12.75" customHeight="1">
      <c r="A861" s="100"/>
      <c r="B861" s="100"/>
      <c r="C861" s="779"/>
      <c r="D861" s="1243"/>
      <c r="E861" s="1243"/>
      <c r="F861" s="1243"/>
      <c r="G861" s="2"/>
      <c r="I861" s="1048"/>
    </row>
    <row r="862" spans="1:9" ht="12.75" customHeight="1">
      <c r="A862" s="100"/>
      <c r="B862" s="100"/>
      <c r="C862" s="779"/>
      <c r="D862" s="1243"/>
      <c r="E862" s="1243"/>
      <c r="F862" s="1243"/>
      <c r="G862" s="2"/>
      <c r="I862" s="1048"/>
    </row>
    <row r="863" spans="1:9" ht="12.75" customHeight="1">
      <c r="A863" s="100"/>
      <c r="B863" s="100"/>
      <c r="C863" s="779"/>
      <c r="D863" s="1243"/>
      <c r="E863" s="1243"/>
      <c r="F863" s="1243"/>
      <c r="G863" s="2"/>
      <c r="I863" s="1048"/>
    </row>
    <row r="864" spans="1:9" ht="12.75" customHeight="1">
      <c r="A864" s="100"/>
      <c r="B864" s="100"/>
      <c r="C864" s="779"/>
      <c r="D864" s="1243"/>
      <c r="E864" s="1243"/>
      <c r="F864" s="1243"/>
      <c r="G864" s="2"/>
      <c r="I864" s="1048"/>
    </row>
    <row r="865" spans="1:9" ht="12.75" customHeight="1">
      <c r="A865" s="100"/>
      <c r="B865" s="100"/>
      <c r="C865" s="779"/>
      <c r="D865" s="68"/>
      <c r="E865" s="2"/>
      <c r="F865" s="2"/>
      <c r="G865" s="2"/>
      <c r="I865" s="1048"/>
    </row>
    <row r="866" spans="1:9" ht="12.75" customHeight="1">
      <c r="A866" s="100"/>
      <c r="B866" s="339" t="s">
        <v>2811</v>
      </c>
      <c r="C866" s="779"/>
      <c r="D866" s="1243" t="s">
        <v>555</v>
      </c>
      <c r="E866" s="1243"/>
      <c r="F866" s="1243"/>
      <c r="G866" s="2"/>
      <c r="I866" s="1048" t="s">
        <v>556</v>
      </c>
    </row>
    <row r="867" spans="1:9" ht="12.75" customHeight="1">
      <c r="A867" s="100"/>
      <c r="B867" s="100"/>
      <c r="C867" s="779"/>
      <c r="D867" s="1243" t="s">
        <v>557</v>
      </c>
      <c r="E867" s="1243"/>
      <c r="F867" s="1243"/>
      <c r="G867" s="2"/>
      <c r="I867" s="1048"/>
    </row>
    <row r="868" spans="1:9" ht="12.75" customHeight="1">
      <c r="A868" s="100"/>
      <c r="B868" s="100"/>
      <c r="C868" s="779"/>
      <c r="E868" s="817" t="s">
        <v>385</v>
      </c>
      <c r="F868" s="1069"/>
      <c r="G868" s="2"/>
      <c r="I868" s="1048"/>
    </row>
    <row r="869" spans="1:9" ht="12.75" customHeight="1">
      <c r="A869" s="100"/>
      <c r="B869" s="100"/>
      <c r="C869" s="779"/>
      <c r="D869" s="68"/>
      <c r="E869" s="2"/>
      <c r="F869" s="2"/>
      <c r="G869" s="2"/>
      <c r="I869" s="1048"/>
    </row>
    <row r="870" spans="1:9" ht="12.75" customHeight="1">
      <c r="A870" s="100"/>
      <c r="B870" s="339" t="s">
        <v>2811</v>
      </c>
      <c r="C870" s="779"/>
      <c r="D870" s="1243" t="s">
        <v>558</v>
      </c>
      <c r="E870" s="1243"/>
      <c r="F870" s="1243"/>
      <c r="G870" s="2"/>
      <c r="I870" s="1048" t="s">
        <v>559</v>
      </c>
    </row>
    <row r="871" spans="1:9" ht="12.75" customHeight="1">
      <c r="A871" s="100"/>
      <c r="B871" s="100"/>
      <c r="C871" s="779"/>
      <c r="D871" s="1243"/>
      <c r="E871" s="1243"/>
      <c r="F871" s="1243"/>
      <c r="G871" s="2"/>
      <c r="I871" s="1048"/>
    </row>
    <row r="872" spans="1:9" ht="12.75" customHeight="1">
      <c r="A872" s="100"/>
      <c r="B872" s="100"/>
      <c r="C872" s="779"/>
      <c r="D872" s="1243"/>
      <c r="E872" s="1243"/>
      <c r="F872" s="1243"/>
      <c r="G872" s="2"/>
      <c r="I872" s="1048"/>
    </row>
    <row r="873" spans="1:9" ht="12.75" customHeight="1">
      <c r="A873" s="100"/>
      <c r="B873" s="100"/>
      <c r="C873" s="779"/>
      <c r="D873" s="1243"/>
      <c r="E873" s="1243"/>
      <c r="F873" s="1243"/>
      <c r="G873" s="2"/>
      <c r="I873" s="1048"/>
    </row>
    <row r="874" spans="1:9" ht="12.75" customHeight="1">
      <c r="A874" s="98"/>
      <c r="B874" s="98"/>
      <c r="C874" s="98"/>
      <c r="D874" s="68"/>
      <c r="E874" s="2"/>
      <c r="F874" s="2"/>
      <c r="G874" s="2"/>
      <c r="I874" s="1048"/>
    </row>
    <row r="875" spans="1:9" ht="12.75" customHeight="1">
      <c r="A875" s="1059" t="s">
        <v>560</v>
      </c>
      <c r="B875" s="1059"/>
      <c r="C875" s="1086"/>
      <c r="D875" s="1086"/>
      <c r="E875" s="1086"/>
      <c r="F875" s="1086"/>
      <c r="G875" s="1086"/>
      <c r="H875" s="809"/>
      <c r="I875" s="929"/>
    </row>
    <row r="876" spans="1:9" ht="12.75" customHeight="1">
      <c r="A876" s="98"/>
      <c r="B876" s="98"/>
      <c r="C876" s="98"/>
      <c r="D876" s="783"/>
      <c r="E876" s="2"/>
      <c r="F876" s="2"/>
      <c r="G876" s="2"/>
      <c r="I876" s="1048"/>
    </row>
    <row r="877" spans="1:9" ht="12.75" customHeight="1">
      <c r="A877" s="1110"/>
      <c r="B877" s="1110"/>
      <c r="C877" s="99"/>
      <c r="D877" s="1302" t="s">
        <v>561</v>
      </c>
      <c r="E877" s="1302"/>
      <c r="F877" s="1302"/>
      <c r="G877" s="778"/>
      <c r="I877" s="1048"/>
    </row>
    <row r="878" spans="1:9" ht="12.75" customHeight="1">
      <c r="A878" s="1110"/>
      <c r="B878" s="1110"/>
      <c r="C878" s="99"/>
      <c r="D878" s="1303" t="s">
        <v>562</v>
      </c>
      <c r="E878" s="1303"/>
      <c r="F878" s="1303"/>
      <c r="G878" s="778"/>
      <c r="I878" s="1048"/>
    </row>
    <row r="879" spans="1:9" ht="12.75" customHeight="1">
      <c r="A879" s="1110"/>
      <c r="B879" s="1110"/>
      <c r="C879" s="99"/>
      <c r="D879" s="1063"/>
      <c r="E879" s="1063"/>
      <c r="F879" s="1063"/>
      <c r="G879" s="778"/>
      <c r="I879" s="1048"/>
    </row>
    <row r="880" spans="1:9" ht="12.75" customHeight="1">
      <c r="A880" s="100"/>
      <c r="B880" s="339" t="s">
        <v>2812</v>
      </c>
      <c r="C880" s="1110"/>
      <c r="D880" s="1282" t="s">
        <v>563</v>
      </c>
      <c r="E880" s="1282"/>
      <c r="F880" s="1282"/>
      <c r="G880" s="778"/>
      <c r="I880" s="1048" t="s">
        <v>556</v>
      </c>
    </row>
    <row r="881" spans="1:9" ht="12.75" customHeight="1">
      <c r="A881" s="1110"/>
      <c r="B881" s="1110"/>
      <c r="C881" s="1110"/>
      <c r="D881" s="1" t="s">
        <v>356</v>
      </c>
      <c r="E881" s="817" t="s">
        <v>385</v>
      </c>
      <c r="F881" s="819"/>
      <c r="G881" s="778"/>
      <c r="I881" s="1048"/>
    </row>
    <row r="882" spans="1:9" ht="12.75" customHeight="1">
      <c r="A882" s="1110"/>
      <c r="B882" s="1110"/>
      <c r="C882" s="1110"/>
      <c r="D882" s="68"/>
      <c r="E882" s="778"/>
      <c r="F882" s="778"/>
      <c r="G882" s="778"/>
      <c r="I882" s="1048"/>
    </row>
    <row r="883" spans="1:9" ht="12.75" customHeight="1">
      <c r="A883" s="100"/>
      <c r="B883" s="339" t="s">
        <v>2812</v>
      </c>
      <c r="C883" s="1110"/>
      <c r="D883" s="1243" t="s">
        <v>564</v>
      </c>
      <c r="E883" s="1292"/>
      <c r="F883" s="1292"/>
      <c r="G883" s="2"/>
      <c r="I883" s="1048" t="s">
        <v>559</v>
      </c>
    </row>
    <row r="884" spans="1:9" ht="12.75" customHeight="1">
      <c r="A884" s="1110"/>
      <c r="B884" s="1110"/>
      <c r="C884" s="1110"/>
      <c r="D884" s="1292"/>
      <c r="E884" s="1292"/>
      <c r="F884" s="1292"/>
      <c r="G884" s="2"/>
      <c r="I884" s="1048"/>
    </row>
    <row r="885" spans="1:9" ht="12.75" customHeight="1">
      <c r="A885" s="1110"/>
      <c r="B885" s="1110"/>
      <c r="C885" s="1110"/>
      <c r="D885" s="68"/>
      <c r="E885" s="2"/>
      <c r="F885" s="2"/>
      <c r="G885" s="2"/>
      <c r="I885" s="1048"/>
    </row>
    <row r="886" spans="1:9" ht="12.75" customHeight="1">
      <c r="A886" s="1110"/>
      <c r="B886" s="339" t="s">
        <v>2811</v>
      </c>
      <c r="C886" s="1110"/>
      <c r="D886" s="1293" t="s">
        <v>565</v>
      </c>
      <c r="E886" s="1293"/>
      <c r="F886" s="1293"/>
      <c r="G886" s="778"/>
      <c r="I886" s="1048"/>
    </row>
    <row r="887" spans="1:9" ht="12.75" customHeight="1">
      <c r="A887" s="1110"/>
      <c r="B887" s="784"/>
      <c r="C887" s="1110"/>
      <c r="D887" s="1293"/>
      <c r="E887" s="1293"/>
      <c r="F887" s="1293"/>
      <c r="G887" s="778"/>
      <c r="I887" s="1048"/>
    </row>
    <row r="888" spans="1:9" ht="12.75" customHeight="1">
      <c r="A888" s="100"/>
      <c r="B888"/>
      <c r="C888" s="1110"/>
      <c r="D888" s="1243" t="s">
        <v>554</v>
      </c>
      <c r="E888" s="1243"/>
      <c r="F888" s="1243"/>
      <c r="G888" s="778"/>
      <c r="I888" s="1048"/>
    </row>
    <row r="889" spans="1:9" ht="12.75" customHeight="1">
      <c r="A889" s="100"/>
      <c r="B889" s="100"/>
      <c r="C889" s="1110"/>
      <c r="D889" s="1243"/>
      <c r="E889" s="1243"/>
      <c r="F889" s="1243"/>
      <c r="G889" s="778"/>
      <c r="I889" s="1048"/>
    </row>
    <row r="890" spans="1:9" ht="12.75" customHeight="1">
      <c r="A890" s="100"/>
      <c r="B890" s="100"/>
      <c r="C890" s="1110"/>
      <c r="D890" s="1243"/>
      <c r="E890" s="1243"/>
      <c r="F890" s="1243"/>
      <c r="G890" s="778"/>
      <c r="I890" s="1048"/>
    </row>
    <row r="891" spans="1:9" ht="12.75" customHeight="1">
      <c r="A891" s="100"/>
      <c r="B891" s="100"/>
      <c r="C891" s="1110"/>
      <c r="D891" s="1243"/>
      <c r="E891" s="1243"/>
      <c r="F891" s="1243"/>
      <c r="G891" s="778"/>
      <c r="I891" s="1048"/>
    </row>
    <row r="892" spans="1:9" ht="12.75" customHeight="1">
      <c r="A892" s="100"/>
      <c r="B892" s="100"/>
      <c r="C892" s="1110"/>
      <c r="D892" s="1243"/>
      <c r="E892" s="1243"/>
      <c r="F892" s="1243"/>
      <c r="G892" s="778"/>
      <c r="I892" s="1048"/>
    </row>
    <row r="893" spans="1:9" ht="12.75" customHeight="1">
      <c r="A893" s="100"/>
      <c r="B893" s="100"/>
      <c r="C893" s="1110"/>
      <c r="D893" s="1243"/>
      <c r="E893" s="1243"/>
      <c r="F893" s="1243"/>
      <c r="G893" s="778"/>
      <c r="I893" s="1048"/>
    </row>
    <row r="894" spans="1:9" ht="12.75" customHeight="1">
      <c r="A894" s="100"/>
      <c r="B894" s="100"/>
      <c r="C894" s="1110"/>
      <c r="D894" s="68"/>
      <c r="E894" s="778"/>
      <c r="F894" s="778"/>
      <c r="G894" s="778"/>
      <c r="I894" s="1048"/>
    </row>
    <row r="895" spans="1:9" ht="12.75" customHeight="1">
      <c r="A895" s="100"/>
      <c r="B895" s="339" t="s">
        <v>2811</v>
      </c>
      <c r="C895" s="1110"/>
      <c r="D895" s="1283" t="s">
        <v>555</v>
      </c>
      <c r="E895" s="1283"/>
      <c r="F895" s="1283"/>
      <c r="G895" s="778"/>
      <c r="I895" s="1048"/>
    </row>
    <row r="896" spans="1:9" ht="12.75" customHeight="1">
      <c r="A896" s="100"/>
      <c r="B896" s="100"/>
      <c r="C896" s="1110"/>
      <c r="D896" s="1283" t="s">
        <v>557</v>
      </c>
      <c r="E896" s="1283"/>
      <c r="F896" s="1283"/>
      <c r="G896" s="778"/>
      <c r="I896" s="1048"/>
    </row>
    <row r="897" spans="1:9" ht="12.75" customHeight="1">
      <c r="A897" s="100"/>
      <c r="B897" s="100"/>
      <c r="C897" s="1110"/>
      <c r="D897" s="1" t="s">
        <v>566</v>
      </c>
      <c r="E897" s="817" t="s">
        <v>385</v>
      </c>
      <c r="F897" s="820"/>
      <c r="G897" s="778"/>
      <c r="I897" s="1048"/>
    </row>
    <row r="898" spans="1:9" ht="12.75" customHeight="1">
      <c r="A898" s="100"/>
      <c r="B898" s="100"/>
      <c r="C898" s="1110"/>
      <c r="D898" s="68"/>
      <c r="E898" s="778"/>
      <c r="F898" s="778"/>
      <c r="G898" s="778"/>
      <c r="I898" s="1048"/>
    </row>
    <row r="899" spans="1:9" ht="12.75" customHeight="1">
      <c r="A899" s="100"/>
      <c r="B899" s="339" t="s">
        <v>2811</v>
      </c>
      <c r="C899" s="1110"/>
      <c r="D899" s="1243" t="s">
        <v>558</v>
      </c>
      <c r="E899" s="1243"/>
      <c r="F899" s="1243"/>
      <c r="G899" s="778"/>
      <c r="I899" s="1048"/>
    </row>
    <row r="900" spans="1:9" ht="12.75" customHeight="1">
      <c r="A900" s="100"/>
      <c r="B900" s="100"/>
      <c r="C900" s="1110"/>
      <c r="D900" s="1243"/>
      <c r="E900" s="1243"/>
      <c r="F900" s="1243"/>
      <c r="G900" s="778"/>
      <c r="I900" s="1048"/>
    </row>
    <row r="901" spans="1:9" ht="12.75" customHeight="1">
      <c r="A901" s="100"/>
      <c r="B901" s="100"/>
      <c r="C901" s="1110"/>
      <c r="D901" s="1243"/>
      <c r="E901" s="1243"/>
      <c r="F901" s="1243"/>
      <c r="G901" s="778"/>
      <c r="I901" s="1048"/>
    </row>
    <row r="902" spans="1:9" ht="12.75" customHeight="1">
      <c r="A902" s="100"/>
      <c r="B902" s="100"/>
      <c r="C902" s="1110"/>
      <c r="D902" s="1243"/>
      <c r="E902" s="1243"/>
      <c r="F902" s="1243"/>
      <c r="G902" s="778"/>
      <c r="I902" s="1048"/>
    </row>
    <row r="903" spans="1:9" ht="12.75" customHeight="1">
      <c r="A903" s="68"/>
      <c r="B903" s="68"/>
      <c r="C903" s="779"/>
      <c r="D903" s="778"/>
      <c r="E903" s="778"/>
      <c r="F903" s="778"/>
      <c r="G903" s="778"/>
      <c r="I903" s="1048"/>
    </row>
    <row r="904" spans="1:9" ht="12.75" customHeight="1">
      <c r="A904" s="1290" t="s">
        <v>567</v>
      </c>
      <c r="B904" s="1290"/>
      <c r="C904" s="1290"/>
      <c r="D904" s="1290"/>
      <c r="E904" s="1290"/>
      <c r="F904" s="1290"/>
      <c r="G904" s="1290"/>
      <c r="H904" s="809"/>
      <c r="I904" s="929"/>
    </row>
    <row r="905" spans="1:9" ht="12.75" customHeight="1">
      <c r="A905" s="38"/>
      <c r="B905" s="38"/>
      <c r="C905" s="38"/>
      <c r="D905" s="38"/>
      <c r="E905" s="38"/>
      <c r="F905" s="38"/>
      <c r="G905" s="38"/>
      <c r="I905" s="1048"/>
    </row>
    <row r="906" spans="1:9" ht="12.75" customHeight="1">
      <c r="A906" s="38"/>
      <c r="B906" s="38"/>
      <c r="C906" s="38"/>
      <c r="D906" s="1306" t="s">
        <v>568</v>
      </c>
      <c r="E906" s="1306"/>
      <c r="F906" s="1306"/>
      <c r="G906" s="38"/>
      <c r="I906" s="1048"/>
    </row>
    <row r="907" spans="1:9" ht="12.75" customHeight="1">
      <c r="A907" s="38"/>
      <c r="B907" s="38"/>
      <c r="C907" s="38"/>
      <c r="D907" s="1065"/>
      <c r="E907" s="1065"/>
      <c r="F907" s="1065"/>
      <c r="G907" s="38"/>
      <c r="I907" s="1048"/>
    </row>
    <row r="908" spans="1:9" ht="12.75" customHeight="1">
      <c r="A908" s="38"/>
      <c r="B908" s="339" t="s">
        <v>2812</v>
      </c>
      <c r="C908" s="38"/>
      <c r="D908" s="1070" t="s">
        <v>569</v>
      </c>
      <c r="E908" s="1065"/>
      <c r="F908" s="1065"/>
      <c r="G908" s="38"/>
      <c r="I908" s="1048"/>
    </row>
    <row r="909" spans="1:9" ht="12.75" customHeight="1">
      <c r="A909" s="38"/>
      <c r="B909" s="38"/>
      <c r="C909" s="38"/>
      <c r="D909" s="1065"/>
      <c r="E909" s="1065"/>
      <c r="F909" s="1065"/>
      <c r="G909" s="38"/>
      <c r="I909" s="1048"/>
    </row>
    <row r="910" spans="1:9" ht="12.75" customHeight="1">
      <c r="A910" s="1110"/>
      <c r="B910" s="1110"/>
      <c r="C910" s="779"/>
      <c r="D910" s="1306" t="s">
        <v>570</v>
      </c>
      <c r="E910" s="1306"/>
      <c r="F910" s="1306"/>
      <c r="G910" s="778"/>
      <c r="I910" s="1048"/>
    </row>
    <row r="911" spans="1:9" ht="12.75" customHeight="1">
      <c r="A911" s="98"/>
      <c r="B911" s="98"/>
      <c r="C911" s="98"/>
      <c r="D911" s="1282" t="s">
        <v>571</v>
      </c>
      <c r="E911" s="1282"/>
      <c r="F911" s="1282"/>
      <c r="G911" s="778"/>
      <c r="I911" s="1048"/>
    </row>
    <row r="912" spans="1:9" ht="12.75" customHeight="1">
      <c r="A912" s="779"/>
      <c r="B912" s="779"/>
      <c r="C912" s="779"/>
      <c r="D912" s="1"/>
      <c r="E912" s="778"/>
      <c r="F912" s="778"/>
      <c r="G912" s="778"/>
      <c r="I912" s="1048"/>
    </row>
    <row r="913" spans="1:9" ht="12.75" customHeight="1">
      <c r="A913" s="100"/>
      <c r="B913" s="339" t="s">
        <v>2812</v>
      </c>
      <c r="C913" s="1110"/>
      <c r="D913" s="1243" t="s">
        <v>572</v>
      </c>
      <c r="E913" s="1243"/>
      <c r="F913" s="1243"/>
      <c r="G913" s="2"/>
      <c r="I913" s="1048"/>
    </row>
    <row r="914" spans="1:9" ht="12.75" customHeight="1">
      <c r="A914" s="1110"/>
      <c r="B914" s="1110"/>
      <c r="C914" s="1110"/>
      <c r="D914" s="1243"/>
      <c r="E914" s="1243"/>
      <c r="F914" s="1243"/>
      <c r="G914" s="2"/>
      <c r="I914" s="1048"/>
    </row>
    <row r="915" spans="1:9" ht="12.75" customHeight="1">
      <c r="A915" s="98"/>
      <c r="B915" s="98"/>
      <c r="C915" s="98"/>
      <c r="D915" s="1243" t="s">
        <v>573</v>
      </c>
      <c r="E915" s="1243"/>
      <c r="F915" s="1243"/>
      <c r="G915" s="778"/>
      <c r="I915" s="1048"/>
    </row>
    <row r="916" spans="1:9" ht="12.75" customHeight="1">
      <c r="A916" s="98"/>
      <c r="B916" s="98"/>
      <c r="C916" s="98"/>
      <c r="D916" s="1243"/>
      <c r="E916" s="1243"/>
      <c r="F916" s="1243"/>
      <c r="G916" s="778"/>
      <c r="I916" s="1048"/>
    </row>
    <row r="917" spans="1:9" ht="12.75" customHeight="1">
      <c r="A917" s="98"/>
      <c r="B917" s="98"/>
      <c r="C917" s="98"/>
      <c r="D917" s="2"/>
      <c r="E917" s="2"/>
      <c r="F917" s="778"/>
      <c r="G917" s="778"/>
      <c r="I917" s="1048"/>
    </row>
    <row r="918" spans="1:9" ht="12.75" customHeight="1">
      <c r="A918" s="100"/>
      <c r="B918" s="339" t="s">
        <v>2812</v>
      </c>
      <c r="C918" s="99"/>
      <c r="D918" s="1247" t="s">
        <v>574</v>
      </c>
      <c r="E918" s="1247"/>
      <c r="F918" s="1247"/>
      <c r="G918" s="778"/>
      <c r="I918" s="1048"/>
    </row>
    <row r="919" spans="1:9" ht="12.75" customHeight="1">
      <c r="A919" s="100"/>
      <c r="B919" s="100"/>
      <c r="C919" s="99"/>
      <c r="D919" s="1247"/>
      <c r="E919" s="1247"/>
      <c r="F919" s="1247"/>
      <c r="G919" s="778"/>
      <c r="I919" s="1048"/>
    </row>
    <row r="920" spans="1:9" ht="12.75" customHeight="1">
      <c r="A920" s="100"/>
      <c r="B920" s="100"/>
      <c r="C920" s="99"/>
      <c r="D920" s="1247"/>
      <c r="E920" s="1247"/>
      <c r="F920" s="1247"/>
      <c r="G920" s="778"/>
      <c r="I920" s="1048"/>
    </row>
    <row r="921" spans="1:9" ht="12.75" customHeight="1">
      <c r="A921" s="100"/>
      <c r="B921" s="100"/>
      <c r="C921" s="99"/>
      <c r="D921" s="1247"/>
      <c r="E921" s="1247"/>
      <c r="F921" s="1247"/>
      <c r="G921" s="778"/>
      <c r="I921" s="1048"/>
    </row>
    <row r="922" spans="1:9" ht="12.75" customHeight="1">
      <c r="A922" s="100"/>
      <c r="B922" s="100"/>
      <c r="C922" s="99"/>
      <c r="D922" s="1247"/>
      <c r="E922" s="1247"/>
      <c r="F922" s="1247"/>
      <c r="G922" s="778"/>
      <c r="I922" s="1048"/>
    </row>
    <row r="923" spans="1:9" ht="12.75" customHeight="1">
      <c r="A923" s="99"/>
      <c r="B923" s="99"/>
      <c r="C923" s="99"/>
      <c r="D923" s="1247"/>
      <c r="E923" s="1247"/>
      <c r="F923" s="1247"/>
      <c r="G923" s="778"/>
      <c r="I923" s="1048"/>
    </row>
    <row r="924" spans="1:9" ht="12.75" customHeight="1">
      <c r="A924" s="99"/>
      <c r="B924" s="99"/>
      <c r="C924" s="99"/>
      <c r="D924" s="1247"/>
      <c r="E924" s="1247"/>
      <c r="F924" s="1247"/>
      <c r="G924" s="778"/>
      <c r="I924" s="1048"/>
    </row>
    <row r="925" spans="1:9" ht="12.75" customHeight="1">
      <c r="A925" s="99"/>
      <c r="B925" s="99"/>
      <c r="C925" s="99"/>
      <c r="D925" s="1247"/>
      <c r="E925" s="1247"/>
      <c r="F925" s="1247"/>
      <c r="G925" s="778"/>
      <c r="I925" s="1048"/>
    </row>
    <row r="926" spans="1:9" ht="12.75" customHeight="1">
      <c r="A926" s="99"/>
      <c r="B926" s="99"/>
      <c r="C926" s="99"/>
      <c r="D926" s="1041"/>
      <c r="E926" s="1041"/>
      <c r="F926" s="1041"/>
      <c r="G926" s="778"/>
      <c r="I926" s="1048"/>
    </row>
    <row r="927" spans="1:9" ht="12.75" customHeight="1">
      <c r="A927" s="779"/>
      <c r="B927" s="339" t="s">
        <v>2811</v>
      </c>
      <c r="C927" s="779"/>
      <c r="D927" s="1243" t="s">
        <v>575</v>
      </c>
      <c r="E927" s="1243"/>
      <c r="F927" s="1243"/>
      <c r="G927" s="778"/>
      <c r="I927" s="1048"/>
    </row>
    <row r="928" spans="1:9" ht="12.75" customHeight="1">
      <c r="A928" s="779"/>
      <c r="B928" s="779"/>
      <c r="C928" s="779"/>
      <c r="D928" s="1243"/>
      <c r="E928" s="1243"/>
      <c r="F928" s="1243"/>
      <c r="G928" s="778"/>
      <c r="I928" s="1048"/>
    </row>
    <row r="929" spans="1:9" ht="12.75" customHeight="1">
      <c r="A929" s="779"/>
      <c r="B929" s="779"/>
      <c r="C929" s="779"/>
      <c r="D929" s="778"/>
      <c r="E929" s="778"/>
      <c r="F929" s="778"/>
      <c r="G929" s="778"/>
      <c r="I929" s="1048"/>
    </row>
    <row r="930" spans="1:9" ht="12.75" customHeight="1">
      <c r="A930" s="779"/>
      <c r="B930" s="339" t="s">
        <v>2811</v>
      </c>
      <c r="C930" s="779"/>
      <c r="D930" s="1272" t="s">
        <v>576</v>
      </c>
      <c r="E930" s="1272"/>
      <c r="F930" s="1272"/>
      <c r="G930" s="778"/>
      <c r="I930" s="1048"/>
    </row>
    <row r="931" spans="1:9" ht="12.75" customHeight="1">
      <c r="A931" s="779"/>
      <c r="B931" s="779"/>
      <c r="C931" s="779"/>
      <c r="D931" s="1272"/>
      <c r="E931" s="1272"/>
      <c r="F931" s="1272"/>
      <c r="G931" s="778"/>
      <c r="I931" s="1048"/>
    </row>
    <row r="932" spans="1:9" ht="12.75" customHeight="1">
      <c r="A932" s="779"/>
      <c r="B932" s="779"/>
      <c r="C932" s="779"/>
      <c r="D932" s="1272"/>
      <c r="E932" s="1272"/>
      <c r="F932" s="1272"/>
      <c r="G932" s="778"/>
      <c r="I932" s="1048"/>
    </row>
    <row r="933" spans="1:9" ht="12.75" customHeight="1">
      <c r="A933" s="779"/>
      <c r="B933" s="779"/>
      <c r="C933" s="779"/>
      <c r="D933" s="1272"/>
      <c r="E933" s="1272"/>
      <c r="F933" s="1272"/>
      <c r="G933" s="778"/>
      <c r="I933" s="1048"/>
    </row>
    <row r="934" spans="1:9" ht="12.75" customHeight="1">
      <c r="A934" s="779"/>
      <c r="B934" s="779"/>
      <c r="C934" s="779"/>
      <c r="D934" s="68"/>
      <c r="E934" s="778"/>
      <c r="F934" s="778"/>
      <c r="G934" s="778"/>
      <c r="I934" s="1048"/>
    </row>
    <row r="935" spans="1:9" ht="12.75" customHeight="1">
      <c r="A935" s="779"/>
      <c r="B935" s="339" t="s">
        <v>2811</v>
      </c>
      <c r="C935" s="779"/>
      <c r="D935" s="1282" t="s">
        <v>577</v>
      </c>
      <c r="E935" s="1282"/>
      <c r="F935" s="1282"/>
      <c r="G935" s="778"/>
      <c r="I935" s="1048"/>
    </row>
    <row r="936" spans="1:9" ht="12.75" customHeight="1">
      <c r="A936" s="779"/>
      <c r="B936" s="779"/>
      <c r="C936" s="779"/>
      <c r="D936" s="68"/>
      <c r="E936" s="778"/>
      <c r="F936" s="778"/>
      <c r="G936" s="778"/>
      <c r="I936" s="1048"/>
    </row>
    <row r="937" spans="1:9" ht="12.75" customHeight="1">
      <c r="A937" s="779"/>
      <c r="B937" s="339" t="s">
        <v>2811</v>
      </c>
      <c r="C937" s="779"/>
      <c r="D937" s="1282" t="s">
        <v>578</v>
      </c>
      <c r="E937" s="1282"/>
      <c r="F937" s="1282"/>
      <c r="G937" s="778"/>
      <c r="I937" s="1048"/>
    </row>
    <row r="938" spans="1:9" ht="12.75" customHeight="1">
      <c r="A938" s="99"/>
      <c r="B938" s="99"/>
      <c r="C938" s="99"/>
      <c r="D938" s="1"/>
      <c r="E938" s="2"/>
      <c r="F938" s="778"/>
      <c r="G938" s="778"/>
      <c r="I938" s="1048"/>
    </row>
    <row r="939" spans="1:9" ht="12.75" customHeight="1">
      <c r="A939" s="785"/>
      <c r="B939" s="339" t="s">
        <v>2812</v>
      </c>
      <c r="C939" s="786"/>
      <c r="D939" s="1247" t="s">
        <v>579</v>
      </c>
      <c r="E939" s="1247"/>
      <c r="F939" s="1247"/>
      <c r="G939" s="787"/>
      <c r="I939" s="1048"/>
    </row>
    <row r="940" spans="1:9" ht="12.75" customHeight="1">
      <c r="A940" s="785"/>
      <c r="B940" s="785"/>
      <c r="C940" s="786"/>
      <c r="D940" s="1247"/>
      <c r="E940" s="1247"/>
      <c r="F940" s="1247"/>
      <c r="G940" s="787"/>
      <c r="I940" s="1048"/>
    </row>
    <row r="941" spans="1:9" ht="12.75" customHeight="1">
      <c r="A941" s="785"/>
      <c r="B941" s="785"/>
      <c r="C941" s="786"/>
      <c r="D941" s="1247"/>
      <c r="E941" s="1247"/>
      <c r="F941" s="1247"/>
      <c r="G941" s="787"/>
      <c r="I941" s="1048"/>
    </row>
    <row r="942" spans="1:9" ht="12.75" customHeight="1">
      <c r="A942" s="785"/>
      <c r="B942" s="785"/>
      <c r="C942" s="786"/>
      <c r="D942" s="1247"/>
      <c r="E942" s="1247"/>
      <c r="F942" s="1247"/>
      <c r="G942" s="787"/>
      <c r="I942" s="1048"/>
    </row>
    <row r="943" spans="1:9" ht="12.75" customHeight="1">
      <c r="A943" s="785"/>
      <c r="B943" s="785"/>
      <c r="C943" s="786"/>
      <c r="D943" s="1247"/>
      <c r="E943" s="1247"/>
      <c r="F943" s="1247"/>
      <c r="G943" s="787"/>
      <c r="I943" s="1048"/>
    </row>
    <row r="944" spans="1:9" ht="12.75" customHeight="1">
      <c r="A944" s="785"/>
      <c r="B944" s="785"/>
      <c r="C944" s="786"/>
      <c r="D944" s="1247"/>
      <c r="E944" s="1247"/>
      <c r="F944" s="1247"/>
      <c r="G944" s="787"/>
      <c r="I944" s="1048"/>
    </row>
    <row r="945" spans="1:9" ht="12.75" customHeight="1">
      <c r="A945" s="785"/>
      <c r="B945" s="785"/>
      <c r="C945" s="786"/>
      <c r="D945" s="1247"/>
      <c r="E945" s="1247"/>
      <c r="F945" s="1247"/>
      <c r="G945" s="787"/>
      <c r="I945" s="1048"/>
    </row>
    <row r="946" spans="1:9" ht="12.75" customHeight="1">
      <c r="A946" s="785"/>
      <c r="B946" s="785"/>
      <c r="C946" s="786"/>
      <c r="D946" s="1247"/>
      <c r="E946" s="1247"/>
      <c r="F946" s="1247"/>
      <c r="G946" s="787"/>
      <c r="I946" s="1048"/>
    </row>
    <row r="947" spans="1:9" ht="12.75" customHeight="1">
      <c r="A947" s="785"/>
      <c r="B947" s="785"/>
      <c r="C947" s="786"/>
      <c r="D947" s="1247"/>
      <c r="E947" s="1247"/>
      <c r="F947" s="1247"/>
      <c r="G947" s="787"/>
      <c r="I947" s="1048"/>
    </row>
    <row r="948" spans="1:9" ht="12.75" customHeight="1">
      <c r="A948" s="99"/>
      <c r="B948" s="99"/>
      <c r="C948" s="99"/>
      <c r="D948" s="1"/>
      <c r="E948" s="2"/>
      <c r="F948" s="778"/>
      <c r="G948" s="778"/>
      <c r="I948" s="1048"/>
    </row>
    <row r="949" spans="1:9" ht="12.75" customHeight="1">
      <c r="A949" s="100"/>
      <c r="B949" s="339" t="s">
        <v>2812</v>
      </c>
      <c r="C949" s="99"/>
      <c r="D949" s="1307" t="s">
        <v>580</v>
      </c>
      <c r="E949" s="1307"/>
      <c r="F949" s="1307"/>
      <c r="G949" s="778"/>
      <c r="I949" s="1048"/>
    </row>
    <row r="950" spans="1:9" ht="12.75" customHeight="1">
      <c r="A950" s="100"/>
      <c r="B950" s="100"/>
      <c r="C950" s="99"/>
      <c r="D950" s="1307"/>
      <c r="E950" s="1307"/>
      <c r="F950" s="1307"/>
      <c r="G950" s="778"/>
      <c r="I950" s="1048"/>
    </row>
    <row r="951" spans="1:9" ht="12.75" customHeight="1">
      <c r="A951" s="100"/>
      <c r="B951" s="100"/>
      <c r="C951" s="99"/>
      <c r="D951" s="1307"/>
      <c r="E951" s="1307"/>
      <c r="F951" s="1307"/>
      <c r="G951" s="778"/>
      <c r="I951" s="1048"/>
    </row>
    <row r="952" spans="1:9" ht="12.75" customHeight="1">
      <c r="A952" s="100"/>
      <c r="B952" s="100"/>
      <c r="C952" s="99"/>
      <c r="D952" s="1307"/>
      <c r="E952" s="1307"/>
      <c r="F952" s="1307"/>
      <c r="G952" s="778"/>
      <c r="I952" s="1048"/>
    </row>
    <row r="953" spans="1:9" ht="12.75" customHeight="1">
      <c r="A953" s="100"/>
      <c r="B953" s="100"/>
      <c r="C953" s="99"/>
      <c r="D953" s="1307"/>
      <c r="E953" s="1307"/>
      <c r="F953" s="1307"/>
      <c r="G953" s="778"/>
      <c r="I953" s="1048"/>
    </row>
    <row r="954" spans="1:9" ht="12.75" customHeight="1">
      <c r="A954" s="100"/>
      <c r="B954" s="100"/>
      <c r="C954" s="99"/>
      <c r="D954" s="1307"/>
      <c r="E954" s="1307"/>
      <c r="F954" s="1307"/>
      <c r="G954" s="778"/>
      <c r="I954" s="1048"/>
    </row>
    <row r="955" spans="1:9" ht="12.75" customHeight="1">
      <c r="A955" s="100"/>
      <c r="B955" s="100"/>
      <c r="C955" s="99"/>
      <c r="D955" s="1307"/>
      <c r="E955" s="1307"/>
      <c r="F955" s="1307"/>
      <c r="G955" s="778"/>
      <c r="I955" s="1048"/>
    </row>
    <row r="956" spans="1:9" ht="12.75" customHeight="1">
      <c r="A956" s="100"/>
      <c r="B956" s="100"/>
      <c r="C956" s="99"/>
      <c r="D956" s="1066"/>
      <c r="E956" s="1066"/>
      <c r="F956" s="1066"/>
      <c r="G956" s="778"/>
      <c r="I956" s="1048"/>
    </row>
    <row r="957" spans="1:9" ht="12.75" customHeight="1">
      <c r="A957" s="100"/>
      <c r="B957" s="339" t="s">
        <v>2812</v>
      </c>
      <c r="C957" s="99"/>
      <c r="D957" s="1246" t="s">
        <v>581</v>
      </c>
      <c r="E957" s="1246"/>
      <c r="F957" s="1246"/>
      <c r="G957" s="778"/>
      <c r="I957" s="1048"/>
    </row>
    <row r="958" spans="1:9" ht="12.75" customHeight="1">
      <c r="A958" s="100"/>
      <c r="B958" s="100"/>
      <c r="C958" s="99"/>
      <c r="D958" s="1246"/>
      <c r="E958" s="1246"/>
      <c r="F958" s="1246"/>
      <c r="G958" s="778"/>
      <c r="I958" s="1048"/>
    </row>
    <row r="959" spans="1:9" ht="12.75" customHeight="1">
      <c r="A959" s="100"/>
      <c r="B959" s="100"/>
      <c r="C959" s="99"/>
      <c r="D959" s="1246"/>
      <c r="E959" s="1246"/>
      <c r="F959" s="1246"/>
      <c r="G959" s="778"/>
      <c r="I959" s="1048"/>
    </row>
    <row r="960" spans="1:9" ht="12.75" customHeight="1">
      <c r="A960" s="100"/>
      <c r="B960" s="100"/>
      <c r="C960" s="99"/>
      <c r="D960" s="1246"/>
      <c r="E960" s="1246"/>
      <c r="F960" s="1246"/>
      <c r="G960" s="778"/>
      <c r="I960" s="1048"/>
    </row>
    <row r="961" spans="1:9" ht="12.75" customHeight="1">
      <c r="A961" s="100"/>
      <c r="B961" s="100"/>
      <c r="C961" s="99"/>
      <c r="D961" s="1246"/>
      <c r="E961" s="1246"/>
      <c r="F961" s="1246"/>
      <c r="G961" s="778"/>
      <c r="I961" s="1048"/>
    </row>
    <row r="962" spans="1:9" ht="12.75" customHeight="1">
      <c r="A962" s="100"/>
      <c r="B962" s="100"/>
      <c r="C962" s="99"/>
      <c r="D962" s="1246"/>
      <c r="E962" s="1246"/>
      <c r="F962" s="1246"/>
      <c r="G962" s="778"/>
      <c r="I962" s="1048"/>
    </row>
    <row r="963" spans="1:9" ht="12.75" customHeight="1">
      <c r="A963" s="100"/>
      <c r="B963" s="100"/>
      <c r="C963" s="99"/>
      <c r="D963" s="1066"/>
      <c r="E963" s="1066"/>
      <c r="F963" s="1066"/>
      <c r="G963" s="778"/>
      <c r="I963" s="1048"/>
    </row>
    <row r="964" spans="1:9" ht="12.75" customHeight="1">
      <c r="A964" s="779"/>
      <c r="B964" s="339" t="s">
        <v>2811</v>
      </c>
      <c r="C964" s="779"/>
      <c r="D964" s="1272" t="s">
        <v>582</v>
      </c>
      <c r="E964" s="1272"/>
      <c r="F964" s="1272"/>
      <c r="G964" s="778"/>
      <c r="I964" s="1048"/>
    </row>
    <row r="965" spans="1:9" ht="12.75" customHeight="1">
      <c r="A965" s="779"/>
      <c r="B965" s="779"/>
      <c r="C965" s="779"/>
      <c r="D965" s="1272"/>
      <c r="E965" s="1272"/>
      <c r="F965" s="1272"/>
      <c r="G965" s="778"/>
      <c r="I965" s="1048"/>
    </row>
    <row r="966" spans="1:9" ht="12.75" customHeight="1">
      <c r="A966" s="779"/>
      <c r="B966" s="779"/>
      <c r="C966" s="779"/>
      <c r="D966" s="1272"/>
      <c r="E966" s="1272"/>
      <c r="F966" s="1272"/>
      <c r="G966" s="778"/>
      <c r="I966" s="1048"/>
    </row>
    <row r="967" spans="1:9" ht="12.75" customHeight="1">
      <c r="A967" s="100"/>
      <c r="B967" s="100"/>
      <c r="C967" s="99"/>
      <c r="D967" s="1066"/>
      <c r="E967" s="1066"/>
      <c r="F967" s="1066"/>
      <c r="G967" s="778"/>
      <c r="I967" s="1048"/>
    </row>
    <row r="968" spans="1:9" ht="12.75" customHeight="1">
      <c r="A968" s="100"/>
      <c r="B968" s="100"/>
      <c r="C968" s="99"/>
      <c r="D968" s="664"/>
      <c r="E968" s="2"/>
      <c r="F968" s="778"/>
      <c r="G968" s="778"/>
      <c r="I968" s="1048"/>
    </row>
    <row r="969" spans="1:9" ht="12.75" customHeight="1">
      <c r="A969" s="100"/>
      <c r="B969" s="339" t="s">
        <v>2811</v>
      </c>
      <c r="C969" s="99"/>
      <c r="D969" s="1247" t="s">
        <v>583</v>
      </c>
      <c r="E969" s="1247"/>
      <c r="F969" s="1247"/>
      <c r="G969" s="778"/>
      <c r="I969" s="1048"/>
    </row>
    <row r="970" spans="1:9" ht="12.75" customHeight="1">
      <c r="A970" s="100"/>
      <c r="B970" s="100"/>
      <c r="C970" s="99"/>
      <c r="D970" s="1247"/>
      <c r="E970" s="1247"/>
      <c r="F970" s="1247"/>
      <c r="G970" s="778"/>
      <c r="I970" s="1048"/>
    </row>
    <row r="971" spans="1:9" ht="12.75" customHeight="1">
      <c r="A971" s="100"/>
      <c r="B971" s="100"/>
      <c r="C971" s="99"/>
      <c r="D971" s="1247"/>
      <c r="E971" s="1247"/>
      <c r="F971" s="1247"/>
      <c r="G971" s="778"/>
      <c r="I971" s="1048"/>
    </row>
    <row r="972" spans="1:9" ht="12.75" customHeight="1">
      <c r="A972" s="100"/>
      <c r="B972" s="100"/>
      <c r="C972" s="99"/>
      <c r="D972" s="1247"/>
      <c r="E972" s="1247"/>
      <c r="F972" s="1247"/>
      <c r="G972" s="778"/>
      <c r="I972" s="1048"/>
    </row>
    <row r="973" spans="1:9" ht="12.75" customHeight="1">
      <c r="A973" s="779"/>
      <c r="B973" s="779"/>
      <c r="C973" s="779"/>
      <c r="D973" s="1043"/>
      <c r="E973" s="1043"/>
      <c r="F973" s="1043"/>
      <c r="G973" s="1043"/>
      <c r="I973" s="1048"/>
    </row>
    <row r="974" spans="1:9" ht="12.75" customHeight="1">
      <c r="A974" s="1110"/>
      <c r="B974" s="1110"/>
      <c r="C974" s="1110"/>
      <c r="D974" s="1302" t="s">
        <v>584</v>
      </c>
      <c r="E974" s="1302"/>
      <c r="F974" s="1302"/>
      <c r="G974" s="2"/>
      <c r="I974" s="1048"/>
    </row>
    <row r="975" spans="1:9" ht="12.75" customHeight="1">
      <c r="A975" s="100"/>
      <c r="B975" s="339" t="s">
        <v>2811</v>
      </c>
      <c r="C975" s="1110"/>
      <c r="D975" s="1282" t="s">
        <v>585</v>
      </c>
      <c r="E975" s="1282"/>
      <c r="F975" s="1282"/>
      <c r="G975" s="2"/>
      <c r="I975" s="1048"/>
    </row>
    <row r="976" spans="1:9" ht="12.75" customHeight="1">
      <c r="A976" s="1110"/>
      <c r="B976" s="1110"/>
      <c r="C976" s="1110"/>
      <c r="D976" s="2"/>
      <c r="E976" s="2"/>
      <c r="F976" s="2"/>
      <c r="G976" s="2"/>
      <c r="I976" s="1048"/>
    </row>
    <row r="977" spans="1:9" ht="12.75" customHeight="1">
      <c r="A977" s="1110"/>
      <c r="B977" s="1110"/>
      <c r="C977" s="1110"/>
      <c r="D977" s="1302" t="s">
        <v>586</v>
      </c>
      <c r="E977" s="1302"/>
      <c r="F977" s="1302"/>
      <c r="G977"/>
      <c r="I977" s="1048"/>
    </row>
    <row r="978" spans="1:9" ht="12.75" customHeight="1">
      <c r="A978" s="100"/>
      <c r="B978" s="339" t="s">
        <v>2811</v>
      </c>
      <c r="C978" s="1110"/>
      <c r="D978" s="1243" t="s">
        <v>587</v>
      </c>
      <c r="E978" s="1243"/>
      <c r="F978" s="1243"/>
      <c r="G978"/>
      <c r="I978" s="1048"/>
    </row>
    <row r="979" spans="1:9" ht="12.75" customHeight="1">
      <c r="A979" s="100"/>
      <c r="B979" s="100"/>
      <c r="C979" s="1110"/>
      <c r="D979" s="1243"/>
      <c r="E979" s="1243"/>
      <c r="F979" s="1243"/>
      <c r="G979"/>
      <c r="I979" s="1048"/>
    </row>
    <row r="980" spans="1:9" ht="12.75" customHeight="1">
      <c r="A980" s="100"/>
      <c r="B980" s="100"/>
      <c r="C980" s="1110"/>
      <c r="D980" s="1243"/>
      <c r="E980" s="1243"/>
      <c r="F980" s="1243"/>
      <c r="G980"/>
      <c r="I980" s="1048"/>
    </row>
    <row r="981" spans="1:9" ht="12.75" customHeight="1">
      <c r="A981" s="100"/>
      <c r="B981" s="100"/>
      <c r="C981" s="1110"/>
      <c r="D981" s="1243"/>
      <c r="E981" s="1243"/>
      <c r="F981" s="1243"/>
      <c r="G981"/>
      <c r="I981" s="1048"/>
    </row>
    <row r="982" spans="1:9" ht="12.75" customHeight="1">
      <c r="A982" s="100"/>
      <c r="B982" s="100"/>
      <c r="C982" s="1110"/>
      <c r="D982" s="1243"/>
      <c r="E982" s="1243"/>
      <c r="F982" s="1243"/>
      <c r="G982"/>
      <c r="I982" s="1048"/>
    </row>
    <row r="983" spans="1:9" ht="12.75" customHeight="1">
      <c r="A983" s="100"/>
      <c r="B983" s="100"/>
      <c r="C983" s="1110"/>
      <c r="D983" s="1243"/>
      <c r="E983" s="1243"/>
      <c r="F983" s="1243"/>
      <c r="G983"/>
      <c r="I983" s="1048"/>
    </row>
    <row r="984" spans="1:9" ht="12.75" customHeight="1">
      <c r="A984" s="100"/>
      <c r="B984" s="100"/>
      <c r="C984" s="1110"/>
      <c r="D984" s="1243"/>
      <c r="E984" s="1243"/>
      <c r="F984" s="1243"/>
      <c r="G984"/>
      <c r="I984" s="1048"/>
    </row>
    <row r="985" spans="1:9" ht="12.75" customHeight="1">
      <c r="A985" s="100"/>
      <c r="B985" s="100"/>
      <c r="C985" s="1110"/>
      <c r="D985" s="1243"/>
      <c r="E985" s="1243"/>
      <c r="F985" s="1243"/>
      <c r="G985"/>
      <c r="I985" s="1048"/>
    </row>
    <row r="986" spans="1:9" ht="12.75" customHeight="1">
      <c r="A986" s="100"/>
      <c r="B986" s="100"/>
      <c r="C986" s="1110"/>
      <c r="D986" s="1243"/>
      <c r="E986" s="1243"/>
      <c r="F986" s="1243"/>
      <c r="G986"/>
      <c r="I986" s="1048"/>
    </row>
    <row r="987" spans="1:9" ht="12.75" customHeight="1">
      <c r="A987" s="100"/>
      <c r="B987" s="100"/>
      <c r="C987" s="1110"/>
      <c r="D987" s="1243"/>
      <c r="E987" s="1243"/>
      <c r="F987" s="1243"/>
      <c r="G987"/>
      <c r="I987" s="1048"/>
    </row>
    <row r="988" spans="1:9" ht="12.75" customHeight="1">
      <c r="A988" s="100"/>
      <c r="B988" s="100"/>
      <c r="C988" s="1110"/>
      <c r="D988" s="1243"/>
      <c r="E988" s="1243"/>
      <c r="F988" s="1243"/>
      <c r="G988"/>
      <c r="I988" s="1048"/>
    </row>
    <row r="989" spans="1:9" ht="12.75" customHeight="1">
      <c r="A989" s="100"/>
      <c r="B989" s="100"/>
      <c r="C989" s="1110"/>
      <c r="D989" s="1243"/>
      <c r="E989" s="1243"/>
      <c r="F989" s="1243"/>
      <c r="G989"/>
      <c r="I989" s="1048"/>
    </row>
    <row r="990" spans="1:9" ht="12.75" customHeight="1">
      <c r="A990" s="100"/>
      <c r="B990" s="100"/>
      <c r="C990" s="1110"/>
      <c r="D990" s="1243"/>
      <c r="E990" s="1243"/>
      <c r="F990" s="1243"/>
      <c r="G990"/>
      <c r="I990" s="1048"/>
    </row>
    <row r="991" spans="1:9" ht="12.75" customHeight="1">
      <c r="A991" s="100"/>
      <c r="B991" s="100"/>
      <c r="C991" s="1110"/>
      <c r="D991" s="1243"/>
      <c r="E991" s="1243"/>
      <c r="F991" s="1243"/>
      <c r="G991"/>
      <c r="I991" s="1048"/>
    </row>
    <row r="992" spans="1:9" ht="12.75" customHeight="1">
      <c r="A992" s="100"/>
      <c r="B992" s="100"/>
      <c r="C992" s="1110"/>
      <c r="D992" s="1243"/>
      <c r="E992" s="1243"/>
      <c r="F992" s="1243"/>
      <c r="G992" s="2"/>
      <c r="I992" s="1048"/>
    </row>
    <row r="993" spans="1:9" ht="12.75" customHeight="1">
      <c r="A993" s="1110"/>
      <c r="B993" s="1110"/>
      <c r="C993" s="1110"/>
      <c r="D993" s="2"/>
      <c r="E993" s="2"/>
      <c r="F993" s="2"/>
      <c r="G993" s="2"/>
      <c r="I993" s="1048"/>
    </row>
    <row r="994" spans="1:9" ht="12.75" customHeight="1">
      <c r="A994" s="1290" t="s">
        <v>588</v>
      </c>
      <c r="B994" s="1290"/>
      <c r="C994" s="1290"/>
      <c r="D994" s="1290"/>
      <c r="E994" s="1290"/>
      <c r="F994" s="1290"/>
      <c r="G994" s="1290"/>
      <c r="H994" s="809"/>
      <c r="I994" s="929"/>
    </row>
    <row r="995" spans="1:9" ht="12.75" customHeight="1">
      <c r="A995" s="68"/>
      <c r="B995" s="68"/>
      <c r="C995" s="1110"/>
      <c r="D995" s="2"/>
      <c r="E995" s="2"/>
      <c r="F995" s="2"/>
      <c r="G995" s="2"/>
      <c r="I995" s="1048"/>
    </row>
    <row r="996" spans="1:9" ht="12.75" customHeight="1">
      <c r="A996" s="1110"/>
      <c r="B996" s="1110"/>
      <c r="C996" s="779"/>
      <c r="D996" s="1302" t="s">
        <v>589</v>
      </c>
      <c r="E996" s="1302"/>
      <c r="F996" s="1302"/>
      <c r="G996" s="2"/>
      <c r="I996" s="1048"/>
    </row>
    <row r="997" spans="1:9" ht="12.75" customHeight="1">
      <c r="A997" s="98"/>
      <c r="B997" s="98"/>
      <c r="C997" s="98"/>
      <c r="D997" s="1282" t="s">
        <v>590</v>
      </c>
      <c r="E997" s="1282"/>
      <c r="F997" s="1282"/>
      <c r="G997" s="2"/>
      <c r="I997" s="1048"/>
    </row>
    <row r="998" spans="1:9" ht="12.75" customHeight="1">
      <c r="A998" s="98"/>
      <c r="B998" s="98"/>
      <c r="C998" s="98"/>
      <c r="D998" s="2"/>
      <c r="E998" s="2"/>
      <c r="F998" s="778"/>
      <c r="G998"/>
      <c r="I998" s="1048"/>
    </row>
    <row r="999" spans="1:9" ht="12.75" customHeight="1">
      <c r="A999" s="1110"/>
      <c r="B999" s="339" t="s">
        <v>2812</v>
      </c>
      <c r="C999" s="1110"/>
      <c r="D999" s="1311" t="s">
        <v>591</v>
      </c>
      <c r="E999" s="1311"/>
      <c r="F999" s="1311"/>
      <c r="G999"/>
      <c r="I999" s="1048"/>
    </row>
    <row r="1000" spans="1:9" ht="12.75" customHeight="1">
      <c r="A1000" s="1110"/>
      <c r="B1000" s="1110"/>
      <c r="C1000" s="1110"/>
      <c r="D1000" s="1311"/>
      <c r="E1000" s="1311"/>
      <c r="F1000" s="1311"/>
      <c r="G1000"/>
      <c r="I1000" s="1048"/>
    </row>
    <row r="1001" spans="1:9" ht="12.75" customHeight="1">
      <c r="A1001" s="1110"/>
      <c r="B1001" s="1110"/>
      <c r="C1001" s="1110"/>
      <c r="D1001" s="1069"/>
      <c r="E1001" s="817" t="s">
        <v>592</v>
      </c>
      <c r="F1001" s="1069"/>
      <c r="G1001"/>
      <c r="I1001" s="1048"/>
    </row>
    <row r="1002" spans="1:9" ht="12.75" customHeight="1">
      <c r="A1002" s="1110"/>
      <c r="B1002" s="1110"/>
      <c r="C1002" s="1110"/>
      <c r="D1002" s="1249" t="s">
        <v>593</v>
      </c>
      <c r="E1002" s="1249"/>
      <c r="F1002" s="1249"/>
      <c r="G1002"/>
      <c r="I1002" s="1048"/>
    </row>
    <row r="1003" spans="1:9" ht="12.75" customHeight="1">
      <c r="A1003" s="1110"/>
      <c r="B1003" s="1110"/>
      <c r="C1003" s="1110"/>
      <c r="D1003" s="1249"/>
      <c r="E1003" s="1249"/>
      <c r="F1003" s="1249"/>
      <c r="G1003"/>
      <c r="I1003" s="1048"/>
    </row>
    <row r="1004" spans="1:9" ht="12.75" customHeight="1">
      <c r="A1004" s="99"/>
      <c r="B1004" s="99"/>
      <c r="C1004" s="99"/>
      <c r="D1004" s="1249"/>
      <c r="E1004" s="1249"/>
      <c r="F1004" s="1249"/>
      <c r="G1004"/>
      <c r="I1004" s="1048"/>
    </row>
    <row r="1005" spans="1:9" ht="12.75" customHeight="1">
      <c r="A1005" s="99"/>
      <c r="B1005" s="99"/>
      <c r="C1005" s="99"/>
      <c r="D1005" s="1249"/>
      <c r="E1005" s="1249"/>
      <c r="F1005" s="1249"/>
      <c r="G1005"/>
      <c r="I1005" s="1048"/>
    </row>
    <row r="1006" spans="1:9" ht="12.75" customHeight="1">
      <c r="A1006" s="99"/>
      <c r="B1006" s="99"/>
      <c r="C1006" s="99"/>
      <c r="D1006" s="1041"/>
      <c r="E1006" s="1041"/>
      <c r="F1006" s="1041"/>
      <c r="G1006"/>
      <c r="I1006" s="1048"/>
    </row>
    <row r="1007" spans="1:9" ht="12.75" customHeight="1">
      <c r="A1007" s="99"/>
      <c r="B1007" s="339" t="s">
        <v>2811</v>
      </c>
      <c r="C1007" s="99"/>
      <c r="D1007" s="1243" t="s">
        <v>594</v>
      </c>
      <c r="E1007" s="1243"/>
      <c r="F1007" s="1243"/>
      <c r="G1007"/>
      <c r="I1007" s="1048"/>
    </row>
    <row r="1008" spans="1:9" ht="12.75" customHeight="1">
      <c r="A1008" s="99"/>
      <c r="B1008" s="99"/>
      <c r="C1008" s="99"/>
      <c r="D1008" s="1243"/>
      <c r="E1008" s="1243"/>
      <c r="F1008" s="1243"/>
      <c r="G1008"/>
      <c r="I1008" s="1048"/>
    </row>
    <row r="1009" spans="1:9" ht="12.75" customHeight="1">
      <c r="A1009" s="99"/>
      <c r="B1009" s="99"/>
      <c r="C1009" s="99"/>
      <c r="D1009" s="1243"/>
      <c r="E1009" s="1243"/>
      <c r="F1009" s="1243"/>
      <c r="G1009"/>
      <c r="I1009" s="1048"/>
    </row>
    <row r="1010" spans="1:9" ht="12.75" customHeight="1">
      <c r="A1010" s="99"/>
      <c r="B1010" s="99"/>
      <c r="C1010" s="99"/>
      <c r="D1010" s="1243"/>
      <c r="E1010" s="1243"/>
      <c r="F1010" s="1243"/>
      <c r="G1010"/>
      <c r="I1010" s="1048"/>
    </row>
    <row r="1011" spans="1:9" ht="12.75" customHeight="1">
      <c r="A1011" s="99"/>
      <c r="B1011" s="99"/>
      <c r="C1011" s="99"/>
      <c r="D1011" s="1039"/>
      <c r="E1011" s="1039"/>
      <c r="F1011" s="1039"/>
      <c r="G1011"/>
      <c r="I1011" s="1048"/>
    </row>
    <row r="1012" spans="1:9" ht="12.75" customHeight="1">
      <c r="A1012" s="99"/>
      <c r="B1012" s="339" t="s">
        <v>2811</v>
      </c>
      <c r="C1012" s="99"/>
      <c r="D1012" s="1243" t="s">
        <v>595</v>
      </c>
      <c r="E1012" s="1243"/>
      <c r="F1012" s="1243"/>
      <c r="G1012"/>
      <c r="I1012" s="1048"/>
    </row>
    <row r="1013" spans="1:9" ht="12.75" customHeight="1">
      <c r="A1013" s="99"/>
      <c r="B1013" s="99"/>
      <c r="C1013" s="99"/>
      <c r="D1013" s="1243"/>
      <c r="E1013" s="1243"/>
      <c r="F1013" s="1243"/>
      <c r="G1013"/>
      <c r="I1013" s="1048"/>
    </row>
    <row r="1014" spans="1:9" ht="12.75" customHeight="1">
      <c r="A1014" s="99"/>
      <c r="B1014" s="99"/>
      <c r="C1014" s="99"/>
      <c r="D1014" s="1039"/>
      <c r="E1014" s="1039"/>
      <c r="F1014" s="1039"/>
      <c r="G1014"/>
      <c r="I1014" s="1048"/>
    </row>
    <row r="1015" spans="1:9" ht="12.75" customHeight="1">
      <c r="A1015" s="100"/>
      <c r="B1015" s="339" t="s">
        <v>2812</v>
      </c>
      <c r="C1015" s="1110"/>
      <c r="D1015" s="1282" t="s">
        <v>596</v>
      </c>
      <c r="E1015" s="1282"/>
      <c r="F1015" s="1282"/>
      <c r="G1015"/>
      <c r="I1015" s="1048"/>
    </row>
    <row r="1016" spans="1:9" ht="12.75" customHeight="1">
      <c r="A1016" s="1110"/>
      <c r="B1016" s="1110"/>
      <c r="C1016" s="1110"/>
      <c r="D1016" s="2"/>
      <c r="E1016" s="2"/>
      <c r="F1016" s="2"/>
      <c r="G1016"/>
      <c r="I1016" s="1048"/>
    </row>
    <row r="1017" spans="1:9" ht="12.75" customHeight="1">
      <c r="A1017" s="100"/>
      <c r="B1017" s="339" t="s">
        <v>2811</v>
      </c>
      <c r="C1017" s="1110"/>
      <c r="D1017" s="1282" t="s">
        <v>597</v>
      </c>
      <c r="E1017" s="1282"/>
      <c r="F1017" s="1282"/>
      <c r="G1017"/>
      <c r="I1017" s="1048"/>
    </row>
    <row r="1018" spans="1:9" ht="12.75" customHeight="1">
      <c r="A1018" s="1110"/>
      <c r="B1018" s="1110"/>
      <c r="C1018" s="1110"/>
      <c r="D1018" s="68"/>
      <c r="E1018" s="2"/>
      <c r="F1018" s="2"/>
      <c r="G1018"/>
      <c r="I1018" s="1048"/>
    </row>
    <row r="1019" spans="1:9" ht="12.75" customHeight="1">
      <c r="A1019" s="100"/>
      <c r="B1019" s="339" t="s">
        <v>2812</v>
      </c>
      <c r="C1019" s="1110"/>
      <c r="D1019" s="1282" t="s">
        <v>598</v>
      </c>
      <c r="E1019" s="1282"/>
      <c r="F1019" s="1282"/>
      <c r="G1019"/>
      <c r="I1019" s="1048"/>
    </row>
    <row r="1020" spans="1:9" ht="12.75" customHeight="1">
      <c r="A1020" s="1110"/>
      <c r="B1020" s="1110"/>
      <c r="C1020" s="1110"/>
      <c r="D1020" s="68"/>
      <c r="E1020" s="2"/>
      <c r="F1020" s="2"/>
      <c r="G1020"/>
      <c r="I1020" s="1048"/>
    </row>
    <row r="1021" spans="1:9" ht="12.75" customHeight="1">
      <c r="A1021" s="100"/>
      <c r="B1021" s="339" t="s">
        <v>2811</v>
      </c>
      <c r="C1021" s="1110"/>
      <c r="D1021" s="1243" t="s">
        <v>599</v>
      </c>
      <c r="E1021" s="1243"/>
      <c r="F1021" s="1243"/>
      <c r="G1021"/>
      <c r="I1021" s="1048"/>
    </row>
    <row r="1022" spans="1:9" ht="12.75" customHeight="1">
      <c r="A1022" s="100"/>
      <c r="B1022" s="100"/>
      <c r="C1022" s="1110"/>
      <c r="D1022" s="1243"/>
      <c r="E1022" s="1243"/>
      <c r="F1022" s="1243"/>
      <c r="G1022"/>
      <c r="I1022" s="1048"/>
    </row>
    <row r="1023" spans="1:9" ht="12.75" customHeight="1">
      <c r="A1023" s="100"/>
      <c r="B1023" s="100"/>
      <c r="C1023" s="1110"/>
      <c r="D1023" s="68"/>
      <c r="E1023" s="2"/>
      <c r="F1023" s="2"/>
      <c r="G1023" s="2"/>
      <c r="I1023" s="1048"/>
    </row>
    <row r="1024" spans="1:9" ht="12.75" customHeight="1">
      <c r="A1024" s="145"/>
      <c r="B1024" s="339" t="s">
        <v>2811</v>
      </c>
      <c r="C1024" s="788"/>
      <c r="D1024" s="1298" t="s">
        <v>600</v>
      </c>
      <c r="E1024" s="1298"/>
      <c r="F1024" s="1298"/>
      <c r="G1024" s="789"/>
      <c r="I1024" s="1048"/>
    </row>
    <row r="1025" spans="1:9" ht="12.75" customHeight="1">
      <c r="A1025" s="788"/>
      <c r="B1025" s="788"/>
      <c r="C1025" s="788"/>
      <c r="D1025" s="1298"/>
      <c r="E1025" s="1298"/>
      <c r="F1025" s="1298"/>
      <c r="G1025" s="789"/>
      <c r="I1025" s="1048"/>
    </row>
    <row r="1026" spans="1:9" ht="12.75" customHeight="1">
      <c r="A1026" s="788"/>
      <c r="B1026" s="788"/>
      <c r="C1026" s="788"/>
      <c r="D1026" s="1070"/>
      <c r="E1026" s="789"/>
      <c r="F1026" s="789"/>
      <c r="G1026" s="789"/>
      <c r="I1026" s="1048"/>
    </row>
    <row r="1027" spans="1:9" ht="12.75" customHeight="1">
      <c r="A1027" s="145"/>
      <c r="B1027" s="339" t="s">
        <v>2811</v>
      </c>
      <c r="C1027" s="788"/>
      <c r="D1027" s="1312" t="s">
        <v>601</v>
      </c>
      <c r="E1027" s="1312"/>
      <c r="F1027" s="1312"/>
      <c r="G1027" s="789"/>
      <c r="I1027" s="1048"/>
    </row>
    <row r="1028" spans="1:9" ht="12.75" customHeight="1">
      <c r="A1028" s="788"/>
      <c r="B1028" s="788"/>
      <c r="C1028" s="788"/>
      <c r="D1028" s="1070"/>
      <c r="E1028" s="789"/>
      <c r="F1028" s="789"/>
      <c r="G1028" s="789"/>
      <c r="I1028" s="1048"/>
    </row>
    <row r="1029" spans="1:9" ht="12.75" customHeight="1">
      <c r="A1029" s="100"/>
      <c r="B1029" s="339" t="s">
        <v>2811</v>
      </c>
      <c r="C1029" s="1110"/>
      <c r="D1029" s="1282" t="s">
        <v>602</v>
      </c>
      <c r="E1029" s="1282"/>
      <c r="F1029" s="1282"/>
      <c r="G1029" s="2"/>
      <c r="I1029" s="1048"/>
    </row>
    <row r="1030" spans="1:9" ht="12.75" customHeight="1">
      <c r="A1030" s="100"/>
      <c r="B1030" s="100"/>
      <c r="C1030" s="1110"/>
      <c r="D1030" s="68"/>
      <c r="E1030" s="2"/>
      <c r="F1030" s="2"/>
      <c r="G1030" s="2"/>
      <c r="I1030" s="1048"/>
    </row>
    <row r="1031" spans="1:9" ht="12.75" customHeight="1">
      <c r="A1031" s="100"/>
      <c r="B1031" s="339" t="s">
        <v>2811</v>
      </c>
      <c r="C1031" s="1110"/>
      <c r="D1031" s="1243" t="s">
        <v>603</v>
      </c>
      <c r="E1031" s="1243"/>
      <c r="F1031" s="1243"/>
      <c r="G1031" s="2"/>
      <c r="I1031" s="1048"/>
    </row>
    <row r="1032" spans="1:9" ht="12.75" customHeight="1">
      <c r="A1032" s="100"/>
      <c r="B1032" s="100"/>
      <c r="C1032" s="1110"/>
      <c r="D1032" s="1243"/>
      <c r="E1032" s="1243"/>
      <c r="F1032" s="1243"/>
      <c r="G1032" s="2"/>
      <c r="I1032" s="1048"/>
    </row>
    <row r="1033" spans="1:9" ht="12.75" customHeight="1">
      <c r="A1033" s="1110"/>
      <c r="B1033" s="1110"/>
      <c r="C1033" s="1110"/>
      <c r="D1033" s="2"/>
      <c r="E1033" s="2"/>
      <c r="F1033" s="2"/>
      <c r="G1033" s="2"/>
      <c r="I1033" s="1048"/>
    </row>
    <row r="1034" spans="1:9" ht="12.75" customHeight="1">
      <c r="A1034" s="1290" t="s">
        <v>604</v>
      </c>
      <c r="B1034" s="1290"/>
      <c r="C1034" s="1290"/>
      <c r="D1034" s="1290"/>
      <c r="E1034" s="1290"/>
      <c r="F1034" s="1290"/>
      <c r="G1034" s="1290"/>
      <c r="H1034" s="809"/>
      <c r="I1034" s="929"/>
    </row>
    <row r="1035" spans="1:9" ht="12.75" customHeight="1">
      <c r="A1035" s="1110"/>
      <c r="B1035" s="1110"/>
      <c r="C1035" s="1110"/>
      <c r="D1035" s="2"/>
      <c r="E1035" s="2"/>
      <c r="F1035" s="2"/>
      <c r="G1035" s="2"/>
      <c r="I1035" s="1048"/>
    </row>
    <row r="1036" spans="1:9" ht="12.75" customHeight="1">
      <c r="A1036" s="1110"/>
      <c r="B1036" s="1110"/>
      <c r="C1036" s="1110"/>
      <c r="D1036" s="1306" t="s">
        <v>605</v>
      </c>
      <c r="E1036" s="1306"/>
      <c r="F1036" s="1306"/>
      <c r="G1036" s="2"/>
      <c r="I1036" s="1048"/>
    </row>
    <row r="1037" spans="1:9" ht="12.75" customHeight="1">
      <c r="A1037" s="1110"/>
      <c r="B1037" s="1110"/>
      <c r="C1037" s="1110"/>
      <c r="D1037" s="1312" t="s">
        <v>606</v>
      </c>
      <c r="E1037" s="1312"/>
      <c r="F1037" s="1312"/>
      <c r="G1037" s="2"/>
      <c r="I1037" s="1048"/>
    </row>
    <row r="1038" spans="1:9" ht="12.75" customHeight="1">
      <c r="A1038" s="98"/>
      <c r="B1038" s="98"/>
      <c r="C1038" s="98"/>
      <c r="D1038" s="2"/>
      <c r="E1038" s="2"/>
      <c r="F1038" s="2"/>
      <c r="G1038" s="2"/>
      <c r="I1038" s="1048"/>
    </row>
    <row r="1039" spans="1:9" ht="12.75" customHeight="1">
      <c r="A1039" s="100"/>
      <c r="B1039" s="100"/>
      <c r="C1039" s="99"/>
      <c r="D1039" s="1306" t="s">
        <v>607</v>
      </c>
      <c r="E1039" s="1306"/>
      <c r="F1039" s="1306"/>
      <c r="G1039" s="2"/>
      <c r="I1039" s="1048"/>
    </row>
    <row r="1040" spans="1:9" ht="12.75" customHeight="1">
      <c r="A1040" s="1110"/>
      <c r="B1040" s="339" t="s">
        <v>2812</v>
      </c>
      <c r="C1040" s="1110"/>
      <c r="D1040" s="1312" t="s">
        <v>608</v>
      </c>
      <c r="E1040" s="1312"/>
      <c r="F1040" s="1312"/>
      <c r="G1040" s="2"/>
      <c r="I1040" s="1048"/>
    </row>
    <row r="1041" spans="1:9" ht="12.75" customHeight="1">
      <c r="A1041" s="1110"/>
      <c r="B1041" s="100"/>
      <c r="C1041" s="1110"/>
      <c r="D1041" s="1312" t="s">
        <v>609</v>
      </c>
      <c r="E1041" s="1312"/>
      <c r="F1041" s="1312"/>
      <c r="G1041" s="2"/>
      <c r="I1041" s="1048"/>
    </row>
    <row r="1042" spans="1:9" ht="12.75" customHeight="1">
      <c r="A1042" s="1110"/>
      <c r="B1042" s="1110"/>
      <c r="C1042" s="1110"/>
      <c r="D1042" s="1312"/>
      <c r="E1042" s="1312"/>
      <c r="F1042" s="1312"/>
      <c r="G1042" s="2"/>
      <c r="I1042" s="1048"/>
    </row>
    <row r="1043" spans="1:9" ht="12.75" customHeight="1">
      <c r="A1043" s="1290" t="s">
        <v>610</v>
      </c>
      <c r="B1043" s="1290"/>
      <c r="C1043" s="1290"/>
      <c r="D1043" s="1290"/>
      <c r="E1043" s="1290"/>
      <c r="F1043" s="1290"/>
      <c r="G1043" s="1290"/>
      <c r="H1043" s="809"/>
      <c r="I1043" s="929"/>
    </row>
    <row r="1044" spans="1:9" ht="12.75" customHeight="1">
      <c r="A1044" s="68"/>
      <c r="B1044" s="68"/>
      <c r="C1044" s="1110"/>
      <c r="D1044" s="2"/>
      <c r="E1044" s="2"/>
      <c r="F1044" s="2"/>
      <c r="G1044" s="2"/>
      <c r="I1044" s="1048"/>
    </row>
    <row r="1045" spans="1:9" ht="12.75" hidden="1" customHeight="1">
      <c r="A1045" s="68"/>
      <c r="B1045" s="273"/>
      <c r="D1045" s="1313" t="s">
        <v>611</v>
      </c>
      <c r="E1045" s="1313"/>
      <c r="F1045" s="1313"/>
      <c r="G1045" s="2"/>
      <c r="I1045" s="1048"/>
    </row>
    <row r="1046" spans="1:9" ht="12.75" hidden="1" customHeight="1">
      <c r="A1046" s="68"/>
      <c r="B1046" s="339" t="s">
        <v>311</v>
      </c>
      <c r="D1046" s="1277" t="s">
        <v>608</v>
      </c>
      <c r="E1046" s="1277"/>
      <c r="F1046" s="1277"/>
      <c r="G1046" s="2"/>
      <c r="I1046" s="1048"/>
    </row>
    <row r="1047" spans="1:9" ht="12.75" hidden="1" customHeight="1">
      <c r="A1047" s="68"/>
      <c r="B1047" s="273"/>
      <c r="D1047" s="1277" t="s">
        <v>612</v>
      </c>
      <c r="E1047" s="1277"/>
      <c r="F1047" s="1277"/>
      <c r="G1047" s="2"/>
      <c r="I1047" s="1048"/>
    </row>
    <row r="1048" spans="1:9" ht="12.75" hidden="1" customHeight="1">
      <c r="A1048" s="68"/>
      <c r="B1048" s="273"/>
      <c r="D1048" s="1054"/>
      <c r="E1048" s="1054"/>
      <c r="F1048" s="1054"/>
      <c r="G1048" s="2"/>
      <c r="I1048" s="1048"/>
    </row>
    <row r="1049" spans="1:9" ht="12.75" customHeight="1">
      <c r="A1049" s="68"/>
      <c r="B1049" s="68"/>
      <c r="C1049" s="1110"/>
      <c r="D1049" s="1314" t="s">
        <v>613</v>
      </c>
      <c r="E1049" s="1314"/>
      <c r="F1049" s="1314"/>
      <c r="G1049" s="2"/>
      <c r="I1049" s="1048"/>
    </row>
    <row r="1050" spans="1:9" ht="12.75" customHeight="1">
      <c r="A1050" s="199"/>
      <c r="B1050" s="199"/>
      <c r="C1050" s="199"/>
      <c r="D1050" s="1283" t="s">
        <v>614</v>
      </c>
      <c r="E1050" s="1283"/>
      <c r="F1050" s="1283"/>
      <c r="G1050" s="57"/>
      <c r="I1050" s="1048"/>
    </row>
    <row r="1051" spans="1:9" ht="12.75" customHeight="1">
      <c r="A1051" s="100"/>
      <c r="B1051" s="339" t="s">
        <v>2811</v>
      </c>
      <c r="C1051" s="1110"/>
      <c r="D1051" s="1283" t="s">
        <v>615</v>
      </c>
      <c r="E1051" s="1283"/>
      <c r="F1051" s="1283"/>
      <c r="G1051" s="2"/>
      <c r="I1051" s="1048"/>
    </row>
    <row r="1052" spans="1:9" ht="12.75" customHeight="1">
      <c r="A1052" s="1110"/>
      <c r="B1052" s="1110"/>
      <c r="C1052" s="1110"/>
      <c r="D1052" s="817" t="s">
        <v>616</v>
      </c>
      <c r="E1052" s="55"/>
      <c r="F1052" s="55"/>
      <c r="G1052" s="2"/>
      <c r="I1052" s="1048"/>
    </row>
    <row r="1053" spans="1:9">
      <c r="A1053" s="273"/>
      <c r="B1053" s="273"/>
      <c r="C1053" s="273"/>
      <c r="I1053" s="1048"/>
    </row>
    <row r="1054" spans="1:9">
      <c r="A1054" s="1290" t="s">
        <v>617</v>
      </c>
      <c r="B1054" s="1290"/>
      <c r="C1054" s="1290"/>
      <c r="D1054" s="1290"/>
      <c r="E1054" s="1290"/>
      <c r="F1054" s="1290"/>
      <c r="G1054" s="1290"/>
      <c r="H1054" s="809"/>
      <c r="I1054" s="929"/>
    </row>
    <row r="1055" spans="1:9">
      <c r="A1055" s="273"/>
      <c r="B1055" s="273"/>
      <c r="C1055" s="273"/>
      <c r="I1055" s="1048"/>
    </row>
    <row r="1056" spans="1:9">
      <c r="A1056" s="273"/>
      <c r="B1056" s="273"/>
      <c r="C1056" s="273"/>
      <c r="D1056" s="275" t="s">
        <v>618</v>
      </c>
      <c r="I1056" s="1048"/>
    </row>
    <row r="1057" spans="1:9">
      <c r="A1057" s="273"/>
      <c r="B1057" s="273"/>
      <c r="C1057" s="273"/>
      <c r="D1057" s="273" t="s">
        <v>619</v>
      </c>
      <c r="I1057" s="1048"/>
    </row>
    <row r="1058" spans="1:9">
      <c r="A1058" s="273"/>
      <c r="B1058" s="273"/>
      <c r="C1058" s="273"/>
      <c r="D1058" s="275"/>
      <c r="I1058" s="1048"/>
    </row>
    <row r="1059" spans="1:9">
      <c r="A1059" s="273"/>
      <c r="B1059" s="339" t="s">
        <v>2811</v>
      </c>
      <c r="C1059" s="273"/>
      <c r="D1059" s="1264" t="s">
        <v>620</v>
      </c>
      <c r="E1059" s="1264"/>
      <c r="F1059" s="1264"/>
      <c r="I1059" s="1048"/>
    </row>
    <row r="1060" spans="1:9">
      <c r="A1060" s="273"/>
      <c r="B1060" s="273"/>
      <c r="C1060" s="273"/>
      <c r="D1060" s="1264"/>
      <c r="E1060" s="1264"/>
      <c r="F1060" s="1264"/>
      <c r="I1060" s="1048"/>
    </row>
    <row r="1061" spans="1:9">
      <c r="A1061" s="273"/>
      <c r="B1061" s="273"/>
      <c r="C1061" s="273"/>
      <c r="D1061" s="1264"/>
      <c r="E1061" s="1264"/>
      <c r="F1061" s="1264"/>
      <c r="I1061" s="1048"/>
    </row>
    <row r="1062" spans="1:9">
      <c r="A1062" s="273"/>
      <c r="B1062" s="273"/>
      <c r="C1062" s="273"/>
      <c r="D1062" s="1264"/>
      <c r="E1062" s="1264"/>
      <c r="F1062" s="1264"/>
      <c r="I1062" s="1048"/>
    </row>
    <row r="1063" spans="1:9">
      <c r="A1063" s="273"/>
      <c r="B1063" s="273"/>
      <c r="C1063" s="273"/>
      <c r="I1063" s="1048"/>
    </row>
    <row r="1064" spans="1:9">
      <c r="A1064" s="273"/>
      <c r="B1064" s="273"/>
      <c r="C1064" s="273"/>
      <c r="D1064" s="275" t="s">
        <v>621</v>
      </c>
      <c r="I1064" s="1048"/>
    </row>
    <row r="1065" spans="1:9">
      <c r="A1065" s="273"/>
      <c r="B1065" s="273"/>
      <c r="C1065" s="273"/>
      <c r="D1065" s="273" t="s">
        <v>622</v>
      </c>
      <c r="I1065" s="1048"/>
    </row>
    <row r="1066" spans="1:9">
      <c r="A1066" s="273"/>
      <c r="B1066" s="273"/>
      <c r="C1066" s="273"/>
      <c r="I1066" s="1048"/>
    </row>
    <row r="1067" spans="1:9">
      <c r="A1067" s="273"/>
      <c r="B1067" s="339" t="s">
        <v>2812</v>
      </c>
      <c r="C1067" s="273"/>
      <c r="D1067" s="273" t="s">
        <v>569</v>
      </c>
      <c r="I1067" s="1048"/>
    </row>
    <row r="1068" spans="1:9">
      <c r="A1068" s="273"/>
      <c r="B1068" s="273"/>
      <c r="C1068" s="273"/>
      <c r="I1068" s="1048"/>
    </row>
    <row r="1069" spans="1:9">
      <c r="A1069" s="273"/>
      <c r="B1069" s="339" t="s">
        <v>2811</v>
      </c>
      <c r="C1069" s="273"/>
      <c r="D1069" s="1264" t="s">
        <v>623</v>
      </c>
      <c r="E1069" s="1264"/>
      <c r="F1069" s="1264"/>
      <c r="I1069" s="1048"/>
    </row>
    <row r="1070" spans="1:9">
      <c r="A1070" s="273"/>
      <c r="B1070" s="273"/>
      <c r="C1070" s="273"/>
      <c r="D1070" s="1264"/>
      <c r="E1070" s="1264"/>
      <c r="F1070" s="1264"/>
      <c r="I1070" s="1048"/>
    </row>
    <row r="1071" spans="1:9">
      <c r="A1071" s="273"/>
      <c r="B1071" s="273"/>
      <c r="C1071" s="273"/>
      <c r="D1071" s="1264"/>
      <c r="E1071" s="1264"/>
      <c r="F1071" s="1264"/>
      <c r="I1071" s="1048"/>
    </row>
    <row r="1072" spans="1:9">
      <c r="A1072" s="273"/>
      <c r="B1072" s="273"/>
      <c r="C1072" s="273"/>
      <c r="D1072" s="1264"/>
      <c r="E1072" s="1264"/>
      <c r="F1072" s="1264"/>
      <c r="I1072" s="1048"/>
    </row>
    <row r="1073" spans="1:9">
      <c r="A1073" s="273"/>
      <c r="B1073" s="273"/>
      <c r="C1073" s="273"/>
      <c r="D1073" s="1264"/>
      <c r="E1073" s="1264"/>
      <c r="F1073" s="1264"/>
      <c r="I1073" s="1048"/>
    </row>
    <row r="1074" spans="1:9">
      <c r="A1074" s="273"/>
      <c r="B1074" s="273"/>
      <c r="C1074" s="273"/>
      <c r="I1074" s="1048"/>
    </row>
    <row r="1075" spans="1:9">
      <c r="A1075" s="1290" t="s">
        <v>624</v>
      </c>
      <c r="B1075" s="1290"/>
      <c r="C1075" s="1290"/>
      <c r="D1075" s="1290"/>
      <c r="E1075" s="1290"/>
      <c r="F1075" s="1290"/>
      <c r="G1075" s="1290"/>
      <c r="H1075" s="809"/>
      <c r="I1075" s="929"/>
    </row>
    <row r="1076" spans="1:9">
      <c r="A1076" s="273"/>
      <c r="B1076" s="273"/>
      <c r="C1076" s="273"/>
      <c r="I1076" s="1048"/>
    </row>
    <row r="1077" spans="1:9">
      <c r="A1077" s="273"/>
      <c r="B1077" s="273"/>
      <c r="C1077" s="273"/>
      <c r="I1077" s="1048"/>
    </row>
    <row r="1078" spans="1:9">
      <c r="A1078" s="273"/>
      <c r="B1078" s="339" t="s">
        <v>2812</v>
      </c>
      <c r="C1078" s="273"/>
      <c r="D1078" s="377" t="s">
        <v>625</v>
      </c>
      <c r="I1078" s="1048"/>
    </row>
    <row r="1079" spans="1:9">
      <c r="A1079" s="273"/>
      <c r="B1079" s="273"/>
      <c r="C1079" s="273"/>
      <c r="D1079" s="377" t="s">
        <v>626</v>
      </c>
      <c r="I1079" s="1048"/>
    </row>
    <row r="1080" spans="1:9">
      <c r="A1080" s="273"/>
      <c r="B1080" s="273"/>
      <c r="C1080" s="273"/>
      <c r="D1080" s="377"/>
      <c r="I1080" s="1048"/>
    </row>
    <row r="1081" spans="1:9">
      <c r="A1081" s="273"/>
      <c r="B1081" s="339" t="s">
        <v>2811</v>
      </c>
      <c r="C1081" s="273"/>
      <c r="D1081" s="1310" t="s">
        <v>627</v>
      </c>
      <c r="E1081" s="1310"/>
      <c r="F1081" s="1310"/>
      <c r="I1081" s="1048"/>
    </row>
    <row r="1082" spans="1:9">
      <c r="A1082" s="273"/>
      <c r="B1082" s="273"/>
      <c r="C1082" s="273"/>
      <c r="D1082" s="1310"/>
      <c r="E1082" s="1310"/>
      <c r="F1082" s="1310"/>
      <c r="I1082" s="1048"/>
    </row>
    <row r="1083" spans="1:9">
      <c r="A1083" s="273"/>
      <c r="B1083" s="273"/>
      <c r="C1083" s="273"/>
      <c r="D1083" s="377" t="s">
        <v>628</v>
      </c>
      <c r="I1083" s="1048"/>
    </row>
    <row r="1084" spans="1:9">
      <c r="A1084" s="273"/>
      <c r="B1084" s="273"/>
      <c r="C1084" s="273"/>
      <c r="D1084" s="377"/>
      <c r="I1084" s="1048"/>
    </row>
    <row r="1085" spans="1:9">
      <c r="A1085" s="273"/>
      <c r="B1085" s="339" t="s">
        <v>2811</v>
      </c>
      <c r="C1085" s="273"/>
      <c r="D1085" s="69" t="s">
        <v>629</v>
      </c>
      <c r="I1085" s="1048"/>
    </row>
    <row r="1086" spans="1:9">
      <c r="A1086" s="273"/>
      <c r="B1086" s="273"/>
      <c r="C1086" s="273"/>
      <c r="D1086" s="1243" t="s">
        <v>630</v>
      </c>
      <c r="E1086" s="1243"/>
      <c r="F1086" s="1243"/>
      <c r="I1086" s="1048"/>
    </row>
    <row r="1087" spans="1:9">
      <c r="A1087" s="273"/>
      <c r="B1087" s="273"/>
      <c r="C1087" s="273"/>
      <c r="D1087" s="1243"/>
      <c r="E1087" s="1243"/>
      <c r="F1087" s="1243"/>
      <c r="I1087" s="1048"/>
    </row>
    <row r="1088" spans="1:9">
      <c r="A1088" s="273"/>
      <c r="B1088" s="273"/>
      <c r="C1088" s="273"/>
      <c r="D1088" s="1243"/>
      <c r="E1088" s="1243"/>
      <c r="F1088" s="1243"/>
      <c r="I1088" s="1048"/>
    </row>
    <row r="1089" spans="1:9">
      <c r="A1089" s="273"/>
      <c r="B1089" s="273"/>
      <c r="C1089" s="273"/>
      <c r="D1089" s="1243"/>
      <c r="E1089" s="1243"/>
      <c r="F1089" s="1243"/>
      <c r="I1089" s="1048"/>
    </row>
    <row r="1090" spans="1:9">
      <c r="A1090" s="273"/>
      <c r="B1090" s="273"/>
      <c r="C1090" s="273"/>
      <c r="D1090" s="69" t="s">
        <v>631</v>
      </c>
      <c r="I1090" s="1048"/>
    </row>
    <row r="1091" spans="1:9">
      <c r="A1091" s="273"/>
      <c r="B1091" s="273"/>
      <c r="C1091" s="273"/>
      <c r="D1091" s="69"/>
      <c r="I1091" s="1048"/>
    </row>
    <row r="1092" spans="1:9">
      <c r="A1092" s="273"/>
      <c r="B1092" s="273"/>
      <c r="C1092" s="273"/>
      <c r="D1092" s="377" t="s">
        <v>632</v>
      </c>
      <c r="I1092" s="1048"/>
    </row>
    <row r="1093" spans="1:9">
      <c r="A1093" s="273"/>
      <c r="B1093" s="339" t="s">
        <v>2811</v>
      </c>
      <c r="C1093" s="273"/>
      <c r="D1093" s="1308" t="s">
        <v>633</v>
      </c>
      <c r="E1093" s="1308"/>
      <c r="F1093" s="1308"/>
      <c r="I1093" s="1048"/>
    </row>
    <row r="1094" spans="1:9">
      <c r="A1094" s="273"/>
      <c r="B1094" s="273"/>
      <c r="C1094" s="273"/>
      <c r="D1094" s="1308"/>
      <c r="E1094" s="1308"/>
      <c r="F1094" s="1308"/>
      <c r="I1094" s="1048"/>
    </row>
    <row r="1095" spans="1:9">
      <c r="A1095" s="273"/>
      <c r="B1095" s="273"/>
      <c r="C1095" s="273"/>
      <c r="D1095" s="1308"/>
      <c r="E1095" s="1308"/>
      <c r="F1095" s="1308"/>
      <c r="I1095" s="1048"/>
    </row>
    <row r="1096" spans="1:9">
      <c r="A1096" s="273"/>
      <c r="B1096" s="273"/>
      <c r="C1096" s="273"/>
      <c r="D1096" s="1308"/>
      <c r="E1096" s="1308"/>
      <c r="F1096" s="1308"/>
      <c r="I1096" s="1048"/>
    </row>
    <row r="1097" spans="1:9">
      <c r="A1097" s="273"/>
      <c r="B1097" s="273"/>
      <c r="C1097" s="273"/>
      <c r="D1097" s="1308"/>
      <c r="E1097" s="1308"/>
      <c r="F1097" s="1308"/>
      <c r="I1097" s="1048"/>
    </row>
    <row r="1098" spans="1:9">
      <c r="A1098" s="273"/>
      <c r="B1098" s="273"/>
      <c r="C1098" s="273"/>
      <c r="D1098" s="377" t="s">
        <v>634</v>
      </c>
      <c r="I1098" s="1048"/>
    </row>
    <row r="1099" spans="1:9">
      <c r="A1099" s="273"/>
      <c r="B1099" s="273"/>
      <c r="C1099" s="273"/>
      <c r="I1099" s="1048"/>
    </row>
    <row r="1100" spans="1:9">
      <c r="A1100" s="273"/>
      <c r="B1100" s="339" t="s">
        <v>2811</v>
      </c>
      <c r="C1100" s="273"/>
      <c r="D1100" s="1259" t="s">
        <v>635</v>
      </c>
      <c r="E1100" s="1259"/>
      <c r="F1100" s="1259"/>
      <c r="I1100" s="1048"/>
    </row>
    <row r="1101" spans="1:9">
      <c r="A1101" s="273"/>
      <c r="B1101" s="273"/>
      <c r="C1101" s="273"/>
      <c r="D1101" s="1259"/>
      <c r="E1101" s="1259"/>
      <c r="F1101" s="1259"/>
      <c r="I1101" s="1048"/>
    </row>
    <row r="1102" spans="1:9">
      <c r="A1102" s="273"/>
      <c r="B1102" s="273"/>
      <c r="C1102" s="273"/>
      <c r="D1102" s="1259"/>
      <c r="E1102" s="1259"/>
      <c r="F1102" s="1259"/>
      <c r="I1102" s="1048"/>
    </row>
    <row r="1103" spans="1:9">
      <c r="A1103" s="273"/>
      <c r="B1103" s="273"/>
      <c r="C1103" s="273"/>
      <c r="I1103" s="1048"/>
    </row>
    <row r="1104" spans="1:9">
      <c r="A1104" s="1290" t="s">
        <v>636</v>
      </c>
      <c r="B1104" s="1290"/>
      <c r="C1104" s="1290"/>
      <c r="D1104" s="1290"/>
      <c r="E1104" s="1290"/>
      <c r="F1104" s="1290"/>
      <c r="G1104" s="1290"/>
      <c r="H1104" s="809"/>
      <c r="I1104" s="929"/>
    </row>
    <row r="1105" spans="1:9">
      <c r="A1105" s="273"/>
      <c r="B1105" s="273"/>
      <c r="C1105" s="273"/>
      <c r="I1105" s="1048"/>
    </row>
    <row r="1106" spans="1:9">
      <c r="A1106" s="273"/>
      <c r="B1106" s="273"/>
      <c r="C1106" s="273"/>
      <c r="I1106" s="1048"/>
    </row>
    <row r="1107" spans="1:9" ht="12.75" customHeight="1">
      <c r="A1107" s="273"/>
      <c r="B1107" s="339" t="s">
        <v>2811</v>
      </c>
      <c r="C1107" s="273"/>
      <c r="D1107" s="1234" t="s">
        <v>637</v>
      </c>
      <c r="E1107" s="1234"/>
      <c r="F1107" s="1234"/>
      <c r="I1107" s="1048"/>
    </row>
    <row r="1108" spans="1:9">
      <c r="A1108" s="273"/>
      <c r="B1108" s="273"/>
      <c r="C1108" s="273"/>
      <c r="D1108" s="1234"/>
      <c r="E1108" s="1234"/>
      <c r="F1108" s="1234"/>
      <c r="I1108" s="1048"/>
    </row>
    <row r="1109" spans="1:9">
      <c r="A1109" s="273"/>
      <c r="B1109" s="273"/>
      <c r="C1109" s="273"/>
      <c r="D1109" s="1309" t="s">
        <v>638</v>
      </c>
      <c r="E1109" s="1243"/>
      <c r="F1109" s="1243"/>
      <c r="I1109" s="1048"/>
    </row>
    <row r="1110" spans="1:9">
      <c r="A1110" s="273"/>
      <c r="B1110" s="273"/>
      <c r="C1110" s="273"/>
      <c r="D1110" s="377"/>
      <c r="I1110" s="1048"/>
    </row>
    <row r="1111" spans="1:9">
      <c r="A1111" s="273"/>
      <c r="B1111" s="339" t="s">
        <v>2811</v>
      </c>
      <c r="C1111" s="273"/>
      <c r="D1111" s="1308" t="s">
        <v>639</v>
      </c>
      <c r="E1111" s="1308"/>
      <c r="F1111" s="1308"/>
      <c r="I1111" s="1048"/>
    </row>
    <row r="1112" spans="1:9">
      <c r="A1112" s="273"/>
      <c r="B1112" s="273"/>
      <c r="C1112" s="273"/>
      <c r="D1112" s="1308"/>
      <c r="E1112" s="1308"/>
      <c r="F1112" s="1308"/>
      <c r="I1112" s="1048"/>
    </row>
    <row r="1113" spans="1:9">
      <c r="A1113" s="273"/>
      <c r="B1113" s="273"/>
      <c r="C1113" s="273"/>
      <c r="D1113" s="1308"/>
      <c r="E1113" s="1308"/>
      <c r="F1113" s="1308"/>
      <c r="I1113" s="1048"/>
    </row>
    <row r="1114" spans="1:9">
      <c r="A1114" s="273"/>
      <c r="B1114" s="273"/>
      <c r="C1114" s="273"/>
      <c r="D1114" s="377"/>
      <c r="I1114" s="1048"/>
    </row>
    <row r="1115" spans="1:9">
      <c r="A1115" s="273"/>
      <c r="B1115" s="339" t="s">
        <v>2811</v>
      </c>
      <c r="C1115" s="273"/>
      <c r="D1115" s="1308" t="s">
        <v>640</v>
      </c>
      <c r="E1115" s="1308"/>
      <c r="F1115" s="1308"/>
      <c r="I1115" s="1048"/>
    </row>
    <row r="1116" spans="1:9">
      <c r="A1116" s="273"/>
      <c r="B1116" s="273"/>
      <c r="C1116" s="273"/>
      <c r="D1116" s="1308"/>
      <c r="E1116" s="1308"/>
      <c r="F1116" s="1308"/>
      <c r="I1116" s="1048"/>
    </row>
    <row r="1117" spans="1:9">
      <c r="A1117" s="273"/>
      <c r="B1117" s="273"/>
      <c r="C1117" s="273"/>
      <c r="D1117" s="1308"/>
      <c r="E1117" s="1308"/>
      <c r="F1117" s="1308"/>
      <c r="I1117" s="1048"/>
    </row>
    <row r="1118" spans="1:9">
      <c r="A1118" s="273"/>
      <c r="B1118" s="273"/>
      <c r="C1118" s="273"/>
      <c r="D1118" s="1308"/>
      <c r="E1118" s="1308"/>
      <c r="F1118" s="1308"/>
      <c r="I1118" s="1048"/>
    </row>
    <row r="1119" spans="1:9">
      <c r="A1119" s="273"/>
      <c r="B1119" s="273"/>
      <c r="C1119" s="273"/>
      <c r="D1119" s="1308"/>
      <c r="E1119" s="1308"/>
      <c r="F1119" s="1308"/>
      <c r="I1119" s="1048"/>
    </row>
    <row r="1120" spans="1:9">
      <c r="A1120" s="273"/>
      <c r="B1120" s="273"/>
      <c r="C1120" s="273"/>
      <c r="D1120" s="377"/>
      <c r="I1120" s="336"/>
    </row>
    <row r="1121" spans="1:9">
      <c r="A1121" s="273"/>
      <c r="B1121" s="339" t="s">
        <v>2811</v>
      </c>
      <c r="C1121" s="273"/>
      <c r="D1121" s="1308" t="s">
        <v>641</v>
      </c>
      <c r="E1121" s="1308"/>
      <c r="F1121" s="1308"/>
      <c r="I1121" s="1048"/>
    </row>
    <row r="1122" spans="1:9">
      <c r="A1122" s="273"/>
      <c r="B1122" s="273"/>
      <c r="C1122" s="273"/>
      <c r="D1122" s="1308"/>
      <c r="E1122" s="1308"/>
      <c r="F1122" s="1308"/>
      <c r="I1122" s="1048"/>
    </row>
    <row r="1123" spans="1:9">
      <c r="A1123" s="273"/>
      <c r="B1123" s="273"/>
      <c r="C1123" s="273"/>
      <c r="D1123" s="1308"/>
      <c r="E1123" s="1308"/>
      <c r="F1123" s="1308"/>
      <c r="I1123" s="1048"/>
    </row>
    <row r="1124" spans="1:9">
      <c r="A1124" s="273"/>
      <c r="B1124" s="273"/>
      <c r="C1124" s="273"/>
      <c r="D1124" s="377"/>
      <c r="I1124" s="1048"/>
    </row>
    <row r="1125" spans="1:9">
      <c r="A1125" s="273"/>
      <c r="B1125" s="339" t="s">
        <v>2811</v>
      </c>
      <c r="C1125" s="273"/>
      <c r="D1125" s="1249" t="s">
        <v>642</v>
      </c>
      <c r="E1125" s="1249"/>
      <c r="F1125" s="1249"/>
      <c r="I1125" s="1048"/>
    </row>
    <row r="1126" spans="1:9">
      <c r="A1126" s="273"/>
      <c r="B1126" s="273"/>
      <c r="C1126" s="273"/>
      <c r="D1126" s="1249"/>
      <c r="E1126" s="1249"/>
      <c r="F1126" s="1249"/>
      <c r="I1126" s="1048"/>
    </row>
    <row r="1127" spans="1:9">
      <c r="A1127" s="273"/>
      <c r="B1127" s="273"/>
      <c r="C1127" s="273"/>
      <c r="D1127" s="1249"/>
      <c r="E1127" s="1249"/>
      <c r="F1127" s="1249"/>
      <c r="I1127" s="1048"/>
    </row>
    <row r="1128" spans="1:9">
      <c r="A1128" s="273"/>
      <c r="B1128" s="273"/>
      <c r="C1128" s="273"/>
      <c r="D1128" s="1043"/>
      <c r="E1128" s="1043"/>
      <c r="F1128" s="1043"/>
      <c r="I1128" s="1048"/>
    </row>
    <row r="1129" spans="1:9" ht="15.75" customHeight="1">
      <c r="A1129" s="273"/>
      <c r="B1129" s="339" t="s">
        <v>2811</v>
      </c>
      <c r="C1129" s="273"/>
      <c r="D1129" s="1243" t="s">
        <v>643</v>
      </c>
      <c r="E1129" s="1243"/>
      <c r="F1129" s="1243"/>
      <c r="I1129" s="1048"/>
    </row>
    <row r="1130" spans="1:9">
      <c r="A1130" s="273"/>
      <c r="B1130" s="273"/>
      <c r="C1130" s="273"/>
      <c r="D1130" s="1243"/>
      <c r="E1130" s="1243"/>
      <c r="F1130" s="1243"/>
      <c r="I1130" s="1048"/>
    </row>
    <row r="1131" spans="1:9">
      <c r="A1131" s="273"/>
      <c r="B1131" s="273"/>
      <c r="C1131" s="273"/>
      <c r="D1131" s="1243"/>
      <c r="E1131" s="1243"/>
      <c r="F1131" s="1243"/>
      <c r="I1131" s="1048"/>
    </row>
    <row r="1132" spans="1:9">
      <c r="A1132" s="273"/>
      <c r="B1132" s="273"/>
      <c r="C1132" s="273"/>
      <c r="D1132" s="1243"/>
      <c r="E1132" s="1243"/>
      <c r="F1132" s="1243"/>
      <c r="I1132" s="1048"/>
    </row>
    <row r="1133" spans="1:9">
      <c r="A1133" s="273"/>
      <c r="B1133" s="273"/>
      <c r="C1133" s="273"/>
      <c r="D1133" s="1043"/>
      <c r="E1133" s="1043"/>
      <c r="F1133" s="1043"/>
      <c r="I1133" s="1048"/>
    </row>
    <row r="1134" spans="1:9">
      <c r="A1134" s="273"/>
      <c r="B1134" s="339" t="s">
        <v>2812</v>
      </c>
      <c r="C1134" s="273"/>
      <c r="D1134" s="1249" t="s">
        <v>644</v>
      </c>
      <c r="E1134" s="1249"/>
      <c r="F1134" s="1249"/>
      <c r="I1134" s="1048"/>
    </row>
    <row r="1135" spans="1:9">
      <c r="A1135" s="273"/>
      <c r="B1135" s="273"/>
      <c r="C1135" s="273"/>
      <c r="D1135" s="1249"/>
      <c r="E1135" s="1249"/>
      <c r="F1135" s="1249"/>
      <c r="I1135" s="1048"/>
    </row>
    <row r="1136" spans="1:9">
      <c r="A1136" s="273"/>
      <c r="B1136" s="273"/>
      <c r="C1136" s="273"/>
      <c r="D1136" s="1249"/>
      <c r="E1136" s="1249"/>
      <c r="F1136" s="1249"/>
      <c r="I1136" s="1048"/>
    </row>
    <row r="1137" spans="1:9">
      <c r="A1137" s="273"/>
      <c r="B1137" s="273"/>
      <c r="C1137" s="273"/>
      <c r="D1137" s="1249"/>
      <c r="E1137" s="1249"/>
      <c r="F1137" s="1249"/>
      <c r="I1137" s="1048"/>
    </row>
    <row r="1138" spans="1:9">
      <c r="A1138" s="273"/>
      <c r="B1138" s="273"/>
      <c r="C1138" s="273"/>
      <c r="D1138" s="1249"/>
      <c r="E1138" s="1249"/>
      <c r="F1138" s="1249"/>
      <c r="I1138" s="1048"/>
    </row>
    <row r="1139" spans="1:9">
      <c r="A1139" s="273"/>
      <c r="B1139" s="273"/>
      <c r="C1139" s="273"/>
      <c r="D1139" s="1249"/>
      <c r="E1139" s="1249"/>
      <c r="F1139" s="1249"/>
      <c r="I1139" s="1048"/>
    </row>
    <row r="1140" spans="1:9">
      <c r="A1140" s="273"/>
      <c r="B1140" s="273"/>
      <c r="C1140" s="273"/>
      <c r="D1140" s="1043"/>
      <c r="E1140" s="1043"/>
      <c r="F1140" s="1043"/>
      <c r="I1140" s="1048"/>
    </row>
    <row r="1141" spans="1:9">
      <c r="A1141" s="273"/>
      <c r="B1141" s="339" t="s">
        <v>2811</v>
      </c>
      <c r="C1141" s="273"/>
      <c r="D1141" s="1264" t="s">
        <v>645</v>
      </c>
      <c r="E1141" s="1264"/>
      <c r="F1141" s="1264"/>
      <c r="I1141" s="935"/>
    </row>
    <row r="1142" spans="1:9">
      <c r="A1142" s="273"/>
      <c r="B1142" s="273"/>
      <c r="C1142" s="273"/>
      <c r="D1142" s="1264"/>
      <c r="E1142" s="1264"/>
      <c r="F1142" s="1264"/>
      <c r="I1142" s="1048"/>
    </row>
    <row r="1143" spans="1:9">
      <c r="A1143" s="273"/>
      <c r="B1143" s="273"/>
      <c r="C1143" s="273"/>
      <c r="D1143" s="1264"/>
      <c r="E1143" s="1264"/>
      <c r="F1143" s="1264"/>
    </row>
    <row r="1144" spans="1:9">
      <c r="A1144" s="273"/>
      <c r="B1144" s="273"/>
      <c r="C1144" s="273"/>
      <c r="D1144" s="1264"/>
      <c r="E1144" s="1264"/>
      <c r="F1144" s="1264"/>
    </row>
    <row r="1145" spans="1:9">
      <c r="A1145" s="273"/>
      <c r="B1145" s="273"/>
      <c r="C1145" s="273"/>
      <c r="D1145" s="1264"/>
      <c r="E1145" s="1264"/>
      <c r="F1145" s="1264"/>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276"/>
      <c r="H1553" s="1276"/>
      <c r="I1553" s="127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475" zoomScale="130" zoomScaleNormal="130" workbookViewId="0">
      <selection activeCell="AR456" sqref="AR456"/>
    </sheetView>
  </sheetViews>
  <sheetFormatPr defaultColWidth="0" defaultRowHeight="0" customHeight="1" zeroHeight="1"/>
  <cols>
    <col min="1" max="45" width="2.7109375" customWidth="1"/>
    <col min="46" max="46" width="12.42578125" customWidth="1"/>
    <col min="47" max="16384" width="12.42578125" hidden="1"/>
  </cols>
  <sheetData>
    <row r="1" spans="1:58" ht="13.15" customHeight="1">
      <c r="J1" s="59"/>
      <c r="AS1" s="812">
        <v>4</v>
      </c>
      <c r="BD1" s="2" t="s">
        <v>646</v>
      </c>
      <c r="BE1" s="2"/>
      <c r="BF1" s="2"/>
    </row>
    <row r="2" spans="1:58" ht="13.15" customHeight="1">
      <c r="BD2" s="2" t="s">
        <v>647</v>
      </c>
      <c r="BE2" s="2" t="s">
        <v>648</v>
      </c>
      <c r="BF2" s="2" t="s">
        <v>649</v>
      </c>
    </row>
    <row r="3" spans="1:58" ht="13.15" customHeight="1">
      <c r="BD3" s="2" t="s">
        <v>650</v>
      </c>
      <c r="BE3" t="str">
        <f>AC220</f>
        <v>Balance of Los Angeles County</v>
      </c>
    </row>
    <row r="4" spans="1:58" ht="13.15" customHeight="1">
      <c r="BD4" s="2" t="s">
        <v>651</v>
      </c>
      <c r="BE4" s="960"/>
    </row>
    <row r="5" spans="1:58" ht="13.15" customHeight="1">
      <c r="BD5" s="2" t="s">
        <v>652</v>
      </c>
      <c r="BE5">
        <f>SUMIF($AC$726:$AC$760,"&lt;=20%",$G$726:G$760)</f>
        <v>0</v>
      </c>
      <c r="BF5" s="2" t="s">
        <v>653</v>
      </c>
    </row>
    <row r="6" spans="1:58" ht="13.15" customHeight="1">
      <c r="BD6" s="2" t="s">
        <v>654</v>
      </c>
      <c r="BE6" s="963">
        <f>SUMIF($AC$726:$AC$760,"&lt;=25%",$G$726:G$760)-SUM($BE$5:BE5)</f>
        <v>0</v>
      </c>
    </row>
    <row r="7" spans="1:58" ht="13.15" customHeight="1">
      <c r="BD7" s="961" t="s">
        <v>655</v>
      </c>
      <c r="BE7" s="963">
        <f>SUMIF($AC$726:$AC$760,"&lt;=30%",$G$726:G$760)-SUM($BE$5:BE6)</f>
        <v>47</v>
      </c>
    </row>
    <row r="8" spans="1:58" ht="26.25" customHeight="1">
      <c r="A8" s="1768" t="s">
        <v>656</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1108"/>
      <c r="AV8" s="1108"/>
      <c r="AW8" s="1108"/>
      <c r="AX8" s="1108"/>
      <c r="AY8" s="1108"/>
      <c r="BD8" s="2" t="s">
        <v>657</v>
      </c>
      <c r="BE8" s="963">
        <f>SUMIF($AC$726:$AC$760,"&lt;=35%",$G$726:G$760)-SUM($BE$5:BE7)</f>
        <v>0</v>
      </c>
    </row>
    <row r="9" spans="1:58" ht="13.15" customHeight="1">
      <c r="A9" s="1769" t="s">
        <v>658</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109"/>
      <c r="AV9" s="1109"/>
      <c r="AW9" s="1109"/>
      <c r="AX9" s="1109"/>
      <c r="AY9" s="1109"/>
      <c r="BD9" s="962" t="s">
        <v>659</v>
      </c>
      <c r="BE9" s="963">
        <f>SUMIF($AC$726:$AC$760,"&lt;=40%",$G$726:G$760)-SUM($BE$5:BE8)</f>
        <v>0</v>
      </c>
    </row>
    <row r="10" spans="1:58" ht="13.15" customHeight="1">
      <c r="A10" s="1769" t="s">
        <v>660</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109"/>
      <c r="AV10" s="1109"/>
      <c r="AW10" s="1109"/>
      <c r="AX10" s="1109"/>
      <c r="AY10" s="1109"/>
      <c r="BD10" s="2" t="s">
        <v>661</v>
      </c>
      <c r="BE10" s="963">
        <f>SUMIF($AC$726:$AC$760,"&lt;=45%",$G$726:G$760)-SUM($BE$5:BE9)</f>
        <v>0</v>
      </c>
    </row>
    <row r="11" spans="1:58" ht="13.15" customHeight="1">
      <c r="A11" s="1769" t="s">
        <v>662</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109"/>
      <c r="AV11" s="1109"/>
      <c r="AW11" s="1109"/>
      <c r="AX11" s="1109"/>
      <c r="AY11" s="1109"/>
      <c r="BD11" s="961" t="s">
        <v>663</v>
      </c>
      <c r="BE11" s="963">
        <f>SUMIF($AC$726:$AC$760,"&lt;=50%",$G$726:G$760)-SUM($BE$5:BE10)</f>
        <v>46</v>
      </c>
    </row>
    <row r="12" spans="1:58" ht="13.15" customHeight="1">
      <c r="A12" s="1770" t="s">
        <v>664</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110"/>
      <c r="AV12" s="1110"/>
      <c r="AW12" s="1110"/>
      <c r="AX12" s="1110"/>
      <c r="AY12" s="1110"/>
      <c r="BD12" s="2" t="s">
        <v>665</v>
      </c>
      <c r="BE12" s="963">
        <f>SUMIF($AC$726:$AC$760,"&lt;=55%",$G$726:G$760)-SUM($BE$5:BE11)</f>
        <v>0</v>
      </c>
    </row>
    <row r="13" spans="1:58" ht="13.15" customHeight="1">
      <c r="A13" s="1253" t="s">
        <v>666</v>
      </c>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706"/>
      <c r="AV13" s="706"/>
      <c r="AW13" s="706"/>
      <c r="AX13" s="706"/>
      <c r="AY13" s="706"/>
      <c r="BD13" s="962" t="s">
        <v>667</v>
      </c>
      <c r="BE13" s="963">
        <f>SUMIF($AC$726:$AC$760,"&lt;=60%",$G$726:G$760)-SUM($BE$5:BE12)</f>
        <v>26</v>
      </c>
    </row>
    <row r="14" spans="1:58" ht="13.15" customHeight="1">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706"/>
      <c r="AV14" s="706"/>
      <c r="AW14" s="706"/>
      <c r="AX14" s="706"/>
      <c r="AY14" s="706"/>
      <c r="BD14" s="961" t="s">
        <v>668</v>
      </c>
      <c r="BE14" s="963">
        <f>SUMIF($AC$726:$AC$760,"&lt;=70%",$G$726:G$760)-SUM($BE$5:BE13)</f>
        <v>32</v>
      </c>
    </row>
    <row r="15" spans="1:58" ht="13.1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3.15" customHeight="1">
      <c r="A16" s="38" t="s">
        <v>670</v>
      </c>
      <c r="C16" s="2"/>
      <c r="D16" s="2"/>
      <c r="E16" s="2"/>
      <c r="F16" s="2"/>
      <c r="G16" s="2"/>
      <c r="H16" s="1489" t="s">
        <v>2810</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962" t="s">
        <v>77</v>
      </c>
      <c r="BE16" s="963" t="str">
        <f>Application!H18</f>
        <v>1401 Long Beach</v>
      </c>
    </row>
    <row r="17" spans="1:58" ht="13.15" customHeight="1">
      <c r="BD17" s="961" t="s">
        <v>671</v>
      </c>
      <c r="BE17" s="963">
        <f>Application!AA943</f>
        <v>6000000</v>
      </c>
    </row>
    <row r="18" spans="1:58" ht="13.15" customHeight="1">
      <c r="A18" s="38" t="s">
        <v>672</v>
      </c>
      <c r="C18" s="2"/>
      <c r="D18" s="2"/>
      <c r="E18" s="2"/>
      <c r="F18" s="2"/>
      <c r="G18" s="2"/>
      <c r="H18" s="1477" t="s">
        <v>2637</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BD18" s="962" t="s">
        <v>673</v>
      </c>
      <c r="BE18" s="963">
        <f>AA943</f>
        <v>6000000</v>
      </c>
    </row>
    <row r="19" spans="1:58" ht="13.15" customHeight="1">
      <c r="BD19" s="961" t="s">
        <v>674</v>
      </c>
      <c r="BE19" s="963">
        <f>Application!M26</f>
        <v>5083345</v>
      </c>
    </row>
    <row r="20" spans="1:58" ht="13.15" customHeight="1">
      <c r="A20" s="1771" t="s">
        <v>675</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1111"/>
      <c r="AV20" s="1111"/>
      <c r="AW20" s="1111"/>
      <c r="AX20" s="1111"/>
      <c r="AY20" s="1111"/>
      <c r="BD20" s="962" t="s">
        <v>676</v>
      </c>
      <c r="BE20" s="963">
        <f>Application!M27</f>
        <v>6562159</v>
      </c>
    </row>
    <row r="21" spans="1:58" ht="13.15" customHeight="1">
      <c r="A21" s="1790" t="s">
        <v>677</v>
      </c>
      <c r="B21" s="1790"/>
      <c r="C21" s="1790"/>
      <c r="D21" s="1790"/>
      <c r="E21" s="1790"/>
      <c r="F21" s="1790"/>
      <c r="G21" s="1790"/>
      <c r="H21" s="1790"/>
      <c r="I21" s="1790"/>
      <c r="J21" s="1790"/>
      <c r="K21" s="1790"/>
      <c r="L21" s="1790"/>
      <c r="M21" s="1790"/>
      <c r="N21" s="1790"/>
      <c r="O21" s="1790"/>
      <c r="P21" s="1790"/>
      <c r="Q21" s="1790"/>
      <c r="R21" s="1790"/>
      <c r="S21" s="1790"/>
      <c r="T21" s="1790"/>
      <c r="U21" s="1790"/>
      <c r="V21" s="1790"/>
      <c r="W21" s="1790"/>
      <c r="X21" s="1790"/>
      <c r="Y21" s="1790"/>
      <c r="Z21" s="1790"/>
      <c r="AA21" s="1790"/>
      <c r="AB21" s="1790"/>
      <c r="AC21" s="1790"/>
      <c r="AD21" s="1790"/>
      <c r="AE21" s="1790"/>
      <c r="AF21" s="1790"/>
      <c r="AG21" s="1790"/>
      <c r="AH21" s="1790"/>
      <c r="AI21" s="1790"/>
      <c r="AJ21" s="1790"/>
      <c r="AK21" s="1790"/>
      <c r="AL21" s="1790"/>
      <c r="AM21" s="1112"/>
      <c r="AN21" s="1112"/>
      <c r="AO21" s="1112"/>
      <c r="AP21" s="1112"/>
      <c r="AQ21" s="1112"/>
      <c r="AR21" s="1112"/>
      <c r="AS21" s="1112"/>
      <c r="AT21" s="1112"/>
      <c r="AU21" s="1112"/>
      <c r="AV21" s="1112"/>
      <c r="AW21" s="1112"/>
      <c r="AX21" s="1112"/>
      <c r="AY21" s="1112"/>
      <c r="BD21" s="961" t="s">
        <v>678</v>
      </c>
      <c r="BE21" s="963">
        <f>Application!AM562</f>
        <v>26717593</v>
      </c>
    </row>
    <row r="22" spans="1:58" ht="13.1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112607197</v>
      </c>
      <c r="BF22" s="2" t="s">
        <v>680</v>
      </c>
    </row>
    <row r="23" spans="1:58" ht="13.15" customHeight="1">
      <c r="A23" s="1234" t="s">
        <v>681</v>
      </c>
      <c r="B23" s="1234"/>
      <c r="C23" s="1234"/>
      <c r="D23" s="1234"/>
      <c r="E23" s="1234"/>
      <c r="F23" s="1234"/>
      <c r="G23" s="1234"/>
      <c r="H23" s="1234"/>
      <c r="I23" s="1234"/>
      <c r="J23" s="1234"/>
      <c r="K23" s="1234"/>
      <c r="L23" s="123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4"/>
      <c r="AV23" s="14"/>
      <c r="AW23" s="14"/>
      <c r="AX23" s="14"/>
      <c r="AY23" s="14"/>
      <c r="AZ23" s="14"/>
      <c r="BD23" s="961" t="s">
        <v>682</v>
      </c>
      <c r="BE23" s="963">
        <f>'Sources and Uses Budget'!B4</f>
        <v>6500000</v>
      </c>
    </row>
    <row r="24" spans="1:58" ht="13.15" customHeight="1">
      <c r="A24" s="1234"/>
      <c r="B24" s="1234"/>
      <c r="C24" s="1234"/>
      <c r="D24" s="1234"/>
      <c r="E24" s="1234"/>
      <c r="F24" s="1234"/>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4"/>
      <c r="AV24" s="14"/>
      <c r="AW24" s="14"/>
      <c r="AX24" s="14"/>
      <c r="AY24" s="14"/>
      <c r="AZ24" s="14"/>
      <c r="BD24" s="962" t="s">
        <v>683</v>
      </c>
      <c r="BE24" s="963">
        <f>Application!AG459</f>
        <v>152761</v>
      </c>
    </row>
    <row r="25" spans="1:58" ht="13.1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 Average Income</v>
      </c>
    </row>
    <row r="26" spans="1:58" ht="13.15" customHeight="1">
      <c r="A26" s="2"/>
      <c r="C26" s="2"/>
      <c r="D26" s="2"/>
      <c r="E26" s="2"/>
      <c r="F26" s="2"/>
      <c r="G26" s="2"/>
      <c r="H26" s="2"/>
      <c r="I26" s="2"/>
      <c r="J26" s="2"/>
      <c r="K26" s="2"/>
      <c r="L26" s="2"/>
      <c r="M26" s="1496">
        <f>'Basis &amp; Credits'!AB56</f>
        <v>5083345</v>
      </c>
      <c r="N26" s="1496"/>
      <c r="O26" s="1496"/>
      <c r="P26" s="1496"/>
      <c r="Q26" s="1496"/>
      <c r="R26" s="2" t="s">
        <v>685</v>
      </c>
      <c r="S26" s="2"/>
      <c r="T26" s="2"/>
      <c r="U26" s="2"/>
      <c r="V26" s="2"/>
      <c r="W26" s="2"/>
      <c r="X26" s="2"/>
      <c r="Y26" s="2"/>
      <c r="Z26" s="2"/>
      <c r="AF26" s="2"/>
      <c r="AG26" s="2"/>
      <c r="AH26" s="2"/>
      <c r="AI26" s="2"/>
      <c r="AJ26" s="2"/>
      <c r="AK26" s="2"/>
      <c r="BD26" s="962" t="s">
        <v>686</v>
      </c>
      <c r="BE26" s="963" t="b">
        <f>Application!M365="Yes"</f>
        <v>0</v>
      </c>
    </row>
    <row r="27" spans="1:58" ht="13.15" customHeight="1">
      <c r="A27" s="2"/>
      <c r="C27" s="2"/>
      <c r="D27" s="2"/>
      <c r="E27" s="2"/>
      <c r="F27" s="2"/>
      <c r="G27" s="2"/>
      <c r="H27" s="2"/>
      <c r="I27" s="2"/>
      <c r="J27" s="2"/>
      <c r="K27" s="2"/>
      <c r="L27" s="2"/>
      <c r="M27" s="1386">
        <f>'Basis &amp; Credits'!AB78</f>
        <v>6562159</v>
      </c>
      <c r="N27" s="1386"/>
      <c r="O27" s="1386"/>
      <c r="P27" s="1386"/>
      <c r="Q27" s="1386"/>
      <c r="R27" s="2" t="s">
        <v>687</v>
      </c>
      <c r="S27" s="2"/>
      <c r="T27" s="2"/>
      <c r="U27" s="2"/>
      <c r="V27" s="2"/>
      <c r="W27" s="2"/>
      <c r="X27" s="2"/>
      <c r="Y27" s="2"/>
      <c r="Z27" s="2"/>
      <c r="AF27" s="2"/>
      <c r="AG27" s="2"/>
      <c r="AH27" s="2"/>
      <c r="AI27" s="2"/>
      <c r="AJ27" s="2"/>
      <c r="AK27" s="2"/>
      <c r="BD27" s="961" t="s">
        <v>688</v>
      </c>
      <c r="BE27" s="963" t="b">
        <f>Application!M364="Yes"</f>
        <v>1</v>
      </c>
    </row>
    <row r="28" spans="1:58" ht="13.1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0</v>
      </c>
    </row>
    <row r="29" spans="1:58" ht="13.15" customHeight="1">
      <c r="A29" s="1509" t="s">
        <v>690</v>
      </c>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BD29" s="961" t="s">
        <v>691</v>
      </c>
      <c r="BE29" s="963" t="b">
        <f>Application!M367="Yes"</f>
        <v>0</v>
      </c>
    </row>
    <row r="30" spans="1:58" ht="13.15" customHeight="1">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Z30" s="15"/>
      <c r="BD30" s="962" t="s">
        <v>692</v>
      </c>
      <c r="BE30" s="963" t="b">
        <f>Application!AJ364="Yes"</f>
        <v>0</v>
      </c>
    </row>
    <row r="31" spans="1:58" ht="13.15" customHeight="1">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09"/>
      <c r="AO31" s="1509"/>
      <c r="AP31" s="1509"/>
      <c r="AQ31" s="1509"/>
      <c r="AR31" s="1509"/>
      <c r="AS31" s="1509"/>
      <c r="AT31" s="1509"/>
      <c r="AU31" s="15"/>
      <c r="AV31" s="15"/>
      <c r="AW31" s="15"/>
      <c r="AX31" s="15"/>
      <c r="AY31" s="15"/>
      <c r="AZ31" s="15"/>
      <c r="BD31" s="961" t="s">
        <v>693</v>
      </c>
      <c r="BE31" s="963" t="str">
        <f>Application!D211</f>
        <v>Large Family</v>
      </c>
    </row>
    <row r="32" spans="1:58" ht="13.15" customHeight="1">
      <c r="A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3.15" hidden="1" customHeight="1">
      <c r="A33" s="1057" t="s">
        <v>695</v>
      </c>
      <c r="C33" s="1057"/>
      <c r="D33" s="1057"/>
      <c r="E33" s="1057"/>
      <c r="F33" s="1057"/>
      <c r="G33" s="1057"/>
      <c r="H33" s="1057"/>
      <c r="I33" s="1057"/>
      <c r="J33" s="1057"/>
      <c r="K33" s="1057"/>
      <c r="L33" s="1057"/>
      <c r="M33" s="1057"/>
      <c r="N33" s="1057"/>
      <c r="O33" s="1356" t="s">
        <v>696</v>
      </c>
      <c r="P33" s="1356"/>
      <c r="Q33" s="1772" t="s">
        <v>697</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5"/>
      <c r="AV33" s="15"/>
      <c r="AW33" s="15"/>
      <c r="AX33" s="15"/>
      <c r="AY33" s="15"/>
      <c r="BD33" s="961" t="s">
        <v>698</v>
      </c>
      <c r="BE33" s="963" t="str">
        <f>Application!D220</f>
        <v>Balance of Los Angeles County</v>
      </c>
    </row>
    <row r="34" spans="1:57" ht="13.15" hidden="1" customHeight="1">
      <c r="A34" s="1509" t="s">
        <v>699</v>
      </c>
      <c r="B34" s="1509"/>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c r="AN34" s="1509"/>
      <c r="AO34" s="1509"/>
      <c r="AP34" s="1509"/>
      <c r="AQ34" s="1509"/>
      <c r="AR34" s="1509"/>
      <c r="AS34" s="1509"/>
      <c r="AT34" s="1509"/>
      <c r="AU34" s="15"/>
      <c r="AV34" s="15"/>
      <c r="AW34" s="15"/>
      <c r="AX34" s="15"/>
      <c r="AY34" s="15"/>
      <c r="AZ34" s="15"/>
      <c r="BD34" s="962" t="s">
        <v>700</v>
      </c>
      <c r="BE34" s="963" t="str">
        <f>Application!I185</f>
        <v>1401 Long Beach Blvd.</v>
      </c>
    </row>
    <row r="35" spans="1:57" ht="13.15" hidden="1" customHeight="1">
      <c r="A35" s="1509"/>
      <c r="B35" s="1509"/>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15"/>
      <c r="AV35" s="15"/>
      <c r="AW35" s="15"/>
      <c r="AX35" s="15"/>
      <c r="AY35" s="15"/>
      <c r="AZ35" s="15"/>
      <c r="BD35" s="961" t="s">
        <v>701</v>
      </c>
      <c r="BE35" s="963" t="str">
        <f>IF(Application!E187="","",Application!E187)</f>
        <v/>
      </c>
    </row>
    <row r="36" spans="1:57" ht="13.15" hidden="1" customHeight="1">
      <c r="A36" s="1509"/>
      <c r="B36" s="1509"/>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15"/>
      <c r="AV36" s="15"/>
      <c r="AW36" s="15"/>
      <c r="AX36" s="15"/>
      <c r="AY36" s="15"/>
      <c r="AZ36" s="15"/>
      <c r="BD36" s="962" t="s">
        <v>702</v>
      </c>
      <c r="BE36" s="963" t="str">
        <f>Application!I189</f>
        <v>Long Beach</v>
      </c>
    </row>
    <row r="37" spans="1:57" ht="13.15" hidden="1" customHeight="1">
      <c r="A37" s="1509"/>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Z37" s="15"/>
      <c r="BD37" s="961" t="s">
        <v>703</v>
      </c>
      <c r="BE37" s="963" t="str">
        <f>Application!T189</f>
        <v>Los Angeles</v>
      </c>
    </row>
    <row r="38" spans="1:57" ht="13.15" hidden="1" customHeight="1">
      <c r="A38" s="2"/>
      <c r="AZ38" s="15"/>
      <c r="BD38" s="962" t="s">
        <v>704</v>
      </c>
      <c r="BE38" s="963">
        <f>Application!I190</f>
        <v>90813</v>
      </c>
    </row>
    <row r="39" spans="1:57" ht="13.15" customHeight="1">
      <c r="A39" s="1243" t="s">
        <v>705</v>
      </c>
      <c r="B39" s="1243"/>
      <c r="C39" s="1243"/>
      <c r="D39" s="1243"/>
      <c r="E39" s="1243"/>
      <c r="F39" s="1243"/>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c r="AN39" s="1243"/>
      <c r="AO39" s="1243"/>
      <c r="AP39" s="1243"/>
      <c r="AQ39" s="1243"/>
      <c r="AR39" s="1243"/>
      <c r="AS39" s="1243"/>
      <c r="AT39" s="1243"/>
      <c r="AZ39" s="15"/>
      <c r="BD39" s="961" t="s">
        <v>706</v>
      </c>
      <c r="BE39" s="963">
        <f>Application!AG446</f>
        <v>153</v>
      </c>
    </row>
    <row r="40" spans="1:57" ht="13.15" customHeight="1">
      <c r="A40" s="1243"/>
      <c r="B40" s="1243"/>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c r="AN40" s="1243"/>
      <c r="AO40" s="1243"/>
      <c r="AP40" s="1243"/>
      <c r="AQ40" s="1243"/>
      <c r="AR40" s="1243"/>
      <c r="AS40" s="1243"/>
      <c r="AT40" s="1243"/>
      <c r="AU40" s="15"/>
      <c r="AV40" s="15"/>
      <c r="AW40" s="15"/>
      <c r="AX40" s="15"/>
      <c r="AY40" s="15"/>
      <c r="AZ40" s="15"/>
      <c r="BD40" s="962" t="s">
        <v>201</v>
      </c>
      <c r="BE40" s="963">
        <f>Application!AG449</f>
        <v>151</v>
      </c>
    </row>
    <row r="41" spans="1:57" ht="13.15" customHeight="1">
      <c r="A41" s="1243"/>
      <c r="B41" s="1243"/>
      <c r="C41" s="1243"/>
      <c r="D41" s="1243"/>
      <c r="E41" s="1243"/>
      <c r="F41" s="1243"/>
      <c r="G41" s="1243"/>
      <c r="H41" s="1243"/>
      <c r="I41" s="1243"/>
      <c r="J41" s="1243"/>
      <c r="K41" s="1243"/>
      <c r="L41" s="1243"/>
      <c r="M41" s="1243"/>
      <c r="N41" s="1243"/>
      <c r="O41" s="1243"/>
      <c r="P41" s="1243"/>
      <c r="Q41" s="1243"/>
      <c r="R41" s="1243"/>
      <c r="S41" s="1243"/>
      <c r="T41" s="1243"/>
      <c r="U41" s="1243"/>
      <c r="V41" s="1243"/>
      <c r="W41" s="1243"/>
      <c r="X41" s="1243"/>
      <c r="Y41" s="1243"/>
      <c r="Z41" s="1243"/>
      <c r="AA41" s="1243"/>
      <c r="AB41" s="1243"/>
      <c r="AC41" s="1243"/>
      <c r="AD41" s="1243"/>
      <c r="AE41" s="1243"/>
      <c r="AF41" s="1243"/>
      <c r="AG41" s="1243"/>
      <c r="AH41" s="1243"/>
      <c r="AI41" s="1243"/>
      <c r="AJ41" s="1243"/>
      <c r="AK41" s="1243"/>
      <c r="AL41" s="1243"/>
      <c r="AM41" s="1243"/>
      <c r="AN41" s="1243"/>
      <c r="AO41" s="1243"/>
      <c r="AP41" s="1243"/>
      <c r="AQ41" s="1243"/>
      <c r="AR41" s="1243"/>
      <c r="AS41" s="1243"/>
      <c r="AT41" s="1243"/>
      <c r="AU41" s="15"/>
      <c r="AV41" s="15"/>
      <c r="AW41" s="15"/>
      <c r="AX41" s="15"/>
      <c r="AY41" s="15"/>
      <c r="AZ41" s="15"/>
      <c r="BD41" s="961" t="s">
        <v>209</v>
      </c>
      <c r="BE41" s="963">
        <f>Application!AG447</f>
        <v>0</v>
      </c>
    </row>
    <row r="42" spans="1:57" ht="13.15" customHeight="1">
      <c r="A42" s="1243"/>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c r="AN42" s="1243"/>
      <c r="AO42" s="1243"/>
      <c r="AP42" s="1243"/>
      <c r="AQ42" s="1243"/>
      <c r="AR42" s="1243"/>
      <c r="AS42" s="1243"/>
      <c r="AT42" s="1243"/>
      <c r="AZ42" s="15"/>
      <c r="BD42" s="962" t="s">
        <v>707</v>
      </c>
      <c r="BE42" s="965">
        <f>Application!AC761</f>
        <v>0.49735099337748356</v>
      </c>
    </row>
    <row r="43" spans="1:57" ht="13.15" customHeight="1">
      <c r="A43" s="1243"/>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c r="AN43" s="1243"/>
      <c r="AO43" s="1243"/>
      <c r="AP43" s="1243"/>
      <c r="AQ43" s="1243"/>
      <c r="AR43" s="1243"/>
      <c r="AS43" s="1243"/>
      <c r="AT43" s="1243"/>
      <c r="AU43" s="15"/>
      <c r="AV43" s="15"/>
      <c r="AW43" s="15"/>
      <c r="AX43" s="15"/>
      <c r="AY43" s="15"/>
      <c r="AZ43" s="15"/>
      <c r="BD43" s="961" t="s">
        <v>708</v>
      </c>
      <c r="BE43" s="965">
        <f>Application!AH761</f>
        <v>0.4973737165091715</v>
      </c>
    </row>
    <row r="44" spans="1:57" ht="13.15" customHeight="1">
      <c r="A44" s="1243"/>
      <c r="B44" s="1243"/>
      <c r="C44" s="1243"/>
      <c r="D44" s="1243"/>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c r="AN44" s="1243"/>
      <c r="AO44" s="1243"/>
      <c r="AP44" s="1243"/>
      <c r="AQ44" s="1243"/>
      <c r="AR44" s="1243"/>
      <c r="AS44" s="1243"/>
      <c r="AT44" s="1243"/>
      <c r="AU44" s="15"/>
      <c r="AV44" s="15"/>
      <c r="AW44" s="15"/>
      <c r="AX44" s="15"/>
      <c r="AY44" s="15"/>
      <c r="AZ44" s="15"/>
      <c r="BD44" s="962" t="s">
        <v>709</v>
      </c>
      <c r="BE44" s="963">
        <f>Application!AC463</f>
        <v>735994.75163398695</v>
      </c>
    </row>
    <row r="45" spans="1:57" ht="13.15" customHeight="1">
      <c r="A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1</v>
      </c>
    </row>
    <row r="46" spans="1:57" ht="13.15" customHeight="1">
      <c r="A46" s="1234" t="s">
        <v>711</v>
      </c>
      <c r="B46" s="1234"/>
      <c r="C46" s="1234"/>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5"/>
      <c r="AV46" s="15"/>
      <c r="AW46" s="15"/>
      <c r="AX46" s="15"/>
      <c r="AY46" s="15"/>
      <c r="AZ46" s="15"/>
      <c r="BD46" s="962" t="s">
        <v>712</v>
      </c>
      <c r="BE46" s="963" t="b">
        <f>Application!T195="Yes"</f>
        <v>0</v>
      </c>
    </row>
    <row r="47" spans="1:57" ht="13.15" customHeight="1">
      <c r="A47" s="1234"/>
      <c r="B47" s="1234"/>
      <c r="C47" s="1234"/>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5"/>
      <c r="AV47" s="15"/>
      <c r="AW47" s="15"/>
      <c r="AX47" s="15"/>
      <c r="AY47" s="15"/>
      <c r="AZ47" s="15"/>
      <c r="BD47" s="961" t="s">
        <v>713</v>
      </c>
      <c r="BE47" s="963" t="b">
        <f>Application!T196="Yes"</f>
        <v>1</v>
      </c>
    </row>
    <row r="48" spans="1:57" ht="13.15" customHeight="1">
      <c r="A48" s="1234"/>
      <c r="B48" s="1234"/>
      <c r="C48" s="1234"/>
      <c r="D48" s="1234"/>
      <c r="E48" s="1234"/>
      <c r="F48" s="1234"/>
      <c r="G48" s="1234"/>
      <c r="H48" s="1234"/>
      <c r="I48" s="1234"/>
      <c r="J48" s="1234"/>
      <c r="K48" s="1234"/>
      <c r="L48" s="1234"/>
      <c r="M48" s="1234"/>
      <c r="N48" s="1234"/>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5"/>
      <c r="AV48" s="15"/>
      <c r="AW48" s="15"/>
      <c r="AX48" s="15"/>
      <c r="AY48" s="15"/>
      <c r="AZ48" s="15"/>
      <c r="BD48" s="962" t="s">
        <v>714</v>
      </c>
      <c r="BE48" s="963" t="str">
        <f>Application!M252</f>
        <v>CADI XX LLC</v>
      </c>
    </row>
    <row r="49" spans="1:57" ht="13.15" customHeight="1">
      <c r="A49" s="1234"/>
      <c r="B49" s="1234"/>
      <c r="C49" s="1234"/>
      <c r="D49" s="1234"/>
      <c r="E49" s="1234"/>
      <c r="F49" s="1234"/>
      <c r="G49" s="1234"/>
      <c r="H49" s="1234"/>
      <c r="I49" s="1234"/>
      <c r="J49" s="1234"/>
      <c r="K49" s="1234"/>
      <c r="L49" s="1234"/>
      <c r="M49" s="1234"/>
      <c r="N49" s="1234"/>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5"/>
      <c r="AV49" s="15"/>
      <c r="AW49" s="15"/>
      <c r="AX49" s="15"/>
      <c r="AY49" s="15"/>
      <c r="AZ49" s="15"/>
      <c r="BD49" s="961" t="s">
        <v>715</v>
      </c>
      <c r="BE49" s="963" t="str">
        <f>Application!M255</f>
        <v>Jordan Johnson</v>
      </c>
    </row>
    <row r="50" spans="1:57" ht="13.15" customHeight="1">
      <c r="A50" s="1067"/>
      <c r="B50" s="1067"/>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5"/>
      <c r="AV50" s="15"/>
      <c r="AW50" s="15"/>
      <c r="AX50" s="15"/>
      <c r="AY50" s="15"/>
      <c r="AZ50" s="15"/>
      <c r="BD50" s="962" t="s">
        <v>716</v>
      </c>
      <c r="BE50" s="963" t="str">
        <f>Application!AA258</f>
        <v>Century Affordable Development, Inc</v>
      </c>
    </row>
    <row r="51" spans="1:57" ht="13.15" customHeight="1">
      <c r="A51" s="1243" t="s">
        <v>717</v>
      </c>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5"/>
      <c r="AV51" s="15"/>
      <c r="AW51" s="15"/>
      <c r="AX51" s="15"/>
      <c r="AY51" s="15"/>
      <c r="AZ51" s="15"/>
      <c r="BD51" s="961" t="s">
        <v>718</v>
      </c>
      <c r="BE51" s="963">
        <f>Application!M260</f>
        <v>0</v>
      </c>
    </row>
    <row r="52" spans="1:57" ht="13.15" customHeight="1">
      <c r="A52" s="1243"/>
      <c r="B52" s="1243"/>
      <c r="C52" s="1243"/>
      <c r="D52" s="1243"/>
      <c r="E52" s="1243"/>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5"/>
      <c r="AV52" s="15"/>
      <c r="AW52" s="15"/>
      <c r="AX52" s="15"/>
      <c r="AY52" s="15"/>
      <c r="AZ52" s="15"/>
      <c r="BD52" s="962" t="s">
        <v>719</v>
      </c>
      <c r="BE52" s="963">
        <f>Application!M263</f>
        <v>0</v>
      </c>
    </row>
    <row r="53" spans="1:57" ht="13.15" customHeight="1">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f>Application!AA266</f>
        <v>0</v>
      </c>
    </row>
    <row r="54" spans="1:57" ht="13.15" customHeight="1">
      <c r="A54" s="1243" t="s">
        <v>721</v>
      </c>
      <c r="B54" s="1243"/>
      <c r="C54" s="1243"/>
      <c r="D54" s="1243"/>
      <c r="E54" s="1243"/>
      <c r="F54" s="1243"/>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T54" s="1243"/>
      <c r="AU54" s="15"/>
      <c r="AV54" s="15"/>
      <c r="AW54" s="15"/>
      <c r="AX54" s="15"/>
      <c r="AY54" s="15"/>
      <c r="AZ54" s="16"/>
      <c r="BD54" s="962" t="s">
        <v>722</v>
      </c>
      <c r="BE54" s="963">
        <f>Application!M268</f>
        <v>0</v>
      </c>
    </row>
    <row r="55" spans="1:57" ht="13.15" customHeight="1">
      <c r="A55" s="1243"/>
      <c r="B55" s="1243"/>
      <c r="C55" s="1243"/>
      <c r="D55" s="1243"/>
      <c r="E55" s="1243"/>
      <c r="F55" s="1243"/>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c r="AN55" s="1243"/>
      <c r="AO55" s="1243"/>
      <c r="AP55" s="1243"/>
      <c r="AQ55" s="1243"/>
      <c r="AR55" s="1243"/>
      <c r="AS55" s="1243"/>
      <c r="AT55" s="1243"/>
      <c r="AZ55" s="16"/>
      <c r="BD55" s="961" t="s">
        <v>723</v>
      </c>
      <c r="BE55" s="963">
        <f>Application!M271</f>
        <v>0</v>
      </c>
    </row>
    <row r="56" spans="1:57" ht="13.15" customHeight="1">
      <c r="A56" s="1243"/>
      <c r="B56" s="1243"/>
      <c r="C56" s="1243"/>
      <c r="D56" s="1243"/>
      <c r="E56" s="1243"/>
      <c r="F56" s="1243"/>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c r="AN56" s="1243"/>
      <c r="AO56" s="1243"/>
      <c r="AP56" s="1243"/>
      <c r="AQ56" s="1243"/>
      <c r="AR56" s="1243"/>
      <c r="AS56" s="1243"/>
      <c r="AT56" s="1243"/>
      <c r="BD56" s="962" t="s">
        <v>724</v>
      </c>
      <c r="BE56" s="963">
        <f>Application!AA274</f>
        <v>0</v>
      </c>
    </row>
    <row r="57" spans="1:57" ht="13.15" customHeight="1">
      <c r="A57" s="1243"/>
      <c r="B57" s="1243"/>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c r="AN57" s="1243"/>
      <c r="AO57" s="1243"/>
      <c r="AP57" s="1243"/>
      <c r="AQ57" s="1243"/>
      <c r="AR57" s="1243"/>
      <c r="AS57" s="1243"/>
      <c r="AT57" s="1243"/>
      <c r="BD57" s="961" t="s">
        <v>725</v>
      </c>
      <c r="BE57" s="963" t="str">
        <f>Application!H296</f>
        <v xml:space="preserve">Century Affordable Development, Inc. (CADI)										</v>
      </c>
    </row>
    <row r="58" spans="1:57" ht="13.15" customHeight="1">
      <c r="A58" s="1243"/>
      <c r="B58" s="1243"/>
      <c r="C58" s="1243"/>
      <c r="D58" s="1243"/>
      <c r="E58" s="1243"/>
      <c r="F58" s="1243"/>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BD58" s="962" t="s">
        <v>726</v>
      </c>
      <c r="BE58" s="963" t="str">
        <f>Application!H297</f>
        <v xml:space="preserve">1000 Corporate Pointe										</v>
      </c>
    </row>
    <row r="59" spans="1:57" ht="13.15" customHeight="1">
      <c r="A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 xml:space="preserve">Culver City, CA 90230										</v>
      </c>
    </row>
    <row r="60" spans="1:57" ht="13.15" customHeight="1">
      <c r="A60" s="1243" t="s">
        <v>728</v>
      </c>
      <c r="B60" s="1243"/>
      <c r="C60" s="1243"/>
      <c r="D60" s="1243"/>
      <c r="E60" s="1243"/>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5"/>
      <c r="AV60" s="15"/>
      <c r="AW60" s="15"/>
      <c r="AX60" s="15"/>
      <c r="AY60" s="15"/>
      <c r="AZ60" s="15"/>
      <c r="BD60" s="962" t="s">
        <v>729</v>
      </c>
      <c r="BE60" s="963" t="str">
        <f>Application!H299</f>
        <v>Jordan Johnson</v>
      </c>
    </row>
    <row r="61" spans="1:57" ht="13.15" customHeight="1">
      <c r="A61" s="1243"/>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5"/>
      <c r="AV61" s="15"/>
      <c r="AW61" s="15"/>
      <c r="AX61" s="15"/>
      <c r="AY61" s="15"/>
      <c r="AZ61" s="15"/>
      <c r="BD61" s="961" t="s">
        <v>730</v>
      </c>
      <c r="BE61" s="963" t="str">
        <f>Application!H302</f>
        <v>jjohnson@century.org</v>
      </c>
    </row>
    <row r="62" spans="1:57" ht="13.15" customHeight="1">
      <c r="A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0.88613228100788</v>
      </c>
    </row>
    <row r="63" spans="1:57" ht="13.15" customHeight="1">
      <c r="A63" s="1057" t="s">
        <v>732</v>
      </c>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0.83999991466223201</v>
      </c>
    </row>
    <row r="64" spans="1:57" ht="13.15" customHeight="1">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0</v>
      </c>
    </row>
    <row r="65" spans="1:57" ht="13.15" customHeight="1">
      <c r="A65" s="1243" t="s">
        <v>735</v>
      </c>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R65" s="1243"/>
      <c r="AS65" s="1243"/>
      <c r="AT65" s="1243"/>
      <c r="AU65" s="16"/>
      <c r="AV65" s="16"/>
      <c r="AW65" s="16"/>
      <c r="AX65" s="16"/>
      <c r="AY65" s="16"/>
      <c r="AZ65" s="15"/>
      <c r="BD65" s="961" t="s">
        <v>736</v>
      </c>
      <c r="BE65" s="963" t="str">
        <f>Z205</f>
        <v>$500M</v>
      </c>
    </row>
    <row r="66" spans="1:57" ht="13.15" customHeight="1">
      <c r="A66" s="1243"/>
      <c r="B66" s="1243"/>
      <c r="C66" s="1243"/>
      <c r="D66" s="1243"/>
      <c r="E66" s="1243"/>
      <c r="F66" s="1243"/>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c r="AN66" s="1243"/>
      <c r="AO66" s="1243"/>
      <c r="AP66" s="1243"/>
      <c r="AQ66" s="1243"/>
      <c r="AR66" s="1243"/>
      <c r="AS66" s="1243"/>
      <c r="AT66" s="1243"/>
      <c r="AU66" s="16"/>
      <c r="AV66" s="16"/>
      <c r="AW66" s="16"/>
      <c r="AX66" s="16"/>
      <c r="AY66" s="16"/>
      <c r="AZ66" s="15"/>
      <c r="BD66" s="962" t="s">
        <v>737</v>
      </c>
      <c r="BE66" s="963" t="b">
        <f>Application!Z205="State Farmworker Credit"</f>
        <v>0</v>
      </c>
    </row>
    <row r="67" spans="1:57" ht="13.15" customHeight="1">
      <c r="A67" s="1243"/>
      <c r="B67" s="1243"/>
      <c r="C67" s="1243"/>
      <c r="D67" s="1243"/>
      <c r="E67" s="1243"/>
      <c r="F67" s="1243"/>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c r="AN67" s="1243"/>
      <c r="AO67" s="1243"/>
      <c r="AP67" s="1243"/>
      <c r="AQ67" s="1243"/>
      <c r="AR67" s="1243"/>
      <c r="AS67" s="1243"/>
      <c r="AT67" s="1243"/>
      <c r="AZ67" s="15"/>
      <c r="BD67" s="961" t="s">
        <v>738</v>
      </c>
      <c r="BE67" s="963" t="b">
        <f>Application!O33="Yes"</f>
        <v>0</v>
      </c>
    </row>
    <row r="68" spans="1:57" ht="13.1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0</v>
      </c>
    </row>
    <row r="69" spans="1:57" ht="13.15" customHeight="1">
      <c r="A69" s="1243" t="s">
        <v>740</v>
      </c>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c r="AN69" s="1243"/>
      <c r="AO69" s="1243"/>
      <c r="AP69" s="1243"/>
      <c r="AQ69" s="1243"/>
      <c r="AR69" s="1243"/>
      <c r="AS69" s="1243"/>
      <c r="AT69" s="1243"/>
      <c r="AZ69" s="15"/>
      <c r="BD69" s="961" t="s">
        <v>741</v>
      </c>
      <c r="BE69" s="963" t="str">
        <f>Application!W708</f>
        <v>California Housing Finance Agency (CalHFA)</v>
      </c>
    </row>
    <row r="70" spans="1:57" ht="13.15" customHeight="1">
      <c r="A70" s="1243"/>
      <c r="B70" s="1243"/>
      <c r="C70" s="1243"/>
      <c r="D70" s="1243"/>
      <c r="E70" s="1243"/>
      <c r="F70" s="1243"/>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c r="AL70" s="1243"/>
      <c r="AM70" s="1243"/>
      <c r="AN70" s="1243"/>
      <c r="AO70" s="1243"/>
      <c r="AP70" s="1243"/>
      <c r="AQ70" s="1243"/>
      <c r="AR70" s="1243"/>
      <c r="AS70" s="1243"/>
      <c r="AT70" s="1243"/>
      <c r="AU70" s="15"/>
      <c r="AV70" s="15"/>
      <c r="AW70" s="15"/>
      <c r="AX70" s="15"/>
      <c r="AY70" s="15"/>
      <c r="AZ70" s="15"/>
      <c r="BD70" s="962" t="s">
        <v>742</v>
      </c>
      <c r="BE70" s="963">
        <f ca="1">'Points System'!AF843</f>
        <v>111</v>
      </c>
    </row>
    <row r="71" spans="1:57" ht="13.15" customHeight="1">
      <c r="A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0</v>
      </c>
    </row>
    <row r="72" spans="1:57" ht="13.15" customHeight="1">
      <c r="A72" s="1509" t="s">
        <v>744</v>
      </c>
      <c r="B72" s="1509"/>
      <c r="C72" s="1509"/>
      <c r="D72" s="1509"/>
      <c r="E72" s="1509"/>
      <c r="F72" s="1509"/>
      <c r="G72" s="1509"/>
      <c r="H72" s="1509"/>
      <c r="I72" s="1509"/>
      <c r="J72" s="1509"/>
      <c r="K72" s="1509"/>
      <c r="L72" s="1509"/>
      <c r="M72" s="1509"/>
      <c r="N72" s="1509"/>
      <c r="O72" s="1509"/>
      <c r="P72" s="1509"/>
      <c r="Q72" s="1509"/>
      <c r="R72" s="1509"/>
      <c r="S72" s="1509"/>
      <c r="T72" s="1509"/>
      <c r="U72" s="1509"/>
      <c r="V72" s="1509"/>
      <c r="W72" s="1509"/>
      <c r="X72" s="1509"/>
      <c r="Y72" s="1509"/>
      <c r="Z72" s="1509"/>
      <c r="AA72" s="1509"/>
      <c r="AB72" s="1509"/>
      <c r="AC72" s="1509"/>
      <c r="AD72" s="1509"/>
      <c r="AE72" s="1509"/>
      <c r="AF72" s="1509"/>
      <c r="AG72" s="1509"/>
      <c r="AH72" s="1509"/>
      <c r="AI72" s="1509"/>
      <c r="AJ72" s="1509"/>
      <c r="AK72" s="1509"/>
      <c r="AL72" s="1509"/>
      <c r="AM72" s="1509"/>
      <c r="AN72" s="1509"/>
      <c r="AO72" s="1509"/>
      <c r="AP72" s="1509"/>
      <c r="AQ72" s="1509"/>
      <c r="AR72" s="1509"/>
      <c r="AS72" s="1509"/>
      <c r="AT72" s="1509"/>
      <c r="AU72" s="15"/>
      <c r="AV72" s="15"/>
      <c r="AW72" s="15"/>
      <c r="AX72" s="15"/>
      <c r="AY72" s="15"/>
      <c r="AZ72" s="15"/>
      <c r="BD72" s="962" t="s">
        <v>745</v>
      </c>
      <c r="BE72" s="963">
        <f>'Points System'!AF827</f>
        <v>10</v>
      </c>
    </row>
    <row r="73" spans="1:57" ht="13.15" customHeight="1">
      <c r="A73" s="1509"/>
      <c r="B73" s="1509"/>
      <c r="C73" s="1509"/>
      <c r="D73" s="1509"/>
      <c r="E73" s="1509"/>
      <c r="F73" s="1509"/>
      <c r="G73" s="1509"/>
      <c r="H73" s="1509"/>
      <c r="I73" s="1509"/>
      <c r="J73" s="1509"/>
      <c r="K73" s="1509"/>
      <c r="L73" s="1509"/>
      <c r="M73" s="1509"/>
      <c r="N73" s="1509"/>
      <c r="O73" s="1509"/>
      <c r="P73" s="1509"/>
      <c r="Q73" s="1509"/>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15"/>
      <c r="AV73" s="15"/>
      <c r="AW73" s="15"/>
      <c r="AX73" s="15"/>
      <c r="AY73" s="15"/>
      <c r="AZ73" s="15"/>
      <c r="BD73" s="961" t="s">
        <v>746</v>
      </c>
      <c r="BE73" s="963">
        <f ca="1">'Points System'!AF828</f>
        <v>20</v>
      </c>
    </row>
    <row r="74" spans="1:57" ht="13.15" customHeight="1">
      <c r="A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3.15" customHeight="1">
      <c r="A75" s="1490" t="s">
        <v>748</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5"/>
      <c r="AV75" s="15"/>
      <c r="AW75" s="15"/>
      <c r="AX75" s="15"/>
      <c r="AY75" s="15"/>
      <c r="AZ75" s="15"/>
      <c r="BD75" s="961" t="s">
        <v>749</v>
      </c>
      <c r="BE75" s="963">
        <f>'Points System'!AF830</f>
        <v>10</v>
      </c>
    </row>
    <row r="76" spans="1:57" ht="13.15"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5"/>
      <c r="AV76" s="15"/>
      <c r="AW76" s="15"/>
      <c r="AX76" s="15"/>
      <c r="AY76" s="15"/>
      <c r="AZ76" s="13"/>
      <c r="BD76" s="962" t="s">
        <v>750</v>
      </c>
      <c r="BE76" s="963">
        <f>'Points System'!AF833</f>
        <v>10</v>
      </c>
    </row>
    <row r="77" spans="1:57" ht="13.15"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5"/>
      <c r="AV77" s="15"/>
      <c r="AW77" s="15"/>
      <c r="AX77" s="15"/>
      <c r="AY77" s="15"/>
      <c r="AZ77" s="13"/>
      <c r="BD77" s="961" t="s">
        <v>751</v>
      </c>
      <c r="BE77" s="963">
        <f>'Points System'!AF834</f>
        <v>0</v>
      </c>
    </row>
    <row r="78" spans="1:57" ht="13.15" customHeight="1">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3.15" customHeight="1">
      <c r="A79" s="1243" t="s">
        <v>753</v>
      </c>
      <c r="B79" s="1243"/>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3"/>
      <c r="AN79" s="1243"/>
      <c r="AO79" s="1243"/>
      <c r="AP79" s="1243"/>
      <c r="AQ79" s="1243"/>
      <c r="AR79" s="1243"/>
      <c r="AS79" s="1243"/>
      <c r="AT79" s="1243"/>
      <c r="AU79" s="15"/>
      <c r="AV79" s="15"/>
      <c r="AW79" s="15"/>
      <c r="AX79" s="15"/>
      <c r="AY79" s="15"/>
      <c r="AZ79" s="15"/>
      <c r="BD79" s="961" t="s">
        <v>754</v>
      </c>
      <c r="BE79" s="963">
        <f>'Points System'!AF837</f>
        <v>9</v>
      </c>
    </row>
    <row r="80" spans="1:57" ht="13.15" customHeight="1">
      <c r="A80" s="1243"/>
      <c r="B80" s="1243"/>
      <c r="C80" s="1243"/>
      <c r="D80" s="1243"/>
      <c r="E80" s="1243"/>
      <c r="F80" s="1243"/>
      <c r="G80" s="1243"/>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c r="AL80" s="1243"/>
      <c r="AM80" s="1243"/>
      <c r="AN80" s="1243"/>
      <c r="AO80" s="1243"/>
      <c r="AP80" s="1243"/>
      <c r="AQ80" s="1243"/>
      <c r="AR80" s="1243"/>
      <c r="AS80" s="1243"/>
      <c r="AT80" s="1243"/>
      <c r="AU80" s="15"/>
      <c r="AV80" s="15"/>
      <c r="AW80" s="15"/>
      <c r="AX80" s="15"/>
      <c r="AY80" s="15"/>
      <c r="AZ80" s="15"/>
      <c r="BD80" s="962" t="s">
        <v>755</v>
      </c>
      <c r="BE80" s="963">
        <f>'Points System'!AF839</f>
        <v>10</v>
      </c>
    </row>
    <row r="81" spans="1:57" ht="13.15" customHeight="1">
      <c r="A81" s="1243"/>
      <c r="B81" s="1243"/>
      <c r="C81" s="1243"/>
      <c r="D81" s="1243"/>
      <c r="E81" s="1243"/>
      <c r="F81" s="1243"/>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3"/>
      <c r="AD81" s="1243"/>
      <c r="AE81" s="1243"/>
      <c r="AF81" s="1243"/>
      <c r="AG81" s="1243"/>
      <c r="AH81" s="1243"/>
      <c r="AI81" s="1243"/>
      <c r="AJ81" s="1243"/>
      <c r="AK81" s="1243"/>
      <c r="AL81" s="1243"/>
      <c r="AM81" s="1243"/>
      <c r="AN81" s="1243"/>
      <c r="AO81" s="1243"/>
      <c r="AP81" s="1243"/>
      <c r="AQ81" s="1243"/>
      <c r="AR81" s="1243"/>
      <c r="AS81" s="1243"/>
      <c r="AT81" s="1243"/>
      <c r="AU81" s="15"/>
      <c r="AV81" s="15"/>
      <c r="AW81" s="15"/>
      <c r="AX81" s="15"/>
      <c r="AY81" s="15"/>
      <c r="AZ81" s="15"/>
      <c r="BD81" s="961" t="s">
        <v>756</v>
      </c>
      <c r="BE81" s="963">
        <f>'Points System'!AF840</f>
        <v>12</v>
      </c>
    </row>
    <row r="82" spans="1:57" ht="13.15" customHeight="1">
      <c r="A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3.15" customHeight="1">
      <c r="A83" s="1243" t="s">
        <v>758</v>
      </c>
      <c r="B83" s="1243"/>
      <c r="C83" s="1243"/>
      <c r="D83" s="1243"/>
      <c r="E83" s="1243"/>
      <c r="F83" s="1243"/>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c r="AL83" s="1243"/>
      <c r="AM83" s="1243"/>
      <c r="AN83" s="1243"/>
      <c r="AO83" s="1243"/>
      <c r="AP83" s="1243"/>
      <c r="AQ83" s="1243"/>
      <c r="AR83" s="1243"/>
      <c r="AS83" s="1243"/>
      <c r="AT83" s="1243"/>
      <c r="AU83" s="15"/>
      <c r="AV83" s="15"/>
      <c r="AW83" s="15"/>
      <c r="AX83" s="15"/>
      <c r="AY83" s="15"/>
      <c r="AZ83" s="15"/>
      <c r="BD83" s="961" t="s">
        <v>759</v>
      </c>
      <c r="BE83" s="967">
        <f>'Tie Breaker'!H5</f>
        <v>1.9366075257837922</v>
      </c>
    </row>
    <row r="84" spans="1:57" ht="13.15" customHeight="1">
      <c r="A84" s="1243"/>
      <c r="B84" s="1243"/>
      <c r="C84" s="1243"/>
      <c r="D84" s="1243"/>
      <c r="E84" s="1243"/>
      <c r="F84" s="1243"/>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c r="AL84" s="1243"/>
      <c r="AM84" s="1243"/>
      <c r="AN84" s="1243"/>
      <c r="AO84" s="1243"/>
      <c r="AP84" s="1243"/>
      <c r="AQ84" s="1243"/>
      <c r="AR84" s="1243"/>
      <c r="AS84" s="1243"/>
      <c r="AT84" s="1243"/>
      <c r="AU84" s="15"/>
      <c r="AV84" s="15"/>
      <c r="AW84" s="15"/>
      <c r="AX84" s="15"/>
      <c r="AY84" s="15"/>
      <c r="AZ84" s="15"/>
      <c r="BD84" s="962" t="s">
        <v>760</v>
      </c>
      <c r="BE84" s="963" t="str">
        <f>Application!O153</f>
        <v>City of Long Beach</v>
      </c>
    </row>
    <row r="85" spans="1:57" ht="13.15" customHeight="1">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Tom Modica</v>
      </c>
    </row>
    <row r="86" spans="1:57" ht="13.15" customHeight="1">
      <c r="A86" s="1243" t="s">
        <v>762</v>
      </c>
      <c r="B86" s="1243"/>
      <c r="C86" s="1243"/>
      <c r="D86" s="1243"/>
      <c r="E86" s="1243"/>
      <c r="F86" s="1243"/>
      <c r="G86" s="1243"/>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c r="AL86" s="1243"/>
      <c r="AM86" s="1243"/>
      <c r="AN86" s="1243"/>
      <c r="AO86" s="1243"/>
      <c r="AP86" s="1243"/>
      <c r="AQ86" s="1243"/>
      <c r="AR86" s="1243"/>
      <c r="AS86" s="1243"/>
      <c r="AT86" s="1243"/>
      <c r="AU86" s="15"/>
      <c r="AV86" s="15"/>
      <c r="AW86" s="15"/>
      <c r="AX86" s="15"/>
      <c r="AY86" s="15"/>
      <c r="AZ86" s="15"/>
      <c r="BD86" s="962" t="s">
        <v>763</v>
      </c>
      <c r="BE86" s="963" t="str">
        <f>Application!O155</f>
        <v>City Manager</v>
      </c>
    </row>
    <row r="87" spans="1:57" ht="13.15" customHeight="1">
      <c r="A87" s="1243"/>
      <c r="B87" s="1243"/>
      <c r="C87" s="1243"/>
      <c r="D87" s="1243"/>
      <c r="E87" s="1243"/>
      <c r="F87" s="1243"/>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c r="AL87" s="1243"/>
      <c r="AM87" s="1243"/>
      <c r="AN87" s="1243"/>
      <c r="AO87" s="1243"/>
      <c r="AP87" s="1243"/>
      <c r="AQ87" s="1243"/>
      <c r="AR87" s="1243"/>
      <c r="AS87" s="1243"/>
      <c r="AT87" s="1243"/>
      <c r="AU87" s="15"/>
      <c r="AV87" s="15"/>
      <c r="AW87" s="15"/>
      <c r="AX87" s="15"/>
      <c r="AY87" s="15"/>
      <c r="AZ87" s="15"/>
      <c r="BD87" s="961" t="s">
        <v>764</v>
      </c>
      <c r="BE87" s="963" t="str">
        <f>Application!O156</f>
        <v>411 W. Ocean Blvd.</v>
      </c>
    </row>
    <row r="88" spans="1:57" ht="13.15" customHeight="1">
      <c r="A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Long Beach</v>
      </c>
    </row>
    <row r="89" spans="1:57" ht="13.15" customHeight="1">
      <c r="A89" s="1233" t="s">
        <v>766</v>
      </c>
      <c r="B89" s="1233"/>
      <c r="C89" s="1233"/>
      <c r="D89" s="1233"/>
      <c r="E89" s="1233"/>
      <c r="F89" s="123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3"/>
      <c r="AV89" s="13"/>
      <c r="AW89" s="13"/>
      <c r="AX89" s="13"/>
      <c r="AY89" s="13"/>
      <c r="AZ89" s="15"/>
      <c r="BD89" s="961" t="s">
        <v>767</v>
      </c>
      <c r="BE89" s="963">
        <f>Application!O158</f>
        <v>90802</v>
      </c>
    </row>
    <row r="90" spans="1:57" ht="13.15" customHeight="1">
      <c r="A90" s="1233"/>
      <c r="B90" s="1233"/>
      <c r="C90" s="1233"/>
      <c r="D90" s="1233"/>
      <c r="E90" s="1233"/>
      <c r="F90" s="123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3"/>
      <c r="AV90" s="13"/>
      <c r="AW90" s="13"/>
      <c r="AX90" s="13"/>
      <c r="AY90" s="13"/>
      <c r="AZ90" s="15"/>
      <c r="BD90" s="962" t="s">
        <v>768</v>
      </c>
      <c r="BE90" s="963" t="str">
        <f>Application!H16</f>
        <v>1401 Long Beach, L.P.</v>
      </c>
    </row>
    <row r="91" spans="1:57" ht="13.15" customHeight="1">
      <c r="A91" s="105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1000 Corporate Pointe</v>
      </c>
    </row>
    <row r="92" spans="1:57" ht="13.15" customHeight="1">
      <c r="A92" s="1490" t="s">
        <v>770</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5"/>
      <c r="AV92" s="15"/>
      <c r="AW92" s="15"/>
      <c r="AX92" s="15"/>
      <c r="AY92" s="15"/>
      <c r="AZ92" s="15"/>
      <c r="BD92" s="962" t="s">
        <v>771</v>
      </c>
      <c r="BE92" s="963" t="str">
        <f>Application!M243</f>
        <v>Culver City</v>
      </c>
    </row>
    <row r="93" spans="1:57" ht="13.15"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5"/>
      <c r="AV93" s="15"/>
      <c r="AW93" s="15"/>
      <c r="AX93" s="15"/>
      <c r="AY93" s="15"/>
      <c r="AZ93" s="15"/>
      <c r="BD93" s="961" t="s">
        <v>772</v>
      </c>
      <c r="BE93" s="963" t="str">
        <f>Application!W243</f>
        <v>CA</v>
      </c>
    </row>
    <row r="94" spans="1:57" ht="13.15"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5"/>
      <c r="AV94" s="15"/>
      <c r="AW94" s="15"/>
      <c r="AX94" s="15"/>
      <c r="AY94" s="15"/>
      <c r="AZ94" s="15"/>
      <c r="BD94" s="962" t="s">
        <v>773</v>
      </c>
      <c r="BE94" s="963">
        <f>Application!AC243</f>
        <v>90230</v>
      </c>
    </row>
    <row r="95" spans="1:57" ht="13.15"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5"/>
      <c r="AV95" s="15"/>
      <c r="AW95" s="15"/>
      <c r="AX95" s="15"/>
      <c r="AY95" s="15"/>
      <c r="AZ95" s="15"/>
      <c r="BD95" s="961" t="s">
        <v>774</v>
      </c>
      <c r="BE95" s="963" t="str">
        <f>Application!M244</f>
        <v>Jordan Johnson</v>
      </c>
    </row>
    <row r="96" spans="1:57" ht="13.15"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5"/>
      <c r="AV96" s="15"/>
      <c r="AW96" s="15"/>
      <c r="AX96" s="15"/>
      <c r="AY96" s="15"/>
      <c r="AZ96" s="15"/>
      <c r="BD96" s="962" t="s">
        <v>775</v>
      </c>
      <c r="BE96" s="963" t="str">
        <f>Application!M246</f>
        <v>jjohnson@century.org</v>
      </c>
    </row>
    <row r="97" spans="1:57" ht="13.15"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5"/>
      <c r="AV97" s="15"/>
      <c r="AW97" s="15"/>
      <c r="AX97" s="15"/>
      <c r="AY97" s="15"/>
      <c r="AZ97" s="15"/>
      <c r="BD97" s="961" t="s">
        <v>776</v>
      </c>
      <c r="BE97" s="963" t="str">
        <f>Application!M257</f>
        <v>jjohnson@century.org</v>
      </c>
    </row>
    <row r="98" spans="1:57" ht="13.15"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5"/>
      <c r="AV98" s="15"/>
      <c r="AW98" s="15"/>
      <c r="AX98" s="15"/>
      <c r="AY98" s="15"/>
      <c r="AZ98" s="15"/>
      <c r="BD98" s="962" t="s">
        <v>777</v>
      </c>
      <c r="BE98" s="963">
        <f>Application!M265</f>
        <v>0</v>
      </c>
    </row>
    <row r="99" spans="1:57" ht="13.15" customHeight="1">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3.15" customHeight="1">
      <c r="A100" s="1501" t="s">
        <v>779</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5"/>
      <c r="AV100" s="15"/>
      <c r="AW100" s="15"/>
      <c r="AX100" s="15"/>
      <c r="AY100" s="15"/>
      <c r="AZ100" s="15"/>
      <c r="BD100" s="962" t="s">
        <v>780</v>
      </c>
      <c r="BE100" s="963" t="str">
        <f>Application!L288</f>
        <v>jjohnson@century.org</v>
      </c>
    </row>
    <row r="101" spans="1:57" ht="13.15"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5"/>
      <c r="AV101" s="15"/>
      <c r="AW101" s="15"/>
      <c r="AX101" s="15"/>
      <c r="AY101" s="15"/>
      <c r="AZ101" s="15"/>
      <c r="BD101" s="2" t="s">
        <v>781</v>
      </c>
      <c r="BE101">
        <f>'Sources and Uses Budget'!C105</f>
        <v>112607197</v>
      </c>
    </row>
    <row r="102" spans="1:57" ht="13.15"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5"/>
      <c r="AV102" s="15"/>
      <c r="AW102" s="15"/>
      <c r="AX102" s="15"/>
      <c r="AY102" s="15"/>
      <c r="AZ102" s="15"/>
      <c r="BD102" s="2" t="s">
        <v>782</v>
      </c>
      <c r="BE102" t="b">
        <f>T197="Yes"</f>
        <v>0</v>
      </c>
    </row>
    <row r="103" spans="1:57" ht="13.15"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5"/>
      <c r="AV103" s="15"/>
      <c r="AW103" s="15"/>
      <c r="AX103" s="15"/>
      <c r="AY103" s="15"/>
      <c r="BD103" t="s">
        <v>783</v>
      </c>
      <c r="BE103" s="963" t="b">
        <f>T199="Yes"</f>
        <v>0</v>
      </c>
    </row>
    <row r="104" spans="1:57" ht="13.15" customHeight="1">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3.15" customHeight="1">
      <c r="A105" s="1501" t="s">
        <v>785</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5"/>
      <c r="AV105" s="15"/>
      <c r="AW105" s="15"/>
      <c r="AX105" s="15"/>
      <c r="AY105" s="15"/>
      <c r="BD105" s="2" t="s">
        <v>786</v>
      </c>
      <c r="BE105" s="963" t="b">
        <f t="shared" ref="BE105:BE110" si="0">V224="Yes"</f>
        <v>0</v>
      </c>
    </row>
    <row r="106" spans="1:57" ht="13.15"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5"/>
      <c r="AV106" s="15"/>
      <c r="AW106" s="15"/>
      <c r="AX106" s="15"/>
      <c r="AY106" s="15"/>
      <c r="BD106" s="2" t="s">
        <v>787</v>
      </c>
      <c r="BE106" s="963" t="b">
        <f t="shared" si="0"/>
        <v>0</v>
      </c>
    </row>
    <row r="107" spans="1:57" ht="13.15" customHeight="1">
      <c r="A107" s="369"/>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0</v>
      </c>
    </row>
    <row r="108" spans="1:57" ht="13.15" customHeight="1">
      <c r="A108" s="369" t="s">
        <v>789</v>
      </c>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3.15" customHeight="1">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3.15" customHeight="1">
      <c r="A110" s="369"/>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1</v>
      </c>
    </row>
    <row r="111" spans="1:57" ht="13.15" customHeight="1">
      <c r="A111" s="369"/>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15" customHeight="1">
      <c r="A112" s="369"/>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15" customHeight="1">
      <c r="A113" s="175"/>
      <c r="C113" s="2" t="s">
        <v>793</v>
      </c>
      <c r="G113" s="1493"/>
      <c r="H113" s="1493"/>
      <c r="I113" s="2" t="s">
        <v>794</v>
      </c>
      <c r="L113" s="1493"/>
      <c r="M113" s="1493"/>
      <c r="N113" s="1493"/>
      <c r="O113" s="1493"/>
      <c r="P113" s="1512" t="s">
        <v>795</v>
      </c>
      <c r="Q113" s="1512"/>
      <c r="R113" s="1512"/>
      <c r="S113" s="1512"/>
      <c r="T113" s="1057"/>
      <c r="U113" s="1057"/>
      <c r="V113" s="1057"/>
      <c r="W113" s="1057"/>
      <c r="X113" s="1057"/>
      <c r="Y113" s="1057"/>
      <c r="Z113" s="105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15" customHeight="1">
      <c r="M114" s="2"/>
      <c r="S114" s="2"/>
      <c r="T114" s="1057"/>
      <c r="U114" s="1057"/>
      <c r="V114" s="1057"/>
      <c r="W114" s="1057"/>
      <c r="X114" s="1057"/>
      <c r="Y114" s="1057"/>
      <c r="Z114" s="105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15" customHeight="1">
      <c r="A115" s="1057"/>
      <c r="C115" s="1494"/>
      <c r="D115" s="1494"/>
      <c r="E115" s="1494"/>
      <c r="F115" s="1494"/>
      <c r="G115" s="1494"/>
      <c r="H115" s="1494"/>
      <c r="I115" s="1494"/>
      <c r="J115" s="1494"/>
      <c r="K115" s="1494"/>
      <c r="L115" s="112" t="s">
        <v>796</v>
      </c>
      <c r="S115" s="2"/>
      <c r="T115" s="1057"/>
      <c r="U115" s="1057"/>
      <c r="V115" s="1057"/>
      <c r="W115" s="1057"/>
      <c r="X115" s="1057"/>
      <c r="Y115" s="1057"/>
      <c r="Z115" s="105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15" customHeight="1">
      <c r="A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15" customHeight="1">
      <c r="A117" s="1057"/>
      <c r="B117" s="17"/>
      <c r="C117" s="17"/>
      <c r="X117" s="2" t="s">
        <v>797</v>
      </c>
      <c r="Y117" s="1493"/>
      <c r="Z117" s="1493"/>
      <c r="AA117" s="1493"/>
      <c r="AB117" s="1493"/>
      <c r="AC117" s="1493"/>
      <c r="AD117" s="1493"/>
      <c r="AE117" s="1493"/>
      <c r="AF117" s="1493"/>
      <c r="AG117" s="1493"/>
      <c r="AH117" s="1493"/>
      <c r="AI117" s="1493"/>
      <c r="AJ117" s="1493"/>
      <c r="AK117" s="1493"/>
    </row>
    <row r="118" spans="1:117" ht="13.15" customHeight="1">
      <c r="X118" s="2"/>
      <c r="Y118" s="2"/>
      <c r="Z118" s="2" t="s">
        <v>798</v>
      </c>
      <c r="AA118" s="2"/>
      <c r="AB118" s="2"/>
      <c r="AC118" s="2"/>
      <c r="AD118" s="2"/>
      <c r="AE118" s="2"/>
      <c r="AF118" s="2"/>
      <c r="AG118" s="2"/>
      <c r="AH118" s="2"/>
      <c r="AI118" s="2"/>
      <c r="AJ118" s="2"/>
      <c r="AK118" s="2"/>
    </row>
    <row r="119" spans="1:117" ht="13.15" customHeight="1">
      <c r="A119" s="105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15" customHeight="1">
      <c r="A120" s="1057"/>
      <c r="B120" s="2"/>
      <c r="P120" s="2"/>
      <c r="Q120" s="2"/>
      <c r="R120" s="2"/>
      <c r="S120" s="2"/>
      <c r="T120" s="2"/>
      <c r="U120" s="2"/>
      <c r="V120" s="2"/>
      <c r="W120" s="2"/>
      <c r="X120" s="2"/>
      <c r="Y120" s="1493"/>
      <c r="Z120" s="1493"/>
      <c r="AA120" s="1493"/>
      <c r="AB120" s="1493"/>
      <c r="AC120" s="1493"/>
      <c r="AD120" s="1493"/>
      <c r="AE120" s="1493"/>
      <c r="AF120" s="1493"/>
      <c r="AG120" s="1493"/>
      <c r="AH120" s="1493"/>
      <c r="AI120" s="1493"/>
      <c r="AJ120" s="1493"/>
      <c r="AK120" s="1493"/>
      <c r="AL120" s="2"/>
      <c r="AM120" s="2"/>
      <c r="AN120" s="2"/>
      <c r="AO120" s="2"/>
      <c r="AP120" s="2"/>
      <c r="AQ120" s="2"/>
      <c r="AR120" s="2"/>
      <c r="AS120" s="2"/>
      <c r="AT120" s="2"/>
      <c r="AU120" s="2"/>
      <c r="AV120" s="2"/>
      <c r="AW120" s="2"/>
      <c r="AX120" s="2"/>
      <c r="AY120" s="2"/>
    </row>
    <row r="121" spans="1:117" ht="13.15"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15"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632" t="s">
        <v>801</v>
      </c>
      <c r="CV122" s="1633"/>
      <c r="CW122" s="11"/>
      <c r="CX122" s="11" t="s">
        <v>802</v>
      </c>
      <c r="CY122" s="11"/>
      <c r="CZ122" s="11"/>
      <c r="DA122" s="11"/>
      <c r="DB122" s="11"/>
      <c r="DC122" s="11"/>
      <c r="DD122" s="11"/>
      <c r="DE122" s="11"/>
      <c r="DF122" s="11"/>
      <c r="DG122" s="1629" t="str">
        <f>T189</f>
        <v>Los Angeles</v>
      </c>
      <c r="DH122" s="1630"/>
      <c r="DI122" s="1630"/>
      <c r="DJ122" s="1630"/>
      <c r="DK122" s="1630"/>
      <c r="DL122" s="1630"/>
      <c r="DM122" s="1631"/>
    </row>
    <row r="123" spans="1:117" ht="13.15" customHeight="1">
      <c r="A123" s="2"/>
      <c r="B123" s="2"/>
      <c r="T123" s="2"/>
      <c r="U123" s="2"/>
      <c r="V123" s="2"/>
      <c r="W123" s="2"/>
      <c r="X123" s="2"/>
      <c r="Y123" s="1493"/>
      <c r="Z123" s="1493"/>
      <c r="AA123" s="1493"/>
      <c r="AB123" s="1493"/>
      <c r="AC123" s="1493"/>
      <c r="AD123" s="1493"/>
      <c r="AE123" s="1493"/>
      <c r="AF123" s="1493"/>
      <c r="AG123" s="1493"/>
      <c r="AH123" s="1493"/>
      <c r="AI123" s="1493"/>
      <c r="AJ123" s="1493"/>
      <c r="AK123" s="1493"/>
      <c r="AL123" s="2"/>
      <c r="AM123" s="2"/>
      <c r="AN123" s="2"/>
      <c r="AO123" s="2"/>
      <c r="AP123" s="2"/>
      <c r="AQ123" s="2"/>
      <c r="AR123" s="2"/>
      <c r="AS123" s="2"/>
      <c r="AT123" s="2"/>
      <c r="AU123" s="2"/>
      <c r="AV123" s="2"/>
      <c r="AW123" s="2"/>
      <c r="AX123" s="2"/>
      <c r="AY123" s="2"/>
      <c r="DJ123" s="2"/>
      <c r="DK123" s="2"/>
      <c r="DL123" s="2"/>
      <c r="DM123" s="2"/>
    </row>
    <row r="124" spans="1:117" ht="13.15"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3.1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3.1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1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3.15" customHeight="1">
      <c r="A128" s="1110"/>
      <c r="AL128" s="1110"/>
      <c r="AM128" s="1110"/>
      <c r="AN128" s="1110"/>
      <c r="AO128" s="1110"/>
      <c r="AP128" s="1110"/>
      <c r="AQ128" s="1110"/>
      <c r="AR128" s="1110"/>
      <c r="AS128" s="1110"/>
      <c r="AT128" s="1110"/>
      <c r="AU128" s="1110"/>
      <c r="AV128" s="1110"/>
      <c r="AW128" s="1110"/>
      <c r="AX128" s="1110"/>
      <c r="AY128" s="1110"/>
    </row>
    <row r="129" spans="1:51" ht="13.15" customHeight="1">
      <c r="A129" s="1110"/>
      <c r="B129" s="2"/>
      <c r="R129" s="1110"/>
      <c r="S129" s="1110"/>
      <c r="T129" s="1110"/>
      <c r="U129" s="1110"/>
      <c r="V129" s="1110"/>
      <c r="W129" s="1110"/>
      <c r="AL129" s="1110"/>
      <c r="AM129" s="1110"/>
      <c r="AN129" s="1110"/>
      <c r="AO129" s="1110"/>
      <c r="AP129" s="1110"/>
      <c r="AQ129" s="1110"/>
      <c r="AR129" s="1110"/>
      <c r="AS129" s="1110"/>
      <c r="AT129" s="1110"/>
      <c r="AU129" s="1110"/>
      <c r="AV129" s="1110"/>
      <c r="AW129" s="1110"/>
      <c r="AX129" s="1110"/>
      <c r="AY129" s="1110"/>
    </row>
    <row r="130" spans="1:51" ht="13.15" customHeight="1">
      <c r="A130" s="2"/>
      <c r="B130" s="68"/>
      <c r="C130" s="1110"/>
      <c r="R130" s="1110"/>
      <c r="S130" s="1110"/>
      <c r="T130" s="1110"/>
      <c r="U130" s="1110"/>
      <c r="V130" s="1110"/>
      <c r="W130" s="1110"/>
      <c r="AL130" s="2"/>
      <c r="AM130" s="2"/>
      <c r="AN130" s="2"/>
      <c r="AO130" s="2"/>
      <c r="AP130" s="2"/>
      <c r="AQ130" s="2"/>
      <c r="AR130" s="2"/>
      <c r="AS130" s="2"/>
      <c r="AT130" s="2"/>
      <c r="AU130" s="2"/>
      <c r="AV130" s="2"/>
      <c r="AW130" s="2"/>
      <c r="AX130" s="2"/>
      <c r="AY130" s="2"/>
    </row>
    <row r="131" spans="1:51" ht="13.15" customHeight="1">
      <c r="A131" s="2"/>
      <c r="AL131" s="2"/>
      <c r="AM131" s="2"/>
      <c r="AN131" s="2"/>
      <c r="AO131" s="2"/>
      <c r="AP131" s="2"/>
      <c r="AQ131" s="2"/>
      <c r="AR131" s="2"/>
      <c r="AS131" s="2"/>
      <c r="AT131" s="2"/>
      <c r="AU131" s="2"/>
      <c r="AV131" s="2"/>
      <c r="AW131" s="2"/>
      <c r="AX131" s="2"/>
      <c r="AY131" s="2"/>
    </row>
    <row r="132" spans="1:51" ht="13.1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3.15" customHeight="1">
      <c r="A133" s="2"/>
      <c r="W133" s="2"/>
      <c r="AL133" s="2"/>
      <c r="AM133" s="2"/>
      <c r="AN133" s="2"/>
      <c r="AO133" s="2"/>
      <c r="AP133" s="2"/>
      <c r="AQ133" s="2"/>
      <c r="AR133" s="2"/>
      <c r="AS133" s="2"/>
      <c r="AT133" s="2"/>
      <c r="AU133" s="2"/>
      <c r="AV133" s="2"/>
      <c r="AW133" s="2"/>
      <c r="AX133" s="2"/>
      <c r="AY133" s="2"/>
    </row>
    <row r="134" spans="1:51" ht="13.1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15" customHeight="1">
      <c r="A135" s="2"/>
      <c r="M135" s="2"/>
      <c r="N135" s="2"/>
      <c r="O135" s="2"/>
      <c r="AK135" s="2"/>
      <c r="AL135" s="2"/>
      <c r="AM135" s="2"/>
      <c r="AN135" s="2"/>
      <c r="AO135" s="2"/>
      <c r="AP135" s="2"/>
      <c r="AQ135" s="2"/>
      <c r="AR135" s="2"/>
      <c r="AS135" s="2"/>
      <c r="AT135" s="2"/>
      <c r="AU135" s="2"/>
      <c r="AV135" s="2"/>
      <c r="AW135" s="2"/>
      <c r="AX135" s="2"/>
      <c r="AY135" s="2"/>
    </row>
    <row r="136" spans="1:51" ht="13.1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1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15" customHeight="1">
      <c r="A139" s="2"/>
      <c r="B139" s="2"/>
      <c r="C139" s="2"/>
      <c r="D139" s="2"/>
      <c r="E139" s="2"/>
      <c r="F139" s="2"/>
      <c r="G139" s="2"/>
      <c r="H139" s="2"/>
      <c r="I139" s="2"/>
      <c r="J139" s="2"/>
      <c r="K139" s="2"/>
      <c r="L139" s="2"/>
      <c r="M139" s="2"/>
      <c r="N139" s="2"/>
      <c r="O139" s="2"/>
      <c r="P139" s="2"/>
      <c r="Q139" s="2"/>
      <c r="R139" s="2"/>
      <c r="S139" s="68"/>
      <c r="T139" s="1067"/>
      <c r="U139" s="1067"/>
      <c r="V139" s="1067"/>
      <c r="W139" s="1067"/>
      <c r="X139" s="1067"/>
      <c r="Y139" s="1067"/>
      <c r="Z139" s="1067"/>
      <c r="AA139" s="1067"/>
      <c r="AB139" s="1067"/>
      <c r="AC139" s="1067"/>
      <c r="AD139" s="1067"/>
      <c r="AE139" s="1067"/>
      <c r="AF139" s="1067"/>
      <c r="AG139" s="1067"/>
      <c r="AH139" s="1067"/>
      <c r="AI139" s="1067"/>
      <c r="AJ139" s="1067"/>
      <c r="AK139" s="2"/>
      <c r="AL139" s="2"/>
      <c r="AM139" s="2"/>
      <c r="AN139" s="2"/>
      <c r="AO139" s="2"/>
      <c r="AP139" s="2"/>
      <c r="AQ139" s="2"/>
      <c r="AR139" s="2"/>
      <c r="AS139" s="2"/>
      <c r="AT139" s="2"/>
      <c r="AU139" s="2"/>
      <c r="AV139" s="2"/>
      <c r="AW139" s="2"/>
      <c r="AX139" s="2"/>
      <c r="AY139" s="2"/>
    </row>
    <row r="140" spans="1:51" ht="13.15" customHeight="1">
      <c r="A140" s="2"/>
      <c r="B140" s="69"/>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2"/>
      <c r="AL140" s="2"/>
      <c r="AM140" s="2"/>
      <c r="AN140" s="2"/>
      <c r="AO140" s="2"/>
      <c r="AP140" s="2"/>
      <c r="AQ140" s="2"/>
      <c r="AR140" s="2"/>
      <c r="AS140" s="2"/>
      <c r="AT140" s="2"/>
      <c r="AU140" s="2"/>
      <c r="AV140" s="2"/>
      <c r="AW140" s="2"/>
      <c r="AX140" s="2"/>
      <c r="AY140" s="2"/>
    </row>
    <row r="141" spans="1:51" ht="13.15" customHeight="1">
      <c r="A141" s="2"/>
      <c r="B141" s="69"/>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c r="AG141" s="1067"/>
      <c r="AH141" s="1067"/>
      <c r="AI141" s="1067"/>
      <c r="AJ141" s="1067"/>
      <c r="AK141" s="2"/>
      <c r="AL141" s="2"/>
      <c r="AM141" s="2"/>
      <c r="AN141" s="2"/>
      <c r="AO141" s="2"/>
      <c r="AP141" s="2"/>
      <c r="AQ141" s="2"/>
      <c r="AR141" s="2"/>
      <c r="AS141" s="2"/>
      <c r="AT141" s="2"/>
      <c r="AU141" s="2"/>
      <c r="AV141" s="2"/>
      <c r="AW141" s="2"/>
      <c r="AX141" s="2"/>
      <c r="AY141" s="2"/>
    </row>
    <row r="142" spans="1:51" ht="13.1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3.1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3.15" customHeight="1">
      <c r="A144" s="2"/>
      <c r="B144" s="105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3.1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3.1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3.15" customHeight="1">
      <c r="A147" s="2"/>
      <c r="B147" s="105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1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3.1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3.15" customHeight="1">
      <c r="A150" s="2"/>
      <c r="B150" s="2"/>
      <c r="D150" s="2"/>
      <c r="E150" s="2"/>
      <c r="F150" s="1439"/>
      <c r="G150" s="1439"/>
      <c r="H150" s="1439"/>
      <c r="I150" s="1439"/>
      <c r="J150" s="1439"/>
      <c r="K150" s="1439"/>
      <c r="L150" s="1439"/>
      <c r="M150" s="1439"/>
      <c r="N150" s="1439"/>
      <c r="O150" s="1439"/>
      <c r="P150" s="1439"/>
      <c r="Q150" s="1439"/>
      <c r="R150" s="1439"/>
      <c r="S150" s="1439"/>
      <c r="T150" s="143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15" customHeight="1">
      <c r="A151" s="2"/>
      <c r="B151" s="2"/>
      <c r="D151" s="2"/>
      <c r="E151" s="2"/>
      <c r="F151" s="1080"/>
      <c r="G151" s="1080"/>
      <c r="H151" s="1080"/>
      <c r="I151" s="1080"/>
      <c r="J151" s="1080"/>
      <c r="K151" s="1080"/>
      <c r="L151" s="1080"/>
      <c r="M151" s="1080"/>
      <c r="N151" s="1080"/>
      <c r="O151" s="1080"/>
      <c r="P151" s="1080"/>
      <c r="Q151" s="1080"/>
      <c r="R151" s="1080"/>
      <c r="S151" s="1080"/>
      <c r="T151" s="108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3.15" customHeight="1">
      <c r="BM152">
        <v>4</v>
      </c>
      <c r="BN152" s="2" t="s">
        <v>807</v>
      </c>
    </row>
    <row r="153" spans="1:108" ht="13.15" customHeight="1">
      <c r="D153" t="s">
        <v>808</v>
      </c>
      <c r="O153" s="1477" t="s">
        <v>2638</v>
      </c>
      <c r="P153" s="1477"/>
      <c r="Q153" s="1477"/>
      <c r="R153" s="1477"/>
      <c r="S153" s="1477"/>
      <c r="T153" s="1477"/>
      <c r="U153" s="1477"/>
      <c r="V153" s="1477"/>
      <c r="W153" s="1477"/>
      <c r="X153" s="1477"/>
      <c r="Y153" s="1477"/>
      <c r="Z153" s="1477"/>
      <c r="AA153" s="1477"/>
      <c r="AB153" s="1477"/>
      <c r="AC153" s="1477"/>
      <c r="AD153" s="1477"/>
      <c r="AE153" s="1477"/>
      <c r="AF153" s="1477"/>
      <c r="AG153" s="1477"/>
      <c r="AH153" s="1477"/>
      <c r="BM153">
        <v>5</v>
      </c>
      <c r="BN153" s="2" t="s">
        <v>809</v>
      </c>
      <c r="CR153" s="24" t="s">
        <v>810</v>
      </c>
      <c r="CS153" s="25"/>
      <c r="CT153" s="25"/>
      <c r="CU153" s="25"/>
      <c r="CV153" s="25"/>
      <c r="CW153" s="25"/>
      <c r="CX153" s="11"/>
      <c r="CY153" s="24" t="s">
        <v>811</v>
      </c>
      <c r="CZ153" s="11"/>
      <c r="DA153" s="11"/>
      <c r="DB153" s="11"/>
      <c r="DC153" s="11"/>
      <c r="DD153" s="11"/>
    </row>
    <row r="154" spans="1:108" ht="13.15" customHeight="1">
      <c r="D154" s="186" t="s">
        <v>812</v>
      </c>
      <c r="O154" s="1339" t="s">
        <v>2639</v>
      </c>
      <c r="P154" s="1339"/>
      <c r="Q154" s="1339"/>
      <c r="R154" s="1339"/>
      <c r="S154" s="1339"/>
      <c r="T154" s="1339"/>
      <c r="U154" s="1339"/>
      <c r="V154" s="1339"/>
      <c r="W154" s="1339"/>
      <c r="X154" s="1339"/>
      <c r="Y154" s="1339"/>
      <c r="Z154" s="1339"/>
      <c r="AA154" s="1339"/>
      <c r="AB154" s="1339"/>
      <c r="AC154" s="1339"/>
      <c r="AD154" s="1339"/>
      <c r="AE154" s="1339"/>
      <c r="AF154" s="1339"/>
      <c r="AG154" s="1339"/>
      <c r="AH154" s="1339"/>
      <c r="BM154">
        <v>6</v>
      </c>
      <c r="BN154" s="2" t="s">
        <v>813</v>
      </c>
      <c r="CR154" s="24"/>
      <c r="CS154" s="25"/>
      <c r="CT154" s="25"/>
      <c r="CU154" s="25"/>
      <c r="CV154" s="25"/>
      <c r="CW154" s="25"/>
      <c r="CX154" s="11"/>
      <c r="CY154" s="24"/>
      <c r="CZ154" s="11"/>
      <c r="DA154" s="11"/>
      <c r="DB154" s="11"/>
      <c r="DC154" s="11"/>
      <c r="DD154" s="11"/>
    </row>
    <row r="155" spans="1:108" ht="13.15" customHeight="1">
      <c r="D155" s="6" t="s">
        <v>814</v>
      </c>
      <c r="F155" s="6"/>
      <c r="G155" s="6"/>
      <c r="H155" s="6"/>
      <c r="I155" s="6"/>
      <c r="J155" s="6"/>
      <c r="K155" s="6"/>
      <c r="L155" s="6"/>
      <c r="M155" s="6"/>
      <c r="N155" s="6"/>
      <c r="O155" s="1486" t="s">
        <v>815</v>
      </c>
      <c r="P155" s="1486"/>
      <c r="Q155" s="1486"/>
      <c r="R155" s="1486"/>
      <c r="S155" s="1486"/>
      <c r="T155" s="1486"/>
      <c r="U155" s="1486"/>
      <c r="V155" s="1486"/>
      <c r="W155" s="1486"/>
      <c r="X155" s="1486"/>
      <c r="Y155" s="1486"/>
      <c r="Z155" s="1486"/>
      <c r="AA155" s="1486"/>
      <c r="AB155" s="1486"/>
      <c r="AC155" s="1486"/>
      <c r="AD155" s="1486"/>
      <c r="AE155" s="1486"/>
      <c r="AF155" s="1486"/>
      <c r="AG155" s="1486"/>
      <c r="AH155" s="1486"/>
      <c r="BM155">
        <v>7</v>
      </c>
      <c r="BN155" s="2" t="s">
        <v>816</v>
      </c>
      <c r="CR155" s="24"/>
      <c r="CS155" s="25"/>
      <c r="CT155" s="25"/>
      <c r="CU155" s="25"/>
      <c r="CV155" s="25"/>
      <c r="CW155" s="25"/>
      <c r="CX155" s="11"/>
      <c r="CY155" s="24"/>
      <c r="CZ155" s="11"/>
      <c r="DA155" s="11"/>
      <c r="DB155" s="11"/>
      <c r="DC155" s="11"/>
      <c r="DD155" s="11"/>
    </row>
    <row r="156" spans="1:108" ht="13.15" customHeight="1">
      <c r="D156" t="s">
        <v>817</v>
      </c>
      <c r="O156" s="1399" t="s">
        <v>2640</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3.15" customHeight="1">
      <c r="D157" t="s">
        <v>820</v>
      </c>
      <c r="O157" s="1477" t="s">
        <v>2641</v>
      </c>
      <c r="P157" s="1477"/>
      <c r="Q157" s="1477"/>
      <c r="R157" s="1477"/>
      <c r="S157" s="1477"/>
      <c r="T157" s="1477"/>
      <c r="U157" s="1477"/>
      <c r="V157" s="1477"/>
      <c r="W157" s="1477"/>
      <c r="X157" s="1477"/>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3.15" customHeight="1">
      <c r="D158" t="s">
        <v>825</v>
      </c>
      <c r="O158" s="1504">
        <v>90802</v>
      </c>
      <c r="P158" s="1504"/>
      <c r="Q158" s="1504"/>
      <c r="R158" s="1504"/>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3.15" customHeight="1" thickBot="1">
      <c r="D159" t="s">
        <v>828</v>
      </c>
      <c r="O159" s="1513" t="s">
        <v>2642</v>
      </c>
      <c r="P159" s="1513"/>
      <c r="Q159" s="1513"/>
      <c r="R159" s="1513"/>
      <c r="S159" s="1513"/>
      <c r="T159" s="1513"/>
      <c r="V159" s="56" t="s">
        <v>829</v>
      </c>
      <c r="W159" s="1505"/>
      <c r="X159" s="1505"/>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3.15" customHeight="1">
      <c r="D160" t="s">
        <v>841</v>
      </c>
      <c r="O160" s="1513"/>
      <c r="P160" s="1513"/>
      <c r="Q160" s="1513"/>
      <c r="R160" s="1513"/>
      <c r="S160" s="1513"/>
      <c r="T160" s="1513"/>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3.15" customHeight="1">
      <c r="D161" t="s">
        <v>844</v>
      </c>
      <c r="O161" s="1484" t="s">
        <v>2643</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3.15"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3.15"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3.15" customHeight="1">
      <c r="C164" s="21"/>
      <c r="D164" s="1495" t="s">
        <v>854</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3.1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3.1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3.1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3.1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3.15" customHeight="1">
      <c r="A169" s="1500" t="s">
        <v>865</v>
      </c>
      <c r="B169" s="1500"/>
      <c r="C169" s="1500"/>
      <c r="D169" s="1500"/>
      <c r="E169" s="1500"/>
      <c r="F169" s="1500"/>
      <c r="G169" s="1500"/>
      <c r="H169" s="1500"/>
      <c r="I169" s="1500"/>
      <c r="J169" s="1500"/>
      <c r="K169" s="1500"/>
      <c r="L169" s="1500"/>
      <c r="M169" s="1500"/>
      <c r="N169" s="1500"/>
      <c r="O169" s="1500"/>
      <c r="P169" s="1500"/>
      <c r="Q169" s="1500"/>
      <c r="R169" s="1500"/>
      <c r="S169" s="1500"/>
      <c r="T169" s="1500"/>
      <c r="U169" s="1500"/>
      <c r="V169" s="1500"/>
      <c r="W169" s="1500"/>
      <c r="X169" s="1500"/>
      <c r="Y169" s="1500"/>
      <c r="Z169" s="1500"/>
      <c r="AA169" s="1500"/>
      <c r="AB169" s="1500"/>
      <c r="AC169" s="1500"/>
      <c r="AD169" s="1500"/>
      <c r="AE169" s="1500"/>
      <c r="AF169" s="1500"/>
      <c r="AG169" s="1500"/>
      <c r="AH169" s="1500"/>
      <c r="AI169" s="1500"/>
      <c r="AJ169" s="1500"/>
      <c r="AK169" s="1500"/>
      <c r="AL169" s="1500"/>
      <c r="AM169" s="1500"/>
      <c r="AN169" s="1500"/>
      <c r="AO169" s="1500"/>
      <c r="AP169" s="1500"/>
      <c r="AQ169" s="1500"/>
      <c r="AR169" s="1500"/>
      <c r="AS169" s="1500"/>
      <c r="AT169" s="1500"/>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3.15" customHeight="1">
      <c r="A170" s="1500"/>
      <c r="B170" s="1500"/>
      <c r="C170" s="1500"/>
      <c r="D170" s="1500"/>
      <c r="E170" s="1500"/>
      <c r="F170" s="1500"/>
      <c r="G170" s="1500"/>
      <c r="H170" s="1500"/>
      <c r="I170" s="1500"/>
      <c r="J170" s="1500"/>
      <c r="K170" s="1500"/>
      <c r="L170" s="1500"/>
      <c r="M170" s="1500"/>
      <c r="N170" s="1500"/>
      <c r="O170" s="1500"/>
      <c r="P170" s="1500"/>
      <c r="Q170" s="1500"/>
      <c r="R170" s="1500"/>
      <c r="S170" s="1500"/>
      <c r="T170" s="1500"/>
      <c r="U170" s="1500"/>
      <c r="V170" s="1500"/>
      <c r="W170" s="1500"/>
      <c r="X170" s="1500"/>
      <c r="Y170" s="1500"/>
      <c r="Z170" s="1500"/>
      <c r="AA170" s="1500"/>
      <c r="AB170" s="1500"/>
      <c r="AC170" s="1500"/>
      <c r="AD170" s="1500"/>
      <c r="AE170" s="1500"/>
      <c r="AF170" s="1500"/>
      <c r="AG170" s="1500"/>
      <c r="AH170" s="1500"/>
      <c r="AI170" s="1500"/>
      <c r="AJ170" s="1500"/>
      <c r="AK170" s="1500"/>
      <c r="AL170" s="1500"/>
      <c r="AM170" s="1500"/>
      <c r="AN170" s="1500"/>
      <c r="AO170" s="1500"/>
      <c r="AP170" s="1500"/>
      <c r="AQ170" s="1500"/>
      <c r="AR170" s="1500"/>
      <c r="AS170" s="1500"/>
      <c r="AT170" s="1500"/>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3.15"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3.15"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3.15" customHeight="1">
      <c r="C173" s="18"/>
      <c r="D173" t="s">
        <v>875</v>
      </c>
      <c r="J173" s="1485" t="s">
        <v>876</v>
      </c>
      <c r="K173" s="1485"/>
      <c r="L173" s="1485"/>
      <c r="M173" s="1485"/>
      <c r="N173" s="1485"/>
      <c r="O173" s="1485"/>
      <c r="P173" s="1485"/>
      <c r="Q173" s="1485"/>
      <c r="R173" s="1485"/>
      <c r="S173" s="1485"/>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3.15" customHeight="1">
      <c r="C174" s="18"/>
      <c r="D174" s="2" t="s">
        <v>879</v>
      </c>
      <c r="J174" s="1399" t="s">
        <v>880</v>
      </c>
      <c r="K174" s="1399"/>
      <c r="L174" s="1399"/>
      <c r="M174" s="1399"/>
      <c r="N174" s="1399"/>
      <c r="O174" s="1399"/>
      <c r="P174" s="1399"/>
      <c r="Q174" s="1399"/>
      <c r="R174" s="1399"/>
      <c r="S174" s="1399"/>
      <c r="T174" s="1399"/>
      <c r="U174" s="1399"/>
      <c r="V174" s="1399"/>
      <c r="W174" s="1399"/>
      <c r="X174" s="1399"/>
      <c r="Y174" s="1399"/>
      <c r="Z174" s="1399"/>
      <c r="AA174" s="1399"/>
      <c r="AB174" s="1399"/>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3.15" customHeight="1">
      <c r="C175" s="6"/>
      <c r="D175" s="2" t="s">
        <v>884</v>
      </c>
      <c r="O175" s="21"/>
      <c r="U175" s="1356"/>
      <c r="V175" s="1356"/>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3.15" customHeight="1">
      <c r="C176" s="6"/>
      <c r="D176" s="20"/>
      <c r="E176" t="s">
        <v>888</v>
      </c>
      <c r="O176" s="21"/>
      <c r="P176" t="s">
        <v>889</v>
      </c>
      <c r="T176" s="21" t="s">
        <v>890</v>
      </c>
      <c r="U176" s="1498"/>
      <c r="V176" s="1498"/>
      <c r="W176" s="1080" t="s">
        <v>891</v>
      </c>
      <c r="X176" s="1517"/>
      <c r="Y176" s="1517"/>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3.15" customHeight="1">
      <c r="C177" s="18"/>
      <c r="D177" t="s">
        <v>895</v>
      </c>
      <c r="R177" s="1356" t="s">
        <v>696</v>
      </c>
      <c r="S177" s="1356"/>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3.15" customHeight="1">
      <c r="C178" s="18"/>
      <c r="D178" s="2" t="s">
        <v>899</v>
      </c>
      <c r="AA178" t="s">
        <v>889</v>
      </c>
      <c r="AE178" s="21" t="s">
        <v>890</v>
      </c>
      <c r="AF178" s="1516"/>
      <c r="AG178" s="1516"/>
      <c r="AH178" s="1080" t="s">
        <v>891</v>
      </c>
      <c r="AI178" s="1473"/>
      <c r="AJ178" s="1473"/>
      <c r="AK178" s="1473"/>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3.15"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3.15" customHeight="1">
      <c r="C180" s="18"/>
      <c r="D180" s="2" t="s">
        <v>905</v>
      </c>
      <c r="X180" s="1356" t="s">
        <v>696</v>
      </c>
      <c r="Y180" s="1356"/>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3.15"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3.15"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3.15"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3.15" customHeight="1">
      <c r="C184" s="16"/>
      <c r="D184" t="s">
        <v>916</v>
      </c>
      <c r="I184" s="1346" t="str">
        <f>H18</f>
        <v>1401 Long Beach</v>
      </c>
      <c r="J184" s="1346"/>
      <c r="K184" s="1346"/>
      <c r="L184" s="1346"/>
      <c r="M184" s="1346"/>
      <c r="N184" s="1346"/>
      <c r="O184" s="1346"/>
      <c r="P184" s="1346"/>
      <c r="Q184" s="1346"/>
      <c r="R184" s="1346"/>
      <c r="S184" s="1346"/>
      <c r="T184" s="1346"/>
      <c r="U184" s="1346"/>
      <c r="V184" s="1346"/>
      <c r="W184" s="1346"/>
      <c r="X184" s="1346"/>
      <c r="Y184" s="1346"/>
      <c r="Z184" s="1346"/>
      <c r="AA184" s="1346"/>
      <c r="AB184" s="1346"/>
      <c r="AC184" s="1346"/>
      <c r="AD184" s="1346"/>
      <c r="AE184" s="1346"/>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3.15" customHeight="1">
      <c r="C185" s="16"/>
      <c r="D185" t="s">
        <v>920</v>
      </c>
      <c r="I185" s="1339" t="s">
        <v>2644</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3.15"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3.15" customHeight="1">
      <c r="C187" s="16"/>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3.15" customHeight="1">
      <c r="C188" s="16"/>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3.15" customHeight="1">
      <c r="C189" s="16"/>
      <c r="D189" t="s">
        <v>931</v>
      </c>
      <c r="I189" s="1477" t="s">
        <v>2641</v>
      </c>
      <c r="J189" s="1399"/>
      <c r="K189" s="1399"/>
      <c r="L189" s="1399"/>
      <c r="M189" s="1399"/>
      <c r="N189" s="1399"/>
      <c r="O189" s="1399"/>
      <c r="P189" s="1399"/>
      <c r="Q189" t="s">
        <v>932</v>
      </c>
      <c r="T189" s="1399" t="s">
        <v>887</v>
      </c>
      <c r="U189" s="1399"/>
      <c r="V189" s="1399"/>
      <c r="W189" s="1399"/>
      <c r="X189" s="1399"/>
      <c r="Y189" s="1399"/>
      <c r="Z189" s="1399"/>
      <c r="AA189" s="1399"/>
      <c r="AB189" s="1399"/>
      <c r="AC189" s="1399"/>
      <c r="AD189" s="1399"/>
      <c r="AE189" s="1399"/>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3.15" customHeight="1">
      <c r="C190" s="16"/>
      <c r="D190" t="s">
        <v>935</v>
      </c>
      <c r="I190" s="1360">
        <v>90813</v>
      </c>
      <c r="J190" s="1360"/>
      <c r="K190" s="1360"/>
      <c r="L190" s="1360"/>
      <c r="M190" s="1360"/>
      <c r="N190" s="1360"/>
      <c r="O190" t="s">
        <v>936</v>
      </c>
      <c r="T190" s="1502">
        <v>5754.02</v>
      </c>
      <c r="U190" s="1502"/>
      <c r="V190" s="1502"/>
      <c r="W190" s="1502"/>
      <c r="X190" s="1502"/>
      <c r="Y190" s="1502"/>
      <c r="Z190" s="1502"/>
      <c r="AA190" s="1502"/>
      <c r="AB190" s="1502"/>
      <c r="AC190" s="1502"/>
      <c r="AD190" s="1502"/>
      <c r="AE190" s="1502"/>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3.15" customHeight="1">
      <c r="C191" s="16"/>
      <c r="D191" t="s">
        <v>940</v>
      </c>
      <c r="N191" s="1482" t="s">
        <v>2645</v>
      </c>
      <c r="O191" s="1482"/>
      <c r="P191" s="1482"/>
      <c r="Q191" s="1482"/>
      <c r="R191" s="1482"/>
      <c r="S191" s="1482"/>
      <c r="T191" s="1482"/>
      <c r="U191" s="1482"/>
      <c r="V191" s="1482"/>
      <c r="W191" s="1482"/>
      <c r="X191" s="1482"/>
      <c r="Y191" s="1482"/>
      <c r="Z191" s="1482"/>
      <c r="AA191" s="1482"/>
      <c r="AB191" s="1482"/>
      <c r="AC191" s="1482"/>
      <c r="AD191" s="1482"/>
      <c r="AE191" s="1482"/>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3.15" customHeight="1">
      <c r="C192" s="16"/>
      <c r="M192" s="1093"/>
      <c r="N192" s="1483"/>
      <c r="O192" s="1483"/>
      <c r="P192" s="1483"/>
      <c r="Q192" s="1483"/>
      <c r="R192" s="1483"/>
      <c r="S192" s="1483"/>
      <c r="T192" s="1483"/>
      <c r="U192" s="1483"/>
      <c r="V192" s="1483"/>
      <c r="W192" s="1483"/>
      <c r="X192" s="1483"/>
      <c r="Y192" s="1483"/>
      <c r="Z192" s="1483"/>
      <c r="AA192" s="1483"/>
      <c r="AB192" s="1483"/>
      <c r="AC192" s="1483"/>
      <c r="AD192" s="1483"/>
      <c r="AE192" s="1483"/>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3.15" customHeight="1">
      <c r="C193" s="16"/>
      <c r="D193" t="s">
        <v>948</v>
      </c>
      <c r="M193" s="1093"/>
      <c r="N193" s="702"/>
      <c r="O193" s="702"/>
      <c r="P193" s="702"/>
      <c r="Q193" s="702"/>
      <c r="R193" s="702"/>
      <c r="S193" s="702"/>
      <c r="T193" s="1510" t="s">
        <v>896</v>
      </c>
      <c r="U193" s="1510"/>
      <c r="V193" s="1510"/>
      <c r="W193" s="1510"/>
      <c r="X193" s="1510"/>
      <c r="Y193" s="1510"/>
      <c r="Z193" s="1510"/>
      <c r="AA193" s="1510"/>
      <c r="AB193" s="1510"/>
      <c r="AC193" s="1510"/>
      <c r="AD193" s="1510"/>
      <c r="AE193" s="1510"/>
      <c r="AF193" s="1510"/>
      <c r="AG193" s="1510"/>
      <c r="AH193" s="1510"/>
      <c r="AI193" s="1510"/>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3.15" customHeight="1">
      <c r="C194" s="16"/>
      <c r="D194" s="2" t="s">
        <v>953</v>
      </c>
      <c r="M194" s="1093"/>
      <c r="N194" s="702"/>
      <c r="O194" s="702"/>
      <c r="P194" s="702"/>
      <c r="Q194" s="702"/>
      <c r="R194" s="702"/>
      <c r="S194" s="702"/>
      <c r="AH194" s="1356" t="s">
        <v>696</v>
      </c>
      <c r="AI194" s="1356"/>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3.15" customHeight="1">
      <c r="C195" s="16"/>
      <c r="D195" t="s">
        <v>956</v>
      </c>
      <c r="T195" s="1356" t="s">
        <v>696</v>
      </c>
      <c r="U195" s="1356"/>
      <c r="W195" t="s">
        <v>957</v>
      </c>
      <c r="AH195" s="1356">
        <v>42</v>
      </c>
      <c r="AI195" s="1356"/>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3.15" customHeight="1">
      <c r="C196" s="16"/>
      <c r="D196" t="s">
        <v>961</v>
      </c>
      <c r="T196" s="1377" t="s">
        <v>847</v>
      </c>
      <c r="U196" s="1377"/>
      <c r="W196" t="s">
        <v>962</v>
      </c>
      <c r="AH196" s="1356">
        <v>69</v>
      </c>
      <c r="AI196" s="1356"/>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3.15" customHeight="1">
      <c r="C197" s="16"/>
      <c r="D197" s="2" t="s">
        <v>965</v>
      </c>
      <c r="T197" s="1377" t="s">
        <v>696</v>
      </c>
      <c r="U197" s="1377"/>
      <c r="W197" t="s">
        <v>966</v>
      </c>
      <c r="AH197" s="1356">
        <v>33</v>
      </c>
      <c r="AI197" s="1356"/>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3.15" customHeight="1">
      <c r="A198"/>
      <c r="B198"/>
      <c r="C198" s="16"/>
      <c r="D198" s="2" t="s">
        <v>969</v>
      </c>
      <c r="E198"/>
      <c r="F198"/>
      <c r="G198"/>
      <c r="H198"/>
      <c r="I198"/>
      <c r="J198"/>
      <c r="K198"/>
      <c r="L198"/>
      <c r="M198"/>
      <c r="N198"/>
      <c r="O198"/>
      <c r="P198"/>
      <c r="Q198"/>
      <c r="R198"/>
      <c r="S198"/>
      <c r="T198" s="1377"/>
      <c r="U198" s="1377"/>
      <c r="V198"/>
      <c r="X198" s="1509" t="s">
        <v>970</v>
      </c>
      <c r="Y198" s="1509"/>
      <c r="Z198" s="1509"/>
      <c r="AA198" s="1509"/>
      <c r="AB198" s="1509"/>
      <c r="AC198" s="1509"/>
      <c r="AD198" s="1509"/>
      <c r="AE198" s="1509"/>
      <c r="AF198" s="1509"/>
      <c r="AG198" s="1509"/>
      <c r="AH198" s="1509"/>
      <c r="AI198" s="1509"/>
      <c r="AJ198" s="1509"/>
      <c r="AK198" s="1509"/>
      <c r="AL198" s="1509"/>
      <c r="AM198" s="1509"/>
      <c r="AN198" s="1509"/>
      <c r="AO198" s="1509"/>
      <c r="AP198" s="1509"/>
      <c r="AQ198" s="1509"/>
      <c r="AR198" s="1509"/>
      <c r="AS198" s="1509"/>
      <c r="AT198" s="1509"/>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3.15" customHeight="1">
      <c r="A199"/>
      <c r="B199"/>
      <c r="C199" s="16"/>
      <c r="D199" s="68" t="s">
        <v>973</v>
      </c>
      <c r="E199"/>
      <c r="F199"/>
      <c r="G199"/>
      <c r="H199"/>
      <c r="I199"/>
      <c r="J199"/>
      <c r="K199"/>
      <c r="L199"/>
      <c r="M199"/>
      <c r="N199"/>
      <c r="O199"/>
      <c r="P199"/>
      <c r="Q199"/>
      <c r="R199"/>
      <c r="S199"/>
      <c r="T199" s="1356" t="s">
        <v>696</v>
      </c>
      <c r="U199" s="1356"/>
      <c r="V199"/>
      <c r="W199"/>
      <c r="X199" s="1509"/>
      <c r="Y199" s="1509"/>
      <c r="Z199" s="1509"/>
      <c r="AA199" s="1509"/>
      <c r="AB199" s="1509"/>
      <c r="AC199" s="1509"/>
      <c r="AD199" s="1509"/>
      <c r="AE199" s="1509"/>
      <c r="AF199" s="1509"/>
      <c r="AG199" s="1509"/>
      <c r="AH199" s="1509"/>
      <c r="AI199" s="1509"/>
      <c r="AJ199" s="1509"/>
      <c r="AK199" s="1509"/>
      <c r="AL199" s="1509"/>
      <c r="AM199" s="1509"/>
      <c r="AN199" s="1509"/>
      <c r="AO199" s="1509"/>
      <c r="AP199" s="1509"/>
      <c r="AQ199" s="1509"/>
      <c r="AR199" s="1509"/>
      <c r="AS199" s="1509"/>
      <c r="AT199" s="1509"/>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3.15" customHeight="1">
      <c r="A200"/>
      <c r="B200"/>
      <c r="C200" s="16"/>
      <c r="D200" s="11" t="s">
        <v>976</v>
      </c>
      <c r="T200" s="1356" t="s">
        <v>696</v>
      </c>
      <c r="U200" s="1356"/>
      <c r="V200"/>
      <c r="W200"/>
      <c r="X200"/>
      <c r="Y200"/>
      <c r="AA200"/>
      <c r="AB200" s="964" t="s">
        <v>977</v>
      </c>
      <c r="AC200"/>
      <c r="AF200"/>
      <c r="AG200"/>
      <c r="AH200" s="1080"/>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3.15" customHeight="1">
      <c r="A201"/>
      <c r="B201"/>
      <c r="C201" s="16"/>
      <c r="E201" s="2" t="s">
        <v>981</v>
      </c>
      <c r="V201"/>
      <c r="X201"/>
      <c r="Y201"/>
      <c r="Z201"/>
      <c r="AB201" s="964" t="s">
        <v>982</v>
      </c>
      <c r="AC201"/>
      <c r="AH201" s="1080"/>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3.15"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3.15"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3.15" customHeight="1">
      <c r="D204" s="1346" t="s">
        <v>994</v>
      </c>
      <c r="E204" s="1346"/>
      <c r="F204" s="1346"/>
      <c r="G204" s="1346"/>
      <c r="H204" s="1346"/>
      <c r="I204" s="1346"/>
      <c r="J204" s="1346"/>
      <c r="K204" s="1346"/>
      <c r="L204" s="1346"/>
      <c r="M204" s="1346"/>
      <c r="P204" s="1496">
        <f>M26</f>
        <v>5083345</v>
      </c>
      <c r="Q204" s="1497"/>
      <c r="R204" s="1497"/>
      <c r="S204" s="1497"/>
      <c r="T204" s="1497"/>
      <c r="U204" s="1497"/>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3.15" customHeight="1">
      <c r="C205" s="16"/>
      <c r="D205" s="1507" t="s">
        <v>998</v>
      </c>
      <c r="E205" s="1346"/>
      <c r="F205" s="1346"/>
      <c r="G205" s="1346"/>
      <c r="H205" s="1346"/>
      <c r="I205" s="1346"/>
      <c r="J205" s="1346"/>
      <c r="K205" s="1346"/>
      <c r="L205" s="1346"/>
      <c r="M205" s="1346"/>
      <c r="P205" s="1497">
        <f>M27</f>
        <v>6562159</v>
      </c>
      <c r="Q205" s="1497"/>
      <c r="R205" s="1497"/>
      <c r="S205" s="1497"/>
      <c r="T205" s="1497"/>
      <c r="U205" s="1497"/>
      <c r="V205" s="17"/>
      <c r="W205" s="2" t="s">
        <v>999</v>
      </c>
      <c r="Z205" s="1499" t="s">
        <v>1042</v>
      </c>
      <c r="AA205" s="1499"/>
      <c r="AB205" s="1499"/>
      <c r="AC205" s="1499"/>
      <c r="AD205" s="1499"/>
      <c r="AE205" s="1499"/>
      <c r="AF205" s="1499"/>
      <c r="AG205" s="1499"/>
      <c r="AH205" s="1499"/>
      <c r="AI205" s="1499"/>
      <c r="AJ205" s="1499"/>
      <c r="AK205" s="1499"/>
      <c r="AL205" s="1499"/>
      <c r="AM205" s="1499"/>
      <c r="AN205" s="1499"/>
      <c r="AP205" s="1439"/>
      <c r="AQ205" s="1439"/>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3.15"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3.15"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3.15" customHeight="1">
      <c r="C208" s="16"/>
      <c r="D208" s="1477" t="s">
        <v>2646</v>
      </c>
      <c r="E208" s="1477"/>
      <c r="F208" s="1477"/>
      <c r="G208" s="1477"/>
      <c r="H208" s="1477"/>
      <c r="I208" s="1477"/>
      <c r="J208" s="1477"/>
      <c r="K208" s="1477"/>
      <c r="L208" s="1477"/>
      <c r="M208" s="1477"/>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3.15"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3.15"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3.15" customHeight="1">
      <c r="C211" s="16"/>
      <c r="D211" s="1477" t="s">
        <v>937</v>
      </c>
      <c r="E211" s="1477"/>
      <c r="F211" s="1477"/>
      <c r="G211" s="1477"/>
      <c r="H211" s="1477"/>
      <c r="I211" s="1477"/>
      <c r="J211" s="1477"/>
      <c r="K211" s="1477"/>
      <c r="L211" s="1477"/>
      <c r="M211" s="1477"/>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3.15" customHeight="1">
      <c r="C212" s="16"/>
      <c r="D212" s="2" t="s">
        <v>1025</v>
      </c>
      <c r="Q212" s="1356">
        <v>10</v>
      </c>
      <c r="R212" s="1356"/>
      <c r="T212" s="1514">
        <f>IFERROR(Q212/AG449,0)</f>
        <v>6.6225165562913912E-2</v>
      </c>
      <c r="U212" s="1515"/>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3.15"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3.15" customHeight="1">
      <c r="D214" s="1492" t="s">
        <v>816</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3.15" customHeight="1">
      <c r="D215" s="2" t="s">
        <v>1037</v>
      </c>
      <c r="Z215" s="1093"/>
      <c r="AB215" s="1491"/>
      <c r="AC215" s="1491"/>
      <c r="AD215" s="1491"/>
      <c r="AE215" s="1491"/>
      <c r="AF215" s="1491"/>
      <c r="AG215" s="1491"/>
      <c r="AH215" s="1491"/>
      <c r="AI215" s="1491"/>
      <c r="AJ215" s="1491"/>
      <c r="AK215" s="1491"/>
      <c r="AL215" s="1491"/>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3.15" customHeight="1">
      <c r="D216" s="2" t="s">
        <v>1040</v>
      </c>
      <c r="Z216" s="1093"/>
      <c r="AB216" s="1491"/>
      <c r="AC216" s="1491"/>
      <c r="AD216" s="1491"/>
      <c r="AE216" s="1491"/>
      <c r="AF216" s="1491"/>
      <c r="AG216" s="1491"/>
      <c r="AH216" s="1491"/>
      <c r="AI216" s="1491"/>
      <c r="AJ216" s="1491"/>
      <c r="AK216" s="1491"/>
      <c r="AL216" s="1491"/>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3.15" customHeight="1" thickBot="1">
      <c r="D217" s="2"/>
      <c r="Z217" s="1093"/>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3.15" customHeight="1">
      <c r="A218" s="1" t="s">
        <v>1045</v>
      </c>
      <c r="C218" s="1" t="s">
        <v>1046</v>
      </c>
      <c r="D218" s="17"/>
      <c r="AC218" s="1" t="s">
        <v>1047</v>
      </c>
      <c r="BC218" t="s">
        <v>1048</v>
      </c>
    </row>
    <row r="219" spans="1:108" ht="13.15" customHeight="1">
      <c r="A219" s="1"/>
      <c r="C219" s="1"/>
      <c r="D219" s="2" t="s">
        <v>1049</v>
      </c>
      <c r="AZ219" s="2"/>
      <c r="BA219" s="2"/>
      <c r="BC219" t="s">
        <v>1050</v>
      </c>
    </row>
    <row r="220" spans="1:108" ht="13.15" customHeight="1">
      <c r="A220" s="1"/>
      <c r="C220" s="1"/>
      <c r="D220" s="1477" t="s">
        <v>978</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AC220" s="1436" t="s">
        <v>978</v>
      </c>
      <c r="AD220" s="1436"/>
      <c r="AE220" s="1436"/>
      <c r="AF220" s="1436"/>
      <c r="AG220" s="1436"/>
      <c r="AH220" s="1436"/>
      <c r="AI220" s="1436"/>
      <c r="AJ220" s="1436"/>
      <c r="AK220" s="1436"/>
      <c r="AL220" s="1436"/>
      <c r="AM220" s="1436"/>
      <c r="AN220" s="1436"/>
      <c r="AO220" s="1436"/>
      <c r="AP220" s="1436"/>
      <c r="AQ220" s="1436"/>
      <c r="BA220" s="2"/>
      <c r="BC220" t="s">
        <v>1051</v>
      </c>
    </row>
    <row r="221" spans="1:108" ht="13.15" customHeight="1">
      <c r="A221" s="1"/>
      <c r="B221" s="11"/>
      <c r="C221" s="1"/>
      <c r="BA221" s="2"/>
    </row>
    <row r="222" spans="1:108" ht="13.15" customHeight="1">
      <c r="A222" s="1" t="s">
        <v>1052</v>
      </c>
      <c r="B222" s="11"/>
      <c r="C222" s="1" t="s">
        <v>1053</v>
      </c>
      <c r="BA222" s="2"/>
    </row>
    <row r="223" spans="1:108" ht="13.15" customHeight="1">
      <c r="A223" s="1"/>
      <c r="B223" s="11"/>
      <c r="C223" s="1"/>
      <c r="D223" s="2" t="s">
        <v>1054</v>
      </c>
      <c r="BA223" s="2"/>
    </row>
    <row r="224" spans="1:108" ht="13.15" customHeight="1">
      <c r="A224" s="1"/>
      <c r="B224" s="11"/>
      <c r="C224" s="1"/>
      <c r="E224" s="2" t="s">
        <v>786</v>
      </c>
      <c r="V224" s="1356" t="s">
        <v>696</v>
      </c>
      <c r="W224" s="1356"/>
      <c r="Y224" s="972"/>
      <c r="BA224" s="2"/>
    </row>
    <row r="225" spans="1:69" ht="13.15" customHeight="1">
      <c r="A225" s="1"/>
      <c r="B225" s="11"/>
      <c r="C225" s="1"/>
      <c r="E225" s="2" t="s">
        <v>787</v>
      </c>
      <c r="V225" s="1356" t="s">
        <v>696</v>
      </c>
      <c r="W225" s="1356"/>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3.15" customHeight="1">
      <c r="A226" s="1"/>
      <c r="B226" s="11"/>
      <c r="C226" s="1"/>
      <c r="E226" s="2" t="s">
        <v>788</v>
      </c>
      <c r="V226" s="1377" t="s">
        <v>696</v>
      </c>
      <c r="W226" s="1377"/>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3.15" customHeight="1">
      <c r="A227" s="1"/>
      <c r="B227" s="11"/>
      <c r="C227" s="1"/>
      <c r="E227" s="2" t="s">
        <v>790</v>
      </c>
      <c r="V227" s="1377" t="s">
        <v>696</v>
      </c>
      <c r="W227" s="1377"/>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3.15" customHeight="1">
      <c r="A228" s="1"/>
      <c r="B228" s="11"/>
      <c r="C228" s="1"/>
      <c r="E228" s="2" t="s">
        <v>791</v>
      </c>
      <c r="V228" s="1377" t="s">
        <v>696</v>
      </c>
      <c r="W228" s="1377"/>
      <c r="Y228" s="973" t="str">
        <f>IF(AND(V228="Yes",OR(V229="Yes",V225="Yes",V226="Yes")),"!","")</f>
        <v/>
      </c>
      <c r="Z228" s="974" t="str">
        <f>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3.15" customHeight="1">
      <c r="A229" s="1"/>
      <c r="B229" s="11"/>
      <c r="C229" s="1"/>
      <c r="E229" s="2" t="s">
        <v>792</v>
      </c>
      <c r="V229" s="1377" t="s">
        <v>847</v>
      </c>
      <c r="W229" s="1377"/>
      <c r="Y229" s="973" t="str">
        <f>IF(AND(V229="Yes",OR(V228="Yes",V227="Yes",V226="Yes",V225="Yes")),"!","")</f>
        <v/>
      </c>
      <c r="Z229" s="974" t="str">
        <f>IF(Y229="!","Requirements for pools/set-asides selected are mutually exclusive.","")</f>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3.15" customHeight="1">
      <c r="A230" s="1"/>
      <c r="B230" s="11"/>
      <c r="C230" s="1"/>
      <c r="BA230" s="2"/>
    </row>
    <row r="231" spans="1:69" ht="13.15" customHeight="1">
      <c r="A231" s="1500" t="s">
        <v>1055</v>
      </c>
      <c r="B231" s="1500"/>
      <c r="C231" s="1500"/>
      <c r="D231" s="1500"/>
      <c r="E231" s="1500"/>
      <c r="F231" s="1500"/>
      <c r="G231" s="1500"/>
      <c r="H231" s="1500"/>
      <c r="I231" s="1500"/>
      <c r="J231" s="1500"/>
      <c r="K231" s="1500"/>
      <c r="L231" s="1500"/>
      <c r="M231" s="1500"/>
      <c r="N231" s="1500"/>
      <c r="O231" s="1500"/>
      <c r="P231" s="1500"/>
      <c r="Q231" s="1500"/>
      <c r="R231" s="1500"/>
      <c r="S231" s="1500"/>
      <c r="T231" s="1500"/>
      <c r="U231" s="1500"/>
      <c r="V231" s="1500"/>
      <c r="W231" s="1500"/>
      <c r="X231" s="1500"/>
      <c r="Y231" s="1500"/>
      <c r="Z231" s="1500"/>
      <c r="AA231" s="1500"/>
      <c r="AB231" s="1500"/>
      <c r="AC231" s="1500"/>
      <c r="AD231" s="1500"/>
      <c r="AE231" s="1500"/>
      <c r="AF231" s="1500"/>
      <c r="AG231" s="1500"/>
      <c r="AH231" s="1500"/>
      <c r="AI231" s="1500"/>
      <c r="AJ231" s="1500"/>
      <c r="AK231" s="1500"/>
      <c r="AL231" s="1500"/>
      <c r="AM231" s="1500"/>
      <c r="AN231" s="1500"/>
      <c r="AO231" s="1500"/>
      <c r="AP231" s="1500"/>
      <c r="AQ231" s="1500"/>
      <c r="AR231" s="1500"/>
      <c r="AS231" s="1500"/>
      <c r="AT231" s="1500"/>
      <c r="AU231" s="54"/>
      <c r="AV231" s="54"/>
      <c r="AW231" s="54"/>
      <c r="AX231" s="54"/>
      <c r="AY231" s="54"/>
      <c r="AZ231" s="2"/>
      <c r="BA231" s="2"/>
      <c r="BP231" s="2"/>
    </row>
    <row r="232" spans="1:69" ht="13.15" customHeight="1">
      <c r="A232" s="1500"/>
      <c r="B232" s="1500"/>
      <c r="C232" s="1500"/>
      <c r="D232" s="1500"/>
      <c r="E232" s="1500"/>
      <c r="F232" s="1500"/>
      <c r="G232" s="1500"/>
      <c r="H232" s="1500"/>
      <c r="I232" s="1500"/>
      <c r="J232" s="1500"/>
      <c r="K232" s="1500"/>
      <c r="L232" s="1500"/>
      <c r="M232" s="1500"/>
      <c r="N232" s="1500"/>
      <c r="O232" s="1500"/>
      <c r="P232" s="1500"/>
      <c r="Q232" s="1500"/>
      <c r="R232" s="1500"/>
      <c r="S232" s="1500"/>
      <c r="T232" s="1500"/>
      <c r="U232" s="1500"/>
      <c r="V232" s="1500"/>
      <c r="W232" s="1500"/>
      <c r="X232" s="1500"/>
      <c r="Y232" s="1500"/>
      <c r="Z232" s="1500"/>
      <c r="AA232" s="1500"/>
      <c r="AB232" s="1500"/>
      <c r="AC232" s="1500"/>
      <c r="AD232" s="1500"/>
      <c r="AE232" s="1500"/>
      <c r="AF232" s="1500"/>
      <c r="AG232" s="1500"/>
      <c r="AH232" s="1500"/>
      <c r="AI232" s="1500"/>
      <c r="AJ232" s="1500"/>
      <c r="AK232" s="1500"/>
      <c r="AL232" s="1500"/>
      <c r="AM232" s="1500"/>
      <c r="AN232" s="1500"/>
      <c r="AO232" s="1500"/>
      <c r="AP232" s="1500"/>
      <c r="AQ232" s="1500"/>
      <c r="AR232" s="1500"/>
      <c r="AS232" s="1500"/>
      <c r="AT232" s="1500"/>
      <c r="BA232" s="2"/>
      <c r="BB232" s="2"/>
      <c r="BQ232" s="2"/>
    </row>
    <row r="233" spans="1:69" ht="13.15" customHeight="1">
      <c r="AZ233" s="2"/>
      <c r="BA233" s="2"/>
      <c r="BB233" s="2"/>
      <c r="BQ233" s="2"/>
    </row>
    <row r="234" spans="1:69" ht="13.15"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3.15"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56" t="s">
        <v>847</v>
      </c>
      <c r="AJ235" s="1356"/>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3.15"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56" t="s">
        <v>847</v>
      </c>
      <c r="AJ236" s="1356"/>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3.15"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56" t="s">
        <v>847</v>
      </c>
      <c r="AJ237" s="1356"/>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3.15"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56" t="s">
        <v>816</v>
      </c>
      <c r="AJ238" s="1356"/>
      <c r="AL238" s="2"/>
      <c r="AM238" s="2"/>
      <c r="AN238" s="2"/>
      <c r="AO238" s="2"/>
      <c r="AP238" s="2"/>
      <c r="AQ238" s="2"/>
      <c r="AR238" s="2"/>
      <c r="AS238" s="2"/>
      <c r="AT238" s="2"/>
      <c r="AU238" s="2"/>
      <c r="AV238" s="2"/>
      <c r="AW238" s="2"/>
      <c r="AX238" s="2"/>
      <c r="AY238" s="2"/>
      <c r="BA238" s="2"/>
      <c r="BB238" s="114" t="s">
        <v>1058</v>
      </c>
      <c r="BG238" s="144">
        <f>IF(AND(AND($M$258="for profit",$M$266="nonprofit",$M$274="(select one)")),2,0)</f>
        <v>0</v>
      </c>
    </row>
    <row r="239" spans="1:69" ht="13.1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3.15"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3.15" customHeight="1">
      <c r="D241" s="2" t="s">
        <v>1063</v>
      </c>
      <c r="E241" s="2"/>
      <c r="F241" s="2"/>
      <c r="G241" s="2"/>
      <c r="H241" s="2"/>
      <c r="I241" s="2"/>
      <c r="J241" s="2"/>
      <c r="K241" s="2"/>
      <c r="M241" s="1503" t="str">
        <f>H16</f>
        <v>1401 Long Beach, L.P.</v>
      </c>
      <c r="N241" s="1503"/>
      <c r="O241" s="1503"/>
      <c r="P241" s="1503"/>
      <c r="Q241" s="1503"/>
      <c r="R241" s="1503"/>
      <c r="S241" s="1503"/>
      <c r="T241" s="1503"/>
      <c r="U241" s="1503"/>
      <c r="V241" s="1503"/>
      <c r="W241" s="1503"/>
      <c r="X241" s="1503"/>
      <c r="Y241" s="1503"/>
      <c r="Z241" s="1503"/>
      <c r="AA241" s="1503"/>
      <c r="AB241" s="1503"/>
      <c r="AC241" s="1503"/>
      <c r="AD241" s="1503"/>
      <c r="AE241" s="1503"/>
      <c r="AF241" s="1503"/>
      <c r="AG241" s="1503"/>
      <c r="AH241" s="1503"/>
      <c r="AI241" s="1503"/>
      <c r="AJ241" s="1503"/>
      <c r="AK241" s="1503"/>
      <c r="AZ241" s="2"/>
      <c r="BA241" s="2"/>
      <c r="BB241" s="115" t="s">
        <v>1058</v>
      </c>
      <c r="BG241" s="144">
        <f>IF(AND(AND($M$258="nonprofit",$M$266="nonprofit",$M$274="for profit")),2,0)</f>
        <v>0</v>
      </c>
    </row>
    <row r="242" spans="1:67" ht="13.15" customHeight="1">
      <c r="D242" s="2" t="s">
        <v>1064</v>
      </c>
      <c r="E242" s="2"/>
      <c r="F242" s="2"/>
      <c r="G242" s="2"/>
      <c r="H242" s="2"/>
      <c r="I242" s="2"/>
      <c r="J242" s="2"/>
      <c r="K242" s="2"/>
      <c r="M242" s="1477" t="s">
        <v>2647</v>
      </c>
      <c r="N242" s="1477"/>
      <c r="O242" s="1477"/>
      <c r="P242" s="1477"/>
      <c r="Q242" s="1477"/>
      <c r="R242" s="1477"/>
      <c r="S242" s="1477"/>
      <c r="T242" s="1477"/>
      <c r="U242" s="1477"/>
      <c r="V242" s="1477"/>
      <c r="W242" s="1477"/>
      <c r="X242" s="1477"/>
      <c r="Y242" s="1477"/>
      <c r="Z242" s="1477"/>
      <c r="AA242" s="1477"/>
      <c r="AB242" s="1477"/>
      <c r="AC242" s="1477"/>
      <c r="AD242" s="1477"/>
      <c r="AE242" s="1477"/>
      <c r="BB242" s="115" t="s">
        <v>1058</v>
      </c>
      <c r="BG242" s="144">
        <f>IF(AND(AND($M$258="nonprofit",$M$266="for profit",$M$274="nonprofit")),2,0)</f>
        <v>0</v>
      </c>
    </row>
    <row r="243" spans="1:67" ht="13.15" customHeight="1">
      <c r="D243" s="2" t="s">
        <v>931</v>
      </c>
      <c r="E243" s="2"/>
      <c r="M243" s="1477" t="s">
        <v>2648</v>
      </c>
      <c r="N243" s="1477"/>
      <c r="O243" s="1477"/>
      <c r="P243" s="1477"/>
      <c r="Q243" s="1477"/>
      <c r="R243" s="1477"/>
      <c r="S243" s="1477"/>
      <c r="T243" s="1477"/>
      <c r="V243" s="813" t="s">
        <v>1065</v>
      </c>
      <c r="W243" s="1339" t="s">
        <v>2649</v>
      </c>
      <c r="X243" s="1339"/>
      <c r="Y243" s="2" t="s">
        <v>935</v>
      </c>
      <c r="AC243" s="1477">
        <v>90230</v>
      </c>
      <c r="AD243" s="1477"/>
      <c r="AE243" s="1477"/>
      <c r="AU243" s="2"/>
      <c r="AV243" s="2"/>
      <c r="AW243" s="2"/>
      <c r="AX243" s="2"/>
      <c r="AY243" s="2"/>
      <c r="AZ243" s="2"/>
      <c r="BB243" s="115" t="s">
        <v>1058</v>
      </c>
      <c r="BG243" s="143">
        <f>IF(AND(AND($M$258="for profit",$M$266="nonprofit",$M$274="nonprofit")),2,0)</f>
        <v>0</v>
      </c>
    </row>
    <row r="244" spans="1:67" ht="13.15" customHeight="1">
      <c r="D244" s="2" t="s">
        <v>1066</v>
      </c>
      <c r="E244" s="2"/>
      <c r="F244" s="2"/>
      <c r="G244" s="2"/>
      <c r="H244" s="2"/>
      <c r="I244" s="2"/>
      <c r="J244" s="2"/>
      <c r="K244" s="1163"/>
      <c r="M244" s="1477" t="s">
        <v>2651</v>
      </c>
      <c r="N244" s="1477"/>
      <c r="O244" s="1477"/>
      <c r="P244" s="1477"/>
      <c r="Q244" s="1477"/>
      <c r="R244" s="1477"/>
      <c r="S244" s="1477"/>
      <c r="T244" s="1477"/>
      <c r="U244" s="1477"/>
      <c r="V244" s="1477"/>
      <c r="W244" s="1477"/>
      <c r="X244" s="1477"/>
      <c r="Y244" s="1477"/>
      <c r="Z244" s="1477"/>
      <c r="AA244" s="1477"/>
      <c r="AB244" s="1477"/>
      <c r="AC244" s="1477"/>
      <c r="AD244" s="1477"/>
      <c r="AE244" s="1477"/>
      <c r="AI244" s="2"/>
      <c r="AJ244" s="2"/>
      <c r="AK244" s="2"/>
      <c r="AL244" s="2"/>
      <c r="AM244" s="2"/>
      <c r="AN244" s="2"/>
      <c r="AO244" s="2"/>
      <c r="AP244" s="2"/>
      <c r="AQ244" s="2"/>
      <c r="AR244" s="2"/>
      <c r="AS244" s="2"/>
      <c r="AT244" s="2"/>
      <c r="BB244" s="115"/>
      <c r="BG244" s="114"/>
    </row>
    <row r="245" spans="1:67" ht="13.15" customHeight="1">
      <c r="D245" s="2" t="s">
        <v>1067</v>
      </c>
      <c r="E245" s="2"/>
      <c r="F245" s="2"/>
      <c r="M245" s="1338" t="s">
        <v>2650</v>
      </c>
      <c r="N245" s="1338"/>
      <c r="O245" s="1338"/>
      <c r="P245" s="1338"/>
      <c r="Q245" s="1338"/>
      <c r="R245" s="1338"/>
      <c r="S245" s="2" t="s">
        <v>1068</v>
      </c>
      <c r="T245" s="2"/>
      <c r="U245" s="1339"/>
      <c r="V245" s="1339"/>
      <c r="W245" s="1339"/>
      <c r="X245" s="2" t="s">
        <v>1069</v>
      </c>
      <c r="Z245" s="1338"/>
      <c r="AA245" s="1338"/>
      <c r="AB245" s="1338"/>
      <c r="AC245" s="1338"/>
      <c r="AD245" s="1338"/>
      <c r="AE245" s="1338"/>
      <c r="AU245" s="2"/>
      <c r="AV245" s="2"/>
      <c r="AW245" s="2"/>
      <c r="AX245" s="2"/>
      <c r="AY245" s="2"/>
      <c r="AZ245" s="2"/>
      <c r="BB245" s="114" t="s">
        <v>1070</v>
      </c>
      <c r="BG245" s="144">
        <f>IF(AND(AND($M$258="nonprofit",$M$266="nonprofit",$M$274="(select one)")),1,0)</f>
        <v>0</v>
      </c>
    </row>
    <row r="246" spans="1:67" ht="13.15" customHeight="1">
      <c r="D246" s="2" t="s">
        <v>1071</v>
      </c>
      <c r="E246" s="2"/>
      <c r="F246" s="2"/>
      <c r="M246" s="1484" t="s">
        <v>2652</v>
      </c>
      <c r="N246" s="1484"/>
      <c r="O246" s="1484"/>
      <c r="P246" s="1484"/>
      <c r="Q246" s="1484"/>
      <c r="R246" s="1484"/>
      <c r="S246" s="1484"/>
      <c r="T246" s="1484"/>
      <c r="U246" s="1484"/>
      <c r="V246" s="1484"/>
      <c r="W246" s="1484"/>
      <c r="X246" s="1484"/>
      <c r="Y246" s="1484"/>
      <c r="Z246" s="1484"/>
      <c r="AA246" s="1484"/>
      <c r="AB246" s="1484"/>
      <c r="AC246" s="1484"/>
      <c r="AD246" s="1484"/>
      <c r="AE246" s="1484"/>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3.15" customHeight="1">
      <c r="A247" s="1" t="s">
        <v>989</v>
      </c>
      <c r="C247" s="1" t="s">
        <v>1072</v>
      </c>
      <c r="M247" s="1360" t="s">
        <v>1043</v>
      </c>
      <c r="N247" s="1360"/>
      <c r="O247" s="1360"/>
      <c r="P247" s="1360"/>
      <c r="Q247" s="1360"/>
      <c r="R247" s="1360"/>
      <c r="S247" s="1360"/>
      <c r="T247" s="1360"/>
      <c r="U247" s="114" t="s">
        <v>1073</v>
      </c>
      <c r="V247" s="114"/>
      <c r="W247" s="114"/>
      <c r="X247" s="114"/>
      <c r="Y247" s="114"/>
      <c r="Z247" s="114"/>
      <c r="AA247" s="1511" t="s">
        <v>2653</v>
      </c>
      <c r="AB247" s="1511"/>
      <c r="AC247" s="1511"/>
      <c r="AD247" s="1511"/>
      <c r="AE247" s="1511"/>
      <c r="AF247" s="1511"/>
      <c r="AG247" s="1511"/>
      <c r="AH247" s="1511"/>
      <c r="AI247" s="1511"/>
      <c r="AJ247" s="1511"/>
      <c r="AK247" s="1511"/>
      <c r="AL247" s="2"/>
      <c r="AM247" s="2"/>
      <c r="AN247" s="2"/>
      <c r="AO247" s="2"/>
      <c r="AP247" s="2"/>
      <c r="AQ247" s="2"/>
      <c r="AR247" s="2"/>
      <c r="AS247" s="2"/>
      <c r="AT247" s="2"/>
      <c r="AU247" s="2"/>
      <c r="AV247" s="2"/>
      <c r="AW247" s="2"/>
      <c r="AX247" s="2"/>
      <c r="AY247" s="2"/>
      <c r="BB247" s="114" t="s">
        <v>1070</v>
      </c>
      <c r="BG247" s="144">
        <f>IF(AND(AND($M$258="nonprofit",$M$266="(select one)",$M$274="(select one)")),1,0)</f>
        <v>1</v>
      </c>
    </row>
    <row r="248" spans="1:67" ht="13.15" customHeight="1">
      <c r="D248" t="s">
        <v>1074</v>
      </c>
      <c r="M248" s="1399"/>
      <c r="N248" s="1399"/>
      <c r="O248" s="1399"/>
      <c r="P248" s="1399"/>
      <c r="Q248" s="1399"/>
      <c r="R248" s="1399"/>
      <c r="S248" s="1399"/>
      <c r="T248" s="1399"/>
      <c r="U248" s="1399"/>
      <c r="V248" s="1399"/>
      <c r="W248" s="1399"/>
      <c r="X248" s="1399"/>
      <c r="Y248" s="1399"/>
      <c r="Z248" s="1399"/>
      <c r="AA248" s="1399"/>
      <c r="AB248" s="1399"/>
      <c r="AC248" s="1399"/>
      <c r="AD248" s="1399"/>
      <c r="AE248" s="1399"/>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3.15" customHeight="1">
      <c r="D249" s="2"/>
      <c r="BB249" s="114" t="s">
        <v>1075</v>
      </c>
      <c r="BG249" s="144">
        <f>IF(AND(AND($M$258="for profit",$M$266="for profit",$M$274="for profit")),3,0)</f>
        <v>0</v>
      </c>
    </row>
    <row r="250" spans="1:67" ht="13.15"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3.1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3.15" customHeight="1">
      <c r="A252" s="1163"/>
      <c r="B252" s="2"/>
      <c r="C252" s="37" t="s">
        <v>1077</v>
      </c>
      <c r="D252" s="2" t="s">
        <v>1078</v>
      </c>
      <c r="E252" s="2"/>
      <c r="F252" s="2"/>
      <c r="G252" s="2"/>
      <c r="H252" s="2"/>
      <c r="I252" s="2"/>
      <c r="J252" s="2"/>
      <c r="K252" s="2"/>
      <c r="L252" s="2"/>
      <c r="M252" s="1489" t="s">
        <v>2654</v>
      </c>
      <c r="N252" s="1489"/>
      <c r="O252" s="1489"/>
      <c r="P252" s="1489"/>
      <c r="Q252" s="1489"/>
      <c r="R252" s="1489"/>
      <c r="S252" s="1489"/>
      <c r="T252" s="1489"/>
      <c r="U252" s="1489"/>
      <c r="V252" s="1489"/>
      <c r="W252" s="1489"/>
      <c r="X252" s="1489"/>
      <c r="Y252" s="1489"/>
      <c r="Z252" s="1489"/>
      <c r="AA252" s="1489"/>
      <c r="AB252" s="1489"/>
      <c r="AC252" s="1489"/>
      <c r="AD252" s="1489"/>
      <c r="AE252" s="1489"/>
      <c r="AF252" s="1489" t="s">
        <v>2655</v>
      </c>
      <c r="AG252" s="1489"/>
      <c r="AH252" s="1489"/>
      <c r="AI252" s="1489"/>
      <c r="AJ252" s="1489"/>
      <c r="AK252" s="1489"/>
      <c r="AU252" s="2"/>
      <c r="AV252" s="2"/>
      <c r="AW252" s="2"/>
      <c r="AX252" s="2"/>
      <c r="AY252" s="2"/>
      <c r="BG252">
        <f>SUM(BG235:BG250)</f>
        <v>1</v>
      </c>
    </row>
    <row r="253" spans="1:67" ht="13.15" customHeight="1">
      <c r="A253" s="1163"/>
      <c r="B253" s="2"/>
      <c r="C253" s="2"/>
      <c r="D253" s="2" t="s">
        <v>1064</v>
      </c>
      <c r="E253" s="2"/>
      <c r="F253" s="2"/>
      <c r="G253" s="2"/>
      <c r="H253" s="2"/>
      <c r="I253" s="2"/>
      <c r="J253" s="2"/>
      <c r="K253" s="2"/>
      <c r="L253" s="2"/>
      <c r="M253" s="1477" t="s">
        <v>2647</v>
      </c>
      <c r="N253" s="1477"/>
      <c r="O253" s="1477"/>
      <c r="P253" s="1477"/>
      <c r="Q253" s="1477"/>
      <c r="R253" s="1477"/>
      <c r="S253" s="1477"/>
      <c r="T253" s="1477"/>
      <c r="U253" s="1477"/>
      <c r="V253" s="1477"/>
      <c r="W253" s="1477"/>
      <c r="X253" s="1477"/>
      <c r="Y253" s="1477"/>
      <c r="Z253" s="1477"/>
      <c r="AA253" s="1477"/>
      <c r="AB253" s="1477"/>
      <c r="AC253" s="1477"/>
      <c r="AD253" s="1477"/>
      <c r="AE253" s="1477"/>
      <c r="AF253" s="2" t="s">
        <v>1079</v>
      </c>
      <c r="AL253" s="2"/>
      <c r="AM253" s="2"/>
      <c r="AN253" s="2"/>
      <c r="AO253" s="2"/>
      <c r="AP253" s="2"/>
      <c r="AQ253" s="2"/>
      <c r="AR253" s="2"/>
      <c r="AS253" s="2"/>
      <c r="AT253" s="2"/>
      <c r="BB253" t="s">
        <v>311</v>
      </c>
      <c r="BG253">
        <v>1</v>
      </c>
      <c r="BH253" t="s">
        <v>1080</v>
      </c>
    </row>
    <row r="254" spans="1:67" ht="13.15" customHeight="1">
      <c r="A254" s="1163"/>
      <c r="B254" s="2"/>
      <c r="C254" s="2"/>
      <c r="D254" s="2" t="s">
        <v>931</v>
      </c>
      <c r="E254" s="2"/>
      <c r="M254" s="1477" t="s">
        <v>2648</v>
      </c>
      <c r="N254" s="1477"/>
      <c r="O254" s="1477"/>
      <c r="P254" s="1477"/>
      <c r="Q254" s="1477"/>
      <c r="R254" s="1477"/>
      <c r="S254" s="1477"/>
      <c r="T254" s="1477"/>
      <c r="V254" s="813" t="s">
        <v>1065</v>
      </c>
      <c r="W254" s="1339" t="s">
        <v>2649</v>
      </c>
      <c r="X254" s="1339"/>
      <c r="Y254" s="2" t="s">
        <v>935</v>
      </c>
      <c r="AC254" s="1477">
        <v>90230</v>
      </c>
      <c r="AD254" s="1477"/>
      <c r="AE254" s="1477"/>
      <c r="AF254" s="2" t="s">
        <v>1081</v>
      </c>
      <c r="AU254" s="2"/>
      <c r="AV254" s="2"/>
      <c r="AW254" s="2"/>
      <c r="AX254" s="2"/>
      <c r="AY254" s="2"/>
      <c r="BB254" s="2" t="s">
        <v>1082</v>
      </c>
      <c r="BG254">
        <v>2</v>
      </c>
      <c r="BH254" t="s">
        <v>1041</v>
      </c>
      <c r="BO254" s="1164" t="str">
        <f>VLOOKUP(BG252,BG253:BH256,2,FALSE)</f>
        <v>Nonprofit</v>
      </c>
    </row>
    <row r="255" spans="1:67" ht="13.15" customHeight="1">
      <c r="A255" s="1163"/>
      <c r="B255" s="2"/>
      <c r="C255" s="2"/>
      <c r="D255" s="2" t="s">
        <v>1066</v>
      </c>
      <c r="E255" s="2"/>
      <c r="F255" s="2"/>
      <c r="G255" s="2"/>
      <c r="H255" s="2"/>
      <c r="I255" s="2"/>
      <c r="J255" s="2"/>
      <c r="K255" s="2"/>
      <c r="L255" s="1163"/>
      <c r="M255" s="1477" t="s">
        <v>2651</v>
      </c>
      <c r="N255" s="1477"/>
      <c r="O255" s="1477"/>
      <c r="P255" s="1477"/>
      <c r="Q255" s="1477"/>
      <c r="R255" s="1477"/>
      <c r="S255" s="1477"/>
      <c r="T255" s="1477"/>
      <c r="U255" s="1477"/>
      <c r="V255" s="1477"/>
      <c r="W255" s="1477"/>
      <c r="X255" s="1477"/>
      <c r="Y255" s="1477"/>
      <c r="Z255" s="1477"/>
      <c r="AA255" s="1477"/>
      <c r="AB255" s="1477"/>
      <c r="AC255" s="1477"/>
      <c r="AD255" s="1477"/>
      <c r="AE255" s="1477"/>
      <c r="AH255" s="1506">
        <v>0.01</v>
      </c>
      <c r="AI255" s="1506"/>
      <c r="AJ255" s="1506"/>
      <c r="AK255" s="1506"/>
      <c r="AL255" s="2"/>
      <c r="AM255" s="2"/>
      <c r="AN255" s="2"/>
      <c r="AO255" s="2"/>
      <c r="AP255" s="2"/>
      <c r="AQ255" s="2"/>
      <c r="AR255" s="2"/>
      <c r="AS255" s="2"/>
      <c r="AT255" s="2"/>
      <c r="BB255" s="2" t="s">
        <v>1083</v>
      </c>
      <c r="BG255">
        <v>3</v>
      </c>
      <c r="BH255" t="s">
        <v>1084</v>
      </c>
      <c r="BN255" s="2"/>
    </row>
    <row r="256" spans="1:67" ht="13.15" customHeight="1">
      <c r="A256" s="1163"/>
      <c r="B256" s="2"/>
      <c r="C256" s="2"/>
      <c r="D256" s="2" t="s">
        <v>1067</v>
      </c>
      <c r="E256" s="2"/>
      <c r="F256" s="2"/>
      <c r="M256" s="1338" t="s">
        <v>2650</v>
      </c>
      <c r="N256" s="1338"/>
      <c r="O256" s="1338"/>
      <c r="P256" s="1338"/>
      <c r="Q256" s="1338"/>
      <c r="R256" s="1338"/>
      <c r="S256" s="2" t="s">
        <v>1068</v>
      </c>
      <c r="T256" s="2"/>
      <c r="U256" s="1339"/>
      <c r="V256" s="1339"/>
      <c r="W256" s="1339"/>
      <c r="X256" s="2" t="s">
        <v>1069</v>
      </c>
      <c r="Z256" s="1338"/>
      <c r="AA256" s="1338"/>
      <c r="AB256" s="1338"/>
      <c r="AC256" s="1338"/>
      <c r="AD256" s="1338"/>
      <c r="AE256" s="1338"/>
      <c r="AU256" s="2"/>
      <c r="AV256" s="2"/>
      <c r="AW256" s="2"/>
      <c r="AX256" s="2"/>
      <c r="AY256" s="2"/>
      <c r="BG256">
        <v>0</v>
      </c>
      <c r="BH256" s="2" t="str">
        <f>""</f>
        <v/>
      </c>
      <c r="BN256" s="2"/>
    </row>
    <row r="257" spans="1:66" ht="13.15" customHeight="1">
      <c r="A257" s="1163"/>
      <c r="B257" s="2"/>
      <c r="C257" s="2"/>
      <c r="D257" s="2" t="s">
        <v>1071</v>
      </c>
      <c r="E257" s="2"/>
      <c r="F257" s="2"/>
      <c r="M257" s="1484" t="s">
        <v>2652</v>
      </c>
      <c r="N257" s="1484"/>
      <c r="O257" s="1484"/>
      <c r="P257" s="1484"/>
      <c r="Q257" s="1484"/>
      <c r="R257" s="1484"/>
      <c r="S257" s="1484"/>
      <c r="T257" s="1484"/>
      <c r="U257" s="1484"/>
      <c r="V257" s="1484"/>
      <c r="W257" s="1484"/>
      <c r="X257" s="1484"/>
      <c r="Y257" s="1484"/>
      <c r="Z257" s="1484"/>
      <c r="AA257" s="1484"/>
      <c r="AB257" s="1484"/>
      <c r="AC257" s="1484"/>
      <c r="AD257" s="1484"/>
      <c r="AE257" s="1484"/>
      <c r="AG257" s="2"/>
      <c r="AH257" s="2"/>
      <c r="AI257" s="2"/>
      <c r="AJ257" s="2"/>
      <c r="AK257" s="2"/>
      <c r="AL257" s="2"/>
      <c r="AM257" s="2"/>
      <c r="AN257" s="2"/>
      <c r="AO257" s="2"/>
      <c r="AP257" s="2"/>
      <c r="AQ257" s="2"/>
      <c r="AR257" s="2"/>
      <c r="AS257" s="2"/>
      <c r="AT257" s="2"/>
      <c r="BN257" s="2"/>
    </row>
    <row r="258" spans="1:66" ht="13.15" customHeight="1">
      <c r="A258" s="1109"/>
      <c r="B258" s="2"/>
      <c r="C258" s="37"/>
      <c r="D258" s="2" t="s">
        <v>1085</v>
      </c>
      <c r="E258" s="2"/>
      <c r="F258" s="2"/>
      <c r="G258" s="2"/>
      <c r="H258" s="2"/>
      <c r="I258" s="2"/>
      <c r="J258" s="2"/>
      <c r="K258" s="2"/>
      <c r="L258" s="2"/>
      <c r="M258" s="1360" t="s">
        <v>1080</v>
      </c>
      <c r="N258" s="1360"/>
      <c r="O258" s="1360"/>
      <c r="P258" s="1360"/>
      <c r="Q258" s="1360"/>
      <c r="R258" s="1360"/>
      <c r="S258" s="1360"/>
      <c r="T258" s="1360"/>
      <c r="U258" s="114" t="s">
        <v>1073</v>
      </c>
      <c r="V258" s="114"/>
      <c r="W258" s="114"/>
      <c r="X258" s="114"/>
      <c r="Y258" s="114"/>
      <c r="Z258" s="114"/>
      <c r="AA258" s="1511" t="s">
        <v>2653</v>
      </c>
      <c r="AB258" s="1511"/>
      <c r="AC258" s="1511"/>
      <c r="AD258" s="1511"/>
      <c r="AE258" s="1511"/>
      <c r="AF258" s="1511"/>
      <c r="AG258" s="1511"/>
      <c r="AH258" s="1511"/>
      <c r="AI258" s="1511"/>
      <c r="AJ258" s="1511"/>
      <c r="AK258" s="1511"/>
      <c r="BN258" s="2"/>
    </row>
    <row r="259" spans="1:66" ht="13.15" customHeight="1">
      <c r="A259" s="1163"/>
      <c r="B259" s="2"/>
      <c r="C259" s="2"/>
      <c r="D259" s="2"/>
      <c r="E259" s="2"/>
      <c r="F259" s="2"/>
      <c r="G259" s="2"/>
      <c r="H259" s="2"/>
      <c r="I259" s="2"/>
      <c r="J259" s="2"/>
      <c r="K259" s="2"/>
      <c r="L259" s="2"/>
      <c r="AG259" s="2"/>
      <c r="AH259" s="2"/>
      <c r="AI259" s="2"/>
      <c r="AJ259" s="2"/>
      <c r="BN259" s="2"/>
    </row>
    <row r="260" spans="1:66" ht="13.15" customHeight="1">
      <c r="A260" s="1"/>
      <c r="B260" s="2"/>
      <c r="C260" s="37" t="s">
        <v>1086</v>
      </c>
      <c r="D260" s="2" t="s">
        <v>1087</v>
      </c>
      <c r="E260" s="2"/>
      <c r="F260" s="2"/>
      <c r="G260" s="2"/>
      <c r="H260" s="2"/>
      <c r="I260" s="2"/>
      <c r="J260" s="2"/>
      <c r="K260" s="2"/>
      <c r="L260" s="2"/>
      <c r="M260" s="1489"/>
      <c r="N260" s="1489"/>
      <c r="O260" s="1489"/>
      <c r="P260" s="1489"/>
      <c r="Q260" s="1489"/>
      <c r="R260" s="1489"/>
      <c r="S260" s="1489"/>
      <c r="T260" s="1489"/>
      <c r="U260" s="1489"/>
      <c r="V260" s="1489"/>
      <c r="W260" s="1489"/>
      <c r="X260" s="1489"/>
      <c r="Y260" s="1489"/>
      <c r="Z260" s="1489"/>
      <c r="AA260" s="1489"/>
      <c r="AB260" s="1489"/>
      <c r="AC260" s="1489"/>
      <c r="AD260" s="1489"/>
      <c r="AE260" s="1489"/>
      <c r="AF260" s="1489" t="s">
        <v>311</v>
      </c>
      <c r="AG260" s="1489"/>
      <c r="AH260" s="1489"/>
      <c r="AI260" s="1489"/>
      <c r="AJ260" s="1489"/>
      <c r="AK260" s="1489"/>
      <c r="AU260" s="2"/>
      <c r="AV260" s="2"/>
      <c r="AW260" s="2"/>
      <c r="AX260" s="2"/>
      <c r="AY260" s="2"/>
      <c r="BN260" s="2"/>
    </row>
    <row r="261" spans="1:66" ht="13.15" customHeight="1">
      <c r="A261" s="1163"/>
      <c r="B261" s="2"/>
      <c r="C261" s="2"/>
      <c r="D261" s="2" t="s">
        <v>1064</v>
      </c>
      <c r="E261" s="2"/>
      <c r="F261" s="2"/>
      <c r="G261" s="2"/>
      <c r="H261" s="2"/>
      <c r="I261" s="2"/>
      <c r="J261" s="2"/>
      <c r="K261" s="2"/>
      <c r="L261" s="2"/>
      <c r="M261" s="1477"/>
      <c r="N261" s="1477"/>
      <c r="O261" s="1477"/>
      <c r="P261" s="1477"/>
      <c r="Q261" s="1477"/>
      <c r="R261" s="1477"/>
      <c r="S261" s="1477"/>
      <c r="T261" s="1477"/>
      <c r="U261" s="1477"/>
      <c r="V261" s="1477"/>
      <c r="W261" s="1477"/>
      <c r="X261" s="1477"/>
      <c r="Y261" s="1477"/>
      <c r="Z261" s="1477"/>
      <c r="AA261" s="1477"/>
      <c r="AB261" s="1477"/>
      <c r="AC261" s="1477"/>
      <c r="AD261" s="1477"/>
      <c r="AE261" s="1477"/>
      <c r="AF261" s="2" t="s">
        <v>1079</v>
      </c>
      <c r="AL261" s="2"/>
      <c r="AM261" s="2"/>
      <c r="AN261" s="2"/>
      <c r="AO261" s="2"/>
      <c r="AP261" s="2"/>
      <c r="AQ261" s="2"/>
      <c r="AR261" s="2"/>
      <c r="AS261" s="2"/>
      <c r="AT261" s="2"/>
      <c r="BN261" s="2"/>
    </row>
    <row r="262" spans="1:66" ht="13.15" customHeight="1">
      <c r="A262" s="1163"/>
      <c r="B262" s="2"/>
      <c r="C262" s="2"/>
      <c r="D262" s="2" t="s">
        <v>931</v>
      </c>
      <c r="E262" s="2"/>
      <c r="M262" s="1477"/>
      <c r="N262" s="1477"/>
      <c r="O262" s="1477"/>
      <c r="P262" s="1477"/>
      <c r="Q262" s="1477"/>
      <c r="R262" s="1477"/>
      <c r="S262" s="1477"/>
      <c r="T262" s="1477"/>
      <c r="V262" s="813" t="s">
        <v>1065</v>
      </c>
      <c r="W262" s="1339"/>
      <c r="X262" s="1339"/>
      <c r="Y262" s="2" t="s">
        <v>935</v>
      </c>
      <c r="AC262" s="1477"/>
      <c r="AD262" s="1477"/>
      <c r="AE262" s="1477"/>
      <c r="AF262" s="2" t="s">
        <v>1081</v>
      </c>
      <c r="AU262" s="2"/>
      <c r="AV262" s="2"/>
      <c r="AW262" s="2"/>
      <c r="AX262" s="2"/>
      <c r="AY262" s="2"/>
      <c r="BN262" s="2"/>
    </row>
    <row r="263" spans="1:66" ht="13.15" customHeight="1">
      <c r="A263" s="1163"/>
      <c r="B263" s="2"/>
      <c r="C263" s="2"/>
      <c r="D263" s="2" t="s">
        <v>1066</v>
      </c>
      <c r="E263" s="2"/>
      <c r="F263" s="2"/>
      <c r="G263" s="2"/>
      <c r="H263" s="2"/>
      <c r="I263" s="2"/>
      <c r="J263" s="2"/>
      <c r="K263" s="2"/>
      <c r="L263" s="1163"/>
      <c r="M263" s="1477"/>
      <c r="N263" s="1477"/>
      <c r="O263" s="1477"/>
      <c r="P263" s="1477"/>
      <c r="Q263" s="1477"/>
      <c r="R263" s="1477"/>
      <c r="S263" s="1477"/>
      <c r="T263" s="1477"/>
      <c r="U263" s="1477"/>
      <c r="V263" s="1477"/>
      <c r="W263" s="1477"/>
      <c r="X263" s="1477"/>
      <c r="Y263" s="1477"/>
      <c r="Z263" s="1477"/>
      <c r="AA263" s="1477"/>
      <c r="AB263" s="1477"/>
      <c r="AC263" s="1477"/>
      <c r="AD263" s="1477"/>
      <c r="AE263" s="1477"/>
      <c r="AH263" s="1506"/>
      <c r="AI263" s="1506"/>
      <c r="AJ263" s="1506"/>
      <c r="AK263" s="1506"/>
      <c r="AL263" s="2"/>
      <c r="AM263" s="2"/>
      <c r="AN263" s="2"/>
      <c r="AO263" s="2"/>
      <c r="AP263" s="2"/>
      <c r="AQ263" s="2"/>
      <c r="AR263" s="2"/>
      <c r="AS263" s="2"/>
      <c r="AT263" s="2"/>
    </row>
    <row r="264" spans="1:66" ht="13.15" customHeight="1">
      <c r="A264" s="1163"/>
      <c r="B264" s="2"/>
      <c r="C264" s="2"/>
      <c r="D264" s="2" t="s">
        <v>1067</v>
      </c>
      <c r="E264" s="2"/>
      <c r="F264" s="2"/>
      <c r="M264" s="1338"/>
      <c r="N264" s="1338"/>
      <c r="O264" s="1338"/>
      <c r="P264" s="1338"/>
      <c r="Q264" s="1338"/>
      <c r="R264" s="1338"/>
      <c r="S264" s="2" t="s">
        <v>1068</v>
      </c>
      <c r="T264" s="2"/>
      <c r="U264" s="1339"/>
      <c r="V264" s="1339"/>
      <c r="W264" s="1339"/>
      <c r="X264" s="2" t="s">
        <v>1069</v>
      </c>
      <c r="Z264" s="1338"/>
      <c r="AA264" s="1338"/>
      <c r="AB264" s="1338"/>
      <c r="AC264" s="1338"/>
      <c r="AD264" s="1338"/>
      <c r="AE264" s="1338"/>
      <c r="AU264" s="2"/>
      <c r="AV264" s="2"/>
      <c r="AW264" s="2"/>
      <c r="AX264" s="2"/>
      <c r="AY264" s="2"/>
      <c r="BN264" s="2"/>
    </row>
    <row r="265" spans="1:66" ht="13.15" customHeight="1">
      <c r="A265" s="1163"/>
      <c r="B265" s="2"/>
      <c r="C265" s="2"/>
      <c r="D265" s="2" t="s">
        <v>1071</v>
      </c>
      <c r="E265" s="2"/>
      <c r="F265" s="2"/>
      <c r="M265" s="1484"/>
      <c r="N265" s="1484"/>
      <c r="O265" s="1484"/>
      <c r="P265" s="1484"/>
      <c r="Q265" s="1484"/>
      <c r="R265" s="1484"/>
      <c r="S265" s="1484"/>
      <c r="T265" s="1484"/>
      <c r="U265" s="1484"/>
      <c r="V265" s="1484"/>
      <c r="W265" s="1484"/>
      <c r="X265" s="1484"/>
      <c r="Y265" s="1484"/>
      <c r="Z265" s="1484"/>
      <c r="AA265" s="1484"/>
      <c r="AB265" s="1484"/>
      <c r="AC265" s="1484"/>
      <c r="AD265" s="1484"/>
      <c r="AE265" s="1484"/>
      <c r="AG265" s="2"/>
      <c r="AH265" s="2"/>
      <c r="AI265" s="2"/>
      <c r="AJ265" s="2"/>
      <c r="AK265" s="2"/>
      <c r="AL265" s="2"/>
      <c r="AM265" s="2"/>
      <c r="AN265" s="2"/>
      <c r="AO265" s="2"/>
      <c r="AP265" s="2"/>
      <c r="AQ265" s="2"/>
      <c r="AR265" s="2"/>
      <c r="AS265" s="2"/>
      <c r="AT265" s="2"/>
      <c r="AU265" s="2"/>
      <c r="AV265" s="2"/>
      <c r="AW265" s="2"/>
      <c r="AX265" s="2"/>
      <c r="AY265" s="2"/>
      <c r="BN265" s="2"/>
    </row>
    <row r="266" spans="1:66" ht="13.15" customHeight="1">
      <c r="A266" s="1109"/>
      <c r="B266" s="2"/>
      <c r="C266" s="37"/>
      <c r="D266" s="2" t="s">
        <v>1085</v>
      </c>
      <c r="E266" s="2"/>
      <c r="F266" s="2"/>
      <c r="G266" s="2"/>
      <c r="H266" s="2"/>
      <c r="I266" s="2"/>
      <c r="J266" s="2"/>
      <c r="K266" s="2"/>
      <c r="L266" s="2"/>
      <c r="M266" s="1360" t="s">
        <v>311</v>
      </c>
      <c r="N266" s="1360"/>
      <c r="O266" s="1360"/>
      <c r="P266" s="1360"/>
      <c r="Q266" s="1360"/>
      <c r="R266" s="1360"/>
      <c r="S266" s="1360"/>
      <c r="T266" s="1360"/>
      <c r="U266" s="114" t="s">
        <v>1073</v>
      </c>
      <c r="V266" s="114"/>
      <c r="W266" s="114"/>
      <c r="X266" s="114"/>
      <c r="Y266" s="114"/>
      <c r="Z266" s="114"/>
      <c r="AA266" s="1511"/>
      <c r="AB266" s="1511"/>
      <c r="AC266" s="1511"/>
      <c r="AD266" s="1511"/>
      <c r="AE266" s="1511"/>
      <c r="AF266" s="1511"/>
      <c r="AG266" s="1511"/>
      <c r="AH266" s="1511"/>
      <c r="AI266" s="1511"/>
      <c r="AJ266" s="1511"/>
      <c r="AK266" s="1511"/>
      <c r="AL266" s="2"/>
      <c r="AM266" s="2"/>
      <c r="AN266" s="2"/>
      <c r="AO266" s="2"/>
      <c r="AP266" s="2"/>
      <c r="AQ266" s="2"/>
      <c r="AR266" s="2"/>
      <c r="AS266" s="2"/>
      <c r="AT266" s="2"/>
      <c r="AU266" s="2"/>
      <c r="AV266" s="2"/>
      <c r="AW266" s="2"/>
      <c r="AX266" s="2"/>
      <c r="AY266" s="2"/>
    </row>
    <row r="267" spans="1:66" ht="13.15" customHeight="1">
      <c r="A267" s="1109"/>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3.15" customHeight="1">
      <c r="A268" s="1109"/>
      <c r="B268" s="2"/>
      <c r="C268" s="37" t="s">
        <v>1088</v>
      </c>
      <c r="D268" s="2" t="s">
        <v>1078</v>
      </c>
      <c r="E268" s="2"/>
      <c r="F268" s="2"/>
      <c r="G268" s="2"/>
      <c r="H268" s="2"/>
      <c r="I268" s="2"/>
      <c r="J268" s="2"/>
      <c r="K268" s="2"/>
      <c r="L268" s="2"/>
      <c r="M268" s="1489"/>
      <c r="N268" s="1489"/>
      <c r="O268" s="1489"/>
      <c r="P268" s="1489"/>
      <c r="Q268" s="1489"/>
      <c r="R268" s="1489"/>
      <c r="S268" s="1489"/>
      <c r="T268" s="1489"/>
      <c r="U268" s="1489"/>
      <c r="V268" s="1489"/>
      <c r="W268" s="1489"/>
      <c r="X268" s="1489"/>
      <c r="Y268" s="1489"/>
      <c r="Z268" s="1489"/>
      <c r="AA268" s="1489"/>
      <c r="AB268" s="1489"/>
      <c r="AC268" s="1489"/>
      <c r="AD268" s="1489"/>
      <c r="AE268" s="1489"/>
      <c r="AF268" s="1489" t="s">
        <v>311</v>
      </c>
      <c r="AG268" s="1489"/>
      <c r="AH268" s="1489"/>
      <c r="AI268" s="1489"/>
      <c r="AJ268" s="1489"/>
      <c r="AK268" s="1489"/>
      <c r="AL268" s="2"/>
      <c r="AM268" s="2"/>
      <c r="AN268" s="2"/>
      <c r="AO268" s="2"/>
      <c r="AP268" s="2"/>
      <c r="AQ268" s="2"/>
      <c r="AR268" s="2"/>
      <c r="AS268" s="2"/>
      <c r="AT268" s="2"/>
      <c r="AU268" s="2"/>
      <c r="AV268" s="2"/>
      <c r="AW268" s="2"/>
      <c r="AX268" s="2"/>
      <c r="AY268" s="2"/>
    </row>
    <row r="269" spans="1:66" ht="13.15" customHeight="1">
      <c r="A269" s="1109"/>
      <c r="B269" s="2"/>
      <c r="C269" s="2"/>
      <c r="D269" s="2" t="s">
        <v>1064</v>
      </c>
      <c r="E269" s="2"/>
      <c r="F269" s="2"/>
      <c r="G269" s="2"/>
      <c r="H269" s="2"/>
      <c r="I269" s="2"/>
      <c r="J269" s="2"/>
      <c r="K269" s="2"/>
      <c r="L269" s="2"/>
      <c r="M269" s="1477"/>
      <c r="N269" s="1477"/>
      <c r="O269" s="1477"/>
      <c r="P269" s="1477"/>
      <c r="Q269" s="1477"/>
      <c r="R269" s="1477"/>
      <c r="S269" s="1477"/>
      <c r="T269" s="1477"/>
      <c r="U269" s="1477"/>
      <c r="V269" s="1477"/>
      <c r="W269" s="1477"/>
      <c r="X269" s="1477"/>
      <c r="Y269" s="1477"/>
      <c r="Z269" s="1477"/>
      <c r="AA269" s="1477"/>
      <c r="AB269" s="1477"/>
      <c r="AC269" s="1477"/>
      <c r="AD269" s="1477"/>
      <c r="AE269" s="1477"/>
      <c r="AF269" s="2" t="s">
        <v>1079</v>
      </c>
      <c r="AL269" s="2"/>
      <c r="AM269" s="2"/>
      <c r="AN269" s="2"/>
      <c r="AO269" s="2"/>
      <c r="AP269" s="2"/>
      <c r="AQ269" s="2"/>
      <c r="AR269" s="2"/>
      <c r="AS269" s="2"/>
      <c r="AT269" s="2"/>
      <c r="AU269" s="2"/>
      <c r="AV269" s="2"/>
      <c r="AW269" s="2"/>
      <c r="AX269" s="2"/>
      <c r="AY269" s="2"/>
    </row>
    <row r="270" spans="1:66" ht="13.15" customHeight="1">
      <c r="A270" s="1109"/>
      <c r="B270" s="2"/>
      <c r="C270" s="2"/>
      <c r="D270" s="2" t="s">
        <v>931</v>
      </c>
      <c r="E270" s="2"/>
      <c r="M270" s="1477"/>
      <c r="N270" s="1477"/>
      <c r="O270" s="1477"/>
      <c r="P270" s="1477"/>
      <c r="Q270" s="1477"/>
      <c r="R270" s="1477"/>
      <c r="S270" s="1477"/>
      <c r="T270" s="1477"/>
      <c r="V270" s="813" t="s">
        <v>1065</v>
      </c>
      <c r="W270" s="1339"/>
      <c r="X270" s="1339"/>
      <c r="Y270" s="2" t="s">
        <v>935</v>
      </c>
      <c r="AC270" s="1477"/>
      <c r="AD270" s="1477"/>
      <c r="AE270" s="1477"/>
      <c r="AF270" s="2" t="s">
        <v>1081</v>
      </c>
      <c r="AL270" s="2"/>
      <c r="AM270" s="2"/>
      <c r="AN270" s="2"/>
      <c r="AO270" s="2"/>
      <c r="AP270" s="2"/>
      <c r="AQ270" s="2"/>
      <c r="AR270" s="2"/>
      <c r="AS270" s="2"/>
      <c r="AT270" s="2"/>
      <c r="AU270" s="2"/>
      <c r="AV270" s="2"/>
      <c r="AW270" s="2"/>
      <c r="AX270" s="2"/>
      <c r="AY270" s="2"/>
    </row>
    <row r="271" spans="1:66" ht="13.15" customHeight="1">
      <c r="A271" s="1109"/>
      <c r="B271" s="2"/>
      <c r="C271" s="2"/>
      <c r="D271" s="2" t="s">
        <v>1066</v>
      </c>
      <c r="E271" s="2"/>
      <c r="F271" s="2"/>
      <c r="G271" s="2"/>
      <c r="H271" s="2"/>
      <c r="I271" s="2"/>
      <c r="J271" s="2"/>
      <c r="K271" s="2"/>
      <c r="L271" s="1163"/>
      <c r="M271" s="1477"/>
      <c r="N271" s="1477"/>
      <c r="O271" s="1477"/>
      <c r="P271" s="1477"/>
      <c r="Q271" s="1477"/>
      <c r="R271" s="1477"/>
      <c r="S271" s="1477"/>
      <c r="T271" s="1477"/>
      <c r="U271" s="1477"/>
      <c r="V271" s="1477"/>
      <c r="W271" s="1477"/>
      <c r="X271" s="1477"/>
      <c r="Y271" s="1477"/>
      <c r="Z271" s="1477"/>
      <c r="AA271" s="1477"/>
      <c r="AB271" s="1477"/>
      <c r="AC271" s="1477"/>
      <c r="AD271" s="1477"/>
      <c r="AE271" s="1477"/>
      <c r="AH271" s="1506"/>
      <c r="AI271" s="1506"/>
      <c r="AJ271" s="1506"/>
      <c r="AK271" s="1506"/>
      <c r="AL271" s="2"/>
      <c r="AM271" s="2"/>
      <c r="AN271" s="2"/>
      <c r="AO271" s="2"/>
      <c r="AP271" s="2"/>
      <c r="AQ271" s="2"/>
      <c r="AR271" s="2"/>
      <c r="AS271" s="2"/>
      <c r="AT271" s="2"/>
      <c r="AU271" s="2"/>
      <c r="AV271" s="2"/>
      <c r="AW271" s="2"/>
      <c r="AX271" s="2"/>
      <c r="AY271" s="2"/>
    </row>
    <row r="272" spans="1:66" ht="13.15" customHeight="1">
      <c r="A272" s="1109"/>
      <c r="B272" s="2"/>
      <c r="C272" s="2"/>
      <c r="D272" s="2" t="s">
        <v>1067</v>
      </c>
      <c r="E272" s="2"/>
      <c r="F272" s="2"/>
      <c r="M272" s="1338"/>
      <c r="N272" s="1338"/>
      <c r="O272" s="1338"/>
      <c r="P272" s="1338"/>
      <c r="Q272" s="1338"/>
      <c r="R272" s="1338"/>
      <c r="S272" s="2" t="s">
        <v>1068</v>
      </c>
      <c r="T272" s="2"/>
      <c r="U272" s="1339"/>
      <c r="V272" s="1339"/>
      <c r="W272" s="1339"/>
      <c r="X272" s="2" t="s">
        <v>1069</v>
      </c>
      <c r="Z272" s="1338"/>
      <c r="AA272" s="1338"/>
      <c r="AB272" s="1338"/>
      <c r="AC272" s="1338"/>
      <c r="AD272" s="1338"/>
      <c r="AE272" s="1338"/>
      <c r="AL272" s="2"/>
      <c r="AM272" s="2"/>
      <c r="AN272" s="2"/>
      <c r="AO272" s="2"/>
      <c r="AP272" s="2"/>
      <c r="AQ272" s="2"/>
      <c r="AR272" s="2"/>
      <c r="AS272" s="2"/>
      <c r="AT272" s="2"/>
      <c r="AU272" s="2"/>
      <c r="AV272" s="2"/>
      <c r="AW272" s="2"/>
      <c r="AX272" s="2"/>
      <c r="AY272" s="2"/>
    </row>
    <row r="273" spans="1:51" ht="13.15" customHeight="1">
      <c r="A273" s="1109"/>
      <c r="B273" s="2"/>
      <c r="C273" s="2"/>
      <c r="D273" s="2" t="s">
        <v>1071</v>
      </c>
      <c r="E273" s="2"/>
      <c r="F273" s="2"/>
      <c r="M273" s="1484"/>
      <c r="N273" s="1484"/>
      <c r="O273" s="1484"/>
      <c r="P273" s="1484"/>
      <c r="Q273" s="1484"/>
      <c r="R273" s="1484"/>
      <c r="S273" s="1484"/>
      <c r="T273" s="1484"/>
      <c r="U273" s="1484"/>
      <c r="V273" s="1484"/>
      <c r="W273" s="1484"/>
      <c r="X273" s="1484"/>
      <c r="Y273" s="1484"/>
      <c r="Z273" s="1484"/>
      <c r="AA273" s="1488"/>
      <c r="AB273" s="1488"/>
      <c r="AC273" s="1488"/>
      <c r="AD273" s="1488"/>
      <c r="AE273" s="1488"/>
      <c r="AG273" s="2"/>
      <c r="AH273" s="2"/>
      <c r="AI273" s="2"/>
      <c r="AJ273" s="2"/>
      <c r="AK273" s="2"/>
      <c r="AL273" s="2"/>
      <c r="AM273" s="2"/>
      <c r="AN273" s="2"/>
      <c r="AO273" s="2"/>
      <c r="AP273" s="2"/>
      <c r="AQ273" s="2"/>
      <c r="AR273" s="2"/>
      <c r="AS273" s="2"/>
      <c r="AT273" s="2"/>
      <c r="AU273" s="2"/>
      <c r="AV273" s="2"/>
      <c r="AW273" s="2"/>
      <c r="AX273" s="2"/>
      <c r="AY273" s="2"/>
    </row>
    <row r="274" spans="1:51" ht="13.15" customHeight="1">
      <c r="A274" s="1109"/>
      <c r="B274" s="2"/>
      <c r="C274" s="37"/>
      <c r="D274" s="2" t="s">
        <v>1085</v>
      </c>
      <c r="E274" s="2"/>
      <c r="F274" s="2"/>
      <c r="G274" s="2"/>
      <c r="H274" s="2"/>
      <c r="I274" s="2"/>
      <c r="J274" s="2"/>
      <c r="K274" s="2"/>
      <c r="L274" s="2"/>
      <c r="M274" s="1360" t="s">
        <v>311</v>
      </c>
      <c r="N274" s="1360"/>
      <c r="O274" s="1360"/>
      <c r="P274" s="1360"/>
      <c r="Q274" s="1360"/>
      <c r="R274" s="1360"/>
      <c r="S274" s="1360"/>
      <c r="T274" s="1360"/>
      <c r="U274" s="114" t="s">
        <v>1073</v>
      </c>
      <c r="V274" s="114"/>
      <c r="W274" s="114"/>
      <c r="X274" s="114"/>
      <c r="Y274" s="114"/>
      <c r="Z274" s="114"/>
      <c r="AA274" s="1518"/>
      <c r="AB274" s="1518"/>
      <c r="AC274" s="1518"/>
      <c r="AD274" s="1518"/>
      <c r="AE274" s="1518"/>
      <c r="AF274" s="1518"/>
      <c r="AG274" s="1518"/>
      <c r="AH274" s="1518"/>
      <c r="AI274" s="1518"/>
      <c r="AJ274" s="1518"/>
      <c r="AK274" s="1518"/>
      <c r="AL274" s="2"/>
      <c r="AM274" s="2"/>
      <c r="AN274" s="2"/>
      <c r="AO274" s="2"/>
      <c r="AP274" s="2"/>
      <c r="AQ274" s="2"/>
      <c r="AR274" s="2"/>
      <c r="AS274" s="2"/>
      <c r="AT274" s="2"/>
    </row>
    <row r="275" spans="1:51" ht="13.1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3.15" customHeight="1">
      <c r="A276" s="38" t="s">
        <v>1018</v>
      </c>
      <c r="B276" s="2"/>
      <c r="C276" s="1" t="s">
        <v>1089</v>
      </c>
      <c r="D276" s="2"/>
      <c r="E276" s="2"/>
      <c r="F276" s="2"/>
      <c r="G276" s="2"/>
      <c r="H276" s="2"/>
      <c r="I276" s="2"/>
      <c r="J276" s="2"/>
      <c r="K276" s="2"/>
      <c r="L276" s="2"/>
      <c r="M276" s="68"/>
      <c r="N276" s="68"/>
      <c r="O276" s="68"/>
      <c r="P276" s="68"/>
      <c r="Q276" s="68"/>
      <c r="T276" s="1507" t="str">
        <f>IFERROR(BO254,"")</f>
        <v>Nonprofit</v>
      </c>
      <c r="U276" s="1507"/>
      <c r="V276" s="1507"/>
      <c r="W276" s="1507"/>
      <c r="X276" s="1507"/>
      <c r="Z276" s="190" t="s">
        <v>1090</v>
      </c>
      <c r="AA276" s="191"/>
      <c r="AB276" s="191"/>
      <c r="AC276" s="191"/>
      <c r="AD276" s="192"/>
      <c r="AE276" s="192"/>
      <c r="AF276" s="192"/>
      <c r="AG276" s="192"/>
      <c r="AH276" s="192"/>
      <c r="AI276" s="192"/>
      <c r="AJ276" s="192"/>
      <c r="AK276" s="192"/>
      <c r="AL276" s="39"/>
    </row>
    <row r="277" spans="1:51" ht="13.15"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3.15"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3.15" customHeight="1">
      <c r="A279" s="2"/>
      <c r="B279" s="26">
        <v>0</v>
      </c>
      <c r="D279" s="1477" t="s">
        <v>1082</v>
      </c>
      <c r="E279" s="1477"/>
      <c r="F279" s="1477"/>
      <c r="G279" s="1477"/>
      <c r="H279" s="1477"/>
      <c r="J279" t="s">
        <v>1093</v>
      </c>
      <c r="X279" s="1487"/>
      <c r="Y279" s="1487"/>
      <c r="Z279" s="1487"/>
      <c r="AA279" s="1487"/>
      <c r="AB279" s="1487"/>
      <c r="AC279" s="1487"/>
      <c r="AU279" s="2"/>
      <c r="AV279" s="2"/>
      <c r="AW279" s="2"/>
      <c r="AX279" s="2"/>
      <c r="AY279" s="2"/>
    </row>
    <row r="280" spans="1:51" ht="13.15"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3.1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10"/>
      <c r="AA281" s="1110"/>
      <c r="AB281" s="1110"/>
      <c r="AC281" s="1110"/>
      <c r="AD281" s="1110"/>
      <c r="AE281" s="2"/>
      <c r="AK281" s="2"/>
      <c r="AL281" s="2"/>
      <c r="AM281" s="2"/>
      <c r="AN281" s="2"/>
      <c r="AO281" s="2"/>
      <c r="AP281" s="2"/>
      <c r="AQ281" s="2"/>
      <c r="AR281" s="2"/>
      <c r="AS281" s="2"/>
      <c r="AT281" s="2"/>
    </row>
    <row r="282" spans="1:51" ht="13.15"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3.15" customHeight="1">
      <c r="D283" s="2" t="s">
        <v>1096</v>
      </c>
      <c r="E283" s="2"/>
      <c r="F283" s="2"/>
      <c r="G283" s="2"/>
      <c r="H283" s="2"/>
      <c r="I283" s="2"/>
      <c r="J283" s="2"/>
      <c r="K283" s="2"/>
      <c r="L283" s="1489" t="s">
        <v>2656</v>
      </c>
      <c r="M283" s="1489"/>
      <c r="N283" s="1489"/>
      <c r="O283" s="1489"/>
      <c r="P283" s="1489"/>
      <c r="Q283" s="1489"/>
      <c r="R283" s="1489"/>
      <c r="S283" s="1489"/>
      <c r="T283" s="1489"/>
      <c r="U283" s="1489"/>
      <c r="V283" s="1489"/>
      <c r="W283" s="1489"/>
      <c r="X283" s="1489"/>
      <c r="Y283" s="1489"/>
      <c r="Z283" s="1489"/>
      <c r="AA283" s="1489"/>
      <c r="AB283" s="1489"/>
      <c r="AC283" s="1489"/>
      <c r="AD283" s="1489"/>
      <c r="AE283" s="1489"/>
      <c r="AF283" s="1489"/>
      <c r="AG283" s="1489"/>
      <c r="AH283" s="1489"/>
      <c r="AI283" s="1489"/>
      <c r="AJ283" s="1489"/>
      <c r="AK283" s="2"/>
      <c r="AL283" s="2"/>
      <c r="AM283" s="2"/>
      <c r="AN283" s="2"/>
      <c r="AO283" s="2"/>
      <c r="AP283" s="2"/>
      <c r="AQ283" s="2"/>
      <c r="AR283" s="2"/>
      <c r="AS283" s="2"/>
      <c r="AT283" s="2"/>
      <c r="AU283" s="2"/>
      <c r="AV283" s="2"/>
      <c r="AW283" s="2"/>
      <c r="AX283" s="2"/>
      <c r="AY283" s="2"/>
    </row>
    <row r="284" spans="1:51" ht="13.15" customHeight="1">
      <c r="D284" s="2" t="s">
        <v>1064</v>
      </c>
      <c r="E284" s="2"/>
      <c r="F284" s="2"/>
      <c r="G284" s="2"/>
      <c r="H284" s="2"/>
      <c r="I284" s="2"/>
      <c r="J284" s="2"/>
      <c r="K284" s="2"/>
      <c r="L284" s="1477" t="s">
        <v>2647</v>
      </c>
      <c r="M284" s="1477"/>
      <c r="N284" s="1477"/>
      <c r="O284" s="1477"/>
      <c r="P284" s="1477"/>
      <c r="Q284" s="1477"/>
      <c r="R284" s="1477"/>
      <c r="S284" s="1477"/>
      <c r="T284" s="1477"/>
      <c r="U284" s="1477"/>
      <c r="V284" s="1477"/>
      <c r="W284" s="1477"/>
      <c r="X284" s="1477"/>
      <c r="Y284" s="1477"/>
      <c r="Z284" s="1477"/>
      <c r="AA284" s="1477"/>
      <c r="AB284" s="1477"/>
      <c r="AC284" s="1477"/>
      <c r="AD284" s="1477"/>
      <c r="AK284" s="2"/>
      <c r="AL284" s="2"/>
      <c r="AM284" s="2"/>
      <c r="AN284" s="2"/>
      <c r="AO284" s="2"/>
      <c r="AP284" s="2"/>
      <c r="AQ284" s="2"/>
      <c r="AR284" s="2"/>
      <c r="AS284" s="2"/>
      <c r="AT284" s="2"/>
      <c r="AU284" s="2"/>
      <c r="AV284" s="2"/>
      <c r="AW284" s="2"/>
      <c r="AX284" s="2"/>
      <c r="AY284" s="2"/>
    </row>
    <row r="285" spans="1:51" ht="13.15" customHeight="1">
      <c r="D285" s="2" t="s">
        <v>931</v>
      </c>
      <c r="E285" s="2"/>
      <c r="L285" s="1477" t="s">
        <v>2648</v>
      </c>
      <c r="M285" s="1477"/>
      <c r="N285" s="1477"/>
      <c r="O285" s="1477"/>
      <c r="P285" s="1477"/>
      <c r="Q285" s="1477"/>
      <c r="R285" s="1477"/>
      <c r="S285" s="1477"/>
      <c r="U285" s="813" t="s">
        <v>1065</v>
      </c>
      <c r="V285" s="1339" t="s">
        <v>2649</v>
      </c>
      <c r="W285" s="1339"/>
      <c r="X285" s="2" t="s">
        <v>935</v>
      </c>
      <c r="AB285" s="1477">
        <v>90230</v>
      </c>
      <c r="AC285" s="1477"/>
      <c r="AD285" s="1477"/>
      <c r="AK285" s="2"/>
      <c r="AL285" s="2"/>
      <c r="AM285" s="2"/>
      <c r="AN285" s="2"/>
      <c r="AO285" s="2"/>
      <c r="AP285" s="2"/>
      <c r="AQ285" s="2"/>
      <c r="AR285" s="2"/>
      <c r="AS285" s="2"/>
      <c r="AT285" s="2"/>
      <c r="AU285" s="2"/>
      <c r="AV285" s="2"/>
      <c r="AW285" s="2"/>
      <c r="AX285" s="2"/>
      <c r="AY285" s="2"/>
    </row>
    <row r="286" spans="1:51" ht="13.15" customHeight="1">
      <c r="D286" s="2" t="s">
        <v>1066</v>
      </c>
      <c r="E286" s="2"/>
      <c r="F286" s="2"/>
      <c r="G286" s="2"/>
      <c r="H286" s="2"/>
      <c r="I286" s="2"/>
      <c r="J286" s="2"/>
      <c r="K286" s="1163"/>
      <c r="L286" s="1477" t="s">
        <v>2651</v>
      </c>
      <c r="M286" s="1477"/>
      <c r="N286" s="1477"/>
      <c r="O286" s="1477"/>
      <c r="P286" s="1477"/>
      <c r="Q286" s="1477"/>
      <c r="R286" s="1477"/>
      <c r="S286" s="1477"/>
      <c r="T286" s="1477"/>
      <c r="U286" s="1477"/>
      <c r="V286" s="1477"/>
      <c r="W286" s="1477"/>
      <c r="X286" s="1477"/>
      <c r="Y286" s="1477"/>
      <c r="Z286" s="1477"/>
      <c r="AA286" s="1477"/>
      <c r="AB286" s="1477"/>
      <c r="AC286" s="1477"/>
      <c r="AD286" s="1477"/>
      <c r="AI286" s="2"/>
      <c r="AJ286" s="2"/>
      <c r="AK286" s="2"/>
      <c r="AL286" s="2"/>
      <c r="AM286" s="2"/>
      <c r="AN286" s="2"/>
      <c r="AO286" s="2"/>
      <c r="AP286" s="2"/>
      <c r="AQ286" s="2"/>
      <c r="AR286" s="2"/>
      <c r="AS286" s="2"/>
      <c r="AT286" s="2"/>
    </row>
    <row r="287" spans="1:51" ht="13.15" customHeight="1">
      <c r="D287" s="2" t="s">
        <v>1067</v>
      </c>
      <c r="E287" s="2"/>
      <c r="F287" s="2"/>
      <c r="L287" s="1338" t="s">
        <v>2650</v>
      </c>
      <c r="M287" s="1338"/>
      <c r="N287" s="1338"/>
      <c r="O287" s="1338"/>
      <c r="P287" s="1338"/>
      <c r="Q287" s="1338"/>
      <c r="R287" s="2" t="s">
        <v>1068</v>
      </c>
      <c r="S287" s="2"/>
      <c r="T287" s="1339"/>
      <c r="U287" s="1339"/>
      <c r="V287" s="1339"/>
      <c r="W287" s="2" t="s">
        <v>1069</v>
      </c>
      <c r="Y287" s="1338"/>
      <c r="Z287" s="1338"/>
      <c r="AA287" s="1338"/>
      <c r="AB287" s="1338"/>
      <c r="AC287" s="1338"/>
      <c r="AD287" s="1338"/>
    </row>
    <row r="288" spans="1:51" ht="13.15" customHeight="1">
      <c r="D288" s="2" t="s">
        <v>1071</v>
      </c>
      <c r="E288" s="2"/>
      <c r="F288" s="2"/>
      <c r="L288" s="1484" t="s">
        <v>2652</v>
      </c>
      <c r="M288" s="1484"/>
      <c r="N288" s="1484"/>
      <c r="O288" s="1484"/>
      <c r="P288" s="1484"/>
      <c r="Q288" s="1484"/>
      <c r="R288" s="1484"/>
      <c r="S288" s="1484"/>
      <c r="T288" s="1484"/>
      <c r="U288" s="1484"/>
      <c r="V288" s="1484"/>
      <c r="W288" s="1484"/>
      <c r="X288" s="1484"/>
      <c r="Y288" s="1484"/>
      <c r="Z288" s="1484"/>
      <c r="AA288" s="1484"/>
      <c r="AB288" s="1484"/>
      <c r="AC288" s="1484"/>
      <c r="AD288" s="1484"/>
      <c r="AF288" s="2"/>
      <c r="AG288" s="2"/>
      <c r="AH288" s="2"/>
      <c r="AI288" s="2"/>
      <c r="AJ288" s="2"/>
      <c r="AU288" s="2"/>
      <c r="AV288" s="2"/>
      <c r="AW288" s="2"/>
      <c r="AX288" s="2"/>
      <c r="AY288" s="2"/>
    </row>
    <row r="289" spans="1:51" ht="13.15" customHeight="1">
      <c r="D289" s="2" t="s">
        <v>1097</v>
      </c>
      <c r="E289" s="2"/>
      <c r="F289" s="2"/>
      <c r="G289" s="2"/>
      <c r="H289" s="2"/>
      <c r="I289" s="2"/>
      <c r="L289" s="1339" t="s">
        <v>2657</v>
      </c>
      <c r="M289" s="1339"/>
      <c r="N289" s="1339"/>
      <c r="O289" s="1339"/>
      <c r="P289" s="1339"/>
      <c r="Q289" s="1339"/>
      <c r="R289" s="1339"/>
      <c r="S289" s="1339"/>
      <c r="T289" s="1339"/>
      <c r="U289" s="1339"/>
      <c r="V289" s="1339"/>
      <c r="W289" s="1339"/>
      <c r="X289" s="1339"/>
      <c r="Y289" s="1339"/>
      <c r="Z289" s="1339"/>
      <c r="AA289" s="1339"/>
      <c r="AB289" s="1339"/>
      <c r="AC289" s="1339"/>
      <c r="AD289" s="1339"/>
      <c r="AK289" s="2"/>
      <c r="AL289" s="2"/>
      <c r="AM289" s="2"/>
      <c r="AN289" s="2"/>
      <c r="AO289" s="2"/>
      <c r="AP289" s="2"/>
      <c r="AQ289" s="2"/>
      <c r="AR289" s="2"/>
      <c r="AS289" s="2"/>
      <c r="AT289" s="2"/>
    </row>
    <row r="290" spans="1:51" ht="13.15" customHeight="1">
      <c r="L290" s="17" t="s">
        <v>1098</v>
      </c>
      <c r="AU290" s="54"/>
      <c r="AV290" s="54"/>
      <c r="AW290" s="54"/>
      <c r="AX290" s="54"/>
      <c r="AY290" s="54"/>
    </row>
    <row r="291" spans="1:51" ht="13.15" customHeight="1">
      <c r="A291" s="1500" t="s">
        <v>1099</v>
      </c>
      <c r="B291" s="1500"/>
      <c r="C291" s="1500"/>
      <c r="D291" s="1500"/>
      <c r="E291" s="1500"/>
      <c r="F291" s="1500"/>
      <c r="G291" s="1500"/>
      <c r="H291" s="1500"/>
      <c r="I291" s="1500"/>
      <c r="J291" s="1500"/>
      <c r="K291" s="1500"/>
      <c r="L291" s="1500"/>
      <c r="M291" s="1500"/>
      <c r="N291" s="1500"/>
      <c r="O291" s="1500"/>
      <c r="P291" s="1500"/>
      <c r="Q291" s="1500"/>
      <c r="R291" s="1500"/>
      <c r="S291" s="1500"/>
      <c r="T291" s="1500"/>
      <c r="U291" s="1500"/>
      <c r="V291" s="1500"/>
      <c r="W291" s="1500"/>
      <c r="X291" s="1500"/>
      <c r="Y291" s="1500"/>
      <c r="Z291" s="1500"/>
      <c r="AA291" s="1500"/>
      <c r="AB291" s="1500"/>
      <c r="AC291" s="1500"/>
      <c r="AD291" s="1500"/>
      <c r="AE291" s="1500"/>
      <c r="AF291" s="1500"/>
      <c r="AG291" s="1500"/>
      <c r="AH291" s="1500"/>
      <c r="AI291" s="1500"/>
      <c r="AJ291" s="1500"/>
      <c r="AK291" s="1500"/>
      <c r="AL291" s="1500"/>
      <c r="AM291" s="1500"/>
      <c r="AN291" s="1500"/>
      <c r="AO291" s="1500"/>
      <c r="AP291" s="1500"/>
      <c r="AQ291" s="1500"/>
      <c r="AR291" s="1500"/>
      <c r="AS291" s="1500"/>
      <c r="AT291" s="1500"/>
      <c r="AU291" s="54"/>
      <c r="AV291" s="54"/>
      <c r="AW291" s="54"/>
      <c r="AX291" s="54"/>
      <c r="AY291" s="54"/>
    </row>
    <row r="292" spans="1:51" ht="13.15" customHeight="1">
      <c r="A292" s="1500"/>
      <c r="B292" s="1500"/>
      <c r="C292" s="1500"/>
      <c r="D292" s="1500"/>
      <c r="E292" s="1500"/>
      <c r="F292" s="1500"/>
      <c r="G292" s="1500"/>
      <c r="H292" s="1500"/>
      <c r="I292" s="1500"/>
      <c r="J292" s="1500"/>
      <c r="K292" s="1500"/>
      <c r="L292" s="1500"/>
      <c r="M292" s="1500"/>
      <c r="N292" s="1500"/>
      <c r="O292" s="1500"/>
      <c r="P292" s="1500"/>
      <c r="Q292" s="1500"/>
      <c r="R292" s="1500"/>
      <c r="S292" s="1500"/>
      <c r="T292" s="1500"/>
      <c r="U292" s="1500"/>
      <c r="V292" s="1500"/>
      <c r="W292" s="1500"/>
      <c r="X292" s="1500"/>
      <c r="Y292" s="1500"/>
      <c r="Z292" s="1500"/>
      <c r="AA292" s="1500"/>
      <c r="AB292" s="1500"/>
      <c r="AC292" s="1500"/>
      <c r="AD292" s="1500"/>
      <c r="AE292" s="1500"/>
      <c r="AF292" s="1500"/>
      <c r="AG292" s="1500"/>
      <c r="AH292" s="1500"/>
      <c r="AI292" s="1500"/>
      <c r="AJ292" s="1500"/>
      <c r="AK292" s="1500"/>
      <c r="AL292" s="1500"/>
      <c r="AM292" s="1500"/>
      <c r="AN292" s="1500"/>
      <c r="AO292" s="1500"/>
      <c r="AP292" s="1500"/>
      <c r="AQ292" s="1500"/>
      <c r="AR292" s="1500"/>
      <c r="AS292" s="1500"/>
      <c r="AT292" s="1500"/>
      <c r="AU292" s="19"/>
      <c r="AV292" s="19"/>
      <c r="AW292" s="19"/>
      <c r="AX292" s="19"/>
      <c r="AY292" s="19"/>
    </row>
    <row r="293" spans="1:51" ht="13.1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3.15"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3.1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3.15" customHeight="1">
      <c r="B296" s="2" t="s">
        <v>1101</v>
      </c>
      <c r="C296" s="2"/>
      <c r="D296" s="2"/>
      <c r="E296" s="2"/>
      <c r="F296" s="2"/>
      <c r="H296" s="1399" t="s">
        <v>2656</v>
      </c>
      <c r="I296" s="1399"/>
      <c r="J296" s="1399"/>
      <c r="K296" s="1399"/>
      <c r="L296" s="1399"/>
      <c r="M296" s="1399"/>
      <c r="N296" s="1399"/>
      <c r="O296" s="1399"/>
      <c r="P296" s="1399"/>
      <c r="Q296" s="1399"/>
      <c r="R296" s="1399"/>
      <c r="T296" s="2" t="s">
        <v>1102</v>
      </c>
      <c r="V296" s="2"/>
      <c r="W296" s="2"/>
      <c r="X296" s="2"/>
      <c r="Y296" s="2"/>
      <c r="AA296" s="1399" t="s">
        <v>2661</v>
      </c>
      <c r="AB296" s="1399"/>
      <c r="AC296" s="1399"/>
      <c r="AD296" s="1399"/>
      <c r="AE296" s="1399"/>
      <c r="AF296" s="1399"/>
      <c r="AG296" s="1399"/>
      <c r="AH296" s="1399"/>
      <c r="AI296" s="1399"/>
      <c r="AJ296" s="1399"/>
      <c r="AK296" s="1399"/>
    </row>
    <row r="297" spans="1:51" ht="13.15" customHeight="1">
      <c r="B297" s="2" t="s">
        <v>1103</v>
      </c>
      <c r="C297" s="2"/>
      <c r="D297" s="2"/>
      <c r="E297" s="2"/>
      <c r="F297" s="2"/>
      <c r="H297" s="1360" t="s">
        <v>2658</v>
      </c>
      <c r="I297" s="1360"/>
      <c r="J297" s="1360"/>
      <c r="K297" s="1360"/>
      <c r="L297" s="1360"/>
      <c r="M297" s="1360"/>
      <c r="N297" s="1360"/>
      <c r="O297" s="1360"/>
      <c r="P297" s="1360"/>
      <c r="Q297" s="1360"/>
      <c r="R297" s="1360"/>
      <c r="T297" s="2" t="s">
        <v>1103</v>
      </c>
      <c r="V297" s="2"/>
      <c r="W297" s="2"/>
      <c r="X297" s="2"/>
      <c r="Y297" s="2"/>
      <c r="AA297" s="1360" t="s">
        <v>2662</v>
      </c>
      <c r="AB297" s="1360"/>
      <c r="AC297" s="1360"/>
      <c r="AD297" s="1360"/>
      <c r="AE297" s="1360"/>
      <c r="AF297" s="1360"/>
      <c r="AG297" s="1360"/>
      <c r="AH297" s="1360"/>
      <c r="AI297" s="1360"/>
      <c r="AJ297" s="1360"/>
      <c r="AK297" s="1360"/>
    </row>
    <row r="298" spans="1:51" ht="13.15" customHeight="1">
      <c r="B298" s="2" t="s">
        <v>1104</v>
      </c>
      <c r="C298" s="2"/>
      <c r="D298" s="2"/>
      <c r="E298" s="2"/>
      <c r="F298" s="2"/>
      <c r="H298" s="1360" t="s">
        <v>2659</v>
      </c>
      <c r="I298" s="1360"/>
      <c r="J298" s="1360"/>
      <c r="K298" s="1360"/>
      <c r="L298" s="1360"/>
      <c r="M298" s="1360"/>
      <c r="N298" s="1360"/>
      <c r="O298" s="1360"/>
      <c r="P298" s="1360"/>
      <c r="Q298" s="1360"/>
      <c r="R298" s="1360"/>
      <c r="T298" s="2" t="s">
        <v>1105</v>
      </c>
      <c r="V298" s="2"/>
      <c r="W298" s="2"/>
      <c r="X298" s="2"/>
      <c r="Y298" s="2"/>
      <c r="AA298" s="1360" t="s">
        <v>2663</v>
      </c>
      <c r="AB298" s="1360"/>
      <c r="AC298" s="1360"/>
      <c r="AD298" s="1360"/>
      <c r="AE298" s="1360"/>
      <c r="AF298" s="1360"/>
      <c r="AG298" s="1360"/>
      <c r="AH298" s="1360"/>
      <c r="AI298" s="1360"/>
      <c r="AJ298" s="1360"/>
      <c r="AK298" s="1360"/>
    </row>
    <row r="299" spans="1:51" ht="13.15" customHeight="1">
      <c r="B299" s="2" t="s">
        <v>1066</v>
      </c>
      <c r="C299" s="2"/>
      <c r="D299" s="2"/>
      <c r="E299" s="2"/>
      <c r="F299" s="2"/>
      <c r="H299" s="1360" t="s">
        <v>2651</v>
      </c>
      <c r="I299" s="1360"/>
      <c r="J299" s="1360"/>
      <c r="K299" s="1360"/>
      <c r="L299" s="1360"/>
      <c r="M299" s="1360"/>
      <c r="N299" s="1360"/>
      <c r="O299" s="1360"/>
      <c r="P299" s="1360"/>
      <c r="Q299" s="1360"/>
      <c r="R299" s="1360"/>
      <c r="T299" s="2" t="s">
        <v>1066</v>
      </c>
      <c r="V299" s="2"/>
      <c r="W299" s="2"/>
      <c r="X299" s="2"/>
      <c r="Y299" s="2"/>
      <c r="AA299" s="1360" t="s">
        <v>2664</v>
      </c>
      <c r="AB299" s="1360"/>
      <c r="AC299" s="1360"/>
      <c r="AD299" s="1360"/>
      <c r="AE299" s="1360"/>
      <c r="AF299" s="1360"/>
      <c r="AG299" s="1360"/>
      <c r="AH299" s="1360"/>
      <c r="AI299" s="1360"/>
      <c r="AJ299" s="1360"/>
      <c r="AK299" s="1360"/>
    </row>
    <row r="300" spans="1:51" ht="13.15" customHeight="1">
      <c r="B300" s="2" t="s">
        <v>1067</v>
      </c>
      <c r="C300" s="2"/>
      <c r="D300" s="2"/>
      <c r="E300" s="2"/>
      <c r="F300" s="2"/>
      <c r="G300" s="2"/>
      <c r="H300" s="1508" t="s">
        <v>2660</v>
      </c>
      <c r="I300" s="1508"/>
      <c r="J300" s="1508"/>
      <c r="K300" s="1508"/>
      <c r="L300" s="1508"/>
      <c r="M300" s="1508"/>
      <c r="N300" s="2" t="s">
        <v>1068</v>
      </c>
      <c r="O300" s="2"/>
      <c r="P300" s="1477"/>
      <c r="Q300" s="1477"/>
      <c r="R300" s="1477"/>
      <c r="S300" s="2"/>
      <c r="T300" s="2" t="s">
        <v>1067</v>
      </c>
      <c r="V300" s="2"/>
      <c r="W300" s="2"/>
      <c r="X300" s="2"/>
      <c r="Y300" s="2"/>
      <c r="AA300" s="1508" t="s">
        <v>2665</v>
      </c>
      <c r="AB300" s="1508"/>
      <c r="AC300" s="1508"/>
      <c r="AD300" s="1508"/>
      <c r="AE300" s="1508"/>
      <c r="AF300" s="1508"/>
      <c r="AG300" s="2" t="s">
        <v>1068</v>
      </c>
      <c r="AH300" s="2"/>
      <c r="AI300" s="1477"/>
      <c r="AJ300" s="1477"/>
      <c r="AK300" s="1477"/>
    </row>
    <row r="301" spans="1:51" ht="13.15" customHeight="1">
      <c r="B301" s="2" t="s">
        <v>1069</v>
      </c>
      <c r="C301" s="2"/>
      <c r="D301" s="2"/>
      <c r="E301" s="2"/>
      <c r="F301" s="2"/>
      <c r="G301" s="2"/>
      <c r="H301" s="1338"/>
      <c r="I301" s="1338"/>
      <c r="J301" s="1338"/>
      <c r="K301" s="1338"/>
      <c r="L301" s="1338"/>
      <c r="M301" s="1338"/>
      <c r="N301" s="2"/>
      <c r="O301" s="2"/>
      <c r="P301" s="68"/>
      <c r="Q301" s="68"/>
      <c r="R301" s="68"/>
      <c r="S301" s="2"/>
      <c r="T301" s="2" t="s">
        <v>1069</v>
      </c>
      <c r="V301" s="2"/>
      <c r="W301" s="2"/>
      <c r="X301" s="2"/>
      <c r="Y301" s="2"/>
      <c r="AA301" s="1338"/>
      <c r="AB301" s="1338"/>
      <c r="AC301" s="1338"/>
      <c r="AD301" s="1338"/>
      <c r="AE301" s="1338"/>
      <c r="AF301" s="1338"/>
      <c r="AG301" s="2"/>
      <c r="AH301" s="2"/>
      <c r="AI301" s="68"/>
      <c r="AJ301" s="68"/>
      <c r="AK301" s="68"/>
    </row>
    <row r="302" spans="1:51" ht="13.15" customHeight="1">
      <c r="B302" s="2" t="s">
        <v>1106</v>
      </c>
      <c r="C302" s="2"/>
      <c r="D302" s="2"/>
      <c r="E302" s="2"/>
      <c r="F302" s="2"/>
      <c r="G302" s="2"/>
      <c r="H302" s="1360" t="s">
        <v>2652</v>
      </c>
      <c r="I302" s="1360"/>
      <c r="J302" s="1360"/>
      <c r="K302" s="1360"/>
      <c r="L302" s="1360"/>
      <c r="M302" s="1360"/>
      <c r="N302" s="1399"/>
      <c r="O302" s="1399"/>
      <c r="P302" s="1399"/>
      <c r="Q302" s="1399"/>
      <c r="R302" s="1399"/>
      <c r="S302" s="2"/>
      <c r="T302" s="2" t="s">
        <v>1106</v>
      </c>
      <c r="V302" s="2"/>
      <c r="W302" s="2"/>
      <c r="X302" s="2"/>
      <c r="Y302" s="2"/>
      <c r="AA302" s="1360" t="s">
        <v>2666</v>
      </c>
      <c r="AB302" s="1360"/>
      <c r="AC302" s="1360"/>
      <c r="AD302" s="1360"/>
      <c r="AE302" s="1360"/>
      <c r="AF302" s="1360"/>
      <c r="AG302" s="1399"/>
      <c r="AH302" s="1399"/>
      <c r="AI302" s="1399"/>
      <c r="AJ302" s="1399"/>
      <c r="AK302" s="1399"/>
    </row>
    <row r="303" spans="1:51" ht="13.1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3.15" customHeight="1">
      <c r="B304" s="2" t="s">
        <v>1107</v>
      </c>
      <c r="C304" s="2"/>
      <c r="D304" s="2"/>
      <c r="E304" s="2"/>
      <c r="F304" s="2"/>
      <c r="H304" s="1399" t="s">
        <v>2667</v>
      </c>
      <c r="I304" s="1399"/>
      <c r="J304" s="1399"/>
      <c r="K304" s="1399"/>
      <c r="L304" s="1399"/>
      <c r="M304" s="1399"/>
      <c r="N304" s="1399"/>
      <c r="O304" s="1399"/>
      <c r="P304" s="1399"/>
      <c r="Q304" s="1399"/>
      <c r="R304" s="1399"/>
      <c r="T304" s="2" t="s">
        <v>1108</v>
      </c>
      <c r="V304" s="2"/>
      <c r="W304" s="2"/>
      <c r="X304" s="2"/>
      <c r="Y304" s="2"/>
      <c r="AA304" s="1399" t="s">
        <v>2673</v>
      </c>
      <c r="AB304" s="1399"/>
      <c r="AC304" s="1399"/>
      <c r="AD304" s="1399"/>
      <c r="AE304" s="1399"/>
      <c r="AF304" s="1399"/>
      <c r="AG304" s="1399"/>
      <c r="AH304" s="1399"/>
      <c r="AI304" s="1399"/>
      <c r="AJ304" s="1399"/>
      <c r="AK304" s="1399"/>
    </row>
    <row r="305" spans="2:72" ht="13.15" customHeight="1">
      <c r="B305" s="2" t="s">
        <v>1103</v>
      </c>
      <c r="C305" s="2"/>
      <c r="D305" s="2"/>
      <c r="E305" s="2"/>
      <c r="F305" s="2"/>
      <c r="H305" s="1360" t="s">
        <v>2668</v>
      </c>
      <c r="I305" s="1360"/>
      <c r="J305" s="1360"/>
      <c r="K305" s="1360"/>
      <c r="L305" s="1360"/>
      <c r="M305" s="1360"/>
      <c r="N305" s="1360"/>
      <c r="O305" s="1360"/>
      <c r="P305" s="1360"/>
      <c r="Q305" s="1360"/>
      <c r="R305" s="1360"/>
      <c r="T305" s="2" t="s">
        <v>1103</v>
      </c>
      <c r="V305" s="2"/>
      <c r="W305" s="2"/>
      <c r="X305" s="2"/>
      <c r="Y305" s="2"/>
      <c r="AA305" s="1360" t="s">
        <v>2674</v>
      </c>
      <c r="AB305" s="1360"/>
      <c r="AC305" s="1360"/>
      <c r="AD305" s="1360"/>
      <c r="AE305" s="1360"/>
      <c r="AF305" s="1360"/>
      <c r="AG305" s="1360"/>
      <c r="AH305" s="1360"/>
      <c r="AI305" s="1360"/>
      <c r="AJ305" s="1360"/>
      <c r="AK305" s="1360"/>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3.15" customHeight="1">
      <c r="B306" s="2" t="s">
        <v>1104</v>
      </c>
      <c r="C306" s="2"/>
      <c r="D306" s="2"/>
      <c r="E306" s="2"/>
      <c r="F306" s="2"/>
      <c r="H306" s="1360" t="s">
        <v>2669</v>
      </c>
      <c r="I306" s="1360"/>
      <c r="J306" s="1360"/>
      <c r="K306" s="1360"/>
      <c r="L306" s="1360"/>
      <c r="M306" s="1360"/>
      <c r="N306" s="1360"/>
      <c r="O306" s="1360"/>
      <c r="P306" s="1360"/>
      <c r="Q306" s="1360"/>
      <c r="R306" s="1360"/>
      <c r="T306" s="2" t="s">
        <v>1105</v>
      </c>
      <c r="V306" s="2"/>
      <c r="W306" s="2"/>
      <c r="X306" s="2"/>
      <c r="Y306" s="2"/>
      <c r="AA306" s="1360" t="s">
        <v>2675</v>
      </c>
      <c r="AB306" s="1360"/>
      <c r="AC306" s="1360"/>
      <c r="AD306" s="1360"/>
      <c r="AE306" s="1360"/>
      <c r="AF306" s="1360"/>
      <c r="AG306" s="1360"/>
      <c r="AH306" s="1360"/>
      <c r="AI306" s="1360"/>
      <c r="AJ306" s="1360"/>
      <c r="AK306" s="1360"/>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3.15" customHeight="1">
      <c r="B307" s="2" t="s">
        <v>1066</v>
      </c>
      <c r="C307" s="2"/>
      <c r="D307" s="2"/>
      <c r="E307" s="2"/>
      <c r="F307" s="2"/>
      <c r="H307" s="1360" t="s">
        <v>2670</v>
      </c>
      <c r="I307" s="1360"/>
      <c r="J307" s="1360"/>
      <c r="K307" s="1360"/>
      <c r="L307" s="1360"/>
      <c r="M307" s="1360"/>
      <c r="N307" s="1360"/>
      <c r="O307" s="1360"/>
      <c r="P307" s="1360"/>
      <c r="Q307" s="1360"/>
      <c r="R307" s="1360"/>
      <c r="T307" s="2" t="s">
        <v>1066</v>
      </c>
      <c r="V307" s="2"/>
      <c r="W307" s="2"/>
      <c r="X307" s="2"/>
      <c r="Y307" s="2"/>
      <c r="AA307" s="1360" t="s">
        <v>2676</v>
      </c>
      <c r="AB307" s="1360"/>
      <c r="AC307" s="1360"/>
      <c r="AD307" s="1360"/>
      <c r="AE307" s="1360"/>
      <c r="AF307" s="1360"/>
      <c r="AG307" s="1360"/>
      <c r="AH307" s="1360"/>
      <c r="AI307" s="1360"/>
      <c r="AJ307" s="1360"/>
      <c r="AK307" s="1360"/>
    </row>
    <row r="308" spans="2:72" ht="13.15" customHeight="1">
      <c r="B308" s="2" t="s">
        <v>1067</v>
      </c>
      <c r="C308" s="2"/>
      <c r="D308" s="2"/>
      <c r="E308" s="2"/>
      <c r="F308" s="2"/>
      <c r="G308" s="2"/>
      <c r="H308" s="1508" t="s">
        <v>2671</v>
      </c>
      <c r="I308" s="1508"/>
      <c r="J308" s="1508"/>
      <c r="K308" s="1508"/>
      <c r="L308" s="1508"/>
      <c r="M308" s="1508"/>
      <c r="N308" s="2" t="s">
        <v>1068</v>
      </c>
      <c r="O308" s="2"/>
      <c r="P308" s="1477"/>
      <c r="Q308" s="1477"/>
      <c r="R308" s="1477"/>
      <c r="S308" s="2"/>
      <c r="T308" s="2" t="s">
        <v>1067</v>
      </c>
      <c r="V308" s="2"/>
      <c r="W308" s="2"/>
      <c r="X308" s="2"/>
      <c r="Y308" s="2"/>
      <c r="AA308" s="1508" t="s">
        <v>2677</v>
      </c>
      <c r="AB308" s="1508"/>
      <c r="AC308" s="1508"/>
      <c r="AD308" s="1508"/>
      <c r="AE308" s="1508"/>
      <c r="AF308" s="1508"/>
      <c r="AG308" s="2" t="s">
        <v>1068</v>
      </c>
      <c r="AH308" s="2"/>
      <c r="AI308" s="1477"/>
      <c r="AJ308" s="1477"/>
      <c r="AK308" s="1477"/>
    </row>
    <row r="309" spans="2:72" ht="13.15" customHeight="1">
      <c r="B309" s="2" t="s">
        <v>1069</v>
      </c>
      <c r="C309" s="2"/>
      <c r="D309" s="2"/>
      <c r="E309" s="2"/>
      <c r="F309" s="2"/>
      <c r="G309" s="2"/>
      <c r="H309" s="1338"/>
      <c r="I309" s="1338"/>
      <c r="J309" s="1338"/>
      <c r="K309" s="1338"/>
      <c r="L309" s="1338"/>
      <c r="M309" s="1338"/>
      <c r="N309" s="2"/>
      <c r="O309" s="2"/>
      <c r="P309" s="68"/>
      <c r="Q309" s="68"/>
      <c r="R309" s="68"/>
      <c r="S309" s="2"/>
      <c r="T309" s="2" t="s">
        <v>1069</v>
      </c>
      <c r="V309" s="2"/>
      <c r="W309" s="2"/>
      <c r="X309" s="2"/>
      <c r="Y309" s="2"/>
      <c r="AA309" s="1338"/>
      <c r="AB309" s="1338"/>
      <c r="AC309" s="1338"/>
      <c r="AD309" s="1338"/>
      <c r="AE309" s="1338"/>
      <c r="AF309" s="1338"/>
      <c r="AG309" s="2"/>
      <c r="AH309" s="2"/>
      <c r="AI309" s="68"/>
      <c r="AJ309" s="68"/>
      <c r="AK309" s="68"/>
    </row>
    <row r="310" spans="2:72" ht="13.15" customHeight="1">
      <c r="B310" s="2" t="s">
        <v>1106</v>
      </c>
      <c r="C310" s="2"/>
      <c r="D310" s="2"/>
      <c r="E310" s="2"/>
      <c r="F310" s="2"/>
      <c r="G310" s="2"/>
      <c r="H310" s="1360" t="s">
        <v>2672</v>
      </c>
      <c r="I310" s="1360"/>
      <c r="J310" s="1360"/>
      <c r="K310" s="1360"/>
      <c r="L310" s="1360"/>
      <c r="M310" s="1360"/>
      <c r="N310" s="1399"/>
      <c r="O310" s="1399"/>
      <c r="P310" s="1399"/>
      <c r="Q310" s="1399"/>
      <c r="R310" s="1399"/>
      <c r="S310" s="2"/>
      <c r="T310" s="2" t="s">
        <v>1106</v>
      </c>
      <c r="V310" s="2"/>
      <c r="W310" s="2"/>
      <c r="X310" s="2"/>
      <c r="Y310" s="2"/>
      <c r="AA310" s="1360" t="s">
        <v>2678</v>
      </c>
      <c r="AB310" s="1360"/>
      <c r="AC310" s="1360"/>
      <c r="AD310" s="1360"/>
      <c r="AE310" s="1360"/>
      <c r="AF310" s="1360"/>
      <c r="AG310" s="1399"/>
      <c r="AH310" s="1399"/>
      <c r="AI310" s="1399"/>
      <c r="AJ310" s="1399"/>
      <c r="AK310" s="1399"/>
    </row>
    <row r="311" spans="2:72" ht="13.15" customHeight="1"/>
    <row r="312" spans="2:72" ht="13.15" customHeight="1">
      <c r="B312" s="2" t="s">
        <v>1109</v>
      </c>
      <c r="C312" s="2"/>
      <c r="D312" s="2"/>
      <c r="E312" s="2"/>
      <c r="F312" s="2"/>
      <c r="H312" s="1399" t="s">
        <v>2667</v>
      </c>
      <c r="I312" s="1399"/>
      <c r="J312" s="1399"/>
      <c r="K312" s="1399"/>
      <c r="L312" s="1399"/>
      <c r="M312" s="1399"/>
      <c r="N312" s="1399"/>
      <c r="O312" s="1399"/>
      <c r="P312" s="1399"/>
      <c r="Q312" s="1399"/>
      <c r="R312" s="1399"/>
      <c r="T312" s="2" t="s">
        <v>1110</v>
      </c>
      <c r="V312" s="2"/>
      <c r="W312" s="2"/>
      <c r="X312" s="2"/>
      <c r="Y312" s="2"/>
      <c r="AA312" s="1399" t="s">
        <v>2679</v>
      </c>
      <c r="AB312" s="1399"/>
      <c r="AC312" s="1399"/>
      <c r="AD312" s="1399"/>
      <c r="AE312" s="1399"/>
      <c r="AF312" s="1399"/>
      <c r="AG312" s="1399"/>
      <c r="AH312" s="1399"/>
      <c r="AI312" s="1399"/>
      <c r="AJ312" s="1399"/>
      <c r="AK312" s="1399"/>
    </row>
    <row r="313" spans="2:72" ht="13.15" customHeight="1">
      <c r="B313" s="2" t="s">
        <v>1103</v>
      </c>
      <c r="C313" s="2"/>
      <c r="D313" s="2"/>
      <c r="E313" s="2"/>
      <c r="F313" s="2"/>
      <c r="H313" s="1360" t="s">
        <v>2668</v>
      </c>
      <c r="I313" s="1360"/>
      <c r="J313" s="1360"/>
      <c r="K313" s="1360"/>
      <c r="L313" s="1360"/>
      <c r="M313" s="1360"/>
      <c r="N313" s="1360"/>
      <c r="O313" s="1360"/>
      <c r="P313" s="1360"/>
      <c r="Q313" s="1360"/>
      <c r="R313" s="1360"/>
      <c r="T313" s="2" t="s">
        <v>1103</v>
      </c>
      <c r="V313" s="2"/>
      <c r="W313" s="2"/>
      <c r="X313" s="2"/>
      <c r="Y313" s="2"/>
      <c r="AA313" s="1360" t="s">
        <v>2680</v>
      </c>
      <c r="AB313" s="1360"/>
      <c r="AC313" s="1360"/>
      <c r="AD313" s="1360"/>
      <c r="AE313" s="1360"/>
      <c r="AF313" s="1360"/>
      <c r="AG313" s="1360"/>
      <c r="AH313" s="1360"/>
      <c r="AI313" s="1360"/>
      <c r="AJ313" s="1360"/>
      <c r="AK313" s="1360"/>
    </row>
    <row r="314" spans="2:72" ht="13.15" customHeight="1">
      <c r="B314" s="2" t="s">
        <v>1104</v>
      </c>
      <c r="C314" s="2"/>
      <c r="D314" s="2"/>
      <c r="E314" s="2"/>
      <c r="F314" s="2"/>
      <c r="H314" s="1360" t="s">
        <v>2669</v>
      </c>
      <c r="I314" s="1360"/>
      <c r="J314" s="1360"/>
      <c r="K314" s="1360"/>
      <c r="L314" s="1360"/>
      <c r="M314" s="1360"/>
      <c r="N314" s="1360"/>
      <c r="O314" s="1360"/>
      <c r="P314" s="1360"/>
      <c r="Q314" s="1360"/>
      <c r="R314" s="1360"/>
      <c r="T314" s="2" t="s">
        <v>1105</v>
      </c>
      <c r="V314" s="2"/>
      <c r="W314" s="2"/>
      <c r="X314" s="2"/>
      <c r="Y314" s="2"/>
      <c r="AA314" s="1360" t="s">
        <v>2681</v>
      </c>
      <c r="AB314" s="1360"/>
      <c r="AC314" s="1360"/>
      <c r="AD314" s="1360"/>
      <c r="AE314" s="1360"/>
      <c r="AF314" s="1360"/>
      <c r="AG314" s="1360"/>
      <c r="AH314" s="1360"/>
      <c r="AI314" s="1360"/>
      <c r="AJ314" s="1360"/>
      <c r="AK314" s="1360"/>
    </row>
    <row r="315" spans="2:72" ht="13.15" customHeight="1">
      <c r="B315" s="2" t="s">
        <v>1066</v>
      </c>
      <c r="C315" s="2"/>
      <c r="D315" s="2"/>
      <c r="E315" s="2"/>
      <c r="F315" s="2"/>
      <c r="H315" s="1360" t="s">
        <v>2670</v>
      </c>
      <c r="I315" s="1360"/>
      <c r="J315" s="1360"/>
      <c r="K315" s="1360"/>
      <c r="L315" s="1360"/>
      <c r="M315" s="1360"/>
      <c r="N315" s="1360"/>
      <c r="O315" s="1360"/>
      <c r="P315" s="1360"/>
      <c r="Q315" s="1360"/>
      <c r="R315" s="1360"/>
      <c r="T315" s="2" t="s">
        <v>1066</v>
      </c>
      <c r="V315" s="2"/>
      <c r="W315" s="2"/>
      <c r="X315" s="2"/>
      <c r="Y315" s="2"/>
      <c r="AA315" s="1360" t="s">
        <v>2682</v>
      </c>
      <c r="AB315" s="1360"/>
      <c r="AC315" s="1360"/>
      <c r="AD315" s="1360"/>
      <c r="AE315" s="1360"/>
      <c r="AF315" s="1360"/>
      <c r="AG315" s="1360"/>
      <c r="AH315" s="1360"/>
      <c r="AI315" s="1360"/>
      <c r="AJ315" s="1360"/>
      <c r="AK315" s="1360"/>
    </row>
    <row r="316" spans="2:72" ht="13.15" customHeight="1">
      <c r="B316" s="2" t="s">
        <v>1067</v>
      </c>
      <c r="C316" s="2"/>
      <c r="D316" s="2"/>
      <c r="E316" s="2"/>
      <c r="F316" s="2"/>
      <c r="G316" s="2"/>
      <c r="H316" s="1508" t="s">
        <v>2671</v>
      </c>
      <c r="I316" s="1508"/>
      <c r="J316" s="1508"/>
      <c r="K316" s="1508"/>
      <c r="L316" s="1508"/>
      <c r="M316" s="1508"/>
      <c r="N316" s="2" t="s">
        <v>1068</v>
      </c>
      <c r="O316" s="2"/>
      <c r="P316" s="1477"/>
      <c r="Q316" s="1477"/>
      <c r="R316" s="1477"/>
      <c r="S316" s="2"/>
      <c r="T316" s="2" t="s">
        <v>1067</v>
      </c>
      <c r="V316" s="2"/>
      <c r="W316" s="2"/>
      <c r="X316" s="2"/>
      <c r="Y316" s="2"/>
      <c r="AA316" s="1508" t="s">
        <v>2683</v>
      </c>
      <c r="AB316" s="1508"/>
      <c r="AC316" s="1508"/>
      <c r="AD316" s="1508"/>
      <c r="AE316" s="1508"/>
      <c r="AF316" s="1508"/>
      <c r="AG316" s="2" t="s">
        <v>1068</v>
      </c>
      <c r="AH316" s="2"/>
      <c r="AI316" s="1477"/>
      <c r="AJ316" s="1477"/>
      <c r="AK316" s="1477"/>
    </row>
    <row r="317" spans="2:72" ht="13.15" customHeight="1">
      <c r="B317" s="2" t="s">
        <v>1069</v>
      </c>
      <c r="C317" s="2"/>
      <c r="D317" s="2"/>
      <c r="E317" s="2"/>
      <c r="F317" s="2"/>
      <c r="G317" s="2"/>
      <c r="H317" s="1338"/>
      <c r="I317" s="1338"/>
      <c r="J317" s="1338"/>
      <c r="K317" s="1338"/>
      <c r="L317" s="1338"/>
      <c r="M317" s="1338"/>
      <c r="N317" s="2"/>
      <c r="O317" s="2"/>
      <c r="P317" s="68"/>
      <c r="Q317" s="68"/>
      <c r="R317" s="68"/>
      <c r="S317" s="2"/>
      <c r="T317" s="2" t="s">
        <v>1069</v>
      </c>
      <c r="V317" s="2"/>
      <c r="W317" s="2"/>
      <c r="X317" s="2"/>
      <c r="Y317" s="2"/>
      <c r="AA317" s="1338"/>
      <c r="AB317" s="1338"/>
      <c r="AC317" s="1338"/>
      <c r="AD317" s="1338"/>
      <c r="AE317" s="1338"/>
      <c r="AF317" s="1338"/>
      <c r="AG317" s="2"/>
      <c r="AH317" s="2"/>
      <c r="AI317" s="68"/>
      <c r="AJ317" s="68"/>
      <c r="AK317" s="68"/>
    </row>
    <row r="318" spans="2:72" ht="13.15" customHeight="1">
      <c r="B318" s="2" t="s">
        <v>1106</v>
      </c>
      <c r="C318" s="2"/>
      <c r="D318" s="2"/>
      <c r="E318" s="2"/>
      <c r="F318" s="2"/>
      <c r="G318" s="2"/>
      <c r="H318" s="1360" t="s">
        <v>2672</v>
      </c>
      <c r="I318" s="1360"/>
      <c r="J318" s="1360"/>
      <c r="K318" s="1360"/>
      <c r="L318" s="1360"/>
      <c r="M318" s="1360"/>
      <c r="N318" s="1399"/>
      <c r="O318" s="1399"/>
      <c r="P318" s="1399"/>
      <c r="Q318" s="1399"/>
      <c r="R318" s="1399"/>
      <c r="S318" s="2"/>
      <c r="T318" s="2" t="s">
        <v>1106</v>
      </c>
      <c r="V318" s="2"/>
      <c r="W318" s="2"/>
      <c r="X318" s="2"/>
      <c r="Y318" s="2"/>
      <c r="AA318" s="1360" t="s">
        <v>2684</v>
      </c>
      <c r="AB318" s="1360"/>
      <c r="AC318" s="1360"/>
      <c r="AD318" s="1360"/>
      <c r="AE318" s="1360"/>
      <c r="AF318" s="1360"/>
      <c r="AG318" s="1399"/>
      <c r="AH318" s="1399"/>
      <c r="AI318" s="1399"/>
      <c r="AJ318" s="1399"/>
      <c r="AK318" s="1399"/>
    </row>
    <row r="319" spans="2:72" ht="13.1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3.15" customHeight="1">
      <c r="B320" s="2" t="s">
        <v>1111</v>
      </c>
      <c r="C320" s="2"/>
      <c r="D320" s="2"/>
      <c r="E320" s="2"/>
      <c r="F320" s="2"/>
      <c r="H320" s="1399" t="s">
        <v>2796</v>
      </c>
      <c r="I320" s="1399"/>
      <c r="J320" s="1399"/>
      <c r="K320" s="1399"/>
      <c r="L320" s="1399"/>
      <c r="M320" s="1399"/>
      <c r="N320" s="1399"/>
      <c r="O320" s="1399"/>
      <c r="P320" s="1399"/>
      <c r="Q320" s="1399"/>
      <c r="R320" s="1399"/>
      <c r="S320" s="2"/>
      <c r="T320" s="2" t="s">
        <v>1112</v>
      </c>
      <c r="V320" s="2"/>
      <c r="W320" s="2"/>
      <c r="X320" s="2"/>
      <c r="Y320" s="2"/>
      <c r="AA320" s="1399" t="s">
        <v>2685</v>
      </c>
      <c r="AB320" s="1399"/>
      <c r="AC320" s="1399"/>
      <c r="AD320" s="1399"/>
      <c r="AE320" s="1399"/>
      <c r="AF320" s="1399"/>
      <c r="AG320" s="1399"/>
      <c r="AH320" s="1399"/>
      <c r="AI320" s="1399"/>
      <c r="AJ320" s="1399"/>
      <c r="AK320" s="1399"/>
    </row>
    <row r="321" spans="2:37" ht="13.15" customHeight="1">
      <c r="B321" s="2" t="s">
        <v>1103</v>
      </c>
      <c r="C321" s="2"/>
      <c r="D321" s="2"/>
      <c r="E321" s="2"/>
      <c r="F321" s="2"/>
      <c r="H321" s="1360" t="s">
        <v>2797</v>
      </c>
      <c r="I321" s="1360"/>
      <c r="J321" s="1360"/>
      <c r="K321" s="1360"/>
      <c r="L321" s="1360"/>
      <c r="M321" s="1360"/>
      <c r="N321" s="1360"/>
      <c r="O321" s="1360"/>
      <c r="P321" s="1360"/>
      <c r="Q321" s="1360"/>
      <c r="R321" s="1360"/>
      <c r="S321" s="2"/>
      <c r="T321" s="2" t="s">
        <v>1103</v>
      </c>
      <c r="V321" s="2"/>
      <c r="W321" s="2"/>
      <c r="X321" s="2"/>
      <c r="Y321" s="2"/>
      <c r="AA321" s="1360"/>
      <c r="AB321" s="1360"/>
      <c r="AC321" s="1360"/>
      <c r="AD321" s="1360"/>
      <c r="AE321" s="1360"/>
      <c r="AF321" s="1360"/>
      <c r="AG321" s="1360"/>
      <c r="AH321" s="1360"/>
      <c r="AI321" s="1360"/>
      <c r="AJ321" s="1360"/>
      <c r="AK321" s="1360"/>
    </row>
    <row r="322" spans="2:37" ht="13.15" customHeight="1">
      <c r="B322" s="2" t="s">
        <v>1104</v>
      </c>
      <c r="C322" s="2"/>
      <c r="D322" s="2"/>
      <c r="E322" s="2"/>
      <c r="F322" s="2"/>
      <c r="H322" s="1360" t="s">
        <v>2798</v>
      </c>
      <c r="I322" s="1360"/>
      <c r="J322" s="1360"/>
      <c r="K322" s="1360"/>
      <c r="L322" s="1360"/>
      <c r="M322" s="1360"/>
      <c r="N322" s="1360"/>
      <c r="O322" s="1360"/>
      <c r="P322" s="1360"/>
      <c r="Q322" s="1360"/>
      <c r="R322" s="1360"/>
      <c r="S322" s="2"/>
      <c r="T322" s="2" t="s">
        <v>1105</v>
      </c>
      <c r="V322" s="2"/>
      <c r="W322" s="2"/>
      <c r="X322" s="2"/>
      <c r="Y322" s="2"/>
      <c r="AA322" s="1360"/>
      <c r="AB322" s="1360"/>
      <c r="AC322" s="1360"/>
      <c r="AD322" s="1360"/>
      <c r="AE322" s="1360"/>
      <c r="AF322" s="1360"/>
      <c r="AG322" s="1360"/>
      <c r="AH322" s="1360"/>
      <c r="AI322" s="1360"/>
      <c r="AJ322" s="1360"/>
      <c r="AK322" s="1360"/>
    </row>
    <row r="323" spans="2:37" ht="13.15" customHeight="1">
      <c r="B323" s="2" t="s">
        <v>1066</v>
      </c>
      <c r="C323" s="2"/>
      <c r="D323" s="2"/>
      <c r="E323" s="2"/>
      <c r="F323" s="2"/>
      <c r="H323" s="1360" t="s">
        <v>2799</v>
      </c>
      <c r="I323" s="1360"/>
      <c r="J323" s="1360"/>
      <c r="K323" s="1360"/>
      <c r="L323" s="1360"/>
      <c r="M323" s="1360"/>
      <c r="N323" s="1360"/>
      <c r="O323" s="1360"/>
      <c r="P323" s="1360"/>
      <c r="Q323" s="1360"/>
      <c r="R323" s="1360"/>
      <c r="S323" s="2"/>
      <c r="T323" s="2" t="s">
        <v>1066</v>
      </c>
      <c r="V323" s="2"/>
      <c r="W323" s="2"/>
      <c r="X323" s="2"/>
      <c r="Y323" s="2"/>
      <c r="AA323" s="1360"/>
      <c r="AB323" s="1360"/>
      <c r="AC323" s="1360"/>
      <c r="AD323" s="1360"/>
      <c r="AE323" s="1360"/>
      <c r="AF323" s="1360"/>
      <c r="AG323" s="1360"/>
      <c r="AH323" s="1360"/>
      <c r="AI323" s="1360"/>
      <c r="AJ323" s="1360"/>
      <c r="AK323" s="1360"/>
    </row>
    <row r="324" spans="2:37" ht="13.15" customHeight="1">
      <c r="B324" s="2" t="s">
        <v>1067</v>
      </c>
      <c r="C324" s="2"/>
      <c r="D324" s="2"/>
      <c r="E324" s="2"/>
      <c r="F324" s="2"/>
      <c r="G324" s="2"/>
      <c r="H324" s="1508" t="s">
        <v>2800</v>
      </c>
      <c r="I324" s="1508"/>
      <c r="J324" s="1508"/>
      <c r="K324" s="1508"/>
      <c r="L324" s="1508"/>
      <c r="M324" s="1508"/>
      <c r="N324" s="2" t="s">
        <v>1068</v>
      </c>
      <c r="O324" s="2"/>
      <c r="P324" s="1477"/>
      <c r="Q324" s="1477"/>
      <c r="R324" s="1477"/>
      <c r="S324" s="2"/>
      <c r="T324" s="2" t="s">
        <v>1067</v>
      </c>
      <c r="V324" s="2"/>
      <c r="W324" s="2"/>
      <c r="X324" s="2"/>
      <c r="Y324" s="2"/>
      <c r="AA324" s="1508"/>
      <c r="AB324" s="1508"/>
      <c r="AC324" s="1508"/>
      <c r="AD324" s="1508"/>
      <c r="AE324" s="1508"/>
      <c r="AF324" s="1508"/>
      <c r="AG324" s="2" t="s">
        <v>1068</v>
      </c>
      <c r="AH324" s="2"/>
      <c r="AI324" s="1477"/>
      <c r="AJ324" s="1477"/>
      <c r="AK324" s="1477"/>
    </row>
    <row r="325" spans="2:37" ht="13.15" customHeight="1">
      <c r="B325" s="2" t="s">
        <v>1069</v>
      </c>
      <c r="C325" s="2"/>
      <c r="D325" s="2"/>
      <c r="E325" s="2"/>
      <c r="F325" s="2"/>
      <c r="G325" s="2"/>
      <c r="H325" s="1338"/>
      <c r="I325" s="1338"/>
      <c r="J325" s="1338"/>
      <c r="K325" s="1338"/>
      <c r="L325" s="1338"/>
      <c r="M325" s="1338"/>
      <c r="N325" s="2"/>
      <c r="O325" s="2"/>
      <c r="P325" s="68"/>
      <c r="Q325" s="68"/>
      <c r="R325" s="68"/>
      <c r="S325" s="2"/>
      <c r="T325" s="2" t="s">
        <v>1069</v>
      </c>
      <c r="V325" s="2"/>
      <c r="W325" s="2"/>
      <c r="X325" s="2"/>
      <c r="Y325" s="2"/>
      <c r="AA325" s="1338"/>
      <c r="AB325" s="1338"/>
      <c r="AC325" s="1338"/>
      <c r="AD325" s="1338"/>
      <c r="AE325" s="1338"/>
      <c r="AF325" s="1338"/>
      <c r="AG325" s="2"/>
      <c r="AH325" s="2"/>
      <c r="AI325" s="68"/>
      <c r="AJ325" s="68"/>
      <c r="AK325" s="68"/>
    </row>
    <row r="326" spans="2:37" ht="13.15" customHeight="1">
      <c r="B326" s="2" t="s">
        <v>1106</v>
      </c>
      <c r="C326" s="2"/>
      <c r="D326" s="2"/>
      <c r="E326" s="2"/>
      <c r="F326" s="2"/>
      <c r="G326" s="2"/>
      <c r="H326" s="1360" t="s">
        <v>2801</v>
      </c>
      <c r="I326" s="1360"/>
      <c r="J326" s="1360"/>
      <c r="K326" s="1360"/>
      <c r="L326" s="1360"/>
      <c r="M326" s="1360"/>
      <c r="N326" s="1399"/>
      <c r="O326" s="1399"/>
      <c r="P326" s="1399"/>
      <c r="Q326" s="1399"/>
      <c r="R326" s="1399"/>
      <c r="S326" s="2"/>
      <c r="T326" s="2" t="s">
        <v>1106</v>
      </c>
      <c r="V326" s="2"/>
      <c r="W326" s="2"/>
      <c r="X326" s="2"/>
      <c r="Y326" s="2"/>
      <c r="AA326" s="1360"/>
      <c r="AB326" s="1360"/>
      <c r="AC326" s="1360"/>
      <c r="AD326" s="1360"/>
      <c r="AE326" s="1360"/>
      <c r="AF326" s="1360"/>
      <c r="AG326" s="1399"/>
      <c r="AH326" s="1399"/>
      <c r="AI326" s="1399"/>
      <c r="AJ326" s="1399"/>
      <c r="AK326" s="1399"/>
    </row>
    <row r="327" spans="2:37" ht="13.15" customHeight="1"/>
    <row r="328" spans="2:37" ht="13.15" customHeight="1">
      <c r="B328" s="2" t="s">
        <v>1113</v>
      </c>
      <c r="C328" s="2"/>
      <c r="D328" s="2"/>
      <c r="E328" s="2"/>
      <c r="F328" s="2"/>
      <c r="H328" s="1399" t="s">
        <v>2686</v>
      </c>
      <c r="I328" s="1399"/>
      <c r="J328" s="1399"/>
      <c r="K328" s="1399"/>
      <c r="L328" s="1399"/>
      <c r="M328" s="1399"/>
      <c r="N328" s="1399"/>
      <c r="O328" s="1399"/>
      <c r="P328" s="1399"/>
      <c r="Q328" s="1399"/>
      <c r="R328" s="1399"/>
      <c r="T328" s="2" t="s">
        <v>1114</v>
      </c>
      <c r="V328" s="2"/>
      <c r="W328" s="2"/>
      <c r="X328" s="2"/>
      <c r="Y328" s="2"/>
      <c r="AA328" s="1399" t="s">
        <v>2692</v>
      </c>
      <c r="AB328" s="1399"/>
      <c r="AC328" s="1399"/>
      <c r="AD328" s="1399"/>
      <c r="AE328" s="1399"/>
      <c r="AF328" s="1399"/>
      <c r="AG328" s="1399"/>
      <c r="AH328" s="1399"/>
      <c r="AI328" s="1399"/>
      <c r="AJ328" s="1399"/>
      <c r="AK328" s="1399"/>
    </row>
    <row r="329" spans="2:37" ht="13.15" customHeight="1">
      <c r="B329" s="2" t="s">
        <v>1103</v>
      </c>
      <c r="C329" s="2"/>
      <c r="D329" s="2"/>
      <c r="E329" s="2"/>
      <c r="F329" s="2"/>
      <c r="H329" s="1360" t="s">
        <v>2687</v>
      </c>
      <c r="I329" s="1360"/>
      <c r="J329" s="1360"/>
      <c r="K329" s="1360"/>
      <c r="L329" s="1360"/>
      <c r="M329" s="1360"/>
      <c r="N329" s="1360"/>
      <c r="O329" s="1360"/>
      <c r="P329" s="1360"/>
      <c r="Q329" s="1360"/>
      <c r="R329" s="1360"/>
      <c r="T329" s="2" t="s">
        <v>1103</v>
      </c>
      <c r="V329" s="2"/>
      <c r="W329" s="2"/>
      <c r="X329" s="2"/>
      <c r="Y329" s="2"/>
      <c r="AA329" s="1360" t="s">
        <v>2693</v>
      </c>
      <c r="AB329" s="1360"/>
      <c r="AC329" s="1360"/>
      <c r="AD329" s="1360"/>
      <c r="AE329" s="1360"/>
      <c r="AF329" s="1360"/>
      <c r="AG329" s="1360"/>
      <c r="AH329" s="1360"/>
      <c r="AI329" s="1360"/>
      <c r="AJ329" s="1360"/>
      <c r="AK329" s="1360"/>
    </row>
    <row r="330" spans="2:37" ht="13.15" customHeight="1">
      <c r="B330" s="2" t="s">
        <v>1104</v>
      </c>
      <c r="C330" s="2"/>
      <c r="D330" s="2"/>
      <c r="E330" s="2"/>
      <c r="F330" s="2"/>
      <c r="H330" s="1360" t="s">
        <v>2688</v>
      </c>
      <c r="I330" s="1360"/>
      <c r="J330" s="1360"/>
      <c r="K330" s="1360"/>
      <c r="L330" s="1360"/>
      <c r="M330" s="1360"/>
      <c r="N330" s="1360"/>
      <c r="O330" s="1360"/>
      <c r="P330" s="1360"/>
      <c r="Q330" s="1360"/>
      <c r="R330" s="1360"/>
      <c r="T330" s="2" t="s">
        <v>1105</v>
      </c>
      <c r="V330" s="2"/>
      <c r="W330" s="2"/>
      <c r="X330" s="2"/>
      <c r="Y330" s="2"/>
      <c r="AA330" s="1360" t="s">
        <v>2694</v>
      </c>
      <c r="AB330" s="1360"/>
      <c r="AC330" s="1360"/>
      <c r="AD330" s="1360"/>
      <c r="AE330" s="1360"/>
      <c r="AF330" s="1360"/>
      <c r="AG330" s="1360"/>
      <c r="AH330" s="1360"/>
      <c r="AI330" s="1360"/>
      <c r="AJ330" s="1360"/>
      <c r="AK330" s="1360"/>
    </row>
    <row r="331" spans="2:37" ht="13.15" customHeight="1">
      <c r="B331" s="2" t="s">
        <v>1066</v>
      </c>
      <c r="C331" s="2"/>
      <c r="D331" s="2"/>
      <c r="E331" s="2"/>
      <c r="F331" s="2"/>
      <c r="H331" s="1360" t="s">
        <v>2689</v>
      </c>
      <c r="I331" s="1360"/>
      <c r="J331" s="1360"/>
      <c r="K331" s="1360"/>
      <c r="L331" s="1360"/>
      <c r="M331" s="1360"/>
      <c r="N331" s="1360"/>
      <c r="O331" s="1360"/>
      <c r="P331" s="1360"/>
      <c r="Q331" s="1360"/>
      <c r="R331" s="1360"/>
      <c r="T331" s="2" t="s">
        <v>1066</v>
      </c>
      <c r="V331" s="2"/>
      <c r="W331" s="2"/>
      <c r="X331" s="2"/>
      <c r="Y331" s="2"/>
      <c r="AA331" s="1360" t="s">
        <v>2695</v>
      </c>
      <c r="AB331" s="1360"/>
      <c r="AC331" s="1360"/>
      <c r="AD331" s="1360"/>
      <c r="AE331" s="1360"/>
      <c r="AF331" s="1360"/>
      <c r="AG331" s="1360"/>
      <c r="AH331" s="1360"/>
      <c r="AI331" s="1360"/>
      <c r="AJ331" s="1360"/>
      <c r="AK331" s="1360"/>
    </row>
    <row r="332" spans="2:37" ht="13.15" customHeight="1">
      <c r="B332" s="2" t="s">
        <v>1067</v>
      </c>
      <c r="C332" s="2"/>
      <c r="D332" s="2"/>
      <c r="E332" s="2"/>
      <c r="F332" s="2"/>
      <c r="G332" s="2"/>
      <c r="H332" s="1508" t="s">
        <v>2690</v>
      </c>
      <c r="I332" s="1508"/>
      <c r="J332" s="1508"/>
      <c r="K332" s="1508"/>
      <c r="L332" s="1508"/>
      <c r="M332" s="1508"/>
      <c r="N332" s="2" t="s">
        <v>1068</v>
      </c>
      <c r="O332" s="2"/>
      <c r="P332" s="1477"/>
      <c r="Q332" s="1477"/>
      <c r="R332" s="1477"/>
      <c r="S332" s="2"/>
      <c r="T332" s="2" t="s">
        <v>1067</v>
      </c>
      <c r="V332" s="2"/>
      <c r="W332" s="2"/>
      <c r="X332" s="2"/>
      <c r="Y332" s="2"/>
      <c r="AA332" s="1508" t="s">
        <v>2696</v>
      </c>
      <c r="AB332" s="1508"/>
      <c r="AC332" s="1508"/>
      <c r="AD332" s="1508"/>
      <c r="AE332" s="1508"/>
      <c r="AF332" s="1508"/>
      <c r="AG332" s="2" t="s">
        <v>1068</v>
      </c>
      <c r="AH332" s="2"/>
      <c r="AI332" s="1477"/>
      <c r="AJ332" s="1477"/>
      <c r="AK332" s="1477"/>
    </row>
    <row r="333" spans="2:37" ht="13.15" customHeight="1">
      <c r="B333" s="2" t="s">
        <v>1069</v>
      </c>
      <c r="C333" s="2"/>
      <c r="D333" s="2"/>
      <c r="E333" s="2"/>
      <c r="F333" s="2"/>
      <c r="G333" s="2"/>
      <c r="H333" s="1338"/>
      <c r="I333" s="1338"/>
      <c r="J333" s="1338"/>
      <c r="K333" s="1338"/>
      <c r="L333" s="1338"/>
      <c r="M333" s="1338"/>
      <c r="N333" s="2"/>
      <c r="O333" s="2"/>
      <c r="P333" s="68"/>
      <c r="Q333" s="68"/>
      <c r="R333" s="68"/>
      <c r="S333" s="2"/>
      <c r="T333" s="2" t="s">
        <v>1069</v>
      </c>
      <c r="V333" s="2"/>
      <c r="W333" s="2"/>
      <c r="X333" s="2"/>
      <c r="Y333" s="2"/>
      <c r="AA333" s="1338"/>
      <c r="AB333" s="1338"/>
      <c r="AC333" s="1338"/>
      <c r="AD333" s="1338"/>
      <c r="AE333" s="1338"/>
      <c r="AF333" s="1338"/>
      <c r="AG333" s="2"/>
      <c r="AH333" s="2"/>
      <c r="AI333" s="68"/>
      <c r="AJ333" s="68"/>
      <c r="AK333" s="68"/>
    </row>
    <row r="334" spans="2:37" ht="13.15" customHeight="1">
      <c r="B334" s="2" t="s">
        <v>1106</v>
      </c>
      <c r="C334" s="2"/>
      <c r="D334" s="2"/>
      <c r="E334" s="2"/>
      <c r="F334" s="2"/>
      <c r="G334" s="2"/>
      <c r="H334" s="1360" t="s">
        <v>2691</v>
      </c>
      <c r="I334" s="1360"/>
      <c r="J334" s="1360"/>
      <c r="K334" s="1360"/>
      <c r="L334" s="1360"/>
      <c r="M334" s="1360"/>
      <c r="N334" s="1399"/>
      <c r="O334" s="1399"/>
      <c r="P334" s="1399"/>
      <c r="Q334" s="1399"/>
      <c r="R334" s="1399"/>
      <c r="S334" s="2"/>
      <c r="T334" s="2" t="s">
        <v>1106</v>
      </c>
      <c r="V334" s="2"/>
      <c r="W334" s="2"/>
      <c r="X334" s="2"/>
      <c r="Y334" s="2"/>
      <c r="AA334" s="1360" t="s">
        <v>2697</v>
      </c>
      <c r="AB334" s="1360"/>
      <c r="AC334" s="1360"/>
      <c r="AD334" s="1360"/>
      <c r="AE334" s="1360"/>
      <c r="AF334" s="1360"/>
      <c r="AG334" s="1399"/>
      <c r="AH334" s="1399"/>
      <c r="AI334" s="1399"/>
      <c r="AJ334" s="1399"/>
      <c r="AK334" s="1399"/>
    </row>
    <row r="335" spans="2:37" ht="13.15" customHeight="1">
      <c r="B335" s="2"/>
      <c r="C335" s="2"/>
      <c r="D335" s="2"/>
      <c r="E335" s="2"/>
      <c r="F335" s="2"/>
      <c r="G335" s="2"/>
      <c r="P335" s="1165"/>
      <c r="Q335" s="1165"/>
      <c r="R335" s="1165"/>
      <c r="S335" s="1165"/>
      <c r="T335" s="1165"/>
      <c r="U335" s="1165"/>
      <c r="V335" s="2"/>
      <c r="W335" s="2"/>
      <c r="X335" s="68"/>
      <c r="Y335" s="68"/>
      <c r="Z335" s="68"/>
    </row>
    <row r="336" spans="2:37" ht="13.15" customHeight="1">
      <c r="B336" s="2" t="s">
        <v>1115</v>
      </c>
      <c r="C336" s="2"/>
      <c r="D336" s="2"/>
      <c r="E336" s="2"/>
      <c r="F336" s="2"/>
      <c r="H336" s="1399"/>
      <c r="I336" s="1399"/>
      <c r="J336" s="1399"/>
      <c r="K336" s="1399"/>
      <c r="L336" s="1399"/>
      <c r="M336" s="1399"/>
      <c r="N336" s="1399"/>
      <c r="O336" s="1399"/>
      <c r="P336" s="1399"/>
      <c r="Q336" s="1399"/>
      <c r="R336" s="1399"/>
      <c r="T336" s="2" t="s">
        <v>1116</v>
      </c>
      <c r="V336" s="2"/>
      <c r="W336" s="2"/>
      <c r="X336" s="2"/>
      <c r="Y336" s="2"/>
      <c r="AA336" s="1399"/>
      <c r="AB336" s="1399"/>
      <c r="AC336" s="1399"/>
      <c r="AD336" s="1399"/>
      <c r="AE336" s="1399"/>
      <c r="AF336" s="1399"/>
      <c r="AG336" s="1399"/>
      <c r="AH336" s="1399"/>
      <c r="AI336" s="1399"/>
      <c r="AJ336" s="1399"/>
      <c r="AK336" s="1399"/>
    </row>
    <row r="337" spans="2:66" ht="13.15" customHeight="1">
      <c r="B337" s="2" t="s">
        <v>1103</v>
      </c>
      <c r="C337" s="2"/>
      <c r="D337" s="2"/>
      <c r="E337" s="2"/>
      <c r="F337" s="2"/>
      <c r="H337" s="1360"/>
      <c r="I337" s="1360"/>
      <c r="J337" s="1360"/>
      <c r="K337" s="1360"/>
      <c r="L337" s="1360"/>
      <c r="M337" s="1360"/>
      <c r="N337" s="1360"/>
      <c r="O337" s="1360"/>
      <c r="P337" s="1360"/>
      <c r="Q337" s="1360"/>
      <c r="R337" s="1360"/>
      <c r="T337" s="2" t="s">
        <v>1103</v>
      </c>
      <c r="V337" s="2"/>
      <c r="W337" s="2"/>
      <c r="X337" s="2"/>
      <c r="Y337" s="2"/>
      <c r="AA337" s="1360"/>
      <c r="AB337" s="1360"/>
      <c r="AC337" s="1360"/>
      <c r="AD337" s="1360"/>
      <c r="AE337" s="1360"/>
      <c r="AF337" s="1360"/>
      <c r="AG337" s="1360"/>
      <c r="AH337" s="1360"/>
      <c r="AI337" s="1360"/>
      <c r="AJ337" s="1360"/>
      <c r="AK337" s="1360"/>
    </row>
    <row r="338" spans="2:66" ht="13.15" customHeight="1">
      <c r="B338" s="2" t="s">
        <v>1104</v>
      </c>
      <c r="C338" s="2"/>
      <c r="D338" s="2"/>
      <c r="E338" s="2"/>
      <c r="F338" s="2"/>
      <c r="H338" s="1360"/>
      <c r="I338" s="1360"/>
      <c r="J338" s="1360"/>
      <c r="K338" s="1360"/>
      <c r="L338" s="1360"/>
      <c r="M338" s="1360"/>
      <c r="N338" s="1360"/>
      <c r="O338" s="1360"/>
      <c r="P338" s="1360"/>
      <c r="Q338" s="1360"/>
      <c r="R338" s="1360"/>
      <c r="T338" s="2" t="s">
        <v>1105</v>
      </c>
      <c r="V338" s="2"/>
      <c r="W338" s="2"/>
      <c r="X338" s="2"/>
      <c r="Y338" s="2"/>
      <c r="AA338" s="1360"/>
      <c r="AB338" s="1360"/>
      <c r="AC338" s="1360"/>
      <c r="AD338" s="1360"/>
      <c r="AE338" s="1360"/>
      <c r="AF338" s="1360"/>
      <c r="AG338" s="1360"/>
      <c r="AH338" s="1360"/>
      <c r="AI338" s="1360"/>
      <c r="AJ338" s="1360"/>
      <c r="AK338" s="1360"/>
    </row>
    <row r="339" spans="2:66" ht="13.15" customHeight="1">
      <c r="B339" s="2" t="s">
        <v>1066</v>
      </c>
      <c r="C339" s="2"/>
      <c r="D339" s="2"/>
      <c r="E339" s="2"/>
      <c r="F339" s="2"/>
      <c r="H339" s="1360"/>
      <c r="I339" s="1360"/>
      <c r="J339" s="1360"/>
      <c r="K339" s="1360"/>
      <c r="L339" s="1360"/>
      <c r="M339" s="1360"/>
      <c r="N339" s="1360"/>
      <c r="O339" s="1360"/>
      <c r="P339" s="1360"/>
      <c r="Q339" s="1360"/>
      <c r="R339" s="1360"/>
      <c r="T339" s="2" t="s">
        <v>1066</v>
      </c>
      <c r="V339" s="2"/>
      <c r="W339" s="2"/>
      <c r="X339" s="2"/>
      <c r="Y339" s="2"/>
      <c r="AA339" s="1360"/>
      <c r="AB339" s="1360"/>
      <c r="AC339" s="1360"/>
      <c r="AD339" s="1360"/>
      <c r="AE339" s="1360"/>
      <c r="AF339" s="1360"/>
      <c r="AG339" s="1360"/>
      <c r="AH339" s="1360"/>
      <c r="AI339" s="1360"/>
      <c r="AJ339" s="1360"/>
      <c r="AK339" s="1360"/>
    </row>
    <row r="340" spans="2:66" ht="13.15" customHeight="1">
      <c r="B340" s="2" t="s">
        <v>1067</v>
      </c>
      <c r="C340" s="2"/>
      <c r="D340" s="2"/>
      <c r="E340" s="2"/>
      <c r="F340" s="2"/>
      <c r="G340" s="2"/>
      <c r="H340" s="1508"/>
      <c r="I340" s="1508"/>
      <c r="J340" s="1508"/>
      <c r="K340" s="1508"/>
      <c r="L340" s="1508"/>
      <c r="M340" s="1508"/>
      <c r="N340" s="2" t="s">
        <v>1068</v>
      </c>
      <c r="O340" s="2"/>
      <c r="P340" s="1477"/>
      <c r="Q340" s="1477"/>
      <c r="R340" s="1477"/>
      <c r="S340" s="2"/>
      <c r="T340" s="2" t="s">
        <v>1067</v>
      </c>
      <c r="V340" s="2"/>
      <c r="W340" s="2"/>
      <c r="X340" s="2"/>
      <c r="Y340" s="2"/>
      <c r="AA340" s="1508"/>
      <c r="AB340" s="1508"/>
      <c r="AC340" s="1508"/>
      <c r="AD340" s="1508"/>
      <c r="AE340" s="1508"/>
      <c r="AF340" s="1508"/>
      <c r="AG340" s="2" t="s">
        <v>1068</v>
      </c>
      <c r="AH340" s="2"/>
      <c r="AI340" s="1477"/>
      <c r="AJ340" s="1477"/>
      <c r="AK340" s="1477"/>
    </row>
    <row r="341" spans="2:66" ht="13.15" customHeight="1">
      <c r="B341" s="2" t="s">
        <v>1069</v>
      </c>
      <c r="C341" s="2"/>
      <c r="D341" s="2"/>
      <c r="E341" s="2"/>
      <c r="F341" s="2"/>
      <c r="G341" s="2"/>
      <c r="H341" s="1338"/>
      <c r="I341" s="1338"/>
      <c r="J341" s="1338"/>
      <c r="K341" s="1338"/>
      <c r="L341" s="1338"/>
      <c r="M341" s="1338"/>
      <c r="N341" s="2"/>
      <c r="O341" s="2"/>
      <c r="P341" s="68"/>
      <c r="Q341" s="68"/>
      <c r="R341" s="68"/>
      <c r="S341" s="2"/>
      <c r="T341" s="2" t="s">
        <v>1069</v>
      </c>
      <c r="V341" s="2"/>
      <c r="W341" s="2"/>
      <c r="X341" s="2"/>
      <c r="Y341" s="2"/>
      <c r="AA341" s="1338"/>
      <c r="AB341" s="1338"/>
      <c r="AC341" s="1338"/>
      <c r="AD341" s="1338"/>
      <c r="AE341" s="1338"/>
      <c r="AF341" s="1338"/>
      <c r="AG341" s="2"/>
      <c r="AH341" s="2"/>
      <c r="AI341" s="68"/>
      <c r="AJ341" s="68"/>
      <c r="AK341" s="68"/>
    </row>
    <row r="342" spans="2:66" ht="13.15" customHeight="1">
      <c r="B342" s="2" t="s">
        <v>1106</v>
      </c>
      <c r="C342" s="2"/>
      <c r="D342" s="2"/>
      <c r="E342" s="2"/>
      <c r="F342" s="2"/>
      <c r="G342" s="2"/>
      <c r="H342" s="1360"/>
      <c r="I342" s="1360"/>
      <c r="J342" s="1360"/>
      <c r="K342" s="1360"/>
      <c r="L342" s="1360"/>
      <c r="M342" s="1360"/>
      <c r="N342" s="1399"/>
      <c r="O342" s="1399"/>
      <c r="P342" s="1399"/>
      <c r="Q342" s="1399"/>
      <c r="R342" s="1399"/>
      <c r="S342" s="2"/>
      <c r="T342" s="2" t="s">
        <v>1106</v>
      </c>
      <c r="V342" s="2"/>
      <c r="W342" s="2"/>
      <c r="X342" s="2"/>
      <c r="Y342" s="2"/>
      <c r="AA342" s="1360"/>
      <c r="AB342" s="1360"/>
      <c r="AC342" s="1360"/>
      <c r="AD342" s="1360"/>
      <c r="AE342" s="1360"/>
      <c r="AF342" s="1360"/>
      <c r="AG342" s="1399"/>
      <c r="AH342" s="1399"/>
      <c r="AI342" s="1399"/>
      <c r="AJ342" s="1399"/>
      <c r="AK342" s="1399"/>
    </row>
    <row r="343" spans="2:66" ht="13.15" customHeight="1">
      <c r="B343" s="2"/>
      <c r="C343" s="2"/>
      <c r="D343" s="2"/>
      <c r="E343" s="2"/>
      <c r="F343" s="2"/>
      <c r="G343" s="2"/>
      <c r="P343" s="1165"/>
      <c r="Q343" s="1165"/>
      <c r="R343" s="1165"/>
      <c r="S343" s="1165"/>
      <c r="T343" s="1165"/>
      <c r="U343" s="1165"/>
      <c r="V343" s="2"/>
      <c r="W343" s="2"/>
      <c r="X343" s="68"/>
      <c r="Y343" s="68"/>
      <c r="Z343" s="68"/>
    </row>
    <row r="344" spans="2:66" ht="13.15" customHeight="1">
      <c r="B344" s="2" t="s">
        <v>1117</v>
      </c>
      <c r="C344" s="2"/>
      <c r="D344" s="2"/>
      <c r="E344" s="2"/>
      <c r="F344" s="2"/>
      <c r="H344" s="1399" t="s">
        <v>2698</v>
      </c>
      <c r="I344" s="1399"/>
      <c r="J344" s="1399"/>
      <c r="K344" s="1399"/>
      <c r="L344" s="1399"/>
      <c r="M344" s="1399"/>
      <c r="N344" s="1399"/>
      <c r="O344" s="1399"/>
      <c r="P344" s="1399"/>
      <c r="Q344" s="1399"/>
      <c r="R344" s="1399"/>
      <c r="T344" s="114" t="s">
        <v>1118</v>
      </c>
      <c r="V344" s="2"/>
      <c r="W344" s="2"/>
      <c r="X344" s="2"/>
      <c r="Y344" s="2"/>
      <c r="AA344" s="1399" t="s">
        <v>2705</v>
      </c>
      <c r="AB344" s="1399"/>
      <c r="AC344" s="1399"/>
      <c r="AD344" s="1399"/>
      <c r="AE344" s="1399"/>
      <c r="AF344" s="1399"/>
      <c r="AG344" s="1399"/>
      <c r="AH344" s="1399"/>
      <c r="AI344" s="1399"/>
      <c r="AJ344" s="1399"/>
      <c r="AK344" s="1399"/>
    </row>
    <row r="345" spans="2:66" ht="13.15" customHeight="1">
      <c r="B345" s="2" t="s">
        <v>1103</v>
      </c>
      <c r="C345" s="2"/>
      <c r="D345" s="2"/>
      <c r="E345" s="2"/>
      <c r="F345" s="2"/>
      <c r="H345" s="1360" t="s">
        <v>2699</v>
      </c>
      <c r="I345" s="1360"/>
      <c r="J345" s="1360"/>
      <c r="K345" s="1360"/>
      <c r="L345" s="1360"/>
      <c r="M345" s="1360"/>
      <c r="N345" s="1360"/>
      <c r="O345" s="1360"/>
      <c r="P345" s="1360"/>
      <c r="Q345" s="1360"/>
      <c r="R345" s="1360"/>
      <c r="T345" s="2" t="s">
        <v>1103</v>
      </c>
      <c r="V345" s="2"/>
      <c r="W345" s="2"/>
      <c r="X345" s="2"/>
      <c r="Y345" s="2"/>
      <c r="AA345" s="1360" t="s">
        <v>2706</v>
      </c>
      <c r="AB345" s="1360"/>
      <c r="AC345" s="1360"/>
      <c r="AD345" s="1360"/>
      <c r="AE345" s="1360"/>
      <c r="AF345" s="1360"/>
      <c r="AG345" s="1360"/>
      <c r="AH345" s="1360"/>
      <c r="AI345" s="1360"/>
      <c r="AJ345" s="1360"/>
      <c r="AK345" s="1360"/>
    </row>
    <row r="346" spans="2:66" ht="13.15" customHeight="1">
      <c r="B346" s="2" t="s">
        <v>1105</v>
      </c>
      <c r="C346" s="2"/>
      <c r="D346" s="2"/>
      <c r="E346" s="2"/>
      <c r="F346" s="2"/>
      <c r="H346" s="1360" t="s">
        <v>2700</v>
      </c>
      <c r="I346" s="1360"/>
      <c r="J346" s="1360"/>
      <c r="K346" s="1360"/>
      <c r="L346" s="1360"/>
      <c r="M346" s="1360"/>
      <c r="N346" s="1360"/>
      <c r="O346" s="1360"/>
      <c r="P346" s="1360"/>
      <c r="Q346" s="1360"/>
      <c r="R346" s="1360"/>
      <c r="T346" s="2" t="s">
        <v>1105</v>
      </c>
      <c r="V346" s="2"/>
      <c r="W346" s="2"/>
      <c r="X346" s="2"/>
      <c r="Y346" s="2"/>
      <c r="AA346" s="1360" t="s">
        <v>2707</v>
      </c>
      <c r="AB346" s="1360"/>
      <c r="AC346" s="1360"/>
      <c r="AD346" s="1360"/>
      <c r="AE346" s="1360"/>
      <c r="AF346" s="1360"/>
      <c r="AG346" s="1360"/>
      <c r="AH346" s="1360"/>
      <c r="AI346" s="1360"/>
      <c r="AJ346" s="1360"/>
      <c r="AK346" s="1360"/>
    </row>
    <row r="347" spans="2:66" ht="13.15" customHeight="1">
      <c r="B347" s="2" t="s">
        <v>1066</v>
      </c>
      <c r="C347" s="2"/>
      <c r="D347" s="2"/>
      <c r="E347" s="2"/>
      <c r="F347" s="2"/>
      <c r="G347" s="2"/>
      <c r="H347" s="1360" t="s">
        <v>2701</v>
      </c>
      <c r="I347" s="1360"/>
      <c r="J347" s="1360"/>
      <c r="K347" s="1360"/>
      <c r="L347" s="1360"/>
      <c r="M347" s="1360"/>
      <c r="N347" s="1360"/>
      <c r="O347" s="1360"/>
      <c r="P347" s="1360"/>
      <c r="Q347" s="1360"/>
      <c r="R347" s="1360"/>
      <c r="T347" s="2" t="s">
        <v>1066</v>
      </c>
      <c r="V347" s="2"/>
      <c r="W347" s="2"/>
      <c r="X347" s="2"/>
      <c r="Y347" s="2"/>
      <c r="AA347" s="1339" t="s">
        <v>2805</v>
      </c>
      <c r="AB347" s="1360"/>
      <c r="AC347" s="1360"/>
      <c r="AD347" s="1360"/>
      <c r="AE347" s="1360"/>
      <c r="AF347" s="1360"/>
      <c r="AG347" s="1360"/>
      <c r="AH347" s="1360"/>
      <c r="AI347" s="1360"/>
      <c r="AJ347" s="1360"/>
      <c r="AK347" s="1360"/>
    </row>
    <row r="348" spans="2:66" ht="13.15" customHeight="1">
      <c r="B348" s="2" t="s">
        <v>1067</v>
      </c>
      <c r="C348" s="2"/>
      <c r="D348" s="2"/>
      <c r="E348" s="2"/>
      <c r="F348" s="2"/>
      <c r="G348" s="2"/>
      <c r="H348" s="1508" t="s">
        <v>2702</v>
      </c>
      <c r="I348" s="1508"/>
      <c r="J348" s="1508"/>
      <c r="K348" s="1508"/>
      <c r="L348" s="1508"/>
      <c r="M348" s="1508"/>
      <c r="N348" s="2" t="s">
        <v>1068</v>
      </c>
      <c r="O348" s="2"/>
      <c r="P348" s="1477"/>
      <c r="Q348" s="1477"/>
      <c r="R348" s="1477"/>
      <c r="S348" s="2"/>
      <c r="T348" s="2" t="s">
        <v>1067</v>
      </c>
      <c r="V348" s="2"/>
      <c r="W348" s="2"/>
      <c r="X348" s="2"/>
      <c r="Y348" s="2"/>
      <c r="AA348" s="1508" t="s">
        <v>2806</v>
      </c>
      <c r="AB348" s="1508"/>
      <c r="AC348" s="1508"/>
      <c r="AD348" s="1508"/>
      <c r="AE348" s="1508"/>
      <c r="AF348" s="1508"/>
      <c r="AG348" s="2" t="s">
        <v>1068</v>
      </c>
      <c r="AH348" s="2"/>
      <c r="AI348" s="1477"/>
      <c r="AJ348" s="1477"/>
      <c r="AK348" s="1477"/>
    </row>
    <row r="349" spans="2:66" ht="13.15" customHeight="1">
      <c r="B349" s="2" t="s">
        <v>1069</v>
      </c>
      <c r="C349" s="2"/>
      <c r="D349" s="2"/>
      <c r="E349" s="2"/>
      <c r="F349" s="2"/>
      <c r="G349" s="2"/>
      <c r="H349" s="1338" t="s">
        <v>2703</v>
      </c>
      <c r="I349" s="1338"/>
      <c r="J349" s="1338"/>
      <c r="K349" s="1338"/>
      <c r="L349" s="1338"/>
      <c r="M349" s="1338"/>
      <c r="N349" s="2"/>
      <c r="O349" s="2"/>
      <c r="P349" s="68"/>
      <c r="Q349" s="68"/>
      <c r="R349" s="68"/>
      <c r="S349" s="2"/>
      <c r="T349" s="2" t="s">
        <v>1069</v>
      </c>
      <c r="V349" s="2"/>
      <c r="W349" s="2"/>
      <c r="X349" s="2"/>
      <c r="Y349" s="2"/>
      <c r="AA349" s="1338" t="s">
        <v>2806</v>
      </c>
      <c r="AB349" s="1338"/>
      <c r="AC349" s="1338"/>
      <c r="AD349" s="1338"/>
      <c r="AE349" s="1338"/>
      <c r="AF349" s="1338"/>
      <c r="AG349" s="2"/>
      <c r="AH349" s="2"/>
      <c r="AI349" s="68"/>
      <c r="AJ349" s="68"/>
      <c r="AK349" s="68"/>
    </row>
    <row r="350" spans="2:66" ht="13.15" customHeight="1">
      <c r="B350" s="2" t="s">
        <v>1106</v>
      </c>
      <c r="C350" s="2"/>
      <c r="D350" s="2"/>
      <c r="E350" s="2"/>
      <c r="F350" s="2"/>
      <c r="G350" s="2"/>
      <c r="H350" s="1360" t="s">
        <v>2704</v>
      </c>
      <c r="I350" s="1360"/>
      <c r="J350" s="1360"/>
      <c r="K350" s="1360"/>
      <c r="L350" s="1360"/>
      <c r="M350" s="1360"/>
      <c r="N350" s="1399"/>
      <c r="O350" s="1399"/>
      <c r="P350" s="1399"/>
      <c r="Q350" s="1399"/>
      <c r="R350" s="1399"/>
      <c r="S350" s="2"/>
      <c r="T350" s="2" t="s">
        <v>1106</v>
      </c>
      <c r="V350" s="2"/>
      <c r="W350" s="2"/>
      <c r="X350" s="2"/>
      <c r="Y350" s="2"/>
      <c r="AA350" s="1339" t="s">
        <v>2807</v>
      </c>
      <c r="AB350" s="1360"/>
      <c r="AC350" s="1360"/>
      <c r="AD350" s="1360"/>
      <c r="AE350" s="1360"/>
      <c r="AF350" s="1360"/>
      <c r="AG350" s="1399"/>
      <c r="AH350" s="1399"/>
      <c r="AI350" s="1399"/>
      <c r="AJ350" s="1399"/>
      <c r="AK350" s="1399"/>
    </row>
    <row r="351" spans="2:66" ht="13.1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3.15" customHeight="1">
      <c r="B352" s="2"/>
      <c r="C352" s="2"/>
      <c r="D352" s="2"/>
      <c r="E352" s="2"/>
      <c r="F352" s="2"/>
      <c r="I352" s="114" t="s">
        <v>1119</v>
      </c>
      <c r="P352" s="1399"/>
      <c r="Q352" s="1399"/>
      <c r="R352" s="1399"/>
      <c r="S352" s="1399"/>
      <c r="T352" s="1399"/>
      <c r="U352" s="1399"/>
      <c r="V352" s="1399"/>
      <c r="W352" s="1399"/>
      <c r="X352" s="1399"/>
      <c r="Y352" s="1399"/>
      <c r="Z352" s="1399"/>
      <c r="AA352" s="1399"/>
      <c r="AB352" s="1399"/>
      <c r="AC352" s="1399"/>
      <c r="AD352" s="1399"/>
      <c r="AE352" s="1399"/>
      <c r="BN352" t="s">
        <v>696</v>
      </c>
    </row>
    <row r="353" spans="1:66" ht="13.15" customHeight="1">
      <c r="B353" s="2"/>
      <c r="C353" s="2"/>
      <c r="D353" s="2"/>
      <c r="E353" s="2"/>
      <c r="F353" s="2"/>
      <c r="I353" s="2" t="s">
        <v>1103</v>
      </c>
      <c r="P353" s="1360"/>
      <c r="Q353" s="1360"/>
      <c r="R353" s="1360"/>
      <c r="S353" s="1360"/>
      <c r="T353" s="1360"/>
      <c r="U353" s="1360"/>
      <c r="V353" s="1360"/>
      <c r="W353" s="1360"/>
      <c r="X353" s="1360"/>
      <c r="Y353" s="1360"/>
      <c r="Z353" s="1360"/>
      <c r="AA353" s="1360"/>
      <c r="AB353" s="1360"/>
      <c r="AC353" s="1360"/>
      <c r="AD353" s="1360"/>
      <c r="AE353" s="1360"/>
      <c r="BN353" t="s">
        <v>847</v>
      </c>
    </row>
    <row r="354" spans="1:66" ht="13.15" customHeight="1">
      <c r="B354" s="2"/>
      <c r="C354" s="2"/>
      <c r="D354" s="2"/>
      <c r="E354" s="2"/>
      <c r="F354" s="2"/>
      <c r="I354" s="2" t="s">
        <v>1105</v>
      </c>
      <c r="P354" s="1360"/>
      <c r="Q354" s="1360"/>
      <c r="R354" s="1360"/>
      <c r="S354" s="1360"/>
      <c r="T354" s="1360"/>
      <c r="U354" s="1360"/>
      <c r="V354" s="1360"/>
      <c r="W354" s="1360"/>
      <c r="X354" s="1360"/>
      <c r="Y354" s="1360"/>
      <c r="Z354" s="1360"/>
      <c r="AA354" s="1360"/>
      <c r="AB354" s="1360"/>
      <c r="AC354" s="1360"/>
      <c r="AD354" s="1360"/>
      <c r="AE354" s="1360"/>
    </row>
    <row r="355" spans="1:66" ht="13.15" customHeight="1">
      <c r="B355" s="2"/>
      <c r="C355" s="2"/>
      <c r="D355" s="2"/>
      <c r="E355" s="2"/>
      <c r="F355" s="2"/>
      <c r="G355" s="2"/>
      <c r="I355" s="2" t="s">
        <v>1066</v>
      </c>
      <c r="P355" s="1360"/>
      <c r="Q355" s="1360"/>
      <c r="R355" s="1360"/>
      <c r="S355" s="1360"/>
      <c r="T355" s="1360"/>
      <c r="U355" s="1360"/>
      <c r="V355" s="1360"/>
      <c r="W355" s="1360"/>
      <c r="X355" s="1360"/>
      <c r="Y355" s="1360"/>
      <c r="Z355" s="1360"/>
      <c r="AA355" s="1360"/>
      <c r="AB355" s="1360"/>
      <c r="AC355" s="1360"/>
      <c r="AD355" s="1360"/>
      <c r="AE355" s="1360"/>
    </row>
    <row r="356" spans="1:66" ht="13.15" customHeight="1">
      <c r="B356" s="2"/>
      <c r="C356" s="2"/>
      <c r="D356" s="2"/>
      <c r="E356" s="2"/>
      <c r="F356" s="2"/>
      <c r="G356" s="2"/>
      <c r="H356" s="1166"/>
      <c r="I356" s="2" t="s">
        <v>1067</v>
      </c>
      <c r="P356" s="1338"/>
      <c r="Q356" s="1338"/>
      <c r="R356" s="1338"/>
      <c r="S356" s="1338"/>
      <c r="T356" s="1338"/>
      <c r="U356" s="1338"/>
      <c r="V356" s="1338"/>
      <c r="W356" s="1338"/>
      <c r="X356" s="1338"/>
      <c r="Y356" s="1338"/>
      <c r="Z356" s="1338"/>
      <c r="AA356" s="2" t="s">
        <v>1068</v>
      </c>
      <c r="AB356" s="2"/>
      <c r="AC356" s="1339"/>
      <c r="AD356" s="1339"/>
      <c r="AE356" s="1339"/>
      <c r="AF356" s="1166"/>
      <c r="AG356" s="2"/>
      <c r="AH356" s="2"/>
      <c r="AI356" s="2"/>
      <c r="AJ356" s="2"/>
      <c r="AK356" s="2"/>
    </row>
    <row r="357" spans="1:66" ht="13.15" customHeight="1">
      <c r="B357" s="2"/>
      <c r="C357" s="2"/>
      <c r="D357" s="2"/>
      <c r="E357" s="2"/>
      <c r="F357" s="2"/>
      <c r="G357" s="2"/>
      <c r="H357" s="1166"/>
      <c r="I357" s="2" t="s">
        <v>1069</v>
      </c>
      <c r="P357" s="1338"/>
      <c r="Q357" s="1338"/>
      <c r="R357" s="1338"/>
      <c r="S357" s="1338"/>
      <c r="T357" s="1338"/>
      <c r="U357" s="1338"/>
      <c r="V357" s="1338"/>
      <c r="W357" s="1338"/>
      <c r="X357" s="1338"/>
      <c r="Y357" s="1338"/>
      <c r="Z357" s="1338"/>
      <c r="AF357" s="1166"/>
      <c r="AG357" s="2"/>
      <c r="AH357" s="2"/>
      <c r="AI357" s="68"/>
      <c r="AJ357" s="68"/>
      <c r="AK357" s="68"/>
    </row>
    <row r="358" spans="1:66" ht="13.15" customHeight="1">
      <c r="B358" s="2"/>
      <c r="C358" s="2"/>
      <c r="D358" s="2"/>
      <c r="E358" s="2"/>
      <c r="F358" s="2"/>
      <c r="G358" s="2"/>
      <c r="I358" s="2" t="s">
        <v>1106</v>
      </c>
      <c r="P358" s="1399"/>
      <c r="Q358" s="1399"/>
      <c r="R358" s="1399"/>
      <c r="S358" s="1399"/>
      <c r="T358" s="1399"/>
      <c r="U358" s="1399"/>
      <c r="V358" s="1399"/>
      <c r="W358" s="1399"/>
      <c r="X358" s="1399"/>
      <c r="Y358" s="1399"/>
      <c r="Z358" s="1399"/>
      <c r="AA358" s="1399"/>
      <c r="AB358" s="1399"/>
      <c r="AC358" s="1399"/>
      <c r="AD358" s="1399"/>
      <c r="AE358" s="1399"/>
    </row>
    <row r="359" spans="1:66" ht="13.15" customHeight="1">
      <c r="T359" s="6"/>
      <c r="U359" s="6"/>
      <c r="V359" s="6"/>
      <c r="W359" s="6"/>
      <c r="X359" s="6"/>
      <c r="Y359" s="6"/>
      <c r="Z359" s="6"/>
      <c r="AU359" s="54"/>
      <c r="AV359" s="54"/>
      <c r="AW359" s="54"/>
      <c r="AX359" s="54"/>
      <c r="AY359" s="54"/>
    </row>
    <row r="360" spans="1:66" ht="13.15" customHeight="1">
      <c r="A360" s="1500" t="s">
        <v>1120</v>
      </c>
      <c r="B360" s="1500"/>
      <c r="C360" s="1500"/>
      <c r="D360" s="1500"/>
      <c r="E360" s="1500"/>
      <c r="F360" s="1500"/>
      <c r="G360" s="1500"/>
      <c r="H360" s="1500"/>
      <c r="I360" s="1500"/>
      <c r="J360" s="1500"/>
      <c r="K360" s="1500"/>
      <c r="L360" s="1500"/>
      <c r="M360" s="1500"/>
      <c r="N360" s="1500"/>
      <c r="O360" s="1500"/>
      <c r="P360" s="1500"/>
      <c r="Q360" s="1500"/>
      <c r="R360" s="1500"/>
      <c r="S360" s="1500"/>
      <c r="T360" s="1500"/>
      <c r="U360" s="1500"/>
      <c r="V360" s="1500"/>
      <c r="W360" s="1500"/>
      <c r="X360" s="1500"/>
      <c r="Y360" s="1500"/>
      <c r="Z360" s="1500"/>
      <c r="AA360" s="1500"/>
      <c r="AB360" s="1500"/>
      <c r="AC360" s="1500"/>
      <c r="AD360" s="1500"/>
      <c r="AE360" s="1500"/>
      <c r="AF360" s="1500"/>
      <c r="AG360" s="1500"/>
      <c r="AH360" s="1500"/>
      <c r="AI360" s="1500"/>
      <c r="AJ360" s="1500"/>
      <c r="AK360" s="1500"/>
      <c r="AL360" s="1500"/>
      <c r="AM360" s="1500"/>
      <c r="AN360" s="1500"/>
      <c r="AO360" s="1500"/>
      <c r="AP360" s="1500"/>
      <c r="AQ360" s="1500"/>
      <c r="AR360" s="1500"/>
      <c r="AS360" s="1500"/>
      <c r="AT360" s="1500"/>
      <c r="AU360" s="54"/>
      <c r="AV360" s="54"/>
      <c r="AW360" s="54"/>
      <c r="AX360" s="54"/>
      <c r="AY360" s="54"/>
    </row>
    <row r="361" spans="1:66" ht="13.15" customHeight="1">
      <c r="A361" s="1500"/>
      <c r="B361" s="1500"/>
      <c r="C361" s="1500"/>
      <c r="D361" s="1500"/>
      <c r="E361" s="1500"/>
      <c r="F361" s="1500"/>
      <c r="G361" s="1500"/>
      <c r="H361" s="1500"/>
      <c r="I361" s="1500"/>
      <c r="J361" s="1500"/>
      <c r="K361" s="1500"/>
      <c r="L361" s="1500"/>
      <c r="M361" s="1500"/>
      <c r="N361" s="1500"/>
      <c r="O361" s="1500"/>
      <c r="P361" s="1500"/>
      <c r="Q361" s="1500"/>
      <c r="R361" s="1500"/>
      <c r="S361" s="1500"/>
      <c r="T361" s="1500"/>
      <c r="U361" s="1500"/>
      <c r="V361" s="1500"/>
      <c r="W361" s="1500"/>
      <c r="X361" s="1500"/>
      <c r="Y361" s="1500"/>
      <c r="Z361" s="1500"/>
      <c r="AA361" s="1500"/>
      <c r="AB361" s="1500"/>
      <c r="AC361" s="1500"/>
      <c r="AD361" s="1500"/>
      <c r="AE361" s="1500"/>
      <c r="AF361" s="1500"/>
      <c r="AG361" s="1500"/>
      <c r="AH361" s="1500"/>
      <c r="AI361" s="1500"/>
      <c r="AJ361" s="1500"/>
      <c r="AK361" s="1500"/>
      <c r="AL361" s="1500"/>
      <c r="AM361" s="1500"/>
      <c r="AN361" s="1500"/>
      <c r="AO361" s="1500"/>
      <c r="AP361" s="1500"/>
      <c r="AQ361" s="1500"/>
      <c r="AR361" s="1500"/>
      <c r="AS361" s="1500"/>
      <c r="AT361" s="1500"/>
      <c r="AU361" s="19"/>
      <c r="AV361" s="19"/>
      <c r="AW361" s="19"/>
      <c r="AX361" s="19"/>
      <c r="AY361" s="19"/>
    </row>
    <row r="362" spans="1:66" ht="13.1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3.15" customHeight="1">
      <c r="A363" s="1" t="s">
        <v>872</v>
      </c>
      <c r="B363" s="1"/>
      <c r="C363" s="1" t="s">
        <v>1121</v>
      </c>
    </row>
    <row r="364" spans="1:66" ht="13.15" customHeight="1">
      <c r="D364" s="2" t="s">
        <v>688</v>
      </c>
      <c r="M364" s="1356" t="s">
        <v>847</v>
      </c>
      <c r="N364" s="1356"/>
      <c r="P364" t="s">
        <v>1122</v>
      </c>
      <c r="AJ364" s="1356" t="s">
        <v>696</v>
      </c>
      <c r="AK364" s="1356"/>
    </row>
    <row r="365" spans="1:66" ht="13.15" customHeight="1">
      <c r="D365" s="2" t="s">
        <v>686</v>
      </c>
      <c r="M365" s="1356" t="s">
        <v>816</v>
      </c>
      <c r="N365" s="1356"/>
      <c r="P365" s="2" t="s">
        <v>1123</v>
      </c>
      <c r="AJ365" s="1396"/>
      <c r="AK365" s="1396"/>
    </row>
    <row r="366" spans="1:66" ht="13.15" customHeight="1">
      <c r="D366" s="2" t="s">
        <v>1124</v>
      </c>
      <c r="M366" s="1356" t="s">
        <v>816</v>
      </c>
      <c r="N366" s="1356"/>
      <c r="P366" t="s">
        <v>1125</v>
      </c>
      <c r="AJ366" s="1356" t="s">
        <v>816</v>
      </c>
      <c r="AK366" s="1356"/>
    </row>
    <row r="367" spans="1:66" ht="13.15" customHeight="1">
      <c r="D367" s="2" t="s">
        <v>1126</v>
      </c>
      <c r="M367" s="1356" t="s">
        <v>816</v>
      </c>
      <c r="N367" s="1356"/>
      <c r="Q367" s="2"/>
    </row>
    <row r="368" spans="1:66" ht="13.15" customHeight="1">
      <c r="Q368" s="2"/>
    </row>
    <row r="369" spans="1:34" ht="13.15" customHeight="1">
      <c r="Q369" s="2"/>
    </row>
    <row r="370" spans="1:34" ht="13.15" customHeight="1">
      <c r="A370" s="1" t="s">
        <v>913</v>
      </c>
      <c r="B370" s="1"/>
      <c r="C370" s="1" t="s">
        <v>1127</v>
      </c>
      <c r="D370" s="1"/>
    </row>
    <row r="371" spans="1:34" ht="13.15" customHeight="1">
      <c r="D371" s="28" t="s">
        <v>1128</v>
      </c>
      <c r="E371" s="1093"/>
      <c r="F371" s="1093"/>
      <c r="G371" s="1093"/>
      <c r="H371" s="1093"/>
      <c r="I371" s="1093"/>
      <c r="J371" s="1093"/>
      <c r="K371" s="1093"/>
      <c r="L371" s="1093"/>
      <c r="M371" s="1093"/>
      <c r="N371" s="1093"/>
      <c r="O371" s="1093"/>
      <c r="P371" s="1093"/>
      <c r="Q371" s="1093"/>
      <c r="R371" s="1093"/>
      <c r="S371" s="1093"/>
      <c r="T371" s="1093"/>
      <c r="U371" s="1093"/>
      <c r="V371" s="1093"/>
      <c r="W371" s="1093"/>
      <c r="X371" s="1093"/>
      <c r="Y371" s="1093"/>
      <c r="Z371" s="1093"/>
      <c r="AA371" s="1093"/>
      <c r="AB371" s="1093"/>
      <c r="AC371" s="1093"/>
      <c r="AD371" s="1093"/>
      <c r="AE371" s="1093"/>
    </row>
    <row r="372" spans="1:34" ht="13.15" customHeight="1">
      <c r="D372" s="28" t="s">
        <v>1129</v>
      </c>
      <c r="E372" s="1093"/>
      <c r="F372" s="1093"/>
      <c r="G372" s="1093"/>
      <c r="H372" s="1093"/>
      <c r="I372" s="1093"/>
      <c r="J372" s="1093"/>
      <c r="K372" s="1093"/>
      <c r="L372" s="1093"/>
      <c r="M372" s="1093"/>
      <c r="N372" s="1356" t="s">
        <v>816</v>
      </c>
      <c r="O372" s="1356"/>
      <c r="P372" s="1093"/>
      <c r="Q372" s="1093"/>
      <c r="R372" s="1093"/>
      <c r="S372" s="1093"/>
      <c r="T372" s="1093"/>
      <c r="U372" s="1093"/>
      <c r="V372" s="1093"/>
      <c r="W372" s="1093"/>
      <c r="X372" s="1093"/>
      <c r="Y372" s="1093"/>
      <c r="Z372" s="1093"/>
      <c r="AC372" s="1093"/>
      <c r="AD372" s="1093"/>
      <c r="AE372" s="1093"/>
    </row>
    <row r="373" spans="1:34" ht="13.15" customHeight="1">
      <c r="E373" t="s">
        <v>1130</v>
      </c>
      <c r="Y373" s="1356" t="s">
        <v>816</v>
      </c>
      <c r="Z373" s="1356"/>
    </row>
    <row r="374" spans="1:34" ht="13.15" customHeight="1">
      <c r="D374" s="2" t="s">
        <v>1131</v>
      </c>
      <c r="Q374" s="1399"/>
      <c r="R374" s="1399"/>
      <c r="S374" s="1399"/>
      <c r="T374" s="1399"/>
      <c r="U374" s="1399"/>
      <c r="V374" s="1399"/>
      <c r="W374" s="1399"/>
      <c r="X374" s="1399"/>
      <c r="Y374" s="1399"/>
      <c r="Z374" s="1399"/>
      <c r="AA374" s="1399"/>
      <c r="AB374" s="1399"/>
      <c r="AC374" s="1399"/>
      <c r="AD374" s="1399"/>
      <c r="AE374" s="1399"/>
      <c r="AF374" s="1399"/>
      <c r="AG374" s="1399"/>
    </row>
    <row r="375" spans="1:34" ht="13.15" customHeight="1">
      <c r="D375" t="s">
        <v>1132</v>
      </c>
      <c r="E375" s="1093"/>
      <c r="F375" s="1093"/>
      <c r="G375" s="1093"/>
      <c r="H375" s="1093"/>
      <c r="I375" s="1093"/>
      <c r="J375" s="1093"/>
      <c r="K375" s="1093"/>
      <c r="L375" s="1093"/>
      <c r="M375" s="1093"/>
      <c r="N375" s="1093"/>
      <c r="O375" s="1093"/>
      <c r="P375" s="1093"/>
      <c r="Q375" s="1093"/>
      <c r="R375" s="1093"/>
      <c r="S375" s="1093"/>
      <c r="T375" s="1093"/>
      <c r="U375" s="1093"/>
      <c r="V375" s="1093"/>
      <c r="W375" s="1093"/>
      <c r="X375" s="1093"/>
      <c r="Y375" s="1093"/>
      <c r="Z375" s="1093"/>
      <c r="AA375" s="1093"/>
      <c r="AB375" s="1093"/>
      <c r="AC375" s="1093"/>
      <c r="AD375" s="1093"/>
      <c r="AE375" s="1093"/>
    </row>
    <row r="376" spans="1:34" ht="13.15" customHeight="1">
      <c r="D376" t="s">
        <v>1133</v>
      </c>
      <c r="E376" s="1093"/>
      <c r="F376" s="1093"/>
      <c r="G376" s="1093"/>
      <c r="H376" s="1093"/>
      <c r="I376" s="1093"/>
      <c r="J376" s="1356" t="s">
        <v>816</v>
      </c>
      <c r="K376" s="1356"/>
      <c r="L376" s="1093"/>
      <c r="M376" s="1093"/>
      <c r="N376" s="1093"/>
      <c r="O376" s="1093"/>
      <c r="P376" s="1093"/>
      <c r="Q376" s="1093"/>
      <c r="R376" s="1093"/>
      <c r="S376" s="1093"/>
      <c r="T376" s="1093"/>
      <c r="U376" s="1093"/>
      <c r="V376" s="1093"/>
      <c r="W376" s="1093"/>
      <c r="X376" s="1093"/>
      <c r="Y376" s="1093"/>
      <c r="Z376" s="1093"/>
      <c r="AC376" s="1093"/>
      <c r="AD376" s="1093"/>
      <c r="AE376" s="1093"/>
    </row>
    <row r="377" spans="1:34" ht="13.15" customHeight="1">
      <c r="E377" s="1243" t="s">
        <v>1134</v>
      </c>
      <c r="F377" s="1243"/>
      <c r="G377" s="1243"/>
      <c r="H377" s="1243"/>
      <c r="I377" s="1243"/>
      <c r="J377" s="1243"/>
      <c r="K377" s="1243"/>
      <c r="L377" s="1243"/>
      <c r="M377" s="1243"/>
      <c r="N377" s="1243"/>
      <c r="O377" s="1243"/>
      <c r="P377" s="1243"/>
      <c r="Q377" s="1243"/>
      <c r="R377" s="1243"/>
      <c r="S377" s="1243"/>
      <c r="T377" s="1243"/>
      <c r="U377" s="1243"/>
      <c r="V377" s="1243"/>
      <c r="W377" s="1243"/>
      <c r="X377" s="1243"/>
      <c r="Y377" s="1243"/>
      <c r="Z377" s="1243"/>
      <c r="AA377" s="1243"/>
      <c r="AB377" s="1243"/>
      <c r="AC377" s="1243"/>
      <c r="AD377" s="1243"/>
      <c r="AE377" s="1243"/>
      <c r="AF377" s="1243"/>
      <c r="AG377" s="1243"/>
      <c r="AH377" s="1243"/>
    </row>
    <row r="378" spans="1:34" ht="13.15" customHeight="1">
      <c r="E378" s="1243"/>
      <c r="F378" s="1243"/>
      <c r="G378" s="1243"/>
      <c r="H378" s="1243"/>
      <c r="I378" s="1243"/>
      <c r="J378" s="1243"/>
      <c r="K378" s="1243"/>
      <c r="L378" s="1243"/>
      <c r="M378" s="1243"/>
      <c r="N378" s="1243"/>
      <c r="O378" s="1243"/>
      <c r="P378" s="1243"/>
      <c r="Q378" s="1243"/>
      <c r="R378" s="1243"/>
      <c r="S378" s="1243"/>
      <c r="T378" s="1243"/>
      <c r="U378" s="1243"/>
      <c r="V378" s="1243"/>
      <c r="W378" s="1243"/>
      <c r="X378" s="1243"/>
      <c r="Y378" s="1243"/>
      <c r="Z378" s="1243"/>
      <c r="AA378" s="1243"/>
      <c r="AB378" s="1243"/>
      <c r="AC378" s="1243"/>
      <c r="AD378" s="1243"/>
      <c r="AE378" s="1243"/>
      <c r="AF378" s="1243"/>
      <c r="AG378" s="1243"/>
      <c r="AH378" s="1243"/>
    </row>
    <row r="379" spans="1:34" ht="13.15" customHeight="1">
      <c r="E379" s="2" t="s">
        <v>1135</v>
      </c>
      <c r="F379" s="2"/>
      <c r="G379" s="2"/>
      <c r="H379" s="2"/>
      <c r="I379" s="2"/>
      <c r="J379" s="2"/>
      <c r="K379" s="2"/>
      <c r="L379" s="2"/>
      <c r="N379" s="1368"/>
      <c r="O379" s="1368"/>
      <c r="P379" s="1368"/>
      <c r="Q379" s="1368"/>
      <c r="R379" s="2"/>
      <c r="U379" s="2" t="s">
        <v>1136</v>
      </c>
      <c r="V379" s="2"/>
      <c r="W379" s="2"/>
      <c r="X379" s="2"/>
      <c r="Y379" s="2"/>
      <c r="Z379" s="2"/>
      <c r="AA379" s="2"/>
      <c r="AB379" s="2"/>
      <c r="AC379" s="1368"/>
      <c r="AD379" s="1368"/>
      <c r="AE379" s="1368"/>
      <c r="AF379" s="1368"/>
    </row>
    <row r="380" spans="1:34" ht="13.15" customHeight="1">
      <c r="E380" s="2" t="s">
        <v>1137</v>
      </c>
      <c r="F380" s="2"/>
      <c r="G380" s="2"/>
      <c r="H380" s="2"/>
      <c r="I380" s="2"/>
      <c r="J380" s="2"/>
      <c r="K380" s="2"/>
      <c r="L380" s="2"/>
      <c r="N380" s="1368"/>
      <c r="O380" s="1368"/>
      <c r="P380" s="1368"/>
      <c r="Q380" s="1368"/>
      <c r="R380" s="2"/>
      <c r="U380" s="2" t="s">
        <v>1138</v>
      </c>
      <c r="V380" s="2"/>
      <c r="W380" s="2"/>
      <c r="X380" s="2"/>
      <c r="Y380" s="2"/>
      <c r="Z380" s="2"/>
      <c r="AA380" s="2"/>
      <c r="AB380" s="2"/>
      <c r="AC380" s="1368"/>
      <c r="AD380" s="1368"/>
      <c r="AE380" s="1368"/>
      <c r="AF380" s="1368"/>
    </row>
    <row r="381" spans="1:34" ht="13.15" customHeight="1">
      <c r="E381" s="2" t="s">
        <v>1139</v>
      </c>
      <c r="F381" s="2"/>
      <c r="G381" s="2"/>
      <c r="H381" s="2"/>
      <c r="I381" s="2"/>
      <c r="J381" s="2"/>
      <c r="K381" s="2"/>
      <c r="L381" s="2"/>
      <c r="N381" s="1368"/>
      <c r="O381" s="1368"/>
      <c r="P381" s="1368"/>
      <c r="Q381" s="1368"/>
      <c r="R381" s="2"/>
      <c r="V381" s="2"/>
      <c r="W381" s="2"/>
      <c r="X381" s="2"/>
      <c r="Y381" s="2"/>
      <c r="Z381" s="2"/>
      <c r="AA381" s="2"/>
      <c r="AB381" s="2"/>
    </row>
    <row r="382" spans="1:34" ht="13.15" customHeight="1">
      <c r="E382" s="2" t="s">
        <v>1140</v>
      </c>
      <c r="F382" s="2"/>
      <c r="G382" s="2"/>
      <c r="H382" s="2"/>
      <c r="I382" s="2"/>
      <c r="J382" s="2"/>
      <c r="K382" s="2"/>
      <c r="L382" s="2"/>
      <c r="N382" s="1480"/>
      <c r="O382" s="1480"/>
      <c r="P382" s="1480"/>
      <c r="Q382" s="1480"/>
      <c r="R382" s="1480"/>
      <c r="S382" s="1480"/>
      <c r="T382" s="1480"/>
      <c r="U382" s="1480"/>
      <c r="V382" s="1480"/>
      <c r="W382" s="1480"/>
      <c r="X382" s="1480"/>
      <c r="Y382" s="1480"/>
      <c r="Z382" s="1480"/>
      <c r="AA382" s="1480"/>
      <c r="AB382" s="1480"/>
      <c r="AC382" s="1480"/>
      <c r="AD382" s="1480"/>
      <c r="AE382" s="1480"/>
      <c r="AF382" s="1480"/>
    </row>
    <row r="383" spans="1:34" ht="13.15" customHeight="1">
      <c r="E383" s="2"/>
      <c r="F383" s="2"/>
      <c r="G383" s="2"/>
      <c r="H383" s="2"/>
      <c r="I383" s="2"/>
      <c r="J383" s="2"/>
      <c r="K383" s="2"/>
      <c r="L383" s="2"/>
      <c r="N383" s="1235"/>
      <c r="O383" s="1235"/>
      <c r="P383" s="1235"/>
      <c r="Q383" s="1235"/>
      <c r="R383" s="1235"/>
      <c r="S383" s="1235"/>
      <c r="T383" s="1235"/>
      <c r="U383" s="1235"/>
      <c r="V383" s="1235"/>
      <c r="W383" s="1235"/>
      <c r="X383" s="1235"/>
      <c r="Y383" s="1235"/>
      <c r="Z383" s="1235"/>
      <c r="AA383" s="1235"/>
      <c r="AB383" s="1235"/>
      <c r="AC383" s="1235"/>
      <c r="AD383" s="1235"/>
      <c r="AE383" s="1235"/>
      <c r="AF383" s="1235"/>
    </row>
    <row r="384" spans="1:34" ht="13.15" customHeight="1">
      <c r="C384" s="364"/>
      <c r="E384" s="2"/>
      <c r="F384" s="2"/>
      <c r="G384" s="2"/>
      <c r="H384" s="2"/>
      <c r="I384" s="2"/>
      <c r="J384" s="2"/>
      <c r="K384" s="2"/>
      <c r="L384" s="2"/>
    </row>
    <row r="385" spans="1:36" ht="13.15" customHeight="1">
      <c r="D385" s="1" t="s">
        <v>1141</v>
      </c>
      <c r="E385" s="1"/>
      <c r="F385" s="2"/>
      <c r="G385" s="2"/>
      <c r="H385" s="2"/>
      <c r="I385" s="2"/>
      <c r="J385" s="2"/>
      <c r="K385" s="2"/>
      <c r="L385" s="2"/>
    </row>
    <row r="386" spans="1:36" ht="13.15" customHeight="1">
      <c r="E386" s="2" t="s">
        <v>1142</v>
      </c>
      <c r="F386" s="2"/>
      <c r="G386" s="2"/>
      <c r="H386" s="2"/>
      <c r="I386" s="2"/>
      <c r="J386" s="2"/>
      <c r="K386" s="2"/>
      <c r="L386" s="2"/>
      <c r="N386" t="s">
        <v>889</v>
      </c>
      <c r="R386" s="21" t="s">
        <v>890</v>
      </c>
      <c r="S386" s="1481"/>
      <c r="T386" s="1481"/>
      <c r="U386" s="1080" t="s">
        <v>891</v>
      </c>
      <c r="V386" s="1481"/>
      <c r="W386" s="1481"/>
      <c r="Y386" t="s">
        <v>889</v>
      </c>
      <c r="AC386" s="21" t="s">
        <v>890</v>
      </c>
      <c r="AD386" s="1481"/>
      <c r="AE386" s="1481"/>
      <c r="AF386" s="1080" t="s">
        <v>891</v>
      </c>
      <c r="AG386" s="1481"/>
      <c r="AH386" s="1481"/>
    </row>
    <row r="387" spans="1:36" ht="13.15" customHeight="1">
      <c r="E387" s="2" t="s">
        <v>1143</v>
      </c>
      <c r="F387" s="2"/>
      <c r="G387" s="2"/>
      <c r="H387" s="2"/>
      <c r="I387" s="2"/>
      <c r="J387" s="2"/>
      <c r="K387" s="2"/>
      <c r="L387" s="2"/>
      <c r="N387" s="1481"/>
      <c r="O387" s="1481"/>
      <c r="P387" s="1481"/>
    </row>
    <row r="388" spans="1:36" ht="13.15" customHeight="1">
      <c r="E388" s="114" t="s">
        <v>1144</v>
      </c>
      <c r="F388" s="2"/>
      <c r="G388" s="2"/>
      <c r="H388" s="2"/>
      <c r="I388" s="2"/>
      <c r="J388" s="2"/>
      <c r="K388" s="2"/>
      <c r="L388" s="2"/>
      <c r="AG388" s="1473" t="s">
        <v>816</v>
      </c>
      <c r="AH388" s="1473"/>
    </row>
    <row r="389" spans="1:36" ht="13.15" customHeight="1">
      <c r="E389" s="2"/>
      <c r="F389" s="2"/>
      <c r="G389" s="2" t="s">
        <v>1145</v>
      </c>
      <c r="H389" s="2"/>
      <c r="I389" s="2"/>
      <c r="J389" s="2"/>
      <c r="K389" s="2"/>
      <c r="L389" s="2"/>
      <c r="AG389" s="1473" t="s">
        <v>816</v>
      </c>
      <c r="AH389" s="1473"/>
    </row>
    <row r="390" spans="1:36" ht="13.15" customHeight="1">
      <c r="E390" s="2"/>
      <c r="F390" s="2"/>
      <c r="G390" s="200" t="s">
        <v>1146</v>
      </c>
      <c r="H390" s="2"/>
      <c r="I390" s="2"/>
      <c r="J390" s="2"/>
      <c r="K390" s="2"/>
      <c r="L390" s="2"/>
      <c r="V390" s="1356" t="s">
        <v>816</v>
      </c>
      <c r="W390" s="1356"/>
      <c r="Y390" s="17" t="s">
        <v>1147</v>
      </c>
    </row>
    <row r="391" spans="1:36" ht="13.15" customHeight="1">
      <c r="E391" s="2" t="s">
        <v>1148</v>
      </c>
      <c r="F391" s="2"/>
      <c r="G391" s="2"/>
      <c r="H391" s="2"/>
      <c r="I391" s="2"/>
      <c r="J391" s="2"/>
      <c r="K391" s="2"/>
      <c r="L391" s="2"/>
      <c r="V391" s="1356" t="s">
        <v>816</v>
      </c>
      <c r="W391" s="1356"/>
      <c r="Y391" s="2" t="s">
        <v>1149</v>
      </c>
    </row>
    <row r="392" spans="1:36" ht="13.15" customHeight="1"/>
    <row r="393" spans="1:36" ht="13.15" customHeight="1">
      <c r="A393" s="1" t="s">
        <v>1150</v>
      </c>
      <c r="B393" s="1"/>
    </row>
    <row r="394" spans="1:36" ht="13.15" customHeight="1">
      <c r="D394" t="s">
        <v>1151</v>
      </c>
      <c r="J394" s="1399" t="s">
        <v>2708</v>
      </c>
      <c r="K394" s="1399"/>
      <c r="L394" s="1399"/>
      <c r="M394" s="1399"/>
      <c r="N394" s="1399"/>
      <c r="O394" s="1399"/>
      <c r="P394" s="1399"/>
      <c r="Q394" s="1399"/>
      <c r="R394" s="1399"/>
      <c r="S394" s="1399"/>
      <c r="T394" s="1399"/>
      <c r="U394" s="1399"/>
      <c r="V394" s="6" t="s">
        <v>1152</v>
      </c>
      <c r="W394" s="6"/>
      <c r="X394" s="6"/>
      <c r="Y394" s="6"/>
      <c r="Z394" s="6"/>
      <c r="AA394" s="6"/>
      <c r="AB394" s="6"/>
      <c r="AC394" s="1399" t="s">
        <v>2709</v>
      </c>
      <c r="AD394" s="1399"/>
      <c r="AE394" s="1399"/>
      <c r="AF394" s="1399"/>
      <c r="AG394" s="1399"/>
      <c r="AH394" s="1399"/>
      <c r="AI394" s="1399"/>
      <c r="AJ394" s="1399"/>
    </row>
    <row r="395" spans="1:36" ht="13.15" customHeight="1">
      <c r="D395" s="2" t="s">
        <v>1153</v>
      </c>
      <c r="J395" s="1360" t="s">
        <v>2709</v>
      </c>
      <c r="K395" s="1360"/>
      <c r="L395" s="1360"/>
      <c r="M395" s="1360"/>
      <c r="N395" s="1360"/>
      <c r="O395" s="1360"/>
      <c r="P395" s="1360"/>
      <c r="Q395" s="1360"/>
      <c r="R395" s="1360"/>
      <c r="S395" s="1360"/>
      <c r="T395" s="1360"/>
      <c r="U395" s="1360"/>
      <c r="V395" s="2" t="s">
        <v>1153</v>
      </c>
      <c r="W395" s="6"/>
      <c r="X395" s="6"/>
      <c r="Y395" s="6"/>
      <c r="Z395" s="6"/>
      <c r="AA395" s="6"/>
      <c r="AB395" s="6"/>
      <c r="AC395" s="1399"/>
      <c r="AD395" s="1399"/>
      <c r="AE395" s="1399"/>
      <c r="AF395" s="1399"/>
      <c r="AG395" s="1399"/>
      <c r="AH395" s="1399"/>
      <c r="AI395" s="1399"/>
      <c r="AJ395" s="1399"/>
    </row>
    <row r="396" spans="1:36" ht="13.15" customHeight="1">
      <c r="D396" s="2" t="s">
        <v>814</v>
      </c>
      <c r="J396" s="1360" t="s">
        <v>2710</v>
      </c>
      <c r="K396" s="1360"/>
      <c r="L396" s="1360"/>
      <c r="M396" s="1360"/>
      <c r="N396" s="1360"/>
      <c r="O396" s="1360"/>
      <c r="P396" s="1360"/>
      <c r="Q396" s="1360"/>
      <c r="R396" s="1360"/>
      <c r="S396" s="1360"/>
      <c r="T396" s="1360"/>
      <c r="U396" s="1360"/>
      <c r="V396" s="2" t="s">
        <v>814</v>
      </c>
      <c r="W396" s="6"/>
      <c r="X396" s="6"/>
      <c r="Y396" s="6"/>
      <c r="Z396" s="6"/>
      <c r="AA396" s="6"/>
      <c r="AB396" s="6"/>
      <c r="AC396" s="1399"/>
      <c r="AD396" s="1399"/>
      <c r="AE396" s="1399"/>
      <c r="AF396" s="1399"/>
      <c r="AG396" s="1399"/>
      <c r="AH396" s="1399"/>
      <c r="AI396" s="1399"/>
      <c r="AJ396" s="1399"/>
    </row>
    <row r="397" spans="1:36" ht="13.15" customHeight="1">
      <c r="D397" t="s">
        <v>1154</v>
      </c>
      <c r="J397" s="1377" t="s">
        <v>2711</v>
      </c>
      <c r="K397" s="1377"/>
      <c r="L397" s="1377"/>
      <c r="M397" s="1377"/>
      <c r="N397" s="1377"/>
      <c r="O397" s="1377"/>
      <c r="P397" s="1377"/>
      <c r="Q397" s="1377"/>
      <c r="R397" s="1377"/>
      <c r="S397" s="1377"/>
      <c r="T397" s="1377"/>
      <c r="U397" s="1377"/>
      <c r="V397" s="1399"/>
      <c r="W397" s="1399"/>
      <c r="X397" s="1399"/>
      <c r="Y397" s="1399"/>
      <c r="Z397" s="1399"/>
      <c r="AA397" s="1399"/>
      <c r="AB397" s="1399"/>
      <c r="AC397" s="1399"/>
      <c r="AD397" s="1399"/>
      <c r="AE397" s="1399"/>
      <c r="AF397" s="1399"/>
      <c r="AG397" s="1399"/>
      <c r="AH397" s="1399"/>
      <c r="AI397" s="1399"/>
      <c r="AJ397" s="1399"/>
    </row>
    <row r="398" spans="1:36" ht="13.15" customHeight="1">
      <c r="D398" t="s">
        <v>1155</v>
      </c>
      <c r="Q398" s="1472"/>
      <c r="R398" s="1472"/>
      <c r="S398" s="1472"/>
      <c r="T398" s="1472"/>
      <c r="U398" s="1472"/>
      <c r="V398" t="s">
        <v>1156</v>
      </c>
      <c r="AI398" s="1356" t="s">
        <v>696</v>
      </c>
      <c r="AJ398" s="1356"/>
    </row>
    <row r="399" spans="1:36" ht="13.15" customHeight="1">
      <c r="D399" t="s">
        <v>1157</v>
      </c>
      <c r="Q399" s="1475"/>
      <c r="R399" s="1476"/>
      <c r="S399" s="1476"/>
      <c r="T399" s="1476"/>
      <c r="U399" s="1476"/>
      <c r="W399" s="16" t="s">
        <v>1158</v>
      </c>
      <c r="AG399" s="1467"/>
      <c r="AH399" s="1467"/>
      <c r="AI399" s="1467"/>
      <c r="AJ399" s="1467"/>
    </row>
    <row r="400" spans="1:36" ht="13.15" customHeight="1">
      <c r="D400" t="s">
        <v>1159</v>
      </c>
      <c r="Q400" s="1474">
        <v>6500000</v>
      </c>
      <c r="R400" s="1474"/>
      <c r="S400" s="1474"/>
      <c r="T400" s="1474"/>
      <c r="U400" s="1474"/>
      <c r="V400" s="2" t="s">
        <v>1160</v>
      </c>
      <c r="AG400" s="1535">
        <v>45197</v>
      </c>
      <c r="AH400" s="1535"/>
      <c r="AI400" s="1535"/>
      <c r="AJ400" s="1535"/>
    </row>
    <row r="401" spans="4:36" ht="13.15" customHeight="1">
      <c r="D401" t="s">
        <v>1067</v>
      </c>
      <c r="I401" s="1508" t="s">
        <v>2714</v>
      </c>
      <c r="J401" s="1508"/>
      <c r="K401" s="1508"/>
      <c r="L401" s="1508"/>
      <c r="M401" s="1508"/>
      <c r="N401" s="1508"/>
      <c r="Q401" s="2" t="s">
        <v>1068</v>
      </c>
      <c r="S401" s="1478"/>
      <c r="T401" s="1478"/>
      <c r="U401" s="1478"/>
      <c r="V401" t="s">
        <v>1161</v>
      </c>
      <c r="AI401" s="1356" t="s">
        <v>696</v>
      </c>
      <c r="AJ401" s="1356"/>
    </row>
    <row r="402" spans="4:36" ht="13.15" customHeight="1">
      <c r="D402" t="s">
        <v>1162</v>
      </c>
      <c r="Q402" s="1479">
        <f>AG402/41</f>
        <v>6185.4634146341459</v>
      </c>
      <c r="R402" s="1479"/>
      <c r="S402" s="1479"/>
      <c r="T402" s="1479"/>
      <c r="U402" s="1479"/>
      <c r="V402" t="s">
        <v>1163</v>
      </c>
      <c r="AG402" s="1467">
        <v>253604</v>
      </c>
      <c r="AH402" s="1467"/>
      <c r="AI402" s="1467"/>
      <c r="AJ402" s="1467"/>
    </row>
    <row r="403" spans="4:36" ht="13.15" customHeight="1">
      <c r="D403" t="s">
        <v>1164</v>
      </c>
      <c r="Q403" s="1455"/>
      <c r="R403" s="1455"/>
      <c r="S403" s="1455"/>
      <c r="T403" s="1455"/>
      <c r="U403" s="1455"/>
      <c r="V403" t="s">
        <v>1165</v>
      </c>
      <c r="AG403" s="1467"/>
      <c r="AH403" s="1467"/>
      <c r="AI403" s="1467"/>
      <c r="AJ403" s="1467"/>
    </row>
    <row r="404" spans="4:36" ht="13.15" customHeight="1">
      <c r="D404" t="s">
        <v>1166</v>
      </c>
      <c r="AG404" s="1467">
        <v>0</v>
      </c>
      <c r="AH404" s="1467"/>
      <c r="AI404" s="1467"/>
      <c r="AJ404" s="1467"/>
    </row>
    <row r="405" spans="4:36" ht="13.15" customHeight="1">
      <c r="AG405" s="1167"/>
      <c r="AH405" s="1167"/>
      <c r="AI405" s="1167"/>
      <c r="AJ405" s="1167"/>
    </row>
    <row r="406" spans="4:36" ht="13.15" customHeight="1">
      <c r="D406" s="2" t="s">
        <v>1167</v>
      </c>
      <c r="AG406" s="1167"/>
      <c r="AH406" s="1167"/>
      <c r="AI406" s="1356" t="s">
        <v>696</v>
      </c>
      <c r="AJ406" s="1356"/>
    </row>
    <row r="407" spans="4:36" ht="13.15" customHeight="1">
      <c r="D407" s="2" t="s">
        <v>1168</v>
      </c>
      <c r="T407" s="1437" t="s">
        <v>2712</v>
      </c>
      <c r="U407" s="1437"/>
      <c r="V407" s="1437"/>
      <c r="W407" s="1437"/>
      <c r="X407" s="1437"/>
      <c r="Y407" s="1437"/>
      <c r="Z407" s="1437"/>
      <c r="AA407" s="1437"/>
      <c r="AB407" s="1437"/>
      <c r="AC407" s="1437"/>
      <c r="AD407" s="1437"/>
      <c r="AE407" s="1437"/>
      <c r="AF407" s="1437"/>
      <c r="AG407" s="1437"/>
      <c r="AH407" s="1437"/>
      <c r="AI407" s="1437"/>
      <c r="AJ407" s="1437"/>
    </row>
    <row r="408" spans="4:36" ht="13.15" customHeight="1">
      <c r="D408" s="2" t="s">
        <v>1169</v>
      </c>
      <c r="T408" s="1437"/>
      <c r="U408" s="1437"/>
      <c r="V408" s="1437"/>
      <c r="W408" s="1437"/>
      <c r="X408" s="1437"/>
      <c r="Y408" s="1437"/>
      <c r="Z408" s="1437"/>
      <c r="AA408" s="1437"/>
      <c r="AB408" s="1437"/>
      <c r="AC408" s="1437"/>
      <c r="AD408" s="1437"/>
      <c r="AE408" s="1437"/>
      <c r="AF408" s="1437"/>
      <c r="AG408" s="1437"/>
      <c r="AH408" s="1437"/>
      <c r="AI408" s="1437"/>
      <c r="AJ408" s="1437"/>
    </row>
    <row r="409" spans="4:36" ht="13.15" customHeight="1">
      <c r="AG409" s="1167"/>
      <c r="AH409" s="1167"/>
      <c r="AI409" s="1167"/>
      <c r="AJ409" s="1167"/>
    </row>
    <row r="410" spans="4:36" ht="13.15" customHeight="1">
      <c r="D410" s="2" t="s">
        <v>1170</v>
      </c>
      <c r="S410" s="1437" t="s">
        <v>696</v>
      </c>
      <c r="T410" s="1437"/>
      <c r="U410" s="1437"/>
      <c r="V410" t="s">
        <v>1171</v>
      </c>
      <c r="AG410" s="1523"/>
      <c r="AH410" s="1523"/>
      <c r="AI410" s="1523"/>
      <c r="AJ410" s="1523"/>
    </row>
    <row r="411" spans="4:36" ht="13.15" customHeight="1">
      <c r="D411" s="2" t="s">
        <v>1172</v>
      </c>
      <c r="S411" s="1437" t="s">
        <v>816</v>
      </c>
      <c r="T411" s="1437"/>
      <c r="U411" s="1437"/>
      <c r="V411" t="s">
        <v>1173</v>
      </c>
      <c r="AE411" s="1466"/>
      <c r="AF411" s="1466"/>
      <c r="AG411" s="1466"/>
      <c r="AH411" s="1466"/>
      <c r="AI411" s="1466"/>
      <c r="AJ411" s="1466"/>
    </row>
    <row r="412" spans="4:36" ht="13.15" customHeight="1">
      <c r="D412" s="2" t="s">
        <v>1174</v>
      </c>
      <c r="K412" s="1491"/>
      <c r="L412" s="1491"/>
      <c r="M412" s="1491"/>
      <c r="N412" s="1491"/>
      <c r="O412" s="1491"/>
      <c r="P412" s="1491"/>
      <c r="Q412" s="1491"/>
      <c r="R412" s="1491"/>
      <c r="S412" s="1491"/>
      <c r="T412" s="1491"/>
      <c r="U412" s="1491"/>
      <c r="V412" s="1491"/>
      <c r="W412" s="1491"/>
      <c r="X412" s="1491"/>
      <c r="Y412" s="1491"/>
      <c r="Z412" s="1491"/>
      <c r="AA412" s="1491"/>
      <c r="AB412" s="1491"/>
      <c r="AC412" s="1491"/>
      <c r="AD412" s="1491"/>
      <c r="AE412" s="1491"/>
      <c r="AF412" s="1491"/>
      <c r="AG412" s="1491"/>
      <c r="AH412" s="1491"/>
      <c r="AI412" s="1491"/>
      <c r="AJ412" s="1491"/>
    </row>
    <row r="413" spans="4:36" ht="13.15" customHeight="1">
      <c r="D413" s="2" t="s">
        <v>1175</v>
      </c>
      <c r="K413" s="1491"/>
      <c r="L413" s="1491"/>
      <c r="M413" s="1491"/>
      <c r="N413" s="1491"/>
      <c r="O413" s="1491"/>
      <c r="P413" s="1491"/>
      <c r="Q413" s="1491"/>
      <c r="R413" s="1491"/>
      <c r="S413" s="1491"/>
      <c r="T413" s="1491"/>
      <c r="U413" s="1491"/>
      <c r="V413" s="1491"/>
      <c r="W413" s="1491"/>
      <c r="X413" s="1491"/>
      <c r="Y413" s="1491"/>
      <c r="Z413" s="1491"/>
      <c r="AA413" s="1491"/>
      <c r="AB413" s="1491"/>
      <c r="AC413" s="1491"/>
      <c r="AD413" s="1491"/>
      <c r="AE413" s="1491"/>
      <c r="AF413" s="1491"/>
      <c r="AG413" s="1491"/>
      <c r="AH413" s="1491"/>
      <c r="AI413" s="1491"/>
      <c r="AJ413" s="1491"/>
    </row>
    <row r="414" spans="4:36" ht="13.15" customHeight="1">
      <c r="D414" s="2" t="s">
        <v>1176</v>
      </c>
      <c r="E414" s="1092"/>
      <c r="F414" s="1092"/>
      <c r="G414" s="1092"/>
      <c r="H414" s="1092"/>
      <c r="I414" s="1092"/>
      <c r="J414" s="1092"/>
      <c r="K414" s="1092"/>
      <c r="L414" s="1092"/>
      <c r="M414" s="1092"/>
      <c r="N414" s="1092"/>
      <c r="O414" s="1092"/>
      <c r="P414" s="1092"/>
      <c r="Q414" s="1092"/>
      <c r="R414" s="1092"/>
      <c r="S414" s="1525" t="s">
        <v>2813</v>
      </c>
      <c r="T414" s="1525"/>
      <c r="U414" s="1525"/>
      <c r="V414" s="1525"/>
      <c r="W414" s="1525"/>
      <c r="X414" s="1525"/>
      <c r="Y414" s="1525"/>
      <c r="Z414" s="1525"/>
      <c r="AA414" s="1525"/>
      <c r="AB414" s="1525"/>
      <c r="AC414" s="1525"/>
      <c r="AD414" s="1525"/>
      <c r="AE414" s="1525"/>
      <c r="AF414" s="1525"/>
      <c r="AG414" s="1525"/>
      <c r="AH414" s="1525"/>
      <c r="AI414" s="1525"/>
      <c r="AJ414" s="1525"/>
    </row>
    <row r="415" spans="4:36" ht="13.15" customHeight="1">
      <c r="D415" s="1249" t="s">
        <v>1177</v>
      </c>
      <c r="E415" s="1249"/>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c r="AI415" s="1249"/>
      <c r="AJ415" s="1249"/>
    </row>
    <row r="416" spans="4:36" ht="13.15" customHeight="1">
      <c r="D416" s="1249"/>
      <c r="E416" s="1249"/>
      <c r="F416" s="1249"/>
      <c r="G416" s="1249"/>
      <c r="H416" s="1249"/>
      <c r="I416" s="1249"/>
      <c r="J416" s="1249"/>
      <c r="K416" s="1249"/>
      <c r="L416" s="1249"/>
      <c r="M416" s="1249"/>
      <c r="N416" s="1249"/>
      <c r="O416" s="1249"/>
      <c r="P416" s="1249"/>
      <c r="Q416" s="1249"/>
      <c r="R416" s="1249"/>
      <c r="S416" s="1249"/>
      <c r="T416" s="1249"/>
      <c r="U416" s="1249"/>
      <c r="V416" s="1249"/>
      <c r="W416" s="1249"/>
      <c r="X416" s="1249"/>
      <c r="Y416" s="1249"/>
      <c r="Z416" s="1249"/>
      <c r="AA416" s="1249"/>
      <c r="AB416" s="1249"/>
      <c r="AC416" s="1249"/>
      <c r="AD416" s="1249"/>
      <c r="AE416" s="1249"/>
      <c r="AF416" s="1249"/>
      <c r="AG416" s="1249"/>
      <c r="AH416" s="1249"/>
      <c r="AI416" s="1249"/>
      <c r="AJ416" s="1249"/>
    </row>
    <row r="417" spans="1:39" ht="13.15" customHeight="1">
      <c r="AG417" s="1167"/>
      <c r="AH417" s="1167"/>
      <c r="AI417" s="1167"/>
      <c r="AJ417" s="1167"/>
    </row>
    <row r="418" spans="1:39" ht="13.15" customHeight="1">
      <c r="A418" s="1" t="s">
        <v>1007</v>
      </c>
      <c r="B418" s="1"/>
      <c r="C418" s="1" t="s">
        <v>145</v>
      </c>
    </row>
    <row r="419" spans="1:39" ht="13.15" customHeight="1">
      <c r="B419" s="1"/>
      <c r="C419" s="1"/>
      <c r="D419" s="1" t="s">
        <v>1178</v>
      </c>
      <c r="I419" s="1477" t="s">
        <v>2713</v>
      </c>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E419" s="1477"/>
    </row>
    <row r="420" spans="1:39" ht="13.15" customHeight="1">
      <c r="E420" t="s">
        <v>1179</v>
      </c>
      <c r="R420" s="1356" t="s">
        <v>847</v>
      </c>
      <c r="S420" s="1356"/>
      <c r="AC420" s="21" t="s">
        <v>1180</v>
      </c>
      <c r="AD420" s="1368">
        <v>6</v>
      </c>
      <c r="AE420" s="1368"/>
    </row>
    <row r="421" spans="1:39" ht="13.15" customHeight="1">
      <c r="E421" t="s">
        <v>1181</v>
      </c>
      <c r="R421" s="1356" t="s">
        <v>816</v>
      </c>
      <c r="S421" s="1356"/>
      <c r="AC421" s="21" t="s">
        <v>1180</v>
      </c>
      <c r="AD421" s="1368"/>
      <c r="AE421" s="1368"/>
    </row>
    <row r="422" spans="1:39" ht="13.15" customHeight="1">
      <c r="E422" t="s">
        <v>1182</v>
      </c>
      <c r="S422" s="1356" t="s">
        <v>816</v>
      </c>
      <c r="T422" s="1356"/>
    </row>
    <row r="423" spans="1:39" ht="13.15" customHeight="1">
      <c r="E423" t="s">
        <v>233</v>
      </c>
      <c r="H423" s="1456" t="s">
        <v>1183</v>
      </c>
      <c r="I423" s="1456"/>
      <c r="J423" s="1456"/>
      <c r="K423" s="1456"/>
      <c r="L423" s="1456"/>
      <c r="M423" s="1456"/>
      <c r="N423" s="1456"/>
      <c r="O423" s="1456"/>
      <c r="P423" s="1456"/>
      <c r="Q423" s="1456"/>
      <c r="R423" s="1456"/>
      <c r="S423" s="1456"/>
      <c r="T423" s="1456"/>
      <c r="U423" s="1456"/>
      <c r="V423" s="1456"/>
      <c r="W423" s="1456"/>
      <c r="X423" s="1456"/>
      <c r="Y423" s="1456"/>
      <c r="Z423" s="1456"/>
      <c r="AA423" s="1456"/>
      <c r="AB423" s="1456"/>
      <c r="AC423" s="1456"/>
      <c r="AD423" s="1456"/>
      <c r="AE423" s="1456"/>
    </row>
    <row r="424" spans="1:39" ht="13.15" customHeight="1">
      <c r="H424" s="1457"/>
      <c r="I424" s="1457"/>
      <c r="J424" s="1457"/>
      <c r="K424" s="1457"/>
      <c r="L424" s="1457"/>
      <c r="M424" s="1457"/>
      <c r="N424" s="1457"/>
      <c r="O424" s="1457"/>
      <c r="P424" s="1457"/>
      <c r="Q424" s="1457"/>
      <c r="R424" s="1457"/>
      <c r="S424" s="1457"/>
      <c r="T424" s="1457"/>
      <c r="U424" s="1457"/>
      <c r="V424" s="1457"/>
      <c r="W424" s="1457"/>
      <c r="X424" s="1457"/>
      <c r="Y424" s="1457"/>
      <c r="Z424" s="1457"/>
      <c r="AA424" s="1457"/>
      <c r="AB424" s="1457"/>
      <c r="AC424" s="1457"/>
      <c r="AD424" s="1457"/>
      <c r="AE424" s="1457"/>
    </row>
    <row r="425" spans="1:39" ht="13.15" customHeight="1"/>
    <row r="426" spans="1:39" ht="13.15" customHeight="1">
      <c r="A426" s="1" t="s">
        <v>1018</v>
      </c>
      <c r="B426" s="1"/>
      <c r="C426" s="1"/>
      <c r="D426" s="1" t="s">
        <v>150</v>
      </c>
      <c r="AF426" s="1" t="s">
        <v>1184</v>
      </c>
    </row>
    <row r="427" spans="1:39" ht="13.15" customHeight="1">
      <c r="E427" s="1481"/>
      <c r="F427" s="1481"/>
      <c r="G427" s="1481"/>
      <c r="H427" s="1109" t="s">
        <v>1185</v>
      </c>
      <c r="I427" s="1481"/>
      <c r="J427" s="1481"/>
      <c r="K427" s="1481"/>
      <c r="L427" t="s">
        <v>1186</v>
      </c>
      <c r="N427" s="21" t="s">
        <v>36</v>
      </c>
      <c r="P427" s="1468">
        <v>1.0900000000000001</v>
      </c>
      <c r="Q427" s="1468"/>
      <c r="R427" s="1468"/>
      <c r="S427" t="s">
        <v>1187</v>
      </c>
      <c r="W427" s="1524">
        <f>IF(E427&gt;0,(E427*I427),(P427*43560))</f>
        <v>47480.4</v>
      </c>
      <c r="X427" s="1524"/>
      <c r="Y427" s="1524"/>
      <c r="Z427" t="s">
        <v>1188</v>
      </c>
      <c r="AF427" s="1519">
        <f>IFERROR(IF(P427&gt;0,(AG446/P427),(AG446/(W427/43560))),0)</f>
        <v>140.36697247706422</v>
      </c>
      <c r="AG427" s="1519"/>
      <c r="AH427" s="1519"/>
      <c r="AM427" s="2"/>
    </row>
    <row r="428" spans="1:39" ht="13.15" customHeight="1">
      <c r="E428" t="s">
        <v>1189</v>
      </c>
    </row>
    <row r="429" spans="1:39" ht="13.15" customHeight="1">
      <c r="E429" s="1459"/>
      <c r="F429" s="1459"/>
      <c r="G429" s="1459"/>
      <c r="H429" s="1459"/>
      <c r="I429" s="1459"/>
      <c r="J429" s="1459"/>
      <c r="K429" s="1459"/>
      <c r="L429" s="1459"/>
      <c r="M429" s="1459"/>
      <c r="N429" s="1459"/>
      <c r="O429" s="1459"/>
      <c r="P429" s="1459"/>
      <c r="Q429" s="1459"/>
      <c r="R429" s="1459"/>
      <c r="S429" s="1459"/>
      <c r="T429" s="1459"/>
      <c r="U429" s="1459"/>
      <c r="V429" s="1459"/>
      <c r="W429" s="1459"/>
      <c r="X429" s="1459"/>
      <c r="Y429" s="1459"/>
      <c r="Z429" s="1459"/>
      <c r="AA429" s="1459"/>
      <c r="AB429" s="1459"/>
      <c r="AC429" s="1459"/>
      <c r="AD429" s="1459"/>
      <c r="AE429" s="1459"/>
      <c r="AF429" s="1459"/>
      <c r="AG429" s="1459"/>
      <c r="AH429" s="1459"/>
      <c r="AI429" s="1459"/>
      <c r="AJ429" s="1459"/>
    </row>
    <row r="430" spans="1:39" ht="13.15" customHeight="1">
      <c r="E430" s="68" t="s">
        <v>1190</v>
      </c>
      <c r="F430" s="16"/>
      <c r="G430" s="16"/>
      <c r="H430" s="16"/>
      <c r="I430" s="1465">
        <v>1.0900000000000001</v>
      </c>
      <c r="J430" s="1465"/>
      <c r="K430" s="1465"/>
      <c r="L430" s="16"/>
      <c r="M430" s="68"/>
      <c r="N430" s="16"/>
      <c r="O430" s="16"/>
      <c r="P430" s="1471">
        <f>(DU763+DU786+DU808)/I430</f>
        <v>248.62385321100916</v>
      </c>
      <c r="Q430" s="1471"/>
      <c r="R430" s="1471"/>
      <c r="S430" s="68" t="s">
        <v>1191</v>
      </c>
      <c r="T430" s="16"/>
      <c r="U430" s="16"/>
      <c r="V430" s="16"/>
      <c r="W430" s="16"/>
      <c r="X430" s="16"/>
      <c r="Y430" s="16"/>
      <c r="Z430" s="16"/>
      <c r="AA430" s="16"/>
      <c r="AB430" s="16"/>
      <c r="AC430" s="16"/>
      <c r="AD430" s="16"/>
      <c r="AE430" s="16"/>
      <c r="AF430" s="16"/>
      <c r="AG430" s="16"/>
      <c r="AH430" s="16"/>
      <c r="AI430" s="16"/>
      <c r="AJ430" s="16"/>
    </row>
    <row r="431" spans="1:39" ht="13.15" customHeight="1"/>
    <row r="432" spans="1:39" ht="13.15" customHeight="1">
      <c r="A432" s="1" t="s">
        <v>1045</v>
      </c>
      <c r="B432" s="1"/>
      <c r="C432" s="1"/>
      <c r="D432" s="1" t="s">
        <v>152</v>
      </c>
    </row>
    <row r="433" spans="1:36" ht="13.15" customHeight="1">
      <c r="E433" t="s">
        <v>1192</v>
      </c>
      <c r="P433" s="1356">
        <v>1</v>
      </c>
      <c r="Q433" s="1356"/>
      <c r="S433" t="s">
        <v>1193</v>
      </c>
      <c r="AE433" s="1356">
        <v>1</v>
      </c>
      <c r="AF433" s="1356"/>
    </row>
    <row r="434" spans="1:36" ht="13.15" customHeight="1">
      <c r="E434" t="s">
        <v>1194</v>
      </c>
      <c r="P434" s="1356">
        <v>1</v>
      </c>
      <c r="Q434" s="1356"/>
      <c r="S434" t="s">
        <v>1195</v>
      </c>
      <c r="AE434" s="1356" t="s">
        <v>816</v>
      </c>
      <c r="AF434" s="1356"/>
    </row>
    <row r="435" spans="1:36" ht="13.15" customHeight="1">
      <c r="F435" s="17" t="s">
        <v>1196</v>
      </c>
    </row>
    <row r="436" spans="1:36" ht="13.15" customHeight="1">
      <c r="F436" s="1482"/>
      <c r="G436" s="1482"/>
      <c r="H436" s="1482"/>
      <c r="I436" s="1482"/>
      <c r="J436" s="1482"/>
      <c r="K436" s="1482"/>
      <c r="L436" s="1482"/>
      <c r="M436" s="1482"/>
      <c r="N436" s="1482"/>
      <c r="O436" s="1482"/>
      <c r="P436" s="1482"/>
      <c r="Q436" s="1482"/>
      <c r="R436" s="1482"/>
      <c r="S436" s="1482"/>
      <c r="T436" s="1482"/>
      <c r="U436" s="1482"/>
      <c r="V436" s="1482"/>
      <c r="W436" s="1482"/>
      <c r="X436" s="1482"/>
      <c r="Y436" s="1482"/>
      <c r="Z436" s="1482"/>
      <c r="AA436" s="1482"/>
      <c r="AB436" s="1482"/>
      <c r="AC436" s="1482"/>
      <c r="AD436" s="1482"/>
      <c r="AE436" s="1482"/>
      <c r="AF436" s="1482"/>
      <c r="AG436" s="1482"/>
      <c r="AH436" s="1482"/>
    </row>
    <row r="437" spans="1:36" ht="13.15" customHeight="1">
      <c r="F437" s="1483"/>
      <c r="G437" s="1483"/>
      <c r="H437" s="1483"/>
      <c r="I437" s="1483"/>
      <c r="J437" s="1483"/>
      <c r="K437" s="1483"/>
      <c r="L437" s="1483"/>
      <c r="M437" s="1483"/>
      <c r="N437" s="1483"/>
      <c r="O437" s="1483"/>
      <c r="P437" s="1483"/>
      <c r="Q437" s="1483"/>
      <c r="R437" s="1483"/>
      <c r="S437" s="1483"/>
      <c r="T437" s="1483"/>
      <c r="U437" s="1483"/>
      <c r="V437" s="1483"/>
      <c r="W437" s="1483"/>
      <c r="X437" s="1483"/>
      <c r="Y437" s="1483"/>
      <c r="Z437" s="1483"/>
      <c r="AA437" s="1483"/>
      <c r="AB437" s="1483"/>
      <c r="AC437" s="1483"/>
      <c r="AD437" s="1483"/>
      <c r="AE437" s="1483"/>
      <c r="AF437" s="1483"/>
      <c r="AG437" s="1483"/>
      <c r="AH437" s="1483"/>
    </row>
    <row r="438" spans="1:36" ht="13.15" customHeight="1">
      <c r="E438" t="s">
        <v>1197</v>
      </c>
      <c r="P438" s="1080"/>
      <c r="Q438" s="1356" t="s">
        <v>847</v>
      </c>
      <c r="R438" s="1356"/>
    </row>
    <row r="439" spans="1:36" ht="13.15" customHeight="1">
      <c r="F439" t="s">
        <v>1198</v>
      </c>
      <c r="P439" s="1080"/>
      <c r="Q439" s="1080"/>
      <c r="AF439" s="1356" t="s">
        <v>816</v>
      </c>
      <c r="AG439" s="1464"/>
    </row>
    <row r="440" spans="1:36" ht="13.15" customHeight="1"/>
    <row r="441" spans="1:36" ht="13.15" customHeight="1">
      <c r="A441" s="1"/>
      <c r="B441" s="1"/>
      <c r="C441" s="1"/>
      <c r="E441" s="2" t="s">
        <v>1199</v>
      </c>
      <c r="Z441" s="1356" t="s">
        <v>696</v>
      </c>
      <c r="AA441" s="1356"/>
    </row>
    <row r="442" spans="1:36" ht="13.15" customHeight="1">
      <c r="F442" s="28" t="s">
        <v>1200</v>
      </c>
      <c r="G442" s="1093"/>
      <c r="H442" s="1093"/>
      <c r="I442" s="1093"/>
      <c r="J442" s="1093"/>
      <c r="K442" s="1093"/>
      <c r="L442" s="1093"/>
      <c r="M442" s="1093"/>
      <c r="N442" s="1093"/>
      <c r="O442" s="1093"/>
      <c r="P442" s="1093"/>
      <c r="Q442" s="1093"/>
      <c r="R442" s="1093"/>
      <c r="S442" s="1093"/>
      <c r="T442" s="1093"/>
      <c r="U442" s="1093"/>
      <c r="V442" s="1093"/>
      <c r="W442" s="1093"/>
      <c r="AB442" s="1093"/>
    </row>
    <row r="443" spans="1:36" ht="13.15" customHeight="1">
      <c r="F443" t="s">
        <v>1201</v>
      </c>
      <c r="G443" s="1093"/>
      <c r="I443" s="1093"/>
      <c r="J443" s="1093"/>
      <c r="K443" s="1093"/>
      <c r="L443" s="1093"/>
      <c r="M443" s="1093"/>
      <c r="N443" s="1093"/>
      <c r="O443" s="17"/>
      <c r="P443" s="1093"/>
      <c r="Q443" s="1093"/>
      <c r="R443" s="1093"/>
      <c r="S443" s="1093"/>
      <c r="T443" s="1093"/>
      <c r="U443" s="1093"/>
      <c r="V443" s="1093"/>
      <c r="W443" s="1093"/>
      <c r="Z443" s="1356" t="s">
        <v>816</v>
      </c>
      <c r="AA443" s="1356"/>
    </row>
    <row r="444" spans="1:36" ht="13.15" customHeight="1"/>
    <row r="445" spans="1:36" ht="13.15" customHeight="1">
      <c r="A445" s="1" t="s">
        <v>1095</v>
      </c>
      <c r="B445" s="1"/>
      <c r="C445" s="1"/>
      <c r="D445" s="1" t="s">
        <v>159</v>
      </c>
      <c r="AF445" s="32"/>
    </row>
    <row r="446" spans="1:36" ht="13.15" customHeight="1">
      <c r="D446" s="1379" t="s">
        <v>1202</v>
      </c>
      <c r="E446" s="1380"/>
      <c r="F446" s="1380"/>
      <c r="G446" s="1380"/>
      <c r="H446" s="1380"/>
      <c r="I446" s="1380"/>
      <c r="J446" s="1380"/>
      <c r="K446" s="1380"/>
      <c r="L446" s="1380"/>
      <c r="M446" s="1380"/>
      <c r="N446" s="1380"/>
      <c r="O446" s="1380"/>
      <c r="P446" s="1380"/>
      <c r="Q446" s="1380"/>
      <c r="R446" s="1380"/>
      <c r="S446" s="1380"/>
      <c r="T446" s="1380"/>
      <c r="U446" s="1380"/>
      <c r="V446" s="1380"/>
      <c r="W446" s="1380"/>
      <c r="X446" s="1380"/>
      <c r="Y446" s="1380"/>
      <c r="Z446" s="1380"/>
      <c r="AA446" s="1380"/>
      <c r="AB446" s="1380"/>
      <c r="AC446" s="1380"/>
      <c r="AD446" s="1380"/>
      <c r="AE446" s="1380"/>
      <c r="AF446" s="1381"/>
      <c r="AG446" s="1460">
        <v>153</v>
      </c>
      <c r="AH446" s="1460"/>
      <c r="AI446" s="1460"/>
      <c r="AJ446" s="1460"/>
    </row>
    <row r="447" spans="1:36" ht="13.15" customHeight="1">
      <c r="D447" s="1461" t="s">
        <v>1203</v>
      </c>
      <c r="E447" s="1462"/>
      <c r="F447" s="1462"/>
      <c r="G447" s="1462"/>
      <c r="H447" s="1462"/>
      <c r="I447" s="1462"/>
      <c r="J447" s="1462"/>
      <c r="K447" s="1462"/>
      <c r="L447" s="1462"/>
      <c r="M447" s="1462"/>
      <c r="N447" s="1462"/>
      <c r="O447" s="1462"/>
      <c r="P447" s="1462"/>
      <c r="Q447" s="1462"/>
      <c r="R447" s="1462"/>
      <c r="S447" s="1462"/>
      <c r="T447" s="1462"/>
      <c r="U447" s="1462"/>
      <c r="V447" s="1462"/>
      <c r="W447" s="1462"/>
      <c r="X447" s="1462"/>
      <c r="Y447" s="1462"/>
      <c r="Z447" s="1462"/>
      <c r="AA447" s="1462"/>
      <c r="AB447" s="1462"/>
      <c r="AC447" s="1462"/>
      <c r="AD447" s="1462"/>
      <c r="AE447" s="1462"/>
      <c r="AF447" s="1463"/>
      <c r="AG447" s="1469">
        <v>0</v>
      </c>
      <c r="AH447" s="1470"/>
      <c r="AI447" s="1470"/>
      <c r="AJ447" s="1470"/>
    </row>
    <row r="448" spans="1:36" ht="13.15" customHeight="1">
      <c r="D448" s="1461" t="s">
        <v>1204</v>
      </c>
      <c r="E448" s="1462"/>
      <c r="F448" s="1462"/>
      <c r="G448" s="1462"/>
      <c r="H448" s="1462"/>
      <c r="I448" s="1462"/>
      <c r="J448" s="1462"/>
      <c r="K448" s="1462"/>
      <c r="L448" s="1462"/>
      <c r="M448" s="1462"/>
      <c r="N448" s="1462"/>
      <c r="O448" s="1462"/>
      <c r="P448" s="1462"/>
      <c r="Q448" s="1462"/>
      <c r="R448" s="1462"/>
      <c r="S448" s="1462"/>
      <c r="T448" s="1462"/>
      <c r="U448" s="1462"/>
      <c r="V448" s="1462"/>
      <c r="W448" s="1462"/>
      <c r="X448" s="1462"/>
      <c r="Y448" s="1462"/>
      <c r="Z448" s="1462"/>
      <c r="AA448" s="1462"/>
      <c r="AB448" s="1462"/>
      <c r="AC448" s="1462"/>
      <c r="AD448" s="1462"/>
      <c r="AE448" s="1462"/>
      <c r="AF448" s="1463"/>
      <c r="AG448" s="1460">
        <v>151</v>
      </c>
      <c r="AH448" s="1460"/>
      <c r="AI448" s="1460"/>
      <c r="AJ448" s="1460"/>
    </row>
    <row r="449" spans="4:55" ht="13.15" customHeight="1">
      <c r="D449" s="1461" t="s">
        <v>1205</v>
      </c>
      <c r="E449" s="1462"/>
      <c r="F449" s="1462"/>
      <c r="G449" s="1462"/>
      <c r="H449" s="1462"/>
      <c r="I449" s="1462"/>
      <c r="J449" s="1462"/>
      <c r="K449" s="1462"/>
      <c r="L449" s="1462"/>
      <c r="M449" s="1462"/>
      <c r="N449" s="1462"/>
      <c r="O449" s="1462"/>
      <c r="P449" s="1462"/>
      <c r="Q449" s="1462"/>
      <c r="R449" s="1462"/>
      <c r="S449" s="1462"/>
      <c r="T449" s="1462"/>
      <c r="U449" s="1462"/>
      <c r="V449" s="1462"/>
      <c r="W449" s="1462"/>
      <c r="X449" s="1462"/>
      <c r="Y449" s="1462"/>
      <c r="Z449" s="1462"/>
      <c r="AA449" s="1462"/>
      <c r="AB449" s="1462"/>
      <c r="AC449" s="1462"/>
      <c r="AD449" s="1462"/>
      <c r="AE449" s="1462"/>
      <c r="AF449" s="1463"/>
      <c r="AG449" s="1460">
        <v>151</v>
      </c>
      <c r="AH449" s="1460"/>
      <c r="AI449" s="1460"/>
      <c r="AJ449" s="1460"/>
    </row>
    <row r="450" spans="4:55" ht="13.15" customHeight="1">
      <c r="D450" s="1461" t="s">
        <v>1206</v>
      </c>
      <c r="E450" s="1462"/>
      <c r="F450" s="1462"/>
      <c r="G450" s="1462"/>
      <c r="H450" s="1462"/>
      <c r="I450" s="1462"/>
      <c r="J450" s="1462"/>
      <c r="K450" s="1462"/>
      <c r="L450" s="1462"/>
      <c r="M450" s="1462"/>
      <c r="N450" s="1462"/>
      <c r="O450" s="1462"/>
      <c r="P450" s="1462"/>
      <c r="Q450" s="1462"/>
      <c r="R450" s="1462"/>
      <c r="S450" s="1462"/>
      <c r="T450" s="1462"/>
      <c r="U450" s="1462"/>
      <c r="V450" s="1462"/>
      <c r="W450" s="1462"/>
      <c r="X450" s="1462"/>
      <c r="Y450" s="1462"/>
      <c r="Z450" s="1462"/>
      <c r="AA450" s="1462"/>
      <c r="AB450" s="1462"/>
      <c r="AC450" s="1462"/>
      <c r="AD450" s="1462"/>
      <c r="AE450" s="1462"/>
      <c r="AF450" s="1463"/>
      <c r="AG450" s="1375">
        <f>IF(ISERROR(AG449/AG448),0,AG449/AG448)</f>
        <v>1</v>
      </c>
      <c r="AH450" s="1375"/>
      <c r="AI450" s="1375"/>
      <c r="AJ450" s="1375"/>
    </row>
    <row r="451" spans="4:55" ht="13.15" customHeight="1">
      <c r="D451" s="1461" t="s">
        <v>1207</v>
      </c>
      <c r="E451" s="1462"/>
      <c r="F451" s="1462"/>
      <c r="G451" s="1462"/>
      <c r="H451" s="1462"/>
      <c r="I451" s="1462"/>
      <c r="J451" s="1462"/>
      <c r="K451" s="1462"/>
      <c r="L451" s="1462"/>
      <c r="M451" s="1462"/>
      <c r="N451" s="1462"/>
      <c r="O451" s="1462"/>
      <c r="P451" s="1462"/>
      <c r="Q451" s="1462"/>
      <c r="R451" s="1462"/>
      <c r="S451" s="1462"/>
      <c r="T451" s="1462"/>
      <c r="U451" s="1462"/>
      <c r="V451" s="1462"/>
      <c r="W451" s="1462"/>
      <c r="X451" s="1462"/>
      <c r="Y451" s="1462"/>
      <c r="Z451" s="1462"/>
      <c r="AA451" s="1462"/>
      <c r="AB451" s="1462"/>
      <c r="AC451" s="1462"/>
      <c r="AD451" s="1462"/>
      <c r="AE451" s="1462"/>
      <c r="AF451" s="1463"/>
      <c r="AG451" s="1398">
        <v>112170</v>
      </c>
      <c r="AH451" s="1398"/>
      <c r="AI451" s="1398"/>
      <c r="AJ451" s="1398"/>
    </row>
    <row r="452" spans="4:55" ht="13.15" customHeight="1">
      <c r="D452" s="1461" t="s">
        <v>1208</v>
      </c>
      <c r="E452" s="1462"/>
      <c r="F452" s="1462"/>
      <c r="G452" s="1462"/>
      <c r="H452" s="1462"/>
      <c r="I452" s="1462"/>
      <c r="J452" s="1462"/>
      <c r="K452" s="1462"/>
      <c r="L452" s="1462"/>
      <c r="M452" s="1462"/>
      <c r="N452" s="1462"/>
      <c r="O452" s="1462"/>
      <c r="P452" s="1462"/>
      <c r="Q452" s="1462"/>
      <c r="R452" s="1462"/>
      <c r="S452" s="1462"/>
      <c r="T452" s="1462"/>
      <c r="U452" s="1462"/>
      <c r="V452" s="1462"/>
      <c r="W452" s="1462"/>
      <c r="X452" s="1462"/>
      <c r="Y452" s="1462"/>
      <c r="Z452" s="1462"/>
      <c r="AA452" s="1462"/>
      <c r="AB452" s="1462"/>
      <c r="AC452" s="1462"/>
      <c r="AD452" s="1462"/>
      <c r="AE452" s="1462"/>
      <c r="AF452" s="1463"/>
      <c r="AG452" s="1398">
        <v>112170</v>
      </c>
      <c r="AH452" s="1398"/>
      <c r="AI452" s="1398"/>
      <c r="AJ452" s="1398"/>
    </row>
    <row r="453" spans="4:55" ht="13.15" customHeight="1">
      <c r="D453" s="1461" t="s">
        <v>1209</v>
      </c>
      <c r="E453" s="1462"/>
      <c r="F453" s="1462"/>
      <c r="G453" s="1462"/>
      <c r="H453" s="1462"/>
      <c r="I453" s="1462"/>
      <c r="J453" s="1462"/>
      <c r="K453" s="1462"/>
      <c r="L453" s="1462"/>
      <c r="M453" s="1462"/>
      <c r="N453" s="1462"/>
      <c r="O453" s="1462"/>
      <c r="P453" s="1462"/>
      <c r="Q453" s="1462"/>
      <c r="R453" s="1462"/>
      <c r="S453" s="1462"/>
      <c r="T453" s="1462"/>
      <c r="U453" s="1462"/>
      <c r="V453" s="1462"/>
      <c r="W453" s="1462"/>
      <c r="X453" s="1462"/>
      <c r="Y453" s="1462"/>
      <c r="Z453" s="1462"/>
      <c r="AA453" s="1462"/>
      <c r="AB453" s="1462"/>
      <c r="AC453" s="1462"/>
      <c r="AD453" s="1462"/>
      <c r="AE453" s="1462"/>
      <c r="AF453" s="1463"/>
      <c r="AG453" s="1375">
        <f>IF(ISERROR(AG452/AG451),0,AG452/AG451)</f>
        <v>1</v>
      </c>
      <c r="AH453" s="1375"/>
      <c r="AI453" s="1375"/>
      <c r="AJ453" s="1375"/>
    </row>
    <row r="454" spans="4:55" ht="13.15" customHeight="1">
      <c r="D454" s="1461" t="s">
        <v>1210</v>
      </c>
      <c r="E454" s="1462"/>
      <c r="F454" s="1462"/>
      <c r="G454" s="1462"/>
      <c r="H454" s="1462"/>
      <c r="I454" s="1462"/>
      <c r="J454" s="1462"/>
      <c r="K454" s="1462"/>
      <c r="L454" s="1462"/>
      <c r="M454" s="1462"/>
      <c r="N454" s="1462"/>
      <c r="O454" s="1462"/>
      <c r="P454" s="1462"/>
      <c r="Q454" s="1462"/>
      <c r="R454" s="1462"/>
      <c r="S454" s="1462"/>
      <c r="T454" s="1462"/>
      <c r="U454" s="1462"/>
      <c r="V454" s="1462"/>
      <c r="W454" s="1462"/>
      <c r="X454" s="1462"/>
      <c r="Y454" s="1462"/>
      <c r="Z454" s="1462"/>
      <c r="AA454" s="1462"/>
      <c r="AB454" s="1462"/>
      <c r="AC454" s="1462"/>
      <c r="AD454" s="1462"/>
      <c r="AE454" s="1462"/>
      <c r="AF454" s="1463"/>
      <c r="AG454" s="1375">
        <f>MIN(IF(AG450&gt;AG453,AG453,AG450),1)</f>
        <v>1</v>
      </c>
      <c r="AH454" s="1375"/>
      <c r="AI454" s="1375"/>
      <c r="AJ454" s="1375"/>
    </row>
    <row r="455" spans="4:55" ht="13.15" customHeight="1">
      <c r="D455" s="1461" t="s">
        <v>1211</v>
      </c>
      <c r="E455" s="1380"/>
      <c r="F455" s="1380"/>
      <c r="G455" s="1380"/>
      <c r="H455" s="1380"/>
      <c r="I455" s="1380"/>
      <c r="J455" s="1380"/>
      <c r="K455" s="1380"/>
      <c r="L455" s="1380"/>
      <c r="M455" s="1380"/>
      <c r="N455" s="1380"/>
      <c r="O455" s="1380"/>
      <c r="P455" s="1380"/>
      <c r="Q455" s="1380"/>
      <c r="R455" s="1380"/>
      <c r="S455" s="1380"/>
      <c r="T455" s="1380"/>
      <c r="U455" s="1380"/>
      <c r="V455" s="1380"/>
      <c r="W455" s="1380"/>
      <c r="X455" s="1380"/>
      <c r="Y455" s="1380"/>
      <c r="Z455" s="1380"/>
      <c r="AA455" s="1380"/>
      <c r="AB455" s="1380"/>
      <c r="AC455" s="1380"/>
      <c r="AD455" s="1380"/>
      <c r="AE455" s="1380"/>
      <c r="AF455" s="1381"/>
      <c r="AG455" s="1398">
        <f>1318+426+139</f>
        <v>1883</v>
      </c>
      <c r="AH455" s="1398"/>
      <c r="AI455" s="1398"/>
      <c r="AJ455" s="1398"/>
      <c r="AZ455" s="2"/>
      <c r="BA455" s="2"/>
      <c r="BB455" s="2"/>
      <c r="BC455" s="2"/>
    </row>
    <row r="456" spans="4:55" ht="13.15" customHeight="1">
      <c r="D456" s="1379" t="s">
        <v>1212</v>
      </c>
      <c r="E456" s="1380"/>
      <c r="F456" s="1380"/>
      <c r="G456" s="1380"/>
      <c r="H456" s="1380"/>
      <c r="I456" s="1380"/>
      <c r="J456" s="1380"/>
      <c r="K456" s="1380"/>
      <c r="L456" s="1380"/>
      <c r="M456" s="1380"/>
      <c r="N456" s="1380"/>
      <c r="O456" s="1380"/>
      <c r="P456" s="1380"/>
      <c r="Q456" s="1380"/>
      <c r="R456" s="1380"/>
      <c r="S456" s="1380"/>
      <c r="T456" s="1380"/>
      <c r="U456" s="1380"/>
      <c r="V456" s="1380"/>
      <c r="W456" s="1380"/>
      <c r="X456" s="1380"/>
      <c r="Y456" s="1380"/>
      <c r="Z456" s="1380"/>
      <c r="AA456" s="1380"/>
      <c r="AB456" s="1380"/>
      <c r="AC456" s="1380"/>
      <c r="AD456" s="1380"/>
      <c r="AE456" s="1380"/>
      <c r="AF456" s="1381"/>
      <c r="AG456" s="1398">
        <v>0</v>
      </c>
      <c r="AH456" s="1398"/>
      <c r="AI456" s="1398"/>
      <c r="AJ456" s="1398"/>
      <c r="AZ456" s="2"/>
      <c r="BA456" s="2"/>
      <c r="BB456" s="2"/>
      <c r="BC456" s="2"/>
    </row>
    <row r="457" spans="4:55" ht="13.15" customHeight="1">
      <c r="D457" s="1461" t="s">
        <v>1213</v>
      </c>
      <c r="E457" s="1380"/>
      <c r="F457" s="1380"/>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c r="AA457" s="1380"/>
      <c r="AB457" s="1380"/>
      <c r="AC457" s="1380"/>
      <c r="AD457" s="1380"/>
      <c r="AE457" s="1380"/>
      <c r="AF457" s="1381"/>
      <c r="AG457" s="1398">
        <f>1318+426+353+139+2944+902+(2*806)</f>
        <v>7694</v>
      </c>
      <c r="AH457" s="1398"/>
      <c r="AI457" s="1398"/>
      <c r="AJ457" s="1398"/>
      <c r="AZ457" s="2"/>
      <c r="BA457" s="2"/>
      <c r="BB457" s="2"/>
      <c r="BC457" s="2"/>
    </row>
    <row r="458" spans="4:55" ht="13.15" customHeight="1">
      <c r="D458" s="1461" t="s">
        <v>1214</v>
      </c>
      <c r="E458" s="1380"/>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c r="AA458" s="1380"/>
      <c r="AB458" s="1380"/>
      <c r="AC458" s="1380"/>
      <c r="AD458" s="1380"/>
      <c r="AE458" s="1380"/>
      <c r="AF458" s="1381"/>
      <c r="AG458" s="1398">
        <v>31014</v>
      </c>
      <c r="AH458" s="1398"/>
      <c r="AI458" s="1398"/>
      <c r="AJ458" s="1398"/>
      <c r="BB458" s="2"/>
      <c r="BC458" s="2"/>
    </row>
    <row r="459" spans="4:55" ht="13.15" customHeight="1">
      <c r="D459" s="1520" t="s">
        <v>1215</v>
      </c>
      <c r="E459" s="1521"/>
      <c r="F459" s="1521"/>
      <c r="G459" s="1521"/>
      <c r="H459" s="1521"/>
      <c r="I459" s="1521"/>
      <c r="J459" s="1521"/>
      <c r="K459" s="1521"/>
      <c r="L459" s="1521"/>
      <c r="M459" s="1521"/>
      <c r="N459" s="1521"/>
      <c r="O459" s="1521"/>
      <c r="P459" s="1521"/>
      <c r="Q459" s="1521"/>
      <c r="R459" s="1521"/>
      <c r="S459" s="1521"/>
      <c r="T459" s="1521"/>
      <c r="U459" s="1521"/>
      <c r="V459" s="1521"/>
      <c r="W459" s="1521"/>
      <c r="X459" s="1521"/>
      <c r="Y459" s="1521"/>
      <c r="Z459" s="1521"/>
      <c r="AA459" s="1521"/>
      <c r="AB459" s="1521"/>
      <c r="AC459" s="1521"/>
      <c r="AD459" s="1521"/>
      <c r="AE459" s="1521"/>
      <c r="AF459" s="1522"/>
      <c r="AG459" s="1415">
        <f>AG451+AG455+AG457+AG458</f>
        <v>152761</v>
      </c>
      <c r="AH459" s="1415"/>
      <c r="AI459" s="1415"/>
      <c r="AJ459" s="1415"/>
      <c r="AZ459" s="2"/>
      <c r="BA459" s="2"/>
      <c r="BB459" s="2"/>
      <c r="BC459" s="2"/>
    </row>
    <row r="460" spans="4:55" ht="13.15" customHeight="1">
      <c r="D460" s="1526" t="s">
        <v>1216</v>
      </c>
      <c r="E460" s="1526"/>
      <c r="F460" s="1526"/>
      <c r="G460" s="1526"/>
      <c r="H460" s="1526"/>
      <c r="I460" s="1526"/>
      <c r="J460" s="1526"/>
      <c r="K460" s="1526"/>
      <c r="L460" s="1526"/>
      <c r="M460" s="1526"/>
      <c r="N460" s="1526"/>
      <c r="O460" s="1526"/>
      <c r="P460" s="1526"/>
      <c r="Q460" s="1526"/>
      <c r="R460" s="1526"/>
      <c r="S460" s="1526"/>
      <c r="T460" s="1526"/>
      <c r="U460" s="1526"/>
      <c r="V460" s="1526"/>
      <c r="W460" s="1526"/>
      <c r="X460" s="1526"/>
      <c r="Y460" s="1526"/>
      <c r="Z460" s="1526"/>
      <c r="AA460" s="1526"/>
      <c r="AB460" s="1526"/>
      <c r="AC460" s="1526"/>
      <c r="AD460" s="1526"/>
      <c r="AE460" s="1526"/>
      <c r="AF460" s="1526"/>
      <c r="AG460" s="1526"/>
      <c r="AH460" s="1526"/>
      <c r="AI460" s="1526"/>
      <c r="AJ460" s="1526"/>
      <c r="AZ460" s="2"/>
      <c r="BA460" s="2"/>
      <c r="BB460" s="2"/>
      <c r="BC460" s="2"/>
    </row>
    <row r="461" spans="4:55" ht="13.15" customHeight="1">
      <c r="D461" s="1527"/>
      <c r="E461" s="1527"/>
      <c r="F461" s="1527"/>
      <c r="G461" s="1527"/>
      <c r="H461" s="1527"/>
      <c r="I461" s="1527"/>
      <c r="J461" s="1527"/>
      <c r="K461" s="1527"/>
      <c r="L461" s="1527"/>
      <c r="M461" s="1527"/>
      <c r="N461" s="1527"/>
      <c r="O461" s="1527"/>
      <c r="P461" s="1527"/>
      <c r="Q461" s="1527"/>
      <c r="R461" s="1527"/>
      <c r="S461" s="1527"/>
      <c r="T461" s="1527"/>
      <c r="U461" s="1527"/>
      <c r="V461" s="1527"/>
      <c r="W461" s="1527"/>
      <c r="X461" s="1527"/>
      <c r="Y461" s="1527"/>
      <c r="Z461" s="1527"/>
      <c r="AA461" s="1527"/>
      <c r="AB461" s="1527"/>
      <c r="AC461" s="1527"/>
      <c r="AD461" s="1527"/>
      <c r="AE461" s="1527"/>
      <c r="AF461" s="1527"/>
      <c r="AG461" s="1527"/>
      <c r="AH461" s="1527"/>
      <c r="AI461" s="1527"/>
      <c r="AJ461" s="1527"/>
      <c r="AZ461" s="2"/>
      <c r="BA461" s="2"/>
      <c r="BB461" s="2"/>
      <c r="BC461" s="2"/>
    </row>
    <row r="462" spans="4:55" ht="13.1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3.15"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391">
        <f>IF(AG446=0,"",'Sources and Uses Budget'!B105/Application!AG446)</f>
        <v>735994.75163398695</v>
      </c>
      <c r="AD463" s="1391"/>
      <c r="AE463" s="1391"/>
      <c r="AF463" s="1391"/>
      <c r="AG463" s="367"/>
      <c r="AH463" s="367"/>
      <c r="AI463" s="367"/>
      <c r="AJ463" s="767"/>
      <c r="AZ463" s="2"/>
      <c r="BA463" s="2" t="str">
        <f>AG583</f>
        <v>Yes</v>
      </c>
      <c r="BB463" s="2"/>
      <c r="BC463" s="2"/>
    </row>
    <row r="464" spans="4:55" ht="13.15"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391">
        <f>IF(AG446=0,"",'Sources and Uses Budget'!C105/Application!AG446)</f>
        <v>735994.75163398695</v>
      </c>
      <c r="AD464" s="1391"/>
      <c r="AE464" s="1391"/>
      <c r="AF464" s="1391"/>
      <c r="AG464" s="367"/>
      <c r="AH464" s="367"/>
      <c r="AI464" s="367"/>
      <c r="AJ464" s="767"/>
      <c r="AZ464" s="2"/>
      <c r="BA464" s="2"/>
      <c r="BB464" s="2"/>
      <c r="BC464" s="2"/>
    </row>
    <row r="465" spans="1:55" ht="13.15"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391">
        <f>IF(AG446=0,"",('Sources and Uses Budget'!$S$107+'Sources and Uses Budget'!$T$107)/Application!AG446)</f>
        <v>638932.20261437912</v>
      </c>
      <c r="AD465" s="1391"/>
      <c r="AE465" s="1391"/>
      <c r="AF465" s="1391"/>
      <c r="AG465" s="367"/>
      <c r="AH465" s="367"/>
      <c r="AI465" s="367"/>
      <c r="AJ465" s="767"/>
      <c r="AZ465" s="2"/>
      <c r="BA465" s="2"/>
      <c r="BB465" s="2"/>
      <c r="BC465" s="2"/>
    </row>
    <row r="466" spans="1:55" ht="13.1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3.15"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3.15"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3.15"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3.15"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3.1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3.15"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3.15" customHeight="1">
      <c r="A473" s="2"/>
      <c r="B473" s="2"/>
      <c r="C473" s="2"/>
      <c r="D473" s="1388" t="s">
        <v>1225</v>
      </c>
      <c r="E473" s="1389"/>
      <c r="F473" s="1389"/>
      <c r="G473" s="1389"/>
      <c r="H473" s="1389"/>
      <c r="I473" s="1389"/>
      <c r="J473" s="1389"/>
      <c r="K473" s="1389"/>
      <c r="L473" s="1389"/>
      <c r="M473" s="1389"/>
      <c r="N473" s="1389"/>
      <c r="O473" s="1389"/>
      <c r="P473" s="1389"/>
      <c r="Q473" s="1389"/>
      <c r="R473" s="1389"/>
      <c r="S473" s="1389"/>
      <c r="T473" s="1389"/>
      <c r="U473" s="1389"/>
      <c r="V473" s="1390"/>
      <c r="W473" s="1364">
        <v>0</v>
      </c>
      <c r="X473" s="1365"/>
      <c r="Y473" s="1366"/>
      <c r="Z473" s="105"/>
      <c r="AA473" s="105"/>
      <c r="AB473" s="105"/>
      <c r="AC473" s="105"/>
      <c r="AD473" s="367"/>
      <c r="AE473" s="367"/>
      <c r="AF473" s="367"/>
      <c r="AG473" s="367"/>
      <c r="AH473" s="367"/>
      <c r="AI473" s="367"/>
      <c r="AJ473" s="767"/>
      <c r="AZ473" s="2"/>
      <c r="BA473" s="2"/>
      <c r="BB473" s="2"/>
      <c r="BC473" s="2"/>
    </row>
    <row r="474" spans="1:55" ht="13.15" customHeight="1">
      <c r="A474" s="2"/>
      <c r="B474" s="2"/>
      <c r="C474" s="2"/>
      <c r="D474" s="1388" t="s">
        <v>1226</v>
      </c>
      <c r="E474" s="1389"/>
      <c r="F474" s="1389"/>
      <c r="G474" s="1389"/>
      <c r="H474" s="1389"/>
      <c r="I474" s="1389"/>
      <c r="J474" s="1389"/>
      <c r="K474" s="1389"/>
      <c r="L474" s="1389"/>
      <c r="M474" s="1389"/>
      <c r="N474" s="1389"/>
      <c r="O474" s="1389"/>
      <c r="P474" s="1389"/>
      <c r="Q474" s="1389"/>
      <c r="R474" s="1389"/>
      <c r="S474" s="1389"/>
      <c r="T474" s="1389"/>
      <c r="U474" s="1389"/>
      <c r="V474" s="1390"/>
      <c r="W474" s="1364">
        <v>0</v>
      </c>
      <c r="X474" s="1365"/>
      <c r="Y474" s="1366"/>
      <c r="Z474" s="105"/>
      <c r="AA474" s="105"/>
      <c r="AB474" s="105"/>
      <c r="AC474" s="105"/>
      <c r="AD474" s="367"/>
      <c r="AE474" s="367"/>
      <c r="AF474" s="367"/>
      <c r="AG474" s="367"/>
      <c r="AH474" s="367"/>
      <c r="AI474" s="367"/>
      <c r="AJ474" s="767"/>
      <c r="AZ474" s="2"/>
      <c r="BA474" s="2"/>
      <c r="BB474" s="2"/>
      <c r="BC474" s="2"/>
    </row>
    <row r="475" spans="1:55" ht="13.15" customHeight="1">
      <c r="A475" s="2"/>
      <c r="B475" s="2"/>
      <c r="C475" s="2"/>
      <c r="D475" s="1388" t="s">
        <v>1227</v>
      </c>
      <c r="E475" s="1389"/>
      <c r="F475" s="1389"/>
      <c r="G475" s="1389"/>
      <c r="H475" s="1389"/>
      <c r="I475" s="1389"/>
      <c r="J475" s="1389"/>
      <c r="K475" s="1389"/>
      <c r="L475" s="1389"/>
      <c r="M475" s="1389"/>
      <c r="N475" s="1389"/>
      <c r="O475" s="1389"/>
      <c r="P475" s="1389"/>
      <c r="Q475" s="1389"/>
      <c r="R475" s="1389"/>
      <c r="S475" s="1389"/>
      <c r="T475" s="1389"/>
      <c r="U475" s="1389"/>
      <c r="V475" s="1390"/>
      <c r="W475" s="1364">
        <v>10</v>
      </c>
      <c r="X475" s="1365"/>
      <c r="Y475" s="1366"/>
      <c r="Z475" s="105"/>
      <c r="AA475" s="105"/>
      <c r="AB475" s="105"/>
      <c r="AC475" s="105"/>
      <c r="AD475" s="367"/>
      <c r="AE475" s="367"/>
      <c r="AF475" s="367"/>
      <c r="AG475" s="367"/>
      <c r="AH475" s="367"/>
      <c r="AI475" s="367"/>
      <c r="AJ475" s="767"/>
      <c r="AZ475" s="2"/>
      <c r="BA475" s="2"/>
      <c r="BB475" s="2"/>
      <c r="BC475" s="2"/>
    </row>
    <row r="476" spans="1:55" ht="13.15" customHeight="1">
      <c r="A476" s="2"/>
      <c r="B476" s="2"/>
      <c r="C476" s="2"/>
      <c r="D476" s="1388" t="s">
        <v>1228</v>
      </c>
      <c r="E476" s="1389"/>
      <c r="F476" s="1389"/>
      <c r="G476" s="1389"/>
      <c r="H476" s="1389"/>
      <c r="I476" s="1389"/>
      <c r="J476" s="1389"/>
      <c r="K476" s="1389"/>
      <c r="L476" s="1389"/>
      <c r="M476" s="1389"/>
      <c r="N476" s="1389"/>
      <c r="O476" s="1389"/>
      <c r="P476" s="1389"/>
      <c r="Q476" s="1389"/>
      <c r="R476" s="1389"/>
      <c r="S476" s="1389"/>
      <c r="T476" s="1389"/>
      <c r="U476" s="1389"/>
      <c r="V476" s="1390"/>
      <c r="W476" s="1364">
        <v>0</v>
      </c>
      <c r="X476" s="1365"/>
      <c r="Y476" s="1366"/>
      <c r="Z476" s="105"/>
      <c r="AA476" s="105"/>
      <c r="AB476" s="105"/>
      <c r="AC476" s="105"/>
      <c r="AD476" s="367"/>
      <c r="AE476" s="367"/>
      <c r="AF476" s="367"/>
      <c r="AG476" s="367"/>
      <c r="AH476" s="367"/>
      <c r="AI476" s="367"/>
      <c r="AJ476" s="767"/>
      <c r="AZ476" s="2"/>
      <c r="BA476" s="2"/>
      <c r="BB476" s="2"/>
      <c r="BC476" s="2"/>
    </row>
    <row r="477" spans="1:55" ht="13.15" customHeight="1">
      <c r="A477" s="2"/>
      <c r="B477" s="2"/>
      <c r="C477" s="2"/>
      <c r="D477" s="1388" t="s">
        <v>1229</v>
      </c>
      <c r="E477" s="1389"/>
      <c r="F477" s="1389"/>
      <c r="G477" s="1389"/>
      <c r="H477" s="1389"/>
      <c r="I477" s="1389"/>
      <c r="J477" s="1389"/>
      <c r="K477" s="1389"/>
      <c r="L477" s="1389"/>
      <c r="M477" s="1389"/>
      <c r="N477" s="1389"/>
      <c r="O477" s="1389"/>
      <c r="P477" s="1389"/>
      <c r="Q477" s="1389"/>
      <c r="R477" s="1389"/>
      <c r="S477" s="1389"/>
      <c r="T477" s="1389"/>
      <c r="U477" s="1389"/>
      <c r="V477" s="1390"/>
      <c r="W477" s="1364">
        <v>0</v>
      </c>
      <c r="X477" s="1365"/>
      <c r="Y477" s="1366"/>
      <c r="Z477" s="105"/>
      <c r="AA477" s="105"/>
      <c r="AB477" s="105"/>
      <c r="AC477" s="105"/>
      <c r="AD477" s="367"/>
      <c r="AE477" s="367"/>
      <c r="AF477" s="367"/>
      <c r="AG477" s="367"/>
      <c r="AH477" s="367"/>
      <c r="AI477" s="367"/>
      <c r="AJ477" s="767"/>
      <c r="AZ477" s="2"/>
      <c r="BA477" s="2" t="str">
        <f>N599</f>
        <v>Yes</v>
      </c>
      <c r="BB477" s="2"/>
      <c r="BC477" s="2"/>
    </row>
    <row r="478" spans="1:55" ht="13.15" customHeight="1">
      <c r="A478" s="2"/>
      <c r="B478" s="2"/>
      <c r="C478" s="2"/>
      <c r="D478" s="1388" t="s">
        <v>1230</v>
      </c>
      <c r="E478" s="1389"/>
      <c r="F478" s="1389"/>
      <c r="G478" s="1389"/>
      <c r="H478" s="1389"/>
      <c r="I478" s="1389"/>
      <c r="J478" s="1389"/>
      <c r="K478" s="1389"/>
      <c r="L478" s="1389"/>
      <c r="M478" s="1389"/>
      <c r="N478" s="1389"/>
      <c r="O478" s="1389"/>
      <c r="P478" s="1389"/>
      <c r="Q478" s="1389"/>
      <c r="R478" s="1389"/>
      <c r="S478" s="1389"/>
      <c r="T478" s="1389"/>
      <c r="U478" s="1389"/>
      <c r="V478" s="1390"/>
      <c r="W478" s="1364">
        <v>0</v>
      </c>
      <c r="X478" s="1365"/>
      <c r="Y478" s="1366"/>
      <c r="Z478" s="105"/>
      <c r="AA478" s="105"/>
      <c r="AB478" s="105"/>
      <c r="AC478" s="105"/>
      <c r="AD478" s="367"/>
      <c r="AE478" s="367"/>
      <c r="AF478" s="367"/>
      <c r="AG478" s="367"/>
      <c r="AH478" s="367"/>
      <c r="AI478" s="367"/>
      <c r="AJ478" s="767"/>
      <c r="AZ478" s="2"/>
      <c r="BA478" s="2" t="str">
        <f>AG599</f>
        <v>Yes</v>
      </c>
      <c r="BB478" s="2"/>
      <c r="BC478" s="2"/>
    </row>
    <row r="479" spans="1:55" ht="13.15" customHeight="1">
      <c r="A479" s="2"/>
      <c r="B479" s="2"/>
      <c r="C479" s="2"/>
      <c r="D479" s="1388" t="s">
        <v>1231</v>
      </c>
      <c r="E479" s="1389"/>
      <c r="F479" s="1389"/>
      <c r="G479" s="1389"/>
      <c r="H479" s="1389"/>
      <c r="I479" s="1389"/>
      <c r="J479" s="1389"/>
      <c r="K479" s="1389"/>
      <c r="L479" s="1389"/>
      <c r="M479" s="1389"/>
      <c r="N479" s="1389"/>
      <c r="O479" s="1389"/>
      <c r="P479" s="1389"/>
      <c r="Q479" s="1389"/>
      <c r="R479" s="1389"/>
      <c r="S479" s="1389"/>
      <c r="T479" s="1389"/>
      <c r="U479" s="1389"/>
      <c r="V479" s="1390"/>
      <c r="W479" s="1364">
        <v>0</v>
      </c>
      <c r="X479" s="1365"/>
      <c r="Y479" s="1366"/>
      <c r="Z479" s="105"/>
      <c r="AA479" s="105"/>
      <c r="AB479" s="105"/>
      <c r="AC479" s="105"/>
      <c r="AD479" s="367"/>
      <c r="AE479" s="367"/>
      <c r="AF479" s="367"/>
      <c r="AG479" s="367"/>
      <c r="AH479" s="367"/>
      <c r="AI479" s="367"/>
      <c r="AJ479" s="767"/>
      <c r="AZ479" s="2"/>
      <c r="BA479" s="2"/>
      <c r="BB479" s="2"/>
      <c r="BC479" s="2"/>
    </row>
    <row r="480" spans="1:55" ht="13.15" customHeight="1">
      <c r="A480" s="2"/>
      <c r="B480" s="2"/>
      <c r="C480" s="2"/>
      <c r="D480" s="1388" t="s">
        <v>1232</v>
      </c>
      <c r="E480" s="1389"/>
      <c r="F480" s="1389"/>
      <c r="G480" s="1389"/>
      <c r="H480" s="1389"/>
      <c r="I480" s="1389"/>
      <c r="J480" s="1389"/>
      <c r="K480" s="1389"/>
      <c r="L480" s="1389"/>
      <c r="M480" s="1389"/>
      <c r="N480" s="1389"/>
      <c r="O480" s="1389"/>
      <c r="P480" s="1389"/>
      <c r="Q480" s="1389"/>
      <c r="R480" s="1389"/>
      <c r="S480" s="1389"/>
      <c r="T480" s="1389"/>
      <c r="U480" s="1389"/>
      <c r="V480" s="1390"/>
      <c r="W480" s="1364">
        <v>0</v>
      </c>
      <c r="X480" s="1365"/>
      <c r="Y480" s="1366"/>
      <c r="Z480" s="105"/>
      <c r="AA480" s="105"/>
      <c r="AB480" s="105"/>
      <c r="AC480" s="105"/>
      <c r="AD480" s="367"/>
      <c r="AE480" s="367"/>
      <c r="AF480" s="367"/>
      <c r="AG480" s="367"/>
      <c r="AH480" s="367"/>
      <c r="AI480" s="367"/>
      <c r="AJ480" s="767"/>
      <c r="AZ480" s="2"/>
      <c r="BA480" s="2"/>
      <c r="BB480" s="2"/>
      <c r="BC480" s="2"/>
    </row>
    <row r="481" spans="1:55" ht="13.15" customHeight="1">
      <c r="A481" s="2"/>
      <c r="B481" s="2"/>
      <c r="C481" s="2"/>
      <c r="D481" s="1388" t="s">
        <v>1233</v>
      </c>
      <c r="E481" s="1389"/>
      <c r="F481" s="1389"/>
      <c r="G481" s="1389"/>
      <c r="H481" s="1389"/>
      <c r="I481" s="1389"/>
      <c r="J481" s="1389"/>
      <c r="K481" s="1389"/>
      <c r="L481" s="1389"/>
      <c r="M481" s="1389"/>
      <c r="N481" s="1389"/>
      <c r="O481" s="1389"/>
      <c r="P481" s="1389"/>
      <c r="Q481" s="1389"/>
      <c r="R481" s="1389"/>
      <c r="S481" s="1389"/>
      <c r="T481" s="1389"/>
      <c r="U481" s="1389"/>
      <c r="V481" s="1390"/>
      <c r="W481" s="1364">
        <v>40</v>
      </c>
      <c r="X481" s="1365"/>
      <c r="Y481" s="1366"/>
      <c r="Z481" s="105"/>
      <c r="AA481" s="105"/>
      <c r="AB481" s="105"/>
      <c r="AC481" s="105"/>
      <c r="AD481" s="367"/>
      <c r="AE481" s="367"/>
      <c r="AF481" s="367"/>
      <c r="AG481" s="367"/>
      <c r="AH481" s="367"/>
      <c r="AI481" s="367"/>
      <c r="AJ481" s="767"/>
      <c r="AZ481" s="2"/>
      <c r="BA481" s="2"/>
      <c r="BB481" s="2"/>
      <c r="BC481" s="2"/>
    </row>
    <row r="482" spans="1:55" ht="13.15" customHeight="1">
      <c r="A482" s="2"/>
      <c r="B482" s="2"/>
      <c r="C482" s="2"/>
      <c r="D482" s="1168" t="s">
        <v>233</v>
      </c>
      <c r="E482" s="1169"/>
      <c r="F482" s="1170"/>
      <c r="G482" s="1773"/>
      <c r="H482" s="1774"/>
      <c r="I482" s="1774"/>
      <c r="J482" s="1774"/>
      <c r="K482" s="1774"/>
      <c r="L482" s="1774"/>
      <c r="M482" s="1774"/>
      <c r="N482" s="1774"/>
      <c r="O482" s="1774"/>
      <c r="P482" s="1774"/>
      <c r="Q482" s="1774"/>
      <c r="R482" s="1774"/>
      <c r="S482" s="1774"/>
      <c r="T482" s="1774"/>
      <c r="U482" s="1774"/>
      <c r="V482" s="1775"/>
      <c r="W482" s="1364">
        <v>0</v>
      </c>
      <c r="X482" s="1365"/>
      <c r="Y482" s="1366"/>
      <c r="Z482" s="105"/>
      <c r="AA482" s="105"/>
      <c r="AB482" s="105"/>
      <c r="AC482" s="105"/>
      <c r="AD482" s="367"/>
      <c r="AE482" s="367"/>
      <c r="AF482" s="367"/>
      <c r="AG482" s="367"/>
      <c r="AH482" s="367"/>
      <c r="AI482" s="367"/>
      <c r="AJ482" s="767"/>
      <c r="AZ482" s="2"/>
      <c r="BA482" s="2"/>
      <c r="BB482" s="2"/>
      <c r="BC482" s="2"/>
    </row>
    <row r="483" spans="1:55" ht="13.15"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3.15" customHeight="1">
      <c r="A484" s="2"/>
      <c r="B484" s="2"/>
      <c r="C484" s="2"/>
      <c r="D484" s="1074"/>
      <c r="E484" s="1075"/>
      <c r="F484" s="1075"/>
      <c r="G484" s="1075"/>
      <c r="H484" s="1075"/>
      <c r="I484" s="1075"/>
      <c r="J484" s="1075"/>
      <c r="K484" s="1075"/>
      <c r="L484" s="1075"/>
      <c r="M484" s="1075"/>
      <c r="N484" s="1075"/>
      <c r="O484" s="1075"/>
      <c r="P484" s="1075"/>
      <c r="Q484" s="1075"/>
      <c r="R484" s="1075"/>
      <c r="S484" s="1075"/>
      <c r="T484" s="1075"/>
      <c r="U484" s="1075"/>
      <c r="V484" s="1075"/>
      <c r="W484" s="1175"/>
      <c r="X484" s="1175"/>
      <c r="Y484" s="1176"/>
      <c r="Z484" s="105"/>
      <c r="AA484" s="105"/>
      <c r="AB484" s="105"/>
      <c r="AC484" s="105"/>
      <c r="AD484" s="367"/>
      <c r="AE484" s="367"/>
      <c r="AF484" s="367"/>
      <c r="AG484" s="367"/>
      <c r="AH484" s="367"/>
      <c r="AI484" s="367"/>
      <c r="AJ484" s="767"/>
      <c r="AZ484" s="2"/>
      <c r="BA484" s="2"/>
      <c r="BB484" s="2"/>
      <c r="BC484" s="2"/>
    </row>
    <row r="485" spans="1:55" ht="13.15" customHeight="1">
      <c r="A485" s="2"/>
      <c r="B485" s="2"/>
      <c r="C485" s="2"/>
      <c r="D485" s="1074"/>
      <c r="E485" s="1075"/>
      <c r="F485" s="1075"/>
      <c r="G485" s="1075"/>
      <c r="H485" s="1075"/>
      <c r="I485" s="1075"/>
      <c r="J485" s="1075"/>
      <c r="K485" s="1075"/>
      <c r="L485" s="1075"/>
      <c r="M485" s="1075"/>
      <c r="N485" s="1075"/>
      <c r="O485" s="1075"/>
      <c r="P485" s="1075"/>
      <c r="Q485" s="1075"/>
      <c r="R485" s="1075"/>
      <c r="S485" s="1075"/>
      <c r="T485" s="1075"/>
      <c r="U485" s="1075"/>
      <c r="V485" s="1075"/>
      <c r="W485" s="1175"/>
      <c r="X485" s="1175"/>
      <c r="Y485" s="1176"/>
      <c r="Z485" s="105"/>
      <c r="AA485" s="105"/>
      <c r="AB485" s="105"/>
      <c r="AC485" s="105"/>
      <c r="AD485" s="367"/>
      <c r="AE485" s="367"/>
      <c r="AF485" s="367"/>
      <c r="AG485" s="367"/>
      <c r="AH485" s="367"/>
      <c r="AI485" s="367"/>
      <c r="AJ485" s="767"/>
      <c r="AZ485" s="2"/>
      <c r="BA485" s="2"/>
      <c r="BB485" s="2"/>
      <c r="BC485" s="2"/>
    </row>
    <row r="486" spans="1:55" ht="13.15" customHeight="1">
      <c r="A486" s="2"/>
      <c r="B486" s="2"/>
      <c r="C486" s="2"/>
      <c r="D486" s="1074"/>
      <c r="E486" s="1075"/>
      <c r="F486" s="1075"/>
      <c r="G486" s="1075"/>
      <c r="H486" s="1075"/>
      <c r="I486" s="1075"/>
      <c r="J486" s="1075"/>
      <c r="K486" s="1075"/>
      <c r="L486" s="1075"/>
      <c r="M486" s="1075"/>
      <c r="N486" s="1075"/>
      <c r="O486" s="1075"/>
      <c r="P486" s="1075"/>
      <c r="Q486" s="1075"/>
      <c r="R486" s="1075"/>
      <c r="S486" s="1075"/>
      <c r="T486" s="1075"/>
      <c r="U486" s="1075"/>
      <c r="V486" s="1075"/>
      <c r="W486" s="1175"/>
      <c r="X486" s="1175"/>
      <c r="Y486" s="1176"/>
      <c r="Z486" s="105"/>
      <c r="AA486" s="105"/>
      <c r="AB486" s="105"/>
      <c r="AC486" s="105"/>
      <c r="AD486" s="367"/>
      <c r="AE486" s="367"/>
      <c r="AF486" s="367"/>
      <c r="AG486" s="367"/>
      <c r="AH486" s="367"/>
      <c r="AI486" s="367"/>
      <c r="AJ486" s="767"/>
      <c r="AZ486" s="2"/>
      <c r="BA486" s="2" t="str">
        <f>N607</f>
        <v>Yes</v>
      </c>
      <c r="BB486" s="2"/>
      <c r="BC486" s="2"/>
    </row>
    <row r="487" spans="1:55" ht="13.15" customHeight="1">
      <c r="AU487" s="54"/>
      <c r="AV487" s="54"/>
      <c r="AW487" s="54"/>
      <c r="AX487" s="54"/>
      <c r="AY487" s="54"/>
      <c r="AZ487" s="2"/>
      <c r="BA487" s="2" t="str">
        <f>AG607</f>
        <v>Yes</v>
      </c>
      <c r="BB487" s="2"/>
      <c r="BC487" s="2"/>
    </row>
    <row r="488" spans="1:55" ht="13.15" customHeight="1">
      <c r="A488" s="1500" t="s">
        <v>1235</v>
      </c>
      <c r="B488" s="1500"/>
      <c r="C488" s="1500"/>
      <c r="D488" s="1500"/>
      <c r="E488" s="1500"/>
      <c r="F488" s="1500"/>
      <c r="G488" s="1500"/>
      <c r="H488" s="1500"/>
      <c r="I488" s="1500"/>
      <c r="J488" s="1500"/>
      <c r="K488" s="1500"/>
      <c r="L488" s="1500"/>
      <c r="M488" s="1500"/>
      <c r="N488" s="1500"/>
      <c r="O488" s="1500"/>
      <c r="P488" s="1500"/>
      <c r="Q488" s="1500"/>
      <c r="R488" s="1500"/>
      <c r="S488" s="1500"/>
      <c r="T488" s="1500"/>
      <c r="U488" s="1500"/>
      <c r="V488" s="1500"/>
      <c r="W488" s="1500"/>
      <c r="X488" s="1500"/>
      <c r="Y488" s="1500"/>
      <c r="Z488" s="1500"/>
      <c r="AA488" s="1500"/>
      <c r="AB488" s="1500"/>
      <c r="AC488" s="1500"/>
      <c r="AD488" s="1500"/>
      <c r="AE488" s="1500"/>
      <c r="AF488" s="1500"/>
      <c r="AG488" s="1500"/>
      <c r="AH488" s="1500"/>
      <c r="AI488" s="1500"/>
      <c r="AJ488" s="1500"/>
      <c r="AK488" s="1500"/>
      <c r="AL488" s="1500"/>
      <c r="AM488" s="1500"/>
      <c r="AN488" s="1500"/>
      <c r="AO488" s="1500"/>
      <c r="AP488" s="1500"/>
      <c r="AQ488" s="1500"/>
      <c r="AR488" s="1500"/>
      <c r="AS488" s="1500"/>
      <c r="AT488" s="1500"/>
      <c r="AU488" s="54"/>
      <c r="AV488" s="54"/>
      <c r="AW488" s="54"/>
      <c r="AX488" s="54"/>
      <c r="AY488" s="54"/>
      <c r="AZ488" s="2"/>
      <c r="BB488" s="2"/>
      <c r="BC488" s="2"/>
    </row>
    <row r="489" spans="1:55" ht="13.15" customHeight="1">
      <c r="A489" s="1500"/>
      <c r="B489" s="1500"/>
      <c r="C489" s="1500"/>
      <c r="D489" s="1500"/>
      <c r="E489" s="1500"/>
      <c r="F489" s="1500"/>
      <c r="G489" s="1500"/>
      <c r="H489" s="1500"/>
      <c r="I489" s="1500"/>
      <c r="J489" s="1500"/>
      <c r="K489" s="1500"/>
      <c r="L489" s="1500"/>
      <c r="M489" s="1500"/>
      <c r="N489" s="1500"/>
      <c r="O489" s="1500"/>
      <c r="P489" s="1500"/>
      <c r="Q489" s="1500"/>
      <c r="R489" s="1500"/>
      <c r="S489" s="1500"/>
      <c r="T489" s="1500"/>
      <c r="U489" s="1500"/>
      <c r="V489" s="1500"/>
      <c r="W489" s="1500"/>
      <c r="X489" s="1500"/>
      <c r="Y489" s="1500"/>
      <c r="Z489" s="1500"/>
      <c r="AA489" s="1500"/>
      <c r="AB489" s="1500"/>
      <c r="AC489" s="1500"/>
      <c r="AD489" s="1500"/>
      <c r="AE489" s="1500"/>
      <c r="AF489" s="1500"/>
      <c r="AG489" s="1500"/>
      <c r="AH489" s="1500"/>
      <c r="AI489" s="1500"/>
      <c r="AJ489" s="1500"/>
      <c r="AK489" s="1500"/>
      <c r="AL489" s="1500"/>
      <c r="AM489" s="1500"/>
      <c r="AN489" s="1500"/>
      <c r="AO489" s="1500"/>
      <c r="AP489" s="1500"/>
      <c r="AQ489" s="1500"/>
      <c r="AR489" s="1500"/>
      <c r="AS489" s="1500"/>
      <c r="AT489" s="1500"/>
      <c r="AZ489" s="2"/>
      <c r="BB489" s="2"/>
      <c r="BC489" s="2"/>
    </row>
    <row r="490" spans="1:55" ht="13.15" customHeight="1">
      <c r="AZ490" s="2"/>
      <c r="BB490" s="2"/>
      <c r="BC490" s="2"/>
    </row>
    <row r="491" spans="1:55" ht="13.15" customHeight="1">
      <c r="A491" s="1" t="s">
        <v>872</v>
      </c>
      <c r="C491" s="1" t="s">
        <v>165</v>
      </c>
      <c r="AZ491" s="2"/>
      <c r="BB491" s="2"/>
      <c r="BC491" s="2"/>
    </row>
    <row r="492" spans="1:55" ht="13.15" customHeight="1">
      <c r="AZ492" s="2"/>
      <c r="BB492" s="2"/>
      <c r="BC492" s="2"/>
    </row>
    <row r="493" spans="1:55" ht="13.15" customHeight="1">
      <c r="B493" s="1095"/>
      <c r="C493" s="4"/>
      <c r="D493" s="4"/>
      <c r="E493" s="4"/>
      <c r="F493" s="4"/>
      <c r="G493" s="4"/>
      <c r="H493" s="4"/>
      <c r="I493" s="4"/>
      <c r="J493" s="4"/>
      <c r="K493" s="4"/>
      <c r="L493" s="4"/>
      <c r="M493" s="4"/>
      <c r="N493" s="4"/>
      <c r="O493" s="4"/>
      <c r="P493" s="1096"/>
      <c r="Q493" s="1382" t="s">
        <v>1236</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384"/>
      <c r="AZ493" s="2"/>
      <c r="BB493" s="2"/>
      <c r="BC493" s="2"/>
    </row>
    <row r="494" spans="1:55" ht="13.15" customHeight="1">
      <c r="B494" s="1095" t="s">
        <v>1237</v>
      </c>
      <c r="C494" s="4"/>
      <c r="D494" s="4"/>
      <c r="E494" s="4"/>
      <c r="F494" s="4"/>
      <c r="G494" s="4"/>
      <c r="H494" s="4"/>
      <c r="I494" s="4"/>
      <c r="J494" s="4"/>
      <c r="K494" s="4"/>
      <c r="L494" s="4"/>
      <c r="M494" s="4"/>
      <c r="N494" s="4"/>
      <c r="O494" s="4"/>
      <c r="P494" s="4"/>
      <c r="Q494" s="1434" t="s">
        <v>2715</v>
      </c>
      <c r="R494" s="1360"/>
      <c r="S494" s="1360"/>
      <c r="T494" s="1360"/>
      <c r="U494" s="1360"/>
      <c r="V494" s="1360"/>
      <c r="W494" s="1360"/>
      <c r="X494" s="1360"/>
      <c r="Y494" s="1360"/>
      <c r="Z494" s="1360"/>
      <c r="AA494" s="1360"/>
      <c r="AB494" s="1360"/>
      <c r="AC494" s="1360"/>
      <c r="AD494" s="1360"/>
      <c r="AE494" s="1360"/>
      <c r="AF494" s="1360"/>
      <c r="AG494" s="1360"/>
      <c r="AH494" s="1360"/>
      <c r="AI494" s="1360"/>
      <c r="AJ494" s="1360"/>
      <c r="AK494" s="1435"/>
      <c r="AZ494" s="2"/>
      <c r="BB494" s="2"/>
      <c r="BC494" s="2"/>
    </row>
    <row r="495" spans="1:55" ht="13.15" customHeight="1">
      <c r="B495" s="1095" t="s">
        <v>1238</v>
      </c>
      <c r="C495" s="4"/>
      <c r="D495" s="4"/>
      <c r="E495" s="4"/>
      <c r="F495" s="4"/>
      <c r="G495" s="4"/>
      <c r="H495" s="4"/>
      <c r="I495" s="4"/>
      <c r="J495" s="4"/>
      <c r="K495" s="4"/>
      <c r="L495" s="4"/>
      <c r="M495" s="4"/>
      <c r="N495" s="4"/>
      <c r="O495" s="4"/>
      <c r="P495" s="4"/>
      <c r="Q495" s="1434" t="s">
        <v>2716</v>
      </c>
      <c r="R495" s="1360"/>
      <c r="S495" s="1360"/>
      <c r="T495" s="1360"/>
      <c r="U495" s="1360"/>
      <c r="V495" s="1360"/>
      <c r="W495" s="1360"/>
      <c r="X495" s="1360"/>
      <c r="Y495" s="1360"/>
      <c r="Z495" s="1360"/>
      <c r="AA495" s="1360"/>
      <c r="AB495" s="1360"/>
      <c r="AC495" s="1360"/>
      <c r="AD495" s="1360"/>
      <c r="AE495" s="1360"/>
      <c r="AF495" s="1360"/>
      <c r="AG495" s="1360"/>
      <c r="AH495" s="1360"/>
      <c r="AI495" s="1360"/>
      <c r="AJ495" s="1360"/>
      <c r="AK495" s="1435"/>
      <c r="AZ495" s="2"/>
      <c r="BB495" s="2"/>
      <c r="BC495" s="2"/>
    </row>
    <row r="496" spans="1:55" ht="13.15" customHeight="1">
      <c r="B496" s="1095" t="s">
        <v>1239</v>
      </c>
      <c r="C496" s="4"/>
      <c r="D496" s="4"/>
      <c r="E496" s="4"/>
      <c r="F496" s="4"/>
      <c r="G496" s="4"/>
      <c r="H496" s="4"/>
      <c r="I496" s="4"/>
      <c r="J496" s="4"/>
      <c r="K496" s="4"/>
      <c r="L496" s="4"/>
      <c r="M496" s="4"/>
      <c r="N496" s="4"/>
      <c r="O496" s="4"/>
      <c r="P496" s="4"/>
      <c r="Q496" s="1434" t="s">
        <v>2717</v>
      </c>
      <c r="R496" s="1360"/>
      <c r="S496" s="1360"/>
      <c r="T496" s="1360"/>
      <c r="U496" s="1360"/>
      <c r="V496" s="1360"/>
      <c r="W496" s="1360"/>
      <c r="X496" s="1360"/>
      <c r="Y496" s="1360"/>
      <c r="Z496" s="1360"/>
      <c r="AA496" s="1360"/>
      <c r="AB496" s="1360"/>
      <c r="AC496" s="1360"/>
      <c r="AD496" s="1360"/>
      <c r="AE496" s="1360"/>
      <c r="AF496" s="1360"/>
      <c r="AG496" s="1360"/>
      <c r="AH496" s="1360"/>
      <c r="AI496" s="1360"/>
      <c r="AJ496" s="1360"/>
      <c r="AK496" s="1435"/>
      <c r="AZ496" s="2"/>
      <c r="BA496" s="2"/>
      <c r="BB496" s="2"/>
      <c r="BC496" s="2"/>
    </row>
    <row r="497" spans="1:66" ht="13.15" customHeight="1">
      <c r="B497" s="1424" t="s">
        <v>1240</v>
      </c>
      <c r="C497" s="1425"/>
      <c r="D497" s="1425"/>
      <c r="E497" s="1425"/>
      <c r="F497" s="1425"/>
      <c r="G497" s="1425"/>
      <c r="H497" s="1425"/>
      <c r="I497" s="1425"/>
      <c r="J497" s="1425"/>
      <c r="K497" s="1425"/>
      <c r="L497" s="1425"/>
      <c r="M497" s="1425"/>
      <c r="N497" s="1425"/>
      <c r="O497" s="1425"/>
      <c r="P497" s="1426"/>
      <c r="Q497" s="1430" t="s">
        <v>696</v>
      </c>
      <c r="R497" s="1431"/>
      <c r="S497" s="1528" t="s">
        <v>1241</v>
      </c>
      <c r="T497" s="1529"/>
      <c r="U497" s="1529"/>
      <c r="V497" s="1529"/>
      <c r="W497" s="1529"/>
      <c r="X497" s="1529"/>
      <c r="Y497" s="1529"/>
      <c r="Z497" s="1529"/>
      <c r="AA497" s="1529"/>
      <c r="AB497" s="1529"/>
      <c r="AC497" s="1529"/>
      <c r="AD497" s="1529"/>
      <c r="AE497" s="1529"/>
      <c r="AF497" s="1529"/>
      <c r="AG497" s="1529"/>
      <c r="AH497" s="1529"/>
      <c r="AI497" s="1529"/>
      <c r="AJ497" s="1529"/>
      <c r="AK497" s="1530"/>
      <c r="AZ497" s="2"/>
      <c r="BA497" s="2"/>
      <c r="BB497" s="2"/>
      <c r="BC497" s="2"/>
    </row>
    <row r="498" spans="1:66" ht="13.15" customHeight="1">
      <c r="B498" s="1427"/>
      <c r="C498" s="1428"/>
      <c r="D498" s="1428"/>
      <c r="E498" s="1428"/>
      <c r="F498" s="1428"/>
      <c r="G498" s="1428"/>
      <c r="H498" s="1428"/>
      <c r="I498" s="1428"/>
      <c r="J498" s="1428"/>
      <c r="K498" s="1428"/>
      <c r="L498" s="1428"/>
      <c r="M498" s="1428"/>
      <c r="N498" s="1428"/>
      <c r="O498" s="1428"/>
      <c r="P498" s="1429"/>
      <c r="Q498" s="1432"/>
      <c r="R498" s="1433"/>
      <c r="S498" s="1531"/>
      <c r="T498" s="1483"/>
      <c r="U498" s="1483"/>
      <c r="V498" s="1483"/>
      <c r="W498" s="1483"/>
      <c r="X498" s="1483"/>
      <c r="Y498" s="1483"/>
      <c r="Z498" s="1483"/>
      <c r="AA498" s="1483"/>
      <c r="AB498" s="1483"/>
      <c r="AC498" s="1483"/>
      <c r="AD498" s="1483"/>
      <c r="AE498" s="1483"/>
      <c r="AF498" s="1483"/>
      <c r="AG498" s="1483"/>
      <c r="AH498" s="1483"/>
      <c r="AI498" s="1483"/>
      <c r="AJ498" s="1483"/>
      <c r="AK498" s="1532"/>
      <c r="AZ498" s="2"/>
      <c r="BA498" s="2"/>
      <c r="BB498" s="2"/>
      <c r="BC498" s="2"/>
    </row>
    <row r="499" spans="1:66" ht="13.15" customHeight="1">
      <c r="B499" s="703" t="s">
        <v>1242</v>
      </c>
      <c r="C499" s="1089"/>
      <c r="D499" s="1089"/>
      <c r="E499" s="1089"/>
      <c r="F499" s="1089"/>
      <c r="G499" s="1089"/>
      <c r="H499" s="1089"/>
      <c r="I499" s="1089"/>
      <c r="J499" s="1089"/>
      <c r="K499" s="1089"/>
      <c r="L499" s="1089"/>
      <c r="M499" s="1089"/>
      <c r="N499" s="1089"/>
      <c r="O499" s="1089"/>
      <c r="P499" s="1089"/>
      <c r="Q499" s="1392" t="s">
        <v>816</v>
      </c>
      <c r="R499" s="1393"/>
      <c r="S499" s="1393"/>
      <c r="T499" s="1393"/>
      <c r="U499" s="1393"/>
      <c r="V499" s="1393"/>
      <c r="W499" s="1393"/>
      <c r="X499" s="1393"/>
      <c r="Y499" s="1393"/>
      <c r="Z499" s="1393"/>
      <c r="AA499" s="1393"/>
      <c r="AB499" s="1393"/>
      <c r="AC499" s="1393"/>
      <c r="AD499" s="1393"/>
      <c r="AE499" s="1393"/>
      <c r="AF499" s="1393"/>
      <c r="AG499" s="1393"/>
      <c r="AH499" s="1393"/>
      <c r="AI499" s="1393"/>
      <c r="AJ499" s="1393"/>
      <c r="AK499" s="1394"/>
      <c r="AZ499" s="2"/>
      <c r="BA499" s="2"/>
      <c r="BB499" s="2"/>
      <c r="BC499" s="2"/>
    </row>
    <row r="500" spans="1:66" ht="13.15" customHeight="1">
      <c r="B500" s="1095" t="s">
        <v>1243</v>
      </c>
      <c r="C500" s="4"/>
      <c r="D500" s="4"/>
      <c r="E500" s="4"/>
      <c r="F500" s="4"/>
      <c r="G500" s="4"/>
      <c r="H500" s="4"/>
      <c r="I500" s="4"/>
      <c r="J500" s="4"/>
      <c r="K500" s="4"/>
      <c r="L500" s="4"/>
      <c r="M500" s="4"/>
      <c r="N500" s="4"/>
      <c r="O500" s="4"/>
      <c r="P500" s="4"/>
      <c r="Q500" s="1434">
        <v>0</v>
      </c>
      <c r="R500" s="1360"/>
      <c r="S500" s="1360"/>
      <c r="T500" s="1360"/>
      <c r="U500" s="1360"/>
      <c r="V500" s="1360"/>
      <c r="W500" s="1360"/>
      <c r="X500" s="1360"/>
      <c r="Y500" s="1360"/>
      <c r="Z500" s="1360"/>
      <c r="AA500" s="1360"/>
      <c r="AB500" s="1360"/>
      <c r="AC500" s="1360"/>
      <c r="AD500" s="1360"/>
      <c r="AE500" s="1360"/>
      <c r="AF500" s="1360"/>
      <c r="AG500" s="1360"/>
      <c r="AH500" s="1360"/>
      <c r="AI500" s="1360"/>
      <c r="AJ500" s="1360"/>
      <c r="AK500" s="1435"/>
      <c r="AZ500" s="2"/>
      <c r="BA500" s="2"/>
      <c r="BB500" s="2"/>
      <c r="BC500" s="2"/>
    </row>
    <row r="501" spans="1:66" ht="13.15" customHeight="1">
      <c r="B501" s="1095" t="s">
        <v>1244</v>
      </c>
      <c r="C501" s="4"/>
      <c r="D501" s="4"/>
      <c r="E501" s="4"/>
      <c r="F501" s="4"/>
      <c r="G501" s="4"/>
      <c r="H501" s="4"/>
      <c r="I501" s="4"/>
      <c r="J501" s="4"/>
      <c r="K501" s="4"/>
      <c r="L501" s="4"/>
      <c r="M501" s="4"/>
      <c r="N501" s="4"/>
      <c r="O501" s="4"/>
      <c r="P501" s="4"/>
      <c r="Q501" s="1434">
        <v>0</v>
      </c>
      <c r="R501" s="1360"/>
      <c r="S501" s="1360"/>
      <c r="T501" s="1360"/>
      <c r="U501" s="1360"/>
      <c r="V501" s="1360"/>
      <c r="W501" s="1360"/>
      <c r="X501" s="1360"/>
      <c r="Y501" s="1360"/>
      <c r="Z501" s="1360"/>
      <c r="AA501" s="1360"/>
      <c r="AB501" s="1360"/>
      <c r="AC501" s="1360"/>
      <c r="AD501" s="1360"/>
      <c r="AE501" s="1360"/>
      <c r="AF501" s="1360"/>
      <c r="AG501" s="1360"/>
      <c r="AH501" s="1360"/>
      <c r="AI501" s="1360"/>
      <c r="AJ501" s="1360"/>
      <c r="AK501" s="1435"/>
      <c r="AZ501" s="2"/>
      <c r="BA501" s="2"/>
      <c r="BB501" s="2"/>
      <c r="BC501" s="2"/>
    </row>
    <row r="502" spans="1:66" ht="13.15" customHeight="1">
      <c r="B502" s="1100" t="s">
        <v>1245</v>
      </c>
      <c r="C502" s="4"/>
      <c r="D502" s="4"/>
      <c r="E502" s="4"/>
      <c r="F502" s="4"/>
      <c r="G502" s="4"/>
      <c r="H502" s="4"/>
      <c r="I502" s="4"/>
      <c r="J502" s="4"/>
      <c r="K502" s="4"/>
      <c r="L502" s="4"/>
      <c r="M502" s="4"/>
      <c r="N502" s="4"/>
      <c r="O502" s="4"/>
      <c r="P502" s="4"/>
      <c r="Q502" s="1434">
        <v>80</v>
      </c>
      <c r="R502" s="1360"/>
      <c r="S502" s="1360"/>
      <c r="T502" s="1360"/>
      <c r="U502" s="1360"/>
      <c r="V502" s="1360"/>
      <c r="W502" s="1360"/>
      <c r="X502" s="1360"/>
      <c r="Y502" s="1360"/>
      <c r="Z502" s="1360"/>
      <c r="AA502" s="1360"/>
      <c r="AB502" s="1360"/>
      <c r="AC502" s="1360"/>
      <c r="AD502" s="1360"/>
      <c r="AE502" s="1360"/>
      <c r="AF502" s="1360"/>
      <c r="AG502" s="1360"/>
      <c r="AH502" s="1360"/>
      <c r="AI502" s="1360"/>
      <c r="AJ502" s="1360"/>
      <c r="AK502" s="1435"/>
      <c r="AZ502" s="2"/>
      <c r="BA502" s="2"/>
      <c r="BB502" s="2"/>
      <c r="BC502" s="2"/>
    </row>
    <row r="503" spans="1:66" ht="13.15" customHeight="1">
      <c r="B503" s="1100" t="s">
        <v>1246</v>
      </c>
      <c r="C503" s="4"/>
      <c r="D503" s="4"/>
      <c r="E503" s="4"/>
      <c r="F503" s="4"/>
      <c r="G503" s="4"/>
      <c r="H503" s="4"/>
      <c r="I503" s="4"/>
      <c r="J503" s="4"/>
      <c r="K503" s="4"/>
      <c r="L503" s="4"/>
      <c r="M503" s="1395">
        <v>80</v>
      </c>
      <c r="N503" s="1396"/>
      <c r="O503" s="1396"/>
      <c r="P503" s="1397"/>
      <c r="Q503" s="1100" t="s">
        <v>1247</v>
      </c>
      <c r="R503" s="4"/>
      <c r="S503" s="4"/>
      <c r="T503" s="4"/>
      <c r="U503" s="4"/>
      <c r="V503" s="4"/>
      <c r="W503" s="4"/>
      <c r="X503" s="4"/>
      <c r="Y503" s="4"/>
      <c r="Z503" s="4"/>
      <c r="AA503" s="4"/>
      <c r="AB503" s="4"/>
      <c r="AC503" s="4"/>
      <c r="AD503" s="4"/>
      <c r="AE503" s="4"/>
      <c r="AF503" s="4"/>
      <c r="AG503" s="4"/>
      <c r="AH503" s="1395"/>
      <c r="AI503" s="1396"/>
      <c r="AJ503" s="1396"/>
      <c r="AK503" s="1397"/>
      <c r="AZ503" s="2"/>
      <c r="BA503" s="2"/>
      <c r="BB503" s="2"/>
      <c r="BC503" s="2"/>
    </row>
    <row r="504" spans="1:66" ht="13.1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3.15"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3.1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3.1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382" t="s">
        <v>1248</v>
      </c>
      <c r="AD507" s="1383"/>
      <c r="AE507" s="1383"/>
      <c r="AF507" s="1383"/>
      <c r="AG507" s="1383"/>
      <c r="AH507" s="1383"/>
      <c r="AI507" s="1383"/>
      <c r="AJ507" s="1383"/>
      <c r="AK507" s="1384"/>
      <c r="AZ507" s="2"/>
      <c r="BA507" s="2"/>
      <c r="BB507" s="2"/>
      <c r="BC507" s="2"/>
      <c r="BD507" s="2"/>
      <c r="BE507" s="2"/>
      <c r="BF507" s="2"/>
      <c r="BG507" s="2"/>
      <c r="BH507" s="2"/>
      <c r="BI507" s="2"/>
      <c r="BJ507" s="2"/>
      <c r="BK507" s="2"/>
      <c r="BL507" s="2"/>
      <c r="BM507" s="2"/>
      <c r="BN507" s="2"/>
    </row>
    <row r="508" spans="1:66" ht="13.1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382" t="s">
        <v>1249</v>
      </c>
      <c r="AD508" s="1383"/>
      <c r="AE508" s="1383"/>
      <c r="AF508" s="1383"/>
      <c r="AG508" s="1076" t="s">
        <v>1250</v>
      </c>
      <c r="AH508" s="1383" t="s">
        <v>1251</v>
      </c>
      <c r="AI508" s="1383"/>
      <c r="AJ508" s="1383"/>
      <c r="AK508" s="1384"/>
      <c r="AZ508" s="2"/>
      <c r="BA508" s="2"/>
      <c r="BB508" s="2"/>
      <c r="BC508" s="2"/>
      <c r="BD508" s="2"/>
      <c r="BE508" s="2"/>
      <c r="BF508" s="2"/>
      <c r="BG508" s="2"/>
      <c r="BH508" s="2"/>
      <c r="BI508" s="2"/>
      <c r="BJ508" s="2"/>
      <c r="BK508" s="2"/>
      <c r="BL508" s="2"/>
      <c r="BM508" s="2"/>
      <c r="BN508" s="2"/>
    </row>
    <row r="509" spans="1:66" ht="13.15" customHeight="1">
      <c r="B509" s="1404" t="s">
        <v>1252</v>
      </c>
      <c r="C509" s="1405"/>
      <c r="D509" s="1405"/>
      <c r="E509" s="1405"/>
      <c r="F509" s="1405"/>
      <c r="G509" s="1405"/>
      <c r="H509" s="1406"/>
      <c r="I509" s="30" t="s">
        <v>1253</v>
      </c>
      <c r="J509" s="30"/>
      <c r="K509" s="30"/>
      <c r="L509" s="30"/>
      <c r="M509" s="30"/>
      <c r="N509" s="30"/>
      <c r="O509" s="30"/>
      <c r="P509" s="30"/>
      <c r="Q509" s="30"/>
      <c r="R509" s="30"/>
      <c r="S509" s="30"/>
      <c r="T509" s="30"/>
      <c r="U509" s="30"/>
      <c r="V509" s="30"/>
      <c r="W509" s="30"/>
      <c r="AC509" s="1367">
        <v>10</v>
      </c>
      <c r="AD509" s="1368"/>
      <c r="AE509" s="1368"/>
      <c r="AF509" s="1368"/>
      <c r="AG509" s="1109" t="s">
        <v>1250</v>
      </c>
      <c r="AH509" s="1377">
        <v>2024</v>
      </c>
      <c r="AI509" s="1377"/>
      <c r="AJ509" s="1377"/>
      <c r="AK509" s="1378"/>
      <c r="AZ509" s="2"/>
      <c r="BA509" s="2"/>
      <c r="BB509" s="2"/>
      <c r="BC509" s="2"/>
      <c r="BD509" s="2"/>
      <c r="BE509" s="2"/>
      <c r="BF509" s="2"/>
      <c r="BG509" s="2"/>
      <c r="BH509" s="2"/>
      <c r="BI509" s="2"/>
      <c r="BJ509" s="2"/>
      <c r="BK509" s="2"/>
      <c r="BL509" s="2"/>
      <c r="BM509" s="2"/>
      <c r="BN509" s="2"/>
    </row>
    <row r="510" spans="1:66" ht="13.15" customHeight="1">
      <c r="B510" s="1407"/>
      <c r="C510" s="1408"/>
      <c r="D510" s="1408"/>
      <c r="E510" s="1408"/>
      <c r="F510" s="1408"/>
      <c r="G510" s="1408"/>
      <c r="H510" s="1409"/>
      <c r="I510" s="32" t="s">
        <v>1254</v>
      </c>
      <c r="J510" s="32"/>
      <c r="K510" s="32"/>
      <c r="L510" s="32"/>
      <c r="M510" s="32"/>
      <c r="N510" s="32"/>
      <c r="O510" s="32"/>
      <c r="P510" s="32"/>
      <c r="Q510" s="32"/>
      <c r="R510" s="32"/>
      <c r="S510" s="32"/>
      <c r="T510" s="32"/>
      <c r="U510" s="32"/>
      <c r="V510" s="32"/>
      <c r="W510" s="32"/>
      <c r="X510" s="32"/>
      <c r="Y510" s="32"/>
      <c r="Z510" s="32"/>
      <c r="AA510" s="32"/>
      <c r="AB510" s="32"/>
      <c r="AC510" s="1367">
        <v>9</v>
      </c>
      <c r="AD510" s="1368"/>
      <c r="AE510" s="1368"/>
      <c r="AF510" s="1368"/>
      <c r="AG510" s="1085" t="s">
        <v>1250</v>
      </c>
      <c r="AH510" s="1377">
        <v>2023</v>
      </c>
      <c r="AI510" s="1377"/>
      <c r="AJ510" s="1377"/>
      <c r="AK510" s="1378"/>
      <c r="AZ510" s="2"/>
      <c r="BA510" s="2"/>
      <c r="BB510" s="2"/>
      <c r="BC510" s="2"/>
      <c r="BD510" s="2"/>
      <c r="BE510" s="2"/>
      <c r="BF510" s="2"/>
      <c r="BG510" s="2"/>
      <c r="BH510" s="2"/>
      <c r="BI510" s="2"/>
      <c r="BJ510" s="2"/>
      <c r="BK510" s="2"/>
      <c r="BL510" s="2"/>
      <c r="BM510" s="2"/>
      <c r="BN510" s="2"/>
    </row>
    <row r="511" spans="1:66" ht="13.15" customHeight="1">
      <c r="B511" s="1404" t="s">
        <v>1255</v>
      </c>
      <c r="C511" s="1405"/>
      <c r="D511" s="1405"/>
      <c r="E511" s="1405"/>
      <c r="F511" s="1405"/>
      <c r="G511" s="1405"/>
      <c r="H511" s="1406"/>
      <c r="I511" s="30" t="s">
        <v>1256</v>
      </c>
      <c r="J511" s="30"/>
      <c r="K511" s="30"/>
      <c r="L511" s="30"/>
      <c r="M511" s="30"/>
      <c r="N511" s="30"/>
      <c r="O511" s="30"/>
      <c r="P511" s="30"/>
      <c r="Q511" s="30"/>
      <c r="R511" s="30"/>
      <c r="S511" s="30"/>
      <c r="T511" s="30"/>
      <c r="U511" s="30"/>
      <c r="V511" s="30"/>
      <c r="W511" s="30"/>
      <c r="AC511" s="1367" t="s">
        <v>816</v>
      </c>
      <c r="AD511" s="1368"/>
      <c r="AE511" s="1368"/>
      <c r="AF511" s="1368"/>
      <c r="AG511" s="1109" t="s">
        <v>1250</v>
      </c>
      <c r="AH511" s="1377"/>
      <c r="AI511" s="1377"/>
      <c r="AJ511" s="1377"/>
      <c r="AK511" s="1378"/>
      <c r="AZ511" s="2"/>
      <c r="BA511" s="2"/>
      <c r="BB511" s="2"/>
      <c r="BC511" s="2"/>
      <c r="BD511" s="2"/>
      <c r="BE511" s="2"/>
      <c r="BF511" s="2"/>
      <c r="BG511" s="2"/>
      <c r="BH511" s="2"/>
      <c r="BI511" s="2"/>
      <c r="BJ511" s="2"/>
      <c r="BK511" s="2"/>
      <c r="BL511" s="2"/>
      <c r="BM511" s="2"/>
      <c r="BN511" s="2"/>
    </row>
    <row r="512" spans="1:66" ht="13.15" customHeight="1">
      <c r="B512" s="1407"/>
      <c r="C512" s="1408"/>
      <c r="D512" s="1408"/>
      <c r="E512" s="1408"/>
      <c r="F512" s="1408"/>
      <c r="G512" s="1408"/>
      <c r="H512" s="1409"/>
      <c r="I512" t="s">
        <v>1257</v>
      </c>
      <c r="AC512" s="1367" t="s">
        <v>816</v>
      </c>
      <c r="AD512" s="1368"/>
      <c r="AE512" s="1368"/>
      <c r="AF512" s="1368"/>
      <c r="AG512" s="1109" t="s">
        <v>1250</v>
      </c>
      <c r="AH512" s="1377"/>
      <c r="AI512" s="1377"/>
      <c r="AJ512" s="1377"/>
      <c r="AK512" s="1378"/>
      <c r="AZ512" s="2"/>
      <c r="BA512" s="2"/>
      <c r="BB512" s="2"/>
      <c r="BC512" s="2"/>
      <c r="BD512" s="2"/>
      <c r="BE512" s="2"/>
      <c r="BF512" s="2"/>
      <c r="BG512" s="2"/>
      <c r="BH512" s="2"/>
      <c r="BI512" s="2"/>
      <c r="BJ512" s="2"/>
      <c r="BK512" s="2"/>
      <c r="BL512" s="2"/>
      <c r="BM512" s="2"/>
      <c r="BN512" s="2"/>
    </row>
    <row r="513" spans="2:66" ht="13.15" customHeight="1">
      <c r="B513" s="1407"/>
      <c r="C513" s="1408"/>
      <c r="D513" s="1408"/>
      <c r="E513" s="1408"/>
      <c r="F513" s="1408"/>
      <c r="G513" s="1408"/>
      <c r="H513" s="1409"/>
      <c r="I513" t="s">
        <v>1258</v>
      </c>
      <c r="AC513" s="1367">
        <v>11</v>
      </c>
      <c r="AD513" s="1368"/>
      <c r="AE513" s="1368"/>
      <c r="AF513" s="1368"/>
      <c r="AG513" s="1109" t="s">
        <v>1250</v>
      </c>
      <c r="AH513" s="1377">
        <v>2024</v>
      </c>
      <c r="AI513" s="1377"/>
      <c r="AJ513" s="1377"/>
      <c r="AK513" s="1378"/>
      <c r="AZ513" s="2"/>
      <c r="BA513" s="2"/>
      <c r="BB513" s="2"/>
      <c r="BC513" s="2"/>
      <c r="BD513" s="2"/>
      <c r="BE513" s="2"/>
      <c r="BF513" s="2"/>
      <c r="BG513" s="2"/>
      <c r="BH513" s="2"/>
      <c r="BI513" s="2"/>
      <c r="BJ513" s="2"/>
      <c r="BK513" s="2"/>
      <c r="BL513" s="2"/>
      <c r="BM513" s="2"/>
      <c r="BN513" s="2"/>
    </row>
    <row r="514" spans="2:66" ht="13.15" customHeight="1">
      <c r="B514" s="1407"/>
      <c r="C514" s="1408"/>
      <c r="D514" s="1408"/>
      <c r="E514" s="1408"/>
      <c r="F514" s="1408"/>
      <c r="G514" s="1408"/>
      <c r="H514" s="1409"/>
      <c r="I514" t="s">
        <v>1259</v>
      </c>
      <c r="AC514" s="1367">
        <v>12</v>
      </c>
      <c r="AD514" s="1368"/>
      <c r="AE514" s="1368"/>
      <c r="AF514" s="1368"/>
      <c r="AG514" s="1109" t="s">
        <v>1250</v>
      </c>
      <c r="AH514" s="1377">
        <v>2026</v>
      </c>
      <c r="AI514" s="1377"/>
      <c r="AJ514" s="1377"/>
      <c r="AK514" s="1378"/>
      <c r="AZ514" s="2"/>
      <c r="BA514" s="2"/>
      <c r="BB514" s="2"/>
      <c r="BC514" s="2"/>
      <c r="BD514" s="2"/>
      <c r="BE514" s="2"/>
      <c r="BF514" s="2"/>
      <c r="BG514" s="2"/>
      <c r="BH514" s="2"/>
      <c r="BI514" s="2"/>
      <c r="BJ514" s="2"/>
      <c r="BK514" s="2"/>
      <c r="BL514" s="2"/>
      <c r="BM514" s="2"/>
      <c r="BN514" s="2"/>
    </row>
    <row r="515" spans="2:66" ht="13.15" customHeight="1">
      <c r="B515" s="1407"/>
      <c r="C515" s="1408"/>
      <c r="D515" s="1408"/>
      <c r="E515" s="1408"/>
      <c r="F515" s="1408"/>
      <c r="G515" s="1408"/>
      <c r="H515" s="1409"/>
      <c r="I515" s="2" t="s">
        <v>1260</v>
      </c>
      <c r="AC515" s="1332">
        <v>12</v>
      </c>
      <c r="AD515" s="1333"/>
      <c r="AE515" s="1333"/>
      <c r="AF515" s="1333"/>
      <c r="AG515" s="1109" t="s">
        <v>1250</v>
      </c>
      <c r="AH515" s="1377">
        <v>2026</v>
      </c>
      <c r="AI515" s="1377"/>
      <c r="AJ515" s="1377"/>
      <c r="AK515" s="1378"/>
      <c r="AZ515" s="2"/>
      <c r="BA515" s="2"/>
      <c r="BB515" s="2"/>
      <c r="BC515" s="2"/>
      <c r="BD515" s="2"/>
      <c r="BE515" s="2"/>
      <c r="BF515" s="2"/>
      <c r="BG515" s="2"/>
      <c r="BH515" s="2"/>
      <c r="BI515" s="2"/>
      <c r="BJ515" s="2"/>
      <c r="BK515" s="2"/>
      <c r="BL515" s="2"/>
      <c r="BM515" s="2"/>
      <c r="BN515" s="2"/>
    </row>
    <row r="516" spans="2:66" ht="13.15" customHeight="1">
      <c r="B516" s="1407"/>
      <c r="C516" s="1408"/>
      <c r="D516" s="1408"/>
      <c r="E516" s="1408"/>
      <c r="F516" s="1408"/>
      <c r="G516" s="1408"/>
      <c r="H516" s="1409"/>
      <c r="I516" s="704" t="s">
        <v>233</v>
      </c>
      <c r="J516" s="32"/>
      <c r="K516" s="32"/>
      <c r="L516" s="1436" t="s">
        <v>1183</v>
      </c>
      <c r="M516" s="1437"/>
      <c r="N516" s="1437"/>
      <c r="O516" s="1437"/>
      <c r="P516" s="1437"/>
      <c r="Q516" s="1437"/>
      <c r="R516" s="1437"/>
      <c r="S516" s="1437"/>
      <c r="T516" s="1437"/>
      <c r="U516" s="1437"/>
      <c r="V516" s="1437"/>
      <c r="W516" s="1437"/>
      <c r="X516" s="1437"/>
      <c r="Y516" s="1437"/>
      <c r="Z516" s="1437"/>
      <c r="AA516" s="1437"/>
      <c r="AB516" s="1438"/>
      <c r="AC516" s="1367" t="s">
        <v>816</v>
      </c>
      <c r="AD516" s="1368"/>
      <c r="AE516" s="1368"/>
      <c r="AF516" s="1368"/>
      <c r="AG516" s="1085" t="s">
        <v>1250</v>
      </c>
      <c r="AH516" s="1377"/>
      <c r="AI516" s="1377"/>
      <c r="AJ516" s="1377"/>
      <c r="AK516" s="1378"/>
      <c r="AZ516" s="2"/>
      <c r="BA516" s="2"/>
      <c r="BB516" s="2"/>
      <c r="BC516" s="2"/>
      <c r="BD516" s="2"/>
      <c r="BE516" s="2"/>
      <c r="BF516" s="2"/>
      <c r="BG516" s="2"/>
      <c r="BH516" s="2"/>
      <c r="BI516" s="2"/>
      <c r="BJ516" s="2"/>
      <c r="BK516" s="2"/>
      <c r="BL516" s="2"/>
      <c r="BM516" s="2"/>
      <c r="BN516" s="2"/>
    </row>
    <row r="517" spans="2:66" ht="13.15" customHeight="1">
      <c r="B517" s="1077"/>
      <c r="C517" s="1078"/>
      <c r="D517" s="1078"/>
      <c r="E517" s="1078"/>
      <c r="F517" s="1078"/>
      <c r="G517" s="1078"/>
      <c r="H517" s="1079"/>
      <c r="I517" s="2" t="s">
        <v>1261</v>
      </c>
      <c r="AC517" s="1460" t="s">
        <v>847</v>
      </c>
      <c r="AD517" s="1460"/>
      <c r="AE517" s="1460"/>
      <c r="AF517" s="1460"/>
      <c r="AG517" s="1109"/>
      <c r="AH517" s="1439"/>
      <c r="AI517" s="1439"/>
      <c r="AJ517" s="1439"/>
      <c r="AK517" s="1440"/>
      <c r="AZ517" s="2"/>
      <c r="BA517" s="2"/>
      <c r="BB517" s="2"/>
      <c r="BC517" s="2"/>
      <c r="BD517" s="2"/>
      <c r="BE517" s="2"/>
      <c r="BF517" s="2"/>
      <c r="BG517" s="2"/>
      <c r="BH517" s="2"/>
      <c r="BI517" s="2"/>
      <c r="BJ517" s="2"/>
      <c r="BK517" s="2"/>
      <c r="BL517" s="2"/>
      <c r="BM517" s="2"/>
      <c r="BN517" s="2"/>
    </row>
    <row r="518" spans="2:66" ht="13.15" customHeight="1">
      <c r="B518" s="1077"/>
      <c r="C518" s="1078"/>
      <c r="D518" s="1078"/>
      <c r="E518" s="1078"/>
      <c r="F518" s="1078"/>
      <c r="G518" s="1078"/>
      <c r="H518" s="1079"/>
      <c r="I518" t="s">
        <v>1262</v>
      </c>
      <c r="AC518" s="1332">
        <v>1</v>
      </c>
      <c r="AD518" s="1333"/>
      <c r="AE518" s="1333"/>
      <c r="AF518" s="1334"/>
      <c r="AG518" s="1109"/>
      <c r="AH518" s="1439"/>
      <c r="AI518" s="1439"/>
      <c r="AJ518" s="1439"/>
      <c r="AK518" s="1440"/>
      <c r="AZ518" s="2"/>
      <c r="BA518" s="2"/>
      <c r="BB518" s="2"/>
      <c r="BC518" s="2"/>
      <c r="BD518" s="2"/>
      <c r="BE518" s="2"/>
      <c r="BF518" s="2"/>
      <c r="BG518" s="2"/>
      <c r="BH518" s="2"/>
      <c r="BI518" s="2"/>
      <c r="BJ518" s="2"/>
      <c r="BK518" s="2"/>
      <c r="BL518" s="2"/>
      <c r="BM518" s="2"/>
      <c r="BN518" s="2"/>
    </row>
    <row r="519" spans="2:66" ht="13.15" customHeight="1">
      <c r="B519" s="1077"/>
      <c r="C519" s="1078"/>
      <c r="D519" s="1078"/>
      <c r="E519" s="1078"/>
      <c r="F519" s="1078"/>
      <c r="G519" s="1078"/>
      <c r="H519" s="1079"/>
      <c r="I519" t="s">
        <v>1263</v>
      </c>
      <c r="AC519" s="1071"/>
      <c r="AD519" s="1072"/>
      <c r="AE519" s="1072"/>
      <c r="AF519" s="1073"/>
      <c r="AG519" s="1109"/>
      <c r="AH519" s="1080"/>
      <c r="AI519" s="1080"/>
      <c r="AJ519" s="1080"/>
      <c r="AK519" s="1081"/>
      <c r="AZ519" s="2"/>
      <c r="BA519" s="2"/>
      <c r="BB519" s="2"/>
      <c r="BC519" s="2"/>
      <c r="BD519" s="2"/>
      <c r="BE519" s="2"/>
      <c r="BF519" s="2"/>
      <c r="BG519" s="2"/>
      <c r="BH519" s="2"/>
      <c r="BI519" s="2"/>
      <c r="BJ519" s="2"/>
      <c r="BK519" s="2"/>
      <c r="BL519" s="2"/>
      <c r="BM519" s="2"/>
      <c r="BN519" s="2"/>
    </row>
    <row r="520" spans="2:66" ht="13.15" customHeight="1">
      <c r="B520" s="1077"/>
      <c r="C520" s="1078"/>
      <c r="D520" s="1078"/>
      <c r="E520" s="1078"/>
      <c r="F520" s="1078"/>
      <c r="G520" s="1078"/>
      <c r="H520" s="1079"/>
      <c r="I520" s="705" t="s">
        <v>1264</v>
      </c>
      <c r="J520" s="32"/>
      <c r="K520" s="32"/>
      <c r="L520" s="32"/>
      <c r="M520" s="32"/>
      <c r="N520" s="32"/>
      <c r="O520" s="32"/>
      <c r="P520" s="32"/>
      <c r="Q520" s="32"/>
      <c r="R520" s="32"/>
      <c r="S520" s="32"/>
      <c r="T520" s="32"/>
      <c r="U520" s="32"/>
      <c r="V520" s="32"/>
      <c r="W520" s="32"/>
      <c r="X520" s="32"/>
      <c r="Y520" s="32"/>
      <c r="Z520" s="32"/>
      <c r="AA520" s="32"/>
      <c r="AB520" s="32"/>
      <c r="AC520" s="1421">
        <v>0.3</v>
      </c>
      <c r="AD520" s="1422"/>
      <c r="AE520" s="1422"/>
      <c r="AF520" s="1423"/>
      <c r="AG520" s="1085"/>
      <c r="AH520" s="1533"/>
      <c r="AI520" s="1533"/>
      <c r="AJ520" s="1533"/>
      <c r="AK520" s="1534"/>
      <c r="AZ520" s="2"/>
      <c r="BA520" s="2"/>
      <c r="BB520" s="2"/>
      <c r="BC520" s="2"/>
      <c r="BD520" s="2"/>
      <c r="BE520" s="2"/>
      <c r="BF520" s="2"/>
      <c r="BG520" s="2"/>
      <c r="BH520" s="2"/>
      <c r="BI520" s="2"/>
      <c r="BJ520" s="2"/>
      <c r="BK520" s="2"/>
      <c r="BL520" s="2"/>
      <c r="BM520" s="2"/>
      <c r="BN520" s="2" t="s">
        <v>1000</v>
      </c>
    </row>
    <row r="521" spans="2:66" ht="13.15" customHeight="1">
      <c r="B521" s="1077"/>
      <c r="C521" s="1078"/>
      <c r="D521" s="1078"/>
      <c r="E521" s="1078"/>
      <c r="F521" s="1078"/>
      <c r="G521" s="1078"/>
      <c r="H521" s="1079"/>
      <c r="I521" s="2"/>
      <c r="L521" s="6"/>
      <c r="M521" s="6"/>
      <c r="N521" s="6"/>
      <c r="O521" s="6"/>
      <c r="P521" s="6"/>
      <c r="Q521" s="6"/>
      <c r="R521" s="6"/>
      <c r="S521" s="6"/>
      <c r="T521" s="6"/>
      <c r="U521" s="6"/>
      <c r="V521" s="6"/>
      <c r="W521" s="6"/>
      <c r="X521" s="1090"/>
      <c r="Y521" s="1090"/>
      <c r="Z521" s="1090"/>
      <c r="AA521" s="1090"/>
      <c r="AB521" s="797"/>
      <c r="AC521" s="1458" t="s">
        <v>1249</v>
      </c>
      <c r="AD521" s="1413"/>
      <c r="AE521" s="1413"/>
      <c r="AF521" s="1413"/>
      <c r="AG521" s="1085" t="s">
        <v>1250</v>
      </c>
      <c r="AH521" s="1413" t="s">
        <v>1251</v>
      </c>
      <c r="AI521" s="1413"/>
      <c r="AJ521" s="1413"/>
      <c r="AK521" s="1414"/>
      <c r="AZ521" s="2"/>
      <c r="BA521" s="2"/>
      <c r="BB521" s="2"/>
      <c r="BC521" s="2"/>
      <c r="BD521" s="2"/>
      <c r="BE521" s="2"/>
      <c r="BF521" s="2"/>
      <c r="BG521" s="2"/>
      <c r="BH521" s="2"/>
      <c r="BI521" s="2"/>
      <c r="BJ521" s="2"/>
      <c r="BK521" s="2"/>
      <c r="BL521" s="2"/>
      <c r="BM521" s="2"/>
      <c r="BN521" s="2" t="s">
        <v>1265</v>
      </c>
    </row>
    <row r="522" spans="2:66" ht="13.15" customHeight="1">
      <c r="B522" s="1404" t="s">
        <v>1266</v>
      </c>
      <c r="C522" s="1405"/>
      <c r="D522" s="1405"/>
      <c r="E522" s="1405"/>
      <c r="F522" s="1405"/>
      <c r="G522" s="1405"/>
      <c r="H522" s="1406"/>
      <c r="I522" s="30" t="s">
        <v>1267</v>
      </c>
      <c r="J522" s="30"/>
      <c r="K522" s="30"/>
      <c r="L522" s="30"/>
      <c r="M522" s="30"/>
      <c r="N522" s="30"/>
      <c r="O522" s="30"/>
      <c r="P522" s="30"/>
      <c r="Q522" s="30"/>
      <c r="R522" s="30"/>
      <c r="S522" s="30"/>
      <c r="T522" s="30"/>
      <c r="U522" s="30"/>
      <c r="V522" s="30"/>
      <c r="W522" s="30"/>
      <c r="AC522" s="1367">
        <v>11</v>
      </c>
      <c r="AD522" s="1368"/>
      <c r="AE522" s="1368"/>
      <c r="AF522" s="1368"/>
      <c r="AG522" s="1109" t="s">
        <v>1250</v>
      </c>
      <c r="AH522" s="1377">
        <v>2026</v>
      </c>
      <c r="AI522" s="1377"/>
      <c r="AJ522" s="1377"/>
      <c r="AK522" s="1378"/>
      <c r="AZ522" s="2"/>
      <c r="BA522" s="2"/>
      <c r="BB522" s="2"/>
      <c r="BC522" s="2"/>
      <c r="BD522" s="2"/>
      <c r="BE522" s="2"/>
      <c r="BF522" s="2"/>
      <c r="BG522" s="2"/>
      <c r="BH522" s="2"/>
      <c r="BI522" s="2"/>
      <c r="BJ522" s="2"/>
      <c r="BK522" s="2"/>
      <c r="BL522" s="2"/>
      <c r="BM522" s="2"/>
      <c r="BN522" s="2" t="s">
        <v>1268</v>
      </c>
    </row>
    <row r="523" spans="2:66" ht="13.15" customHeight="1">
      <c r="B523" s="1407"/>
      <c r="C523" s="1408"/>
      <c r="D523" s="1408"/>
      <c r="E523" s="1408"/>
      <c r="F523" s="1408"/>
      <c r="G523" s="1408"/>
      <c r="H523" s="1409"/>
      <c r="I523" t="s">
        <v>1269</v>
      </c>
      <c r="AC523" s="1367">
        <v>11</v>
      </c>
      <c r="AD523" s="1368"/>
      <c r="AE523" s="1368"/>
      <c r="AF523" s="1368"/>
      <c r="AG523" s="1109" t="s">
        <v>1250</v>
      </c>
      <c r="AH523" s="1377">
        <v>2026</v>
      </c>
      <c r="AI523" s="1377"/>
      <c r="AJ523" s="1377"/>
      <c r="AK523" s="1378"/>
      <c r="AZ523" s="2"/>
      <c r="BA523" s="2"/>
      <c r="BB523" s="2"/>
      <c r="BC523" s="2"/>
      <c r="BD523" s="2"/>
      <c r="BE523" s="2"/>
      <c r="BF523" s="2"/>
      <c r="BG523" s="2"/>
      <c r="BH523" s="2"/>
      <c r="BI523" s="2"/>
      <c r="BJ523" s="2"/>
      <c r="BK523" s="2"/>
      <c r="BL523" s="2"/>
      <c r="BM523" s="2"/>
      <c r="BN523" s="2" t="s">
        <v>1270</v>
      </c>
    </row>
    <row r="524" spans="2:66" ht="13.15" customHeight="1">
      <c r="B524" s="1407"/>
      <c r="C524" s="1408"/>
      <c r="D524" s="1408"/>
      <c r="E524" s="1408"/>
      <c r="F524" s="1408"/>
      <c r="G524" s="1408"/>
      <c r="H524" s="1409"/>
      <c r="I524" s="32" t="s">
        <v>1271</v>
      </c>
      <c r="J524" s="32"/>
      <c r="K524" s="32"/>
      <c r="L524" s="32"/>
      <c r="M524" s="32"/>
      <c r="N524" s="32"/>
      <c r="O524" s="32"/>
      <c r="P524" s="32"/>
      <c r="Q524" s="32"/>
      <c r="R524" s="32"/>
      <c r="S524" s="32"/>
      <c r="T524" s="32"/>
      <c r="U524" s="32"/>
      <c r="V524" s="32"/>
      <c r="W524" s="32"/>
      <c r="X524" s="32"/>
      <c r="Y524" s="32"/>
      <c r="Z524" s="32"/>
      <c r="AA524" s="32"/>
      <c r="AB524" s="32"/>
      <c r="AC524" s="1367">
        <v>2</v>
      </c>
      <c r="AD524" s="1368"/>
      <c r="AE524" s="1368"/>
      <c r="AF524" s="1368"/>
      <c r="AG524" s="1085" t="s">
        <v>1250</v>
      </c>
      <c r="AH524" s="1377">
        <v>2027</v>
      </c>
      <c r="AI524" s="1377"/>
      <c r="AJ524" s="1377"/>
      <c r="AK524" s="1378"/>
      <c r="AZ524" s="2"/>
      <c r="BA524" s="2"/>
      <c r="BB524" s="2"/>
      <c r="BC524" s="2"/>
      <c r="BD524" s="2"/>
      <c r="BE524" s="2"/>
      <c r="BF524" s="2"/>
      <c r="BG524" s="2"/>
      <c r="BH524" s="2"/>
      <c r="BI524" s="2"/>
      <c r="BJ524" s="2"/>
      <c r="BK524" s="2"/>
      <c r="BL524" s="2"/>
      <c r="BM524" s="2"/>
      <c r="BN524" s="2" t="s">
        <v>1272</v>
      </c>
    </row>
    <row r="525" spans="2:66" ht="13.15" customHeight="1">
      <c r="B525" s="1404" t="s">
        <v>1273</v>
      </c>
      <c r="C525" s="1405"/>
      <c r="D525" s="1405"/>
      <c r="E525" s="1405"/>
      <c r="F525" s="1405"/>
      <c r="G525" s="1405"/>
      <c r="H525" s="1406"/>
      <c r="I525" s="30" t="s">
        <v>1267</v>
      </c>
      <c r="J525" s="30"/>
      <c r="K525" s="30"/>
      <c r="L525" s="30"/>
      <c r="M525" s="30"/>
      <c r="N525" s="30"/>
      <c r="O525" s="30"/>
      <c r="P525" s="30"/>
      <c r="Q525" s="30"/>
      <c r="R525" s="30"/>
      <c r="S525" s="30"/>
      <c r="T525" s="30"/>
      <c r="U525" s="30"/>
      <c r="V525" s="30"/>
      <c r="W525" s="30"/>
      <c r="X525" s="30"/>
      <c r="Y525" s="30"/>
      <c r="Z525" s="30"/>
      <c r="AA525" s="30"/>
      <c r="AB525" s="30"/>
      <c r="AC525" s="1332">
        <v>11</v>
      </c>
      <c r="AD525" s="1333"/>
      <c r="AE525" s="1333"/>
      <c r="AF525" s="1333"/>
      <c r="AG525" s="1104" t="s">
        <v>1250</v>
      </c>
      <c r="AH525" s="1377">
        <v>2026</v>
      </c>
      <c r="AI525" s="1377"/>
      <c r="AJ525" s="1377"/>
      <c r="AK525" s="1378"/>
      <c r="AZ525" s="2"/>
      <c r="BB525" s="2"/>
      <c r="BC525" s="2"/>
      <c r="BD525" s="2"/>
      <c r="BE525" s="2"/>
      <c r="BF525" s="2"/>
      <c r="BG525" s="2"/>
      <c r="BH525" s="2"/>
      <c r="BI525" s="2"/>
      <c r="BJ525" s="2"/>
      <c r="BK525" s="2"/>
      <c r="BL525" s="2"/>
      <c r="BM525" s="2"/>
      <c r="BN525" s="2" t="s">
        <v>1274</v>
      </c>
    </row>
    <row r="526" spans="2:66" ht="13.15" customHeight="1">
      <c r="B526" s="1407"/>
      <c r="C526" s="1408"/>
      <c r="D526" s="1408"/>
      <c r="E526" s="1408"/>
      <c r="F526" s="1408"/>
      <c r="G526" s="1408"/>
      <c r="H526" s="1409"/>
      <c r="I526" t="s">
        <v>1269</v>
      </c>
      <c r="AC526" s="1367">
        <v>11</v>
      </c>
      <c r="AD526" s="1368"/>
      <c r="AE526" s="1368"/>
      <c r="AF526" s="1368"/>
      <c r="AG526" s="1109" t="s">
        <v>1250</v>
      </c>
      <c r="AH526" s="1377">
        <v>2026</v>
      </c>
      <c r="AI526" s="1377"/>
      <c r="AJ526" s="1377"/>
      <c r="AK526" s="1378"/>
      <c r="BB526" s="2"/>
      <c r="BC526" s="2"/>
      <c r="BD526" s="2"/>
      <c r="BE526" s="2"/>
      <c r="BF526" s="2"/>
      <c r="BG526" s="2"/>
      <c r="BH526" s="2"/>
      <c r="BI526" s="2"/>
      <c r="BJ526" s="2"/>
      <c r="BK526" s="2"/>
      <c r="BL526" s="2"/>
      <c r="BM526" s="2"/>
      <c r="BN526" s="2" t="s">
        <v>1275</v>
      </c>
    </row>
    <row r="527" spans="2:66" ht="13.15" customHeight="1">
      <c r="B527" s="1410"/>
      <c r="C527" s="1411"/>
      <c r="D527" s="1411"/>
      <c r="E527" s="1411"/>
      <c r="F527" s="1411"/>
      <c r="G527" s="1411"/>
      <c r="H527" s="1412"/>
      <c r="I527" s="32" t="s">
        <v>1271</v>
      </c>
      <c r="J527" s="32"/>
      <c r="K527" s="32"/>
      <c r="L527" s="32"/>
      <c r="M527" s="32"/>
      <c r="N527" s="32"/>
      <c r="O527" s="32"/>
      <c r="P527" s="32"/>
      <c r="Q527" s="32"/>
      <c r="R527" s="32"/>
      <c r="S527" s="32"/>
      <c r="T527" s="32"/>
      <c r="U527" s="32"/>
      <c r="V527" s="32"/>
      <c r="W527" s="32"/>
      <c r="X527" s="32"/>
      <c r="Y527" s="32"/>
      <c r="Z527" s="32"/>
      <c r="AA527" s="32"/>
      <c r="AB527" s="32"/>
      <c r="AC527" s="1367">
        <v>3</v>
      </c>
      <c r="AD527" s="1368"/>
      <c r="AE527" s="1368"/>
      <c r="AF527" s="1368"/>
      <c r="AG527" s="1085" t="s">
        <v>1250</v>
      </c>
      <c r="AH527" s="1620" t="s">
        <v>2722</v>
      </c>
      <c r="AI527" s="1377"/>
      <c r="AJ527" s="1377"/>
      <c r="AK527" s="1378"/>
      <c r="BB527" s="2"/>
      <c r="BC527" s="2"/>
      <c r="BD527" s="2"/>
      <c r="BE527" s="2"/>
      <c r="BF527" s="2"/>
      <c r="BG527" s="2"/>
      <c r="BH527" s="2"/>
      <c r="BI527" s="2"/>
      <c r="BJ527" s="2"/>
      <c r="BK527" s="2"/>
      <c r="BL527" s="2"/>
      <c r="BM527" s="2"/>
      <c r="BN527" s="2" t="s">
        <v>1276</v>
      </c>
    </row>
    <row r="528" spans="2:66" ht="13.15" customHeight="1">
      <c r="B528" s="1404" t="s">
        <v>1277</v>
      </c>
      <c r="C528" s="1405"/>
      <c r="D528" s="1405"/>
      <c r="E528" s="1405"/>
      <c r="F528" s="1405"/>
      <c r="G528" s="1405"/>
      <c r="H528" s="1406"/>
      <c r="I528" s="29" t="s">
        <v>1278</v>
      </c>
      <c r="J528" s="30"/>
      <c r="K528" s="30"/>
      <c r="L528" s="30"/>
      <c r="M528" s="30"/>
      <c r="N528" s="30"/>
      <c r="O528" s="1436" t="s">
        <v>2718</v>
      </c>
      <c r="P528" s="1437"/>
      <c r="Q528" s="1437"/>
      <c r="R528" s="1437"/>
      <c r="S528" s="1437"/>
      <c r="T528" s="1437"/>
      <c r="U528" s="1437"/>
      <c r="V528" s="1437"/>
      <c r="W528" s="1437"/>
      <c r="X528" s="1437"/>
      <c r="Y528" s="1437"/>
      <c r="Z528" s="1437"/>
      <c r="AA528" s="1437"/>
      <c r="AB528" s="39"/>
      <c r="AC528" s="1332" t="s">
        <v>816</v>
      </c>
      <c r="AD528" s="1333"/>
      <c r="AE528" s="1333"/>
      <c r="AF528" s="1333"/>
      <c r="AG528" s="1104" t="s">
        <v>1250</v>
      </c>
      <c r="AH528" s="1377"/>
      <c r="AI528" s="1377"/>
      <c r="AJ528" s="1377"/>
      <c r="AK528" s="1378"/>
      <c r="AZ528" s="2"/>
      <c r="BB528" s="2"/>
      <c r="BC528" s="2"/>
      <c r="BD528" s="2"/>
      <c r="BE528" s="2"/>
      <c r="BF528" s="2"/>
      <c r="BG528" s="2"/>
      <c r="BH528" s="2"/>
      <c r="BI528" s="2"/>
      <c r="BJ528" s="2"/>
      <c r="BK528" s="2"/>
      <c r="BL528" s="2"/>
      <c r="BM528" s="2"/>
      <c r="BN528" s="2" t="s">
        <v>1279</v>
      </c>
    </row>
    <row r="529" spans="2:66" ht="13.15" customHeight="1">
      <c r="B529" s="1407"/>
      <c r="C529" s="1408"/>
      <c r="D529" s="1408"/>
      <c r="E529" s="1408"/>
      <c r="F529" s="1408"/>
      <c r="G529" s="1408"/>
      <c r="H529" s="1409"/>
      <c r="I529" s="66" t="s">
        <v>44</v>
      </c>
      <c r="AB529" s="42"/>
      <c r="AC529" s="1367">
        <v>9</v>
      </c>
      <c r="AD529" s="1368"/>
      <c r="AE529" s="1368"/>
      <c r="AF529" s="1368"/>
      <c r="AG529" s="1109" t="s">
        <v>1250</v>
      </c>
      <c r="AH529" s="1377">
        <v>2023</v>
      </c>
      <c r="AI529" s="1377"/>
      <c r="AJ529" s="1377"/>
      <c r="AK529" s="1378"/>
      <c r="AZ529" s="2"/>
      <c r="BB529" s="2"/>
      <c r="BC529" s="2"/>
      <c r="BD529" s="2"/>
      <c r="BE529" s="2"/>
      <c r="BF529" s="2"/>
      <c r="BG529" s="2"/>
      <c r="BH529" s="2"/>
      <c r="BI529" s="2"/>
      <c r="BJ529" s="2"/>
      <c r="BK529" s="2"/>
      <c r="BL529" s="2"/>
      <c r="BM529" s="2"/>
      <c r="BN529" s="2" t="s">
        <v>1280</v>
      </c>
    </row>
    <row r="530" spans="2:66" ht="13.15" customHeight="1">
      <c r="B530" s="1407"/>
      <c r="C530" s="1408"/>
      <c r="D530" s="1408"/>
      <c r="E530" s="1408"/>
      <c r="F530" s="1408"/>
      <c r="G530" s="1408"/>
      <c r="H530" s="1409"/>
      <c r="I530" s="31" t="s">
        <v>1281</v>
      </c>
      <c r="J530" s="32"/>
      <c r="K530" s="32"/>
      <c r="L530" s="32"/>
      <c r="M530" s="32"/>
      <c r="N530" s="32"/>
      <c r="O530" s="32"/>
      <c r="P530" s="32"/>
      <c r="Q530" s="32"/>
      <c r="R530" s="32"/>
      <c r="S530" s="32"/>
      <c r="T530" s="32"/>
      <c r="U530" s="32"/>
      <c r="V530" s="32"/>
      <c r="W530" s="32"/>
      <c r="X530" s="32"/>
      <c r="Y530" s="32"/>
      <c r="Z530" s="32"/>
      <c r="AA530" s="32"/>
      <c r="AB530" s="33"/>
      <c r="AC530" s="1367">
        <v>12</v>
      </c>
      <c r="AD530" s="1368"/>
      <c r="AE530" s="1368"/>
      <c r="AF530" s="1368"/>
      <c r="AG530" s="1085" t="s">
        <v>1250</v>
      </c>
      <c r="AH530" s="1377">
        <v>2023</v>
      </c>
      <c r="AI530" s="1377"/>
      <c r="AJ530" s="1377"/>
      <c r="AK530" s="1378"/>
      <c r="AZ530" s="2"/>
      <c r="BA530" s="2"/>
      <c r="BB530" s="2"/>
      <c r="BC530" s="2"/>
      <c r="BD530" s="2"/>
      <c r="BE530" s="2"/>
      <c r="BF530" s="2"/>
      <c r="BG530" s="2"/>
      <c r="BH530" s="2"/>
      <c r="BI530" s="2"/>
      <c r="BJ530" s="2"/>
      <c r="BK530" s="2"/>
      <c r="BL530" s="2"/>
      <c r="BM530" s="2"/>
      <c r="BN530" s="2" t="s">
        <v>1282</v>
      </c>
    </row>
    <row r="531" spans="2:66" ht="13.15" customHeight="1">
      <c r="B531" s="1407"/>
      <c r="C531" s="1408"/>
      <c r="D531" s="1408"/>
      <c r="E531" s="1408"/>
      <c r="F531" s="1408"/>
      <c r="G531" s="1408"/>
      <c r="H531" s="1409"/>
      <c r="I531" s="30" t="s">
        <v>1283</v>
      </c>
      <c r="J531" s="30"/>
      <c r="K531" s="30"/>
      <c r="L531" s="30"/>
      <c r="M531" s="30"/>
      <c r="N531" s="30"/>
      <c r="O531" s="1436" t="s">
        <v>2719</v>
      </c>
      <c r="P531" s="1437"/>
      <c r="Q531" s="1437"/>
      <c r="R531" s="1437"/>
      <c r="S531" s="1437"/>
      <c r="T531" s="1437"/>
      <c r="U531" s="1437"/>
      <c r="V531" s="1437"/>
      <c r="W531" s="1437"/>
      <c r="X531" s="1437"/>
      <c r="Y531" s="1437"/>
      <c r="Z531" s="1437"/>
      <c r="AA531" s="1437"/>
      <c r="AC531" s="1367" t="s">
        <v>816</v>
      </c>
      <c r="AD531" s="1368"/>
      <c r="AE531" s="1368"/>
      <c r="AF531" s="1368"/>
      <c r="AG531" s="1109" t="s">
        <v>1250</v>
      </c>
      <c r="AH531" s="1377"/>
      <c r="AI531" s="1377"/>
      <c r="AJ531" s="1377"/>
      <c r="AK531" s="1378"/>
      <c r="AZ531" s="2"/>
      <c r="BA531" s="2"/>
      <c r="BB531" s="2"/>
      <c r="BC531" s="2"/>
      <c r="BD531" s="2"/>
      <c r="BE531" s="2"/>
      <c r="BF531" s="2"/>
      <c r="BG531" s="2"/>
      <c r="BH531" s="2"/>
      <c r="BI531" s="2"/>
      <c r="BJ531" s="2"/>
      <c r="BK531" s="2"/>
      <c r="BL531" s="2"/>
      <c r="BM531" s="2"/>
      <c r="BN531" s="2" t="s">
        <v>1284</v>
      </c>
    </row>
    <row r="532" spans="2:66" ht="13.15" customHeight="1">
      <c r="B532" s="1407"/>
      <c r="C532" s="1408"/>
      <c r="D532" s="1408"/>
      <c r="E532" s="1408"/>
      <c r="F532" s="1408"/>
      <c r="G532" s="1408"/>
      <c r="H532" s="1409"/>
      <c r="I532" t="s">
        <v>44</v>
      </c>
      <c r="AC532" s="1367">
        <v>3</v>
      </c>
      <c r="AD532" s="1368"/>
      <c r="AE532" s="1368"/>
      <c r="AF532" s="1368"/>
      <c r="AG532" s="1109" t="s">
        <v>1250</v>
      </c>
      <c r="AH532" s="1377">
        <v>2024</v>
      </c>
      <c r="AI532" s="1377"/>
      <c r="AJ532" s="1377"/>
      <c r="AK532" s="1378"/>
      <c r="AZ532" s="2"/>
      <c r="BA532" s="2"/>
      <c r="BB532" s="2"/>
      <c r="BC532" s="2"/>
      <c r="BD532" s="2"/>
      <c r="BE532" s="2"/>
      <c r="BF532" s="2"/>
      <c r="BG532" s="2"/>
      <c r="BH532" s="2"/>
      <c r="BI532" s="2"/>
      <c r="BJ532" s="2"/>
      <c r="BK532" s="2"/>
      <c r="BL532" s="2"/>
      <c r="BM532" s="2"/>
      <c r="BN532" s="2" t="s">
        <v>1285</v>
      </c>
    </row>
    <row r="533" spans="2:66" ht="13.15" customHeight="1">
      <c r="B533" s="1407"/>
      <c r="C533" s="1408"/>
      <c r="D533" s="1408"/>
      <c r="E533" s="1408"/>
      <c r="F533" s="1408"/>
      <c r="G533" s="1408"/>
      <c r="H533" s="1409"/>
      <c r="I533" s="32" t="s">
        <v>1281</v>
      </c>
      <c r="J533" s="32"/>
      <c r="K533" s="32"/>
      <c r="L533" s="32"/>
      <c r="M533" s="32"/>
      <c r="N533" s="32"/>
      <c r="O533" s="32"/>
      <c r="P533" s="32"/>
      <c r="Q533" s="32"/>
      <c r="R533" s="32"/>
      <c r="S533" s="32"/>
      <c r="T533" s="32"/>
      <c r="U533" s="32"/>
      <c r="V533" s="32"/>
      <c r="W533" s="32"/>
      <c r="X533" s="32"/>
      <c r="Y533" s="32"/>
      <c r="Z533" s="32"/>
      <c r="AA533" s="32"/>
      <c r="AB533" s="32"/>
      <c r="AC533" s="1367">
        <v>8</v>
      </c>
      <c r="AD533" s="1368"/>
      <c r="AE533" s="1368"/>
      <c r="AF533" s="1368"/>
      <c r="AG533" s="1085" t="s">
        <v>1250</v>
      </c>
      <c r="AH533" s="1377">
        <v>2024</v>
      </c>
      <c r="AI533" s="1377"/>
      <c r="AJ533" s="1377"/>
      <c r="AK533" s="1378"/>
      <c r="AZ533" s="2"/>
      <c r="BA533" s="2"/>
      <c r="BB533" s="2"/>
      <c r="BC533" s="2"/>
      <c r="BD533" s="2"/>
      <c r="BE533" s="2"/>
      <c r="BF533" s="2"/>
      <c r="BG533" s="2"/>
      <c r="BH533" s="2"/>
      <c r="BI533" s="2"/>
      <c r="BJ533" s="2"/>
      <c r="BK533" s="2"/>
      <c r="BL533" s="2"/>
      <c r="BM533" s="2"/>
      <c r="BN533" s="2" t="s">
        <v>1286</v>
      </c>
    </row>
    <row r="534" spans="2:66" ht="13.15" customHeight="1">
      <c r="B534" s="1407"/>
      <c r="C534" s="1408"/>
      <c r="D534" s="1408"/>
      <c r="E534" s="1408"/>
      <c r="F534" s="1408"/>
      <c r="G534" s="1408"/>
      <c r="H534" s="1409"/>
      <c r="I534" s="30" t="s">
        <v>1283</v>
      </c>
      <c r="J534" s="30"/>
      <c r="K534" s="30"/>
      <c r="L534" s="30"/>
      <c r="M534" s="30"/>
      <c r="N534" s="30"/>
      <c r="O534" s="1436" t="s">
        <v>2720</v>
      </c>
      <c r="P534" s="1437"/>
      <c r="Q534" s="1437"/>
      <c r="R534" s="1437"/>
      <c r="S534" s="1437"/>
      <c r="T534" s="1437"/>
      <c r="U534" s="1437"/>
      <c r="V534" s="1437"/>
      <c r="W534" s="1437"/>
      <c r="X534" s="1437"/>
      <c r="Y534" s="1437"/>
      <c r="Z534" s="1437"/>
      <c r="AA534" s="1437"/>
      <c r="AC534" s="1367" t="s">
        <v>816</v>
      </c>
      <c r="AD534" s="1368"/>
      <c r="AE534" s="1368"/>
      <c r="AF534" s="1368"/>
      <c r="AG534" s="1109" t="s">
        <v>1250</v>
      </c>
      <c r="AH534" s="1377"/>
      <c r="AI534" s="1377"/>
      <c r="AJ534" s="1377"/>
      <c r="AK534" s="1378"/>
      <c r="AZ534" s="2"/>
      <c r="BA534" s="2"/>
      <c r="BB534" s="2"/>
      <c r="BC534" s="2"/>
      <c r="BD534" s="2"/>
      <c r="BE534" s="2"/>
      <c r="BF534" s="2"/>
      <c r="BG534" s="2"/>
      <c r="BH534" s="2"/>
      <c r="BI534" s="2"/>
      <c r="BJ534" s="2"/>
      <c r="BK534" s="2"/>
      <c r="BL534" s="2"/>
      <c r="BM534" s="2"/>
      <c r="BN534" s="2" t="s">
        <v>1287</v>
      </c>
    </row>
    <row r="535" spans="2:66" ht="13.15" customHeight="1">
      <c r="B535" s="1407"/>
      <c r="C535" s="1408"/>
      <c r="D535" s="1408"/>
      <c r="E535" s="1408"/>
      <c r="F535" s="1408"/>
      <c r="G535" s="1408"/>
      <c r="H535" s="1409"/>
      <c r="I535" t="s">
        <v>44</v>
      </c>
      <c r="AC535" s="1367">
        <v>3</v>
      </c>
      <c r="AD535" s="1368"/>
      <c r="AE535" s="1368"/>
      <c r="AF535" s="1368"/>
      <c r="AG535" s="1109" t="s">
        <v>1250</v>
      </c>
      <c r="AH535" s="1377">
        <v>2024</v>
      </c>
      <c r="AI535" s="1377"/>
      <c r="AJ535" s="1377"/>
      <c r="AK535" s="1378"/>
      <c r="AZ535" s="2"/>
      <c r="BA535" s="2"/>
      <c r="BB535" s="2"/>
      <c r="BC535" s="2"/>
      <c r="BD535" s="2"/>
      <c r="BE535" s="2"/>
      <c r="BF535" s="2"/>
      <c r="BG535" s="2"/>
      <c r="BH535" s="2"/>
      <c r="BI535" s="2"/>
      <c r="BJ535" s="2"/>
      <c r="BK535" s="2"/>
      <c r="BL535" s="2"/>
      <c r="BM535" s="2"/>
      <c r="BN535" s="2" t="s">
        <v>1288</v>
      </c>
    </row>
    <row r="536" spans="2:66" ht="13.15" customHeight="1">
      <c r="B536" s="1407"/>
      <c r="C536" s="1408"/>
      <c r="D536" s="1408"/>
      <c r="E536" s="1408"/>
      <c r="F536" s="1408"/>
      <c r="G536" s="1408"/>
      <c r="H536" s="1409"/>
      <c r="I536" s="32" t="s">
        <v>1281</v>
      </c>
      <c r="J536" s="32"/>
      <c r="K536" s="32"/>
      <c r="L536" s="32"/>
      <c r="M536" s="32"/>
      <c r="N536" s="32"/>
      <c r="O536" s="32"/>
      <c r="P536" s="32"/>
      <c r="Q536" s="32"/>
      <c r="R536" s="32"/>
      <c r="S536" s="32"/>
      <c r="T536" s="32"/>
      <c r="U536" s="32"/>
      <c r="V536" s="32"/>
      <c r="W536" s="32"/>
      <c r="X536" s="32"/>
      <c r="Y536" s="32"/>
      <c r="Z536" s="32"/>
      <c r="AA536" s="32"/>
      <c r="AB536" s="32"/>
      <c r="AC536" s="1367">
        <v>8</v>
      </c>
      <c r="AD536" s="1368"/>
      <c r="AE536" s="1368"/>
      <c r="AF536" s="1368"/>
      <c r="AG536" s="1085" t="s">
        <v>1250</v>
      </c>
      <c r="AH536" s="1377">
        <v>2024</v>
      </c>
      <c r="AI536" s="1377"/>
      <c r="AJ536" s="1377"/>
      <c r="AK536" s="1378"/>
      <c r="AZ536" s="2"/>
      <c r="BA536" s="2"/>
      <c r="BB536" s="2"/>
      <c r="BC536" s="2"/>
      <c r="BD536" s="2"/>
      <c r="BE536" s="2"/>
      <c r="BF536" s="2"/>
      <c r="BG536" s="2"/>
      <c r="BH536" s="2"/>
      <c r="BI536" s="2"/>
      <c r="BJ536" s="2"/>
      <c r="BK536" s="2"/>
      <c r="BL536" s="2"/>
      <c r="BM536" s="2"/>
      <c r="BN536" s="2" t="s">
        <v>1289</v>
      </c>
    </row>
    <row r="537" spans="2:66" ht="13.15" customHeight="1">
      <c r="B537" s="1407"/>
      <c r="C537" s="1408"/>
      <c r="D537" s="1408"/>
      <c r="E537" s="1408"/>
      <c r="F537" s="1408"/>
      <c r="G537" s="1408"/>
      <c r="H537" s="1409"/>
      <c r="I537" s="30" t="s">
        <v>1283</v>
      </c>
      <c r="J537" s="30"/>
      <c r="K537" s="30"/>
      <c r="L537" s="30"/>
      <c r="M537" s="30"/>
      <c r="N537" s="30"/>
      <c r="O537" s="1436" t="s">
        <v>2721</v>
      </c>
      <c r="P537" s="1437"/>
      <c r="Q537" s="1437"/>
      <c r="R537" s="1437"/>
      <c r="S537" s="1437"/>
      <c r="T537" s="1437"/>
      <c r="U537" s="1437"/>
      <c r="V537" s="1437"/>
      <c r="W537" s="1437"/>
      <c r="X537" s="1437"/>
      <c r="Y537" s="1437"/>
      <c r="Z537" s="1437"/>
      <c r="AA537" s="1437"/>
      <c r="AC537" s="1367" t="s">
        <v>816</v>
      </c>
      <c r="AD537" s="1368"/>
      <c r="AE537" s="1368"/>
      <c r="AF537" s="1368"/>
      <c r="AG537" s="1109" t="s">
        <v>1250</v>
      </c>
      <c r="AH537" s="1377"/>
      <c r="AI537" s="1377"/>
      <c r="AJ537" s="1377"/>
      <c r="AK537" s="1378"/>
      <c r="AZ537" s="2"/>
      <c r="BA537" s="2"/>
      <c r="BB537" s="2"/>
      <c r="BC537" s="2"/>
      <c r="BD537" s="2"/>
      <c r="BE537" s="2"/>
      <c r="BF537" s="2"/>
      <c r="BG537" s="2"/>
      <c r="BH537" s="2"/>
      <c r="BI537" s="2"/>
      <c r="BJ537" s="2"/>
      <c r="BK537" s="2"/>
      <c r="BL537" s="2"/>
      <c r="BM537" s="2"/>
      <c r="BN537" s="2" t="s">
        <v>1290</v>
      </c>
    </row>
    <row r="538" spans="2:66" ht="13.15" customHeight="1">
      <c r="B538" s="1407"/>
      <c r="C538" s="1408"/>
      <c r="D538" s="1408"/>
      <c r="E538" s="1408"/>
      <c r="F538" s="1408"/>
      <c r="G538" s="1408"/>
      <c r="H538" s="1409"/>
      <c r="I538" t="s">
        <v>44</v>
      </c>
      <c r="AC538" s="1367">
        <v>3</v>
      </c>
      <c r="AD538" s="1368"/>
      <c r="AE538" s="1368"/>
      <c r="AF538" s="1368"/>
      <c r="AG538" s="1109" t="s">
        <v>1250</v>
      </c>
      <c r="AH538" s="1377">
        <v>2026</v>
      </c>
      <c r="AI538" s="1377"/>
      <c r="AJ538" s="1377"/>
      <c r="AK538" s="1378"/>
      <c r="AZ538" s="2"/>
      <c r="BA538" s="2"/>
      <c r="BB538" s="2"/>
      <c r="BC538" s="2"/>
      <c r="BD538" s="2"/>
      <c r="BE538" s="2"/>
      <c r="BF538" s="2"/>
      <c r="BG538" s="2"/>
      <c r="BH538" s="2"/>
      <c r="BI538" s="2"/>
      <c r="BJ538" s="2"/>
      <c r="BK538" s="2"/>
      <c r="BL538" s="2"/>
      <c r="BM538" s="2"/>
      <c r="BN538" s="2" t="s">
        <v>1291</v>
      </c>
    </row>
    <row r="539" spans="2:66" ht="13.15" customHeight="1">
      <c r="B539" s="1407"/>
      <c r="C539" s="1408"/>
      <c r="D539" s="1408"/>
      <c r="E539" s="1408"/>
      <c r="F539" s="1408"/>
      <c r="G539" s="1408"/>
      <c r="H539" s="1409"/>
      <c r="I539" s="32" t="s">
        <v>1281</v>
      </c>
      <c r="J539" s="32"/>
      <c r="K539" s="32"/>
      <c r="L539" s="32"/>
      <c r="M539" s="32"/>
      <c r="N539" s="32"/>
      <c r="O539" s="32"/>
      <c r="P539" s="32"/>
      <c r="Q539" s="32"/>
      <c r="R539" s="32"/>
      <c r="S539" s="32"/>
      <c r="T539" s="32"/>
      <c r="U539" s="32"/>
      <c r="V539" s="32"/>
      <c r="W539" s="32"/>
      <c r="X539" s="32"/>
      <c r="Y539" s="32"/>
      <c r="Z539" s="32"/>
      <c r="AA539" s="32"/>
      <c r="AB539" s="32"/>
      <c r="AC539" s="1367">
        <v>5</v>
      </c>
      <c r="AD539" s="1368"/>
      <c r="AE539" s="1368"/>
      <c r="AF539" s="1368"/>
      <c r="AG539" s="1085" t="s">
        <v>1250</v>
      </c>
      <c r="AH539" s="1377">
        <v>2026</v>
      </c>
      <c r="AI539" s="1377"/>
      <c r="AJ539" s="1377"/>
      <c r="AK539" s="1378"/>
      <c r="AZ539" s="2"/>
      <c r="BA539" s="2"/>
      <c r="BB539" s="2"/>
      <c r="BC539" s="2"/>
      <c r="BD539" s="2"/>
      <c r="BE539" s="2"/>
      <c r="BF539" s="2"/>
      <c r="BG539" s="2"/>
      <c r="BH539" s="2"/>
      <c r="BI539" s="2"/>
      <c r="BJ539" s="2"/>
      <c r="BK539" s="2"/>
      <c r="BL539" s="2"/>
      <c r="BM539" s="2"/>
      <c r="BN539" s="2" t="s">
        <v>1292</v>
      </c>
    </row>
    <row r="540" spans="2:66" ht="13.15" customHeight="1">
      <c r="B540" s="1407"/>
      <c r="C540" s="1408"/>
      <c r="D540" s="1408"/>
      <c r="E540" s="1408"/>
      <c r="F540" s="1408"/>
      <c r="G540" s="1408"/>
      <c r="H540" s="1409"/>
      <c r="I540" s="30" t="s">
        <v>1283</v>
      </c>
      <c r="J540" s="30"/>
      <c r="K540" s="30"/>
      <c r="L540" s="30"/>
      <c r="M540" s="30"/>
      <c r="N540" s="30"/>
      <c r="O540" s="1436" t="s">
        <v>1183</v>
      </c>
      <c r="P540" s="1437"/>
      <c r="Q540" s="1437"/>
      <c r="R540" s="1437"/>
      <c r="S540" s="1437"/>
      <c r="T540" s="1437"/>
      <c r="U540" s="1437"/>
      <c r="V540" s="1437"/>
      <c r="W540" s="1437"/>
      <c r="X540" s="1437"/>
      <c r="Y540" s="1437"/>
      <c r="Z540" s="1437"/>
      <c r="AA540" s="1437"/>
      <c r="AC540" s="1367" t="s">
        <v>816</v>
      </c>
      <c r="AD540" s="1368"/>
      <c r="AE540" s="1368"/>
      <c r="AF540" s="1368"/>
      <c r="AG540" s="1109" t="s">
        <v>1250</v>
      </c>
      <c r="AH540" s="1377"/>
      <c r="AI540" s="1377"/>
      <c r="AJ540" s="1377"/>
      <c r="AK540" s="1378"/>
      <c r="AZ540" s="2"/>
      <c r="BA540" s="2"/>
      <c r="BB540" s="2"/>
      <c r="BC540" s="2"/>
      <c r="BD540" s="2"/>
      <c r="BE540" s="2"/>
      <c r="BF540" s="2"/>
      <c r="BG540" s="2"/>
      <c r="BH540" s="2"/>
      <c r="BI540" s="2"/>
      <c r="BJ540" s="2"/>
      <c r="BK540" s="2"/>
      <c r="BL540" s="2"/>
      <c r="BM540" s="2"/>
      <c r="BN540" s="2" t="s">
        <v>1293</v>
      </c>
    </row>
    <row r="541" spans="2:66" ht="13.15" customHeight="1">
      <c r="B541" s="1407"/>
      <c r="C541" s="1408"/>
      <c r="D541" s="1408"/>
      <c r="E541" s="1408"/>
      <c r="F541" s="1408"/>
      <c r="G541" s="1408"/>
      <c r="H541" s="1409"/>
      <c r="I541" t="s">
        <v>44</v>
      </c>
      <c r="AC541" s="1367" t="s">
        <v>816</v>
      </c>
      <c r="AD541" s="1368"/>
      <c r="AE541" s="1368"/>
      <c r="AF541" s="1368"/>
      <c r="AG541" s="1085" t="s">
        <v>1250</v>
      </c>
      <c r="AH541" s="1377"/>
      <c r="AI541" s="1377"/>
      <c r="AJ541" s="1377"/>
      <c r="AK541" s="1378"/>
      <c r="AZ541" s="2"/>
      <c r="BA541" s="2"/>
      <c r="BB541" s="2"/>
      <c r="BC541" s="2"/>
      <c r="BD541" s="2"/>
      <c r="BE541" s="2"/>
      <c r="BF541" s="2"/>
      <c r="BG541" s="2"/>
      <c r="BH541" s="2"/>
      <c r="BI541" s="2"/>
      <c r="BJ541" s="2"/>
      <c r="BK541" s="2"/>
      <c r="BL541" s="2"/>
      <c r="BM541" s="2"/>
      <c r="BN541" s="2" t="s">
        <v>1294</v>
      </c>
    </row>
    <row r="542" spans="2:66" ht="13.15" customHeight="1">
      <c r="B542" s="1407"/>
      <c r="C542" s="1408"/>
      <c r="D542" s="1408"/>
      <c r="E542" s="1408"/>
      <c r="F542" s="1408"/>
      <c r="G542" s="1408"/>
      <c r="H542" s="1409"/>
      <c r="I542" s="32" t="s">
        <v>1281</v>
      </c>
      <c r="J542" s="32"/>
      <c r="K542" s="32"/>
      <c r="L542" s="32"/>
      <c r="M542" s="32"/>
      <c r="N542" s="32"/>
      <c r="O542" s="32"/>
      <c r="P542" s="32"/>
      <c r="Q542" s="32"/>
      <c r="R542" s="32"/>
      <c r="S542" s="32"/>
      <c r="T542" s="32"/>
      <c r="U542" s="32"/>
      <c r="V542" s="32"/>
      <c r="W542" s="32"/>
      <c r="X542" s="32"/>
      <c r="Y542" s="32"/>
      <c r="Z542" s="32"/>
      <c r="AA542" s="32"/>
      <c r="AB542" s="32"/>
      <c r="AC542" s="1367" t="s">
        <v>816</v>
      </c>
      <c r="AD542" s="1368"/>
      <c r="AE542" s="1368"/>
      <c r="AF542" s="1368"/>
      <c r="AG542" s="1109" t="s">
        <v>1250</v>
      </c>
      <c r="AH542" s="1377"/>
      <c r="AI542" s="1377"/>
      <c r="AJ542" s="1377"/>
      <c r="AK542" s="1378"/>
      <c r="AZ542" s="2"/>
      <c r="BA542" s="2"/>
      <c r="BB542" s="2"/>
      <c r="BC542" s="2"/>
      <c r="BD542" s="2"/>
      <c r="BE542" s="2"/>
      <c r="BF542" s="2"/>
      <c r="BG542" s="2"/>
      <c r="BH542" s="2"/>
      <c r="BI542" s="2"/>
      <c r="BJ542" s="2"/>
      <c r="BK542" s="2"/>
      <c r="BL542" s="2"/>
      <c r="BM542" s="2"/>
      <c r="BN542" s="2" t="s">
        <v>1295</v>
      </c>
    </row>
    <row r="543" spans="2:66" ht="13.15" customHeight="1">
      <c r="B543" s="1407"/>
      <c r="C543" s="1408"/>
      <c r="D543" s="1408"/>
      <c r="E543" s="1408"/>
      <c r="F543" s="1408"/>
      <c r="G543" s="1408"/>
      <c r="H543" s="1409"/>
      <c r="I543" s="30" t="s">
        <v>1283</v>
      </c>
      <c r="J543" s="30"/>
      <c r="K543" s="30"/>
      <c r="L543" s="30"/>
      <c r="M543" s="30"/>
      <c r="N543" s="30"/>
      <c r="O543" s="1436" t="s">
        <v>1183</v>
      </c>
      <c r="P543" s="1437"/>
      <c r="Q543" s="1437"/>
      <c r="R543" s="1437"/>
      <c r="S543" s="1437"/>
      <c r="T543" s="1437"/>
      <c r="U543" s="1437"/>
      <c r="V543" s="1437"/>
      <c r="W543" s="1437"/>
      <c r="X543" s="1437"/>
      <c r="Y543" s="1437"/>
      <c r="Z543" s="1437"/>
      <c r="AA543" s="1437"/>
      <c r="AC543" s="1367" t="s">
        <v>816</v>
      </c>
      <c r="AD543" s="1368"/>
      <c r="AE543" s="1368"/>
      <c r="AF543" s="1368"/>
      <c r="AG543" s="1085" t="s">
        <v>1250</v>
      </c>
      <c r="AH543" s="1377"/>
      <c r="AI543" s="1377"/>
      <c r="AJ543" s="1377"/>
      <c r="AK543" s="1378"/>
      <c r="AZ543" s="2"/>
      <c r="BA543" s="2"/>
      <c r="BB543" s="2"/>
      <c r="BC543" s="2"/>
      <c r="BD543" s="2"/>
      <c r="BE543" s="2"/>
      <c r="BF543" s="2"/>
      <c r="BG543" s="2"/>
      <c r="BH543" s="2"/>
      <c r="BI543" s="2"/>
      <c r="BJ543" s="2"/>
      <c r="BK543" s="2"/>
      <c r="BL543" s="2"/>
      <c r="BM543" s="2"/>
      <c r="BN543" s="2" t="s">
        <v>1296</v>
      </c>
    </row>
    <row r="544" spans="2:66" ht="13.15" customHeight="1">
      <c r="B544" s="1407"/>
      <c r="C544" s="1408"/>
      <c r="D544" s="1408"/>
      <c r="E544" s="1408"/>
      <c r="F544" s="1408"/>
      <c r="G544" s="1408"/>
      <c r="H544" s="1409"/>
      <c r="I544" t="s">
        <v>44</v>
      </c>
      <c r="AC544" s="1367" t="s">
        <v>816</v>
      </c>
      <c r="AD544" s="1368"/>
      <c r="AE544" s="1368"/>
      <c r="AF544" s="1368"/>
      <c r="AG544" s="1109" t="s">
        <v>1250</v>
      </c>
      <c r="AH544" s="1377"/>
      <c r="AI544" s="1377"/>
      <c r="AJ544" s="1377"/>
      <c r="AK544" s="1378"/>
      <c r="AZ544" s="2"/>
      <c r="BA544" s="2"/>
      <c r="BB544" s="2"/>
      <c r="BC544" s="2"/>
      <c r="BD544" s="2"/>
      <c r="BE544" s="2"/>
      <c r="BF544" s="2"/>
      <c r="BG544" s="2"/>
      <c r="BH544" s="2"/>
      <c r="BI544" s="2"/>
      <c r="BJ544" s="2"/>
      <c r="BK544" s="2"/>
      <c r="BL544" s="2"/>
      <c r="BM544" s="2"/>
      <c r="BN544" s="2" t="s">
        <v>1297</v>
      </c>
    </row>
    <row r="545" spans="1:66" ht="13.15" customHeight="1">
      <c r="B545" s="1407"/>
      <c r="C545" s="1408"/>
      <c r="D545" s="1408"/>
      <c r="E545" s="1408"/>
      <c r="F545" s="1408"/>
      <c r="G545" s="1408"/>
      <c r="H545" s="1409"/>
      <c r="I545" s="32" t="s">
        <v>1281</v>
      </c>
      <c r="J545" s="32"/>
      <c r="K545" s="32"/>
      <c r="L545" s="32"/>
      <c r="M545" s="32"/>
      <c r="N545" s="32"/>
      <c r="O545" s="32"/>
      <c r="P545" s="32"/>
      <c r="Q545" s="32"/>
      <c r="R545" s="32"/>
      <c r="S545" s="32"/>
      <c r="T545" s="32"/>
      <c r="U545" s="32"/>
      <c r="V545" s="32"/>
      <c r="W545" s="32"/>
      <c r="X545" s="32"/>
      <c r="Y545" s="32"/>
      <c r="Z545" s="32"/>
      <c r="AA545" s="32"/>
      <c r="AB545" s="32"/>
      <c r="AC545" s="1367" t="s">
        <v>816</v>
      </c>
      <c r="AD545" s="1368"/>
      <c r="AE545" s="1368"/>
      <c r="AF545" s="1368"/>
      <c r="AG545" s="1085" t="s">
        <v>1250</v>
      </c>
      <c r="AH545" s="1377"/>
      <c r="AI545" s="1377"/>
      <c r="AJ545" s="1377"/>
      <c r="AK545" s="1378"/>
      <c r="AZ545" s="2"/>
      <c r="BA545" s="2"/>
      <c r="BB545" s="2"/>
      <c r="BC545" s="2"/>
      <c r="BD545" s="2"/>
      <c r="BE545" s="2"/>
      <c r="BF545" s="2"/>
      <c r="BG545" s="2"/>
      <c r="BH545" s="2"/>
      <c r="BI545" s="2"/>
      <c r="BJ545" s="2"/>
      <c r="BK545" s="2"/>
      <c r="BL545" s="2"/>
      <c r="BM545" s="2"/>
      <c r="BN545" s="2" t="s">
        <v>1298</v>
      </c>
    </row>
    <row r="546" spans="1:66" ht="13.15" customHeight="1">
      <c r="B546" s="1407"/>
      <c r="C546" s="1408"/>
      <c r="D546" s="1408"/>
      <c r="E546" s="1408"/>
      <c r="F546" s="1408"/>
      <c r="G546" s="1408"/>
      <c r="H546" s="1409"/>
      <c r="I546" s="30" t="s">
        <v>1299</v>
      </c>
      <c r="J546" s="30"/>
      <c r="K546" s="30"/>
      <c r="L546" s="30"/>
      <c r="M546" s="30"/>
      <c r="N546" s="30"/>
      <c r="O546" s="30"/>
      <c r="P546" s="30"/>
      <c r="Q546" s="30"/>
      <c r="R546" s="30"/>
      <c r="S546" s="30"/>
      <c r="T546" s="30"/>
      <c r="U546" s="30"/>
      <c r="V546" s="30"/>
      <c r="W546" s="30"/>
      <c r="AC546" s="1367">
        <v>8</v>
      </c>
      <c r="AD546" s="1368"/>
      <c r="AE546" s="1368"/>
      <c r="AF546" s="1368"/>
      <c r="AG546" s="1085" t="s">
        <v>1250</v>
      </c>
      <c r="AH546" s="1377">
        <v>2027</v>
      </c>
      <c r="AI546" s="1377"/>
      <c r="AJ546" s="1377"/>
      <c r="AK546" s="1378"/>
      <c r="AZ546" s="2"/>
      <c r="BA546" s="2"/>
      <c r="BB546" s="2"/>
      <c r="BC546" s="2"/>
      <c r="BD546" s="2"/>
      <c r="BE546" s="2"/>
      <c r="BF546" s="2"/>
      <c r="BG546" s="2"/>
      <c r="BH546" s="2"/>
      <c r="BI546" s="2"/>
      <c r="BJ546" s="2"/>
      <c r="BK546" s="2"/>
      <c r="BL546" s="2"/>
      <c r="BM546" s="2"/>
      <c r="BN546" s="2"/>
    </row>
    <row r="547" spans="1:66" ht="13.15" customHeight="1">
      <c r="B547" s="1407"/>
      <c r="C547" s="1408"/>
      <c r="D547" s="1408"/>
      <c r="E547" s="1408"/>
      <c r="F547" s="1408"/>
      <c r="G547" s="1408"/>
      <c r="H547" s="1409"/>
      <c r="I547" t="s">
        <v>1300</v>
      </c>
      <c r="AC547" s="1367">
        <v>2</v>
      </c>
      <c r="AD547" s="1368"/>
      <c r="AE547" s="1368"/>
      <c r="AF547" s="1368"/>
      <c r="AG547" s="1109" t="s">
        <v>1250</v>
      </c>
      <c r="AH547" s="1377">
        <v>2027</v>
      </c>
      <c r="AI547" s="1377"/>
      <c r="AJ547" s="1377"/>
      <c r="AK547" s="1378"/>
      <c r="AZ547" s="2"/>
      <c r="BA547" s="2"/>
      <c r="BB547" s="2"/>
      <c r="BC547" s="2"/>
      <c r="BD547" s="2"/>
      <c r="BE547" s="2"/>
      <c r="BF547" s="2"/>
      <c r="BG547" s="2"/>
      <c r="BH547" s="2"/>
      <c r="BI547" s="2"/>
      <c r="BJ547" s="2"/>
      <c r="BK547" s="2"/>
      <c r="BL547" s="2"/>
      <c r="BM547" s="2"/>
      <c r="BN547" s="2"/>
    </row>
    <row r="548" spans="1:66" ht="13.15" customHeight="1">
      <c r="B548" s="1407"/>
      <c r="C548" s="1408"/>
      <c r="D548" s="1408"/>
      <c r="E548" s="1408"/>
      <c r="F548" s="1408"/>
      <c r="G548" s="1408"/>
      <c r="H548" s="1409"/>
      <c r="I548" t="s">
        <v>1301</v>
      </c>
      <c r="AC548" s="1367">
        <v>5</v>
      </c>
      <c r="AD548" s="1368"/>
      <c r="AE548" s="1368"/>
      <c r="AF548" s="1368"/>
      <c r="AG548" s="1085" t="s">
        <v>1250</v>
      </c>
      <c r="AH548" s="1377">
        <v>2029</v>
      </c>
      <c r="AI548" s="1377"/>
      <c r="AJ548" s="1377"/>
      <c r="AK548" s="1378"/>
      <c r="AZ548" s="2"/>
      <c r="BA548" s="2"/>
      <c r="BB548" s="2"/>
      <c r="BC548" s="2"/>
      <c r="BD548" s="2"/>
      <c r="BE548" s="2"/>
      <c r="BF548" s="2"/>
      <c r="BG548" s="2"/>
      <c r="BH548" s="2"/>
      <c r="BI548" s="2"/>
      <c r="BJ548" s="2"/>
      <c r="BK548" s="2"/>
      <c r="BL548" s="2"/>
      <c r="BM548" s="2"/>
      <c r="BN548" s="2"/>
    </row>
    <row r="549" spans="1:66" ht="13.15" customHeight="1">
      <c r="B549" s="1407"/>
      <c r="C549" s="1408"/>
      <c r="D549" s="1408"/>
      <c r="E549" s="1408"/>
      <c r="F549" s="1408"/>
      <c r="G549" s="1408"/>
      <c r="H549" s="1409"/>
      <c r="I549" t="s">
        <v>1302</v>
      </c>
      <c r="AC549" s="1367">
        <v>5</v>
      </c>
      <c r="AD549" s="1368"/>
      <c r="AE549" s="1368"/>
      <c r="AF549" s="1368"/>
      <c r="AG549" s="1085" t="s">
        <v>1250</v>
      </c>
      <c r="AH549" s="1377">
        <v>2029</v>
      </c>
      <c r="AI549" s="1377"/>
      <c r="AJ549" s="1377"/>
      <c r="AK549" s="1378"/>
      <c r="AZ549" s="2"/>
      <c r="BA549" s="2"/>
      <c r="BB549" s="2"/>
      <c r="BC549" s="2"/>
      <c r="BD549" s="2"/>
      <c r="BE549" s="2"/>
      <c r="BF549" s="2"/>
      <c r="BG549" s="2"/>
      <c r="BH549" s="2"/>
      <c r="BI549" s="2"/>
      <c r="BJ549" s="2"/>
      <c r="BK549" s="2"/>
      <c r="BL549" s="2"/>
      <c r="BM549" s="2"/>
      <c r="BN549" s="2"/>
    </row>
    <row r="550" spans="1:66" ht="13.15" customHeight="1">
      <c r="B550" s="1410"/>
      <c r="C550" s="1411"/>
      <c r="D550" s="1411"/>
      <c r="E550" s="1411"/>
      <c r="F550" s="1411"/>
      <c r="G550" s="1411"/>
      <c r="H550" s="1412"/>
      <c r="I550" s="32" t="s">
        <v>1303</v>
      </c>
      <c r="J550" s="32"/>
      <c r="K550" s="32"/>
      <c r="L550" s="32"/>
      <c r="M550" s="32"/>
      <c r="N550" s="32"/>
      <c r="O550" s="32"/>
      <c r="P550" s="32"/>
      <c r="Q550" s="32"/>
      <c r="R550" s="32"/>
      <c r="S550" s="32"/>
      <c r="T550" s="32"/>
      <c r="U550" s="32"/>
      <c r="V550" s="32"/>
      <c r="W550" s="32"/>
      <c r="X550" s="32"/>
      <c r="Y550" s="32"/>
      <c r="Z550" s="32"/>
      <c r="AA550" s="32"/>
      <c r="AB550" s="32"/>
      <c r="AC550" s="1367">
        <v>11</v>
      </c>
      <c r="AD550" s="1368"/>
      <c r="AE550" s="1368"/>
      <c r="AF550" s="1368"/>
      <c r="AG550" s="1085" t="s">
        <v>1250</v>
      </c>
      <c r="AH550" s="1377">
        <v>2029</v>
      </c>
      <c r="AI550" s="1377"/>
      <c r="AJ550" s="1377"/>
      <c r="AK550" s="1378"/>
      <c r="BB550" s="2"/>
      <c r="BC550" s="2"/>
      <c r="BD550" s="2"/>
      <c r="BE550" s="2"/>
      <c r="BF550" s="2"/>
      <c r="BG550" s="2"/>
      <c r="BH550" s="2" t="s">
        <v>18</v>
      </c>
      <c r="BI550" s="2" t="str">
        <f>N657</f>
        <v>Yes</v>
      </c>
      <c r="BJ550" s="2"/>
      <c r="BK550" s="2"/>
      <c r="BL550" s="2"/>
      <c r="BM550" s="2"/>
      <c r="BN550" s="2"/>
    </row>
    <row r="551" spans="1:66" ht="13.15" customHeight="1">
      <c r="B551" s="382"/>
      <c r="C551" s="1078"/>
      <c r="D551" s="1078"/>
      <c r="E551" s="1078"/>
      <c r="F551" s="1078"/>
      <c r="G551" s="1078"/>
      <c r="H551" s="1078"/>
      <c r="AB551" s="1078"/>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3.15" customHeight="1">
      <c r="A552" s="1253" t="s">
        <v>1304</v>
      </c>
      <c r="B552" s="1253"/>
      <c r="C552" s="1253"/>
      <c r="D552" s="1253"/>
      <c r="E552" s="1253"/>
      <c r="F552" s="1253"/>
      <c r="G552" s="1253"/>
      <c r="H552" s="1253"/>
      <c r="I552" s="1253"/>
      <c r="J552" s="1253"/>
      <c r="K552" s="1253"/>
      <c r="L552" s="1253"/>
      <c r="M552" s="1253"/>
      <c r="N552" s="1253"/>
      <c r="O552" s="1253"/>
      <c r="P552" s="1253"/>
      <c r="Q552" s="1253"/>
      <c r="R552" s="1253"/>
      <c r="S552" s="1253"/>
      <c r="T552" s="1253"/>
      <c r="U552" s="1253"/>
      <c r="V552" s="1253"/>
      <c r="W552" s="1253"/>
      <c r="X552" s="1253"/>
      <c r="Y552" s="1253"/>
      <c r="Z552" s="1253"/>
      <c r="AA552" s="1253"/>
      <c r="AB552" s="1253"/>
      <c r="AC552" s="1253"/>
      <c r="AD552" s="1253"/>
      <c r="AE552" s="1253"/>
      <c r="AF552" s="1253"/>
      <c r="AG552" s="1253"/>
      <c r="AH552" s="1253"/>
      <c r="AI552" s="1253"/>
      <c r="AJ552" s="1253"/>
      <c r="AK552" s="1253"/>
      <c r="AL552" s="1253"/>
      <c r="AM552" s="1253"/>
      <c r="AN552" s="1253"/>
      <c r="AO552" s="1253"/>
      <c r="AP552" s="1253"/>
      <c r="AQ552" s="1253"/>
      <c r="AR552" s="1253"/>
      <c r="AS552" s="1253"/>
      <c r="AT552" s="1253"/>
      <c r="AU552" s="706"/>
      <c r="AV552" s="706"/>
      <c r="AW552" s="706"/>
      <c r="AX552" s="706"/>
      <c r="AY552" s="706"/>
      <c r="BB552" s="2"/>
      <c r="BC552" s="2"/>
      <c r="BD552" s="2"/>
      <c r="BE552" s="2"/>
      <c r="BF552" s="2"/>
      <c r="BG552" s="2"/>
      <c r="BH552" s="2"/>
      <c r="BI552" s="2"/>
      <c r="BJ552" s="2"/>
      <c r="BK552" s="2"/>
      <c r="BL552" s="2"/>
      <c r="BM552" s="2"/>
      <c r="BN552" s="2"/>
    </row>
    <row r="553" spans="1:66" ht="13.15" customHeight="1">
      <c r="A553" s="1253"/>
      <c r="B553" s="1253"/>
      <c r="C553" s="1253"/>
      <c r="D553" s="1253"/>
      <c r="E553" s="1253"/>
      <c r="F553" s="1253"/>
      <c r="G553" s="1253"/>
      <c r="H553" s="1253"/>
      <c r="I553" s="1253"/>
      <c r="J553" s="1253"/>
      <c r="K553" s="1253"/>
      <c r="L553" s="1253"/>
      <c r="M553" s="1253"/>
      <c r="N553" s="1253"/>
      <c r="O553" s="1253"/>
      <c r="P553" s="1253"/>
      <c r="Q553" s="1253"/>
      <c r="R553" s="1253"/>
      <c r="S553" s="1253"/>
      <c r="T553" s="1253"/>
      <c r="U553" s="1253"/>
      <c r="V553" s="1253"/>
      <c r="W553" s="1253"/>
      <c r="X553" s="1253"/>
      <c r="Y553" s="1253"/>
      <c r="Z553" s="1253"/>
      <c r="AA553" s="1253"/>
      <c r="AB553" s="1253"/>
      <c r="AC553" s="1253"/>
      <c r="AD553" s="1253"/>
      <c r="AE553" s="1253"/>
      <c r="AF553" s="1253"/>
      <c r="AG553" s="1253"/>
      <c r="AH553" s="1253"/>
      <c r="AI553" s="1253"/>
      <c r="AJ553" s="1253"/>
      <c r="AK553" s="1253"/>
      <c r="AL553" s="1253"/>
      <c r="AM553" s="1253"/>
      <c r="AN553" s="1253"/>
      <c r="AO553" s="1253"/>
      <c r="AP553" s="1253"/>
      <c r="AQ553" s="1253"/>
      <c r="AR553" s="1253"/>
      <c r="AS553" s="1253"/>
      <c r="AT553" s="1253"/>
      <c r="BB553" s="2"/>
      <c r="BC553" s="2"/>
      <c r="BD553" s="2"/>
      <c r="BE553" s="2"/>
      <c r="BF553" s="2"/>
      <c r="BG553" s="2"/>
      <c r="BH553" s="2"/>
      <c r="BI553" s="2"/>
    </row>
    <row r="554" spans="1:66" ht="13.15" customHeight="1">
      <c r="BB554" s="2"/>
      <c r="BC554" s="2"/>
      <c r="BD554" s="2"/>
      <c r="BE554" s="2"/>
      <c r="BF554" s="2"/>
      <c r="BG554" s="2"/>
      <c r="BH554" s="2"/>
      <c r="BI554" s="2"/>
    </row>
    <row r="555" spans="1:66" ht="13.15" customHeight="1">
      <c r="A555" s="1" t="s">
        <v>872</v>
      </c>
      <c r="B555" s="1"/>
      <c r="C555" s="1" t="s">
        <v>172</v>
      </c>
      <c r="BB555" s="2"/>
      <c r="BC555" s="2"/>
      <c r="BD555" s="2"/>
      <c r="BE555" s="2"/>
      <c r="BF555" s="2"/>
      <c r="BG555" s="2"/>
      <c r="BH555" s="2"/>
      <c r="BI555" s="2"/>
    </row>
    <row r="556" spans="1:66" ht="13.15" customHeight="1">
      <c r="A556" s="1"/>
      <c r="B556" s="1"/>
      <c r="C556" s="1"/>
      <c r="BB556" s="2"/>
      <c r="BC556" s="2"/>
      <c r="BD556" s="2"/>
      <c r="BE556" s="2"/>
      <c r="BF556" s="2"/>
      <c r="BG556" s="2"/>
      <c r="BH556" s="2"/>
      <c r="BI556" s="2"/>
    </row>
    <row r="557" spans="1:66" ht="13.15" customHeight="1">
      <c r="A557" s="1"/>
      <c r="B557" s="1"/>
      <c r="C557" s="1"/>
      <c r="D557" s="1" t="s">
        <v>1305</v>
      </c>
      <c r="AC557" s="57"/>
      <c r="BB557" s="2"/>
      <c r="BC557" s="2"/>
      <c r="BD557" s="2"/>
      <c r="BE557" s="2"/>
      <c r="BF557" s="2"/>
      <c r="BG557" s="2"/>
      <c r="BH557" s="2"/>
      <c r="BI557" s="2"/>
    </row>
    <row r="558" spans="1:66" ht="13.15" customHeight="1">
      <c r="B558" s="364"/>
      <c r="BB558" s="2"/>
      <c r="BC558" s="2"/>
      <c r="BD558" s="2"/>
      <c r="BE558" s="2"/>
      <c r="BF558" s="2"/>
      <c r="BG558" s="2"/>
      <c r="BH558" s="2" t="s">
        <v>39</v>
      </c>
      <c r="BI558" s="2" t="str">
        <f>N665</f>
        <v>Yes</v>
      </c>
    </row>
    <row r="559" spans="1:66" ht="13.15" customHeight="1">
      <c r="B559" s="1404" t="s">
        <v>1306</v>
      </c>
      <c r="C559" s="1405"/>
      <c r="D559" s="1405"/>
      <c r="E559" s="1405"/>
      <c r="F559" s="1405"/>
      <c r="G559" s="1405"/>
      <c r="H559" s="1405"/>
      <c r="I559" s="1405"/>
      <c r="J559" s="1405"/>
      <c r="K559" s="1405"/>
      <c r="L559" s="1406"/>
      <c r="M559" s="1404" t="s">
        <v>1307</v>
      </c>
      <c r="N559" s="1405"/>
      <c r="O559" s="1405"/>
      <c r="P559" s="1406"/>
      <c r="Q559" s="1404" t="s">
        <v>1308</v>
      </c>
      <c r="R559" s="1405"/>
      <c r="S559" s="1406"/>
      <c r="T559" s="1404" t="s">
        <v>1309</v>
      </c>
      <c r="U559" s="1405"/>
      <c r="V559" s="1406"/>
      <c r="W559" s="1404" t="s">
        <v>1310</v>
      </c>
      <c r="X559" s="1405"/>
      <c r="Y559" s="1406"/>
      <c r="Z559" s="1404" t="s">
        <v>1311</v>
      </c>
      <c r="AA559" s="1405"/>
      <c r="AB559" s="1405"/>
      <c r="AC559" s="1405"/>
      <c r="AD559" s="1406"/>
      <c r="AE559" s="1404" t="s">
        <v>1312</v>
      </c>
      <c r="AF559" s="1405"/>
      <c r="AG559" s="1405"/>
      <c r="AH559" s="1406"/>
      <c r="AI559" s="1404" t="s">
        <v>1313</v>
      </c>
      <c r="AJ559" s="1405"/>
      <c r="AK559" s="1405"/>
      <c r="AL559" s="1406"/>
      <c r="AM559" s="1404" t="s">
        <v>1314</v>
      </c>
      <c r="AN559" s="1405"/>
      <c r="AO559" s="1405"/>
      <c r="AP559" s="1405"/>
      <c r="AQ559" s="1405"/>
      <c r="AR559" s="1405"/>
      <c r="AS559" s="1406"/>
      <c r="BB559" s="2"/>
      <c r="BC559" s="2"/>
      <c r="BD559" s="2"/>
      <c r="BE559" s="2"/>
      <c r="BF559" s="2"/>
      <c r="BG559" s="2"/>
      <c r="BH559" s="2" t="s">
        <v>82</v>
      </c>
      <c r="BI559" s="2" t="str">
        <f>AG665</f>
        <v>Yes</v>
      </c>
    </row>
    <row r="560" spans="1:66" ht="13.15" customHeight="1">
      <c r="B560" s="1407"/>
      <c r="C560" s="1408"/>
      <c r="D560" s="1408"/>
      <c r="E560" s="1408"/>
      <c r="F560" s="1408"/>
      <c r="G560" s="1408"/>
      <c r="H560" s="1408"/>
      <c r="I560" s="1408"/>
      <c r="J560" s="1408"/>
      <c r="K560" s="1408"/>
      <c r="L560" s="1409"/>
      <c r="M560" s="1407"/>
      <c r="N560" s="1408"/>
      <c r="O560" s="1408"/>
      <c r="P560" s="1409"/>
      <c r="Q560" s="1407"/>
      <c r="R560" s="1408"/>
      <c r="S560" s="1409"/>
      <c r="T560" s="1407"/>
      <c r="U560" s="1408"/>
      <c r="V560" s="1409"/>
      <c r="W560" s="1407"/>
      <c r="X560" s="1408"/>
      <c r="Y560" s="1409"/>
      <c r="Z560" s="1407"/>
      <c r="AA560" s="1408"/>
      <c r="AB560" s="1408"/>
      <c r="AC560" s="1408"/>
      <c r="AD560" s="1409"/>
      <c r="AE560" s="1407"/>
      <c r="AF560" s="1408"/>
      <c r="AG560" s="1408"/>
      <c r="AH560" s="1409"/>
      <c r="AI560" s="1407"/>
      <c r="AJ560" s="1408"/>
      <c r="AK560" s="1408"/>
      <c r="AL560" s="1409"/>
      <c r="AM560" s="1407"/>
      <c r="AN560" s="1408"/>
      <c r="AO560" s="1408"/>
      <c r="AP560" s="1408"/>
      <c r="AQ560" s="1408"/>
      <c r="AR560" s="1408"/>
      <c r="AS560" s="1409"/>
      <c r="AU560" s="923"/>
      <c r="BB560" s="2"/>
      <c r="BC560" s="2"/>
      <c r="BD560" s="2"/>
      <c r="BE560" s="2"/>
      <c r="BF560" s="2"/>
      <c r="BG560" s="2"/>
      <c r="BH560" s="2"/>
      <c r="BI560" s="2"/>
    </row>
    <row r="561" spans="1:61" ht="13.15" customHeight="1">
      <c r="B561" s="1410"/>
      <c r="C561" s="1411"/>
      <c r="D561" s="1411"/>
      <c r="E561" s="1411"/>
      <c r="F561" s="1411"/>
      <c r="G561" s="1411"/>
      <c r="H561" s="1411"/>
      <c r="I561" s="1411"/>
      <c r="J561" s="1411"/>
      <c r="K561" s="1411"/>
      <c r="L561" s="1412"/>
      <c r="M561" s="1410"/>
      <c r="N561" s="1411"/>
      <c r="O561" s="1411"/>
      <c r="P561" s="1412"/>
      <c r="Q561" s="1410"/>
      <c r="R561" s="1411"/>
      <c r="S561" s="1412"/>
      <c r="T561" s="1410"/>
      <c r="U561" s="1411"/>
      <c r="V561" s="1412"/>
      <c r="W561" s="1410"/>
      <c r="X561" s="1411"/>
      <c r="Y561" s="1412"/>
      <c r="Z561" s="1410"/>
      <c r="AA561" s="1411"/>
      <c r="AB561" s="1411"/>
      <c r="AC561" s="1411"/>
      <c r="AD561" s="1412"/>
      <c r="AE561" s="1410"/>
      <c r="AF561" s="1411"/>
      <c r="AG561" s="1411"/>
      <c r="AH561" s="1412"/>
      <c r="AI561" s="1410"/>
      <c r="AJ561" s="1411"/>
      <c r="AK561" s="1411"/>
      <c r="AL561" s="1412"/>
      <c r="AM561" s="1410"/>
      <c r="AN561" s="1411"/>
      <c r="AO561" s="1411"/>
      <c r="AP561" s="1411"/>
      <c r="AQ561" s="1411"/>
      <c r="AR561" s="1411"/>
      <c r="AS561" s="1412"/>
      <c r="AU561" s="923"/>
      <c r="BB561" s="2"/>
      <c r="BC561" s="2"/>
      <c r="BD561" s="2"/>
      <c r="BE561" s="2"/>
      <c r="BF561" s="2"/>
      <c r="BG561" s="2"/>
      <c r="BH561" s="2"/>
      <c r="BI561" s="2"/>
    </row>
    <row r="562" spans="1:61" ht="13.15" customHeight="1">
      <c r="B562" s="34" t="s">
        <v>18</v>
      </c>
      <c r="C562" s="1416" t="s">
        <v>2723</v>
      </c>
      <c r="D562" s="1416"/>
      <c r="E562" s="1416"/>
      <c r="F562" s="1416"/>
      <c r="G562" s="1416"/>
      <c r="H562" s="1416"/>
      <c r="I562" s="1416"/>
      <c r="J562" s="1416"/>
      <c r="K562" s="1416"/>
      <c r="L562" s="1416"/>
      <c r="M562" s="1416" t="s">
        <v>1289</v>
      </c>
      <c r="N562" s="1416"/>
      <c r="O562" s="1416"/>
      <c r="P562" s="1416"/>
      <c r="Q562" s="1362">
        <v>37</v>
      </c>
      <c r="R562" s="1362"/>
      <c r="S562" s="1363"/>
      <c r="T562" s="1361"/>
      <c r="U562" s="1362"/>
      <c r="V562" s="1363"/>
      <c r="W562" s="1418">
        <v>6.6100000000000006E-2</v>
      </c>
      <c r="X562" s="1419"/>
      <c r="Y562" s="1420"/>
      <c r="Z562" s="1376" t="s">
        <v>2819</v>
      </c>
      <c r="AA562" s="1376"/>
      <c r="AB562" s="1376"/>
      <c r="AC562" s="1376"/>
      <c r="AD562" s="1376"/>
      <c r="AE562" s="1369">
        <v>1</v>
      </c>
      <c r="AF562" s="1370"/>
      <c r="AG562" s="1370"/>
      <c r="AH562" s="1371"/>
      <c r="AI562" s="1448"/>
      <c r="AJ562" s="1449"/>
      <c r="AK562" s="1449"/>
      <c r="AL562" s="1450"/>
      <c r="AM562" s="1343">
        <v>26717593</v>
      </c>
      <c r="AN562" s="1344"/>
      <c r="AO562" s="1344"/>
      <c r="AP562" s="1344"/>
      <c r="AQ562" s="1344"/>
      <c r="AR562" s="1344"/>
      <c r="AS562" s="1345"/>
      <c r="AT562" s="924"/>
      <c r="AU562" s="923"/>
      <c r="BB562" s="2"/>
      <c r="BC562" s="2"/>
      <c r="BD562" s="2"/>
      <c r="BE562" s="2"/>
      <c r="BF562" s="2"/>
      <c r="BG562" s="2"/>
      <c r="BH562" s="2"/>
      <c r="BI562" s="2"/>
    </row>
    <row r="563" spans="1:61" ht="13.15" customHeight="1">
      <c r="B563" s="35" t="s">
        <v>31</v>
      </c>
      <c r="C563" s="1417" t="s">
        <v>2724</v>
      </c>
      <c r="D563" s="1417"/>
      <c r="E563" s="1417"/>
      <c r="F563" s="1417"/>
      <c r="G563" s="1417"/>
      <c r="H563" s="1417"/>
      <c r="I563" s="1417"/>
      <c r="J563" s="1417"/>
      <c r="K563" s="1417"/>
      <c r="L563" s="1417"/>
      <c r="M563" s="1416" t="s">
        <v>1288</v>
      </c>
      <c r="N563" s="1416"/>
      <c r="O563" s="1416"/>
      <c r="P563" s="1416"/>
      <c r="Q563" s="1361">
        <v>37</v>
      </c>
      <c r="R563" s="1362"/>
      <c r="S563" s="1363"/>
      <c r="T563" s="1361"/>
      <c r="U563" s="1362"/>
      <c r="V563" s="1363"/>
      <c r="W563" s="1418">
        <v>6.6100000000000006E-2</v>
      </c>
      <c r="X563" s="1419"/>
      <c r="Y563" s="1420"/>
      <c r="Z563" s="1376" t="s">
        <v>2819</v>
      </c>
      <c r="AA563" s="1376"/>
      <c r="AB563" s="1376"/>
      <c r="AC563" s="1376"/>
      <c r="AD563" s="1376"/>
      <c r="AE563" s="1369">
        <v>1</v>
      </c>
      <c r="AF563" s="1370"/>
      <c r="AG563" s="1370"/>
      <c r="AH563" s="1371"/>
      <c r="AI563" s="1448"/>
      <c r="AJ563" s="1449"/>
      <c r="AK563" s="1449"/>
      <c r="AL563" s="1450"/>
      <c r="AM563" s="1343">
        <v>60597076</v>
      </c>
      <c r="AN563" s="1344"/>
      <c r="AO563" s="1344"/>
      <c r="AP563" s="1344"/>
      <c r="AQ563" s="1344"/>
      <c r="AR563" s="1344"/>
      <c r="AS563" s="1345"/>
      <c r="AT563" s="924" t="str">
        <f>IF(AND(NOT(C562=""),C563="",NOT(C564="")),"!","")</f>
        <v/>
      </c>
      <c r="AU563" s="923"/>
      <c r="BB563" s="2"/>
      <c r="BC563" s="2"/>
      <c r="BD563" s="2"/>
      <c r="BE563" s="2"/>
      <c r="BF563" s="2"/>
      <c r="BG563" s="2"/>
      <c r="BH563" s="2"/>
      <c r="BI563" s="2"/>
    </row>
    <row r="564" spans="1:61" ht="13.15" customHeight="1">
      <c r="B564" s="35" t="s">
        <v>39</v>
      </c>
      <c r="C564" s="1417" t="s">
        <v>2725</v>
      </c>
      <c r="D564" s="1417"/>
      <c r="E564" s="1417"/>
      <c r="F564" s="1417"/>
      <c r="G564" s="1417"/>
      <c r="H564" s="1417"/>
      <c r="I564" s="1417"/>
      <c r="J564" s="1417"/>
      <c r="K564" s="1417"/>
      <c r="L564" s="1417"/>
      <c r="M564" s="1416" t="s">
        <v>1292</v>
      </c>
      <c r="N564" s="1416"/>
      <c r="O564" s="1416"/>
      <c r="P564" s="1416"/>
      <c r="Q564" s="1361">
        <v>37</v>
      </c>
      <c r="R564" s="1362"/>
      <c r="S564" s="1363"/>
      <c r="T564" s="1361"/>
      <c r="U564" s="1362"/>
      <c r="V564" s="1363"/>
      <c r="W564" s="1418">
        <v>0.03</v>
      </c>
      <c r="X564" s="1419"/>
      <c r="Y564" s="1420"/>
      <c r="Z564" s="1376" t="s">
        <v>2820</v>
      </c>
      <c r="AA564" s="1376"/>
      <c r="AB564" s="1376"/>
      <c r="AC564" s="1376"/>
      <c r="AD564" s="1376"/>
      <c r="AE564" s="1369">
        <v>2</v>
      </c>
      <c r="AF564" s="1370"/>
      <c r="AG564" s="1370"/>
      <c r="AH564" s="1371"/>
      <c r="AI564" s="1448"/>
      <c r="AJ564" s="1449"/>
      <c r="AK564" s="1449"/>
      <c r="AL564" s="1450"/>
      <c r="AM564" s="1343">
        <v>5000000</v>
      </c>
      <c r="AN564" s="1344"/>
      <c r="AO564" s="1344"/>
      <c r="AP564" s="1344"/>
      <c r="AQ564" s="1344"/>
      <c r="AR564" s="1344"/>
      <c r="AS564" s="1345"/>
      <c r="AT564" s="924" t="str">
        <f>IF(AND(NOT(C563=""),C564="",NOT(C565="")),"!","")</f>
        <v/>
      </c>
      <c r="AU564" s="923"/>
      <c r="BB564" s="2"/>
      <c r="BC564" s="2"/>
      <c r="BD564" s="2"/>
      <c r="BE564" s="2"/>
      <c r="BF564" s="2"/>
      <c r="BG564" s="2"/>
      <c r="BH564" s="2"/>
      <c r="BI564" s="2"/>
    </row>
    <row r="565" spans="1:61" ht="13.15" customHeight="1">
      <c r="B565" s="35" t="s">
        <v>82</v>
      </c>
      <c r="C565" s="1417" t="s">
        <v>2719</v>
      </c>
      <c r="D565" s="1417"/>
      <c r="E565" s="1417"/>
      <c r="F565" s="1417"/>
      <c r="G565" s="1417"/>
      <c r="H565" s="1417"/>
      <c r="I565" s="1417"/>
      <c r="J565" s="1417"/>
      <c r="K565" s="1417"/>
      <c r="L565" s="1417"/>
      <c r="M565" s="1416" t="s">
        <v>1292</v>
      </c>
      <c r="N565" s="1416"/>
      <c r="O565" s="1416"/>
      <c r="P565" s="1416"/>
      <c r="Q565" s="1361">
        <v>37</v>
      </c>
      <c r="R565" s="1362"/>
      <c r="S565" s="1363"/>
      <c r="T565" s="1361"/>
      <c r="U565" s="1362"/>
      <c r="V565" s="1363"/>
      <c r="W565" s="1418">
        <v>0.03</v>
      </c>
      <c r="X565" s="1419"/>
      <c r="Y565" s="1420"/>
      <c r="Z565" s="1376" t="s">
        <v>2820</v>
      </c>
      <c r="AA565" s="1376"/>
      <c r="AB565" s="1376"/>
      <c r="AC565" s="1376"/>
      <c r="AD565" s="1376"/>
      <c r="AE565" s="1369">
        <v>3</v>
      </c>
      <c r="AF565" s="1370"/>
      <c r="AG565" s="1370"/>
      <c r="AH565" s="1371"/>
      <c r="AI565" s="1448"/>
      <c r="AJ565" s="1449"/>
      <c r="AK565" s="1449"/>
      <c r="AL565" s="1450"/>
      <c r="AM565" s="1343">
        <f>AO638</f>
        <v>1294129</v>
      </c>
      <c r="AN565" s="1344"/>
      <c r="AO565" s="1344"/>
      <c r="AP565" s="1344"/>
      <c r="AQ565" s="1344"/>
      <c r="AR565" s="1344"/>
      <c r="AS565" s="1345"/>
      <c r="AT565" s="924" t="str">
        <f>IF(AND(NOT(C564=""),C565="",NOT(C566="")),"!","")</f>
        <v/>
      </c>
      <c r="AU565" s="923"/>
      <c r="BB565" s="2"/>
      <c r="BC565" s="2"/>
      <c r="BD565" s="2"/>
      <c r="BE565" s="2"/>
      <c r="BF565" s="2"/>
      <c r="BG565" s="2"/>
      <c r="BH565" s="2"/>
      <c r="BI565" s="2"/>
    </row>
    <row r="566" spans="1:61" ht="13.15" customHeight="1">
      <c r="B566" s="35" t="s">
        <v>86</v>
      </c>
      <c r="C566" s="1417" t="s">
        <v>2726</v>
      </c>
      <c r="D566" s="1417"/>
      <c r="E566" s="1417"/>
      <c r="F566" s="1417"/>
      <c r="G566" s="1417"/>
      <c r="H566" s="1417"/>
      <c r="I566" s="1417"/>
      <c r="J566" s="1417"/>
      <c r="K566" s="1417"/>
      <c r="L566" s="1417"/>
      <c r="M566" s="1416" t="s">
        <v>1292</v>
      </c>
      <c r="N566" s="1416"/>
      <c r="O566" s="1416"/>
      <c r="P566" s="1416"/>
      <c r="Q566" s="1361"/>
      <c r="R566" s="1362"/>
      <c r="S566" s="1363"/>
      <c r="T566" s="1361"/>
      <c r="U566" s="1362"/>
      <c r="V566" s="1363"/>
      <c r="W566" s="1418"/>
      <c r="X566" s="1419"/>
      <c r="Y566" s="1420"/>
      <c r="Z566" s="1376" t="s">
        <v>816</v>
      </c>
      <c r="AA566" s="1376"/>
      <c r="AB566" s="1376"/>
      <c r="AC566" s="1376"/>
      <c r="AD566" s="1376"/>
      <c r="AE566" s="1369"/>
      <c r="AF566" s="1370"/>
      <c r="AG566" s="1370"/>
      <c r="AH566" s="1371"/>
      <c r="AI566" s="1448"/>
      <c r="AJ566" s="1449"/>
      <c r="AK566" s="1449"/>
      <c r="AL566" s="1450"/>
      <c r="AM566" s="1343">
        <v>2784968</v>
      </c>
      <c r="AN566" s="1344"/>
      <c r="AO566" s="1344"/>
      <c r="AP566" s="1344"/>
      <c r="AQ566" s="1344"/>
      <c r="AR566" s="1344"/>
      <c r="AS566" s="1345"/>
      <c r="AT566" s="924" t="str">
        <f t="shared" ref="AT566:AT573" si="1">IF(AND(NOT(C565=""),C566="",NOT(C567="")),"!","")</f>
        <v/>
      </c>
      <c r="AU566" s="923"/>
      <c r="BB566" s="2"/>
      <c r="BC566" s="2"/>
      <c r="BD566" s="2"/>
      <c r="BE566" s="2"/>
      <c r="BF566" s="2"/>
      <c r="BG566" s="2"/>
      <c r="BH566" s="2" t="s">
        <v>86</v>
      </c>
      <c r="BI566" s="2" t="str">
        <f>N673</f>
        <v>Yes</v>
      </c>
    </row>
    <row r="567" spans="1:61" ht="13.15" customHeight="1">
      <c r="B567" s="35" t="s">
        <v>1315</v>
      </c>
      <c r="C567" s="1417" t="s">
        <v>2802</v>
      </c>
      <c r="D567" s="1417"/>
      <c r="E567" s="1417"/>
      <c r="F567" s="1417"/>
      <c r="G567" s="1417"/>
      <c r="H567" s="1417"/>
      <c r="I567" s="1417"/>
      <c r="J567" s="1417"/>
      <c r="K567" s="1417"/>
      <c r="L567" s="1417"/>
      <c r="M567" s="1416" t="s">
        <v>1272</v>
      </c>
      <c r="N567" s="1416"/>
      <c r="O567" s="1416"/>
      <c r="P567" s="1416"/>
      <c r="Q567" s="1361"/>
      <c r="R567" s="1362"/>
      <c r="S567" s="1363"/>
      <c r="T567" s="1361"/>
      <c r="U567" s="1362"/>
      <c r="V567" s="1363"/>
      <c r="W567" s="1418"/>
      <c r="X567" s="1419"/>
      <c r="Y567" s="1420"/>
      <c r="Z567" s="1376" t="s">
        <v>816</v>
      </c>
      <c r="AA567" s="1376"/>
      <c r="AB567" s="1376"/>
      <c r="AC567" s="1376"/>
      <c r="AD567" s="1376"/>
      <c r="AE567" s="1369"/>
      <c r="AF567" s="1370"/>
      <c r="AG567" s="1370"/>
      <c r="AH567" s="1371"/>
      <c r="AI567" s="1448"/>
      <c r="AJ567" s="1449"/>
      <c r="AK567" s="1449"/>
      <c r="AL567" s="1450"/>
      <c r="AM567" s="1343">
        <v>1950332</v>
      </c>
      <c r="AN567" s="1344"/>
      <c r="AO567" s="1344"/>
      <c r="AP567" s="1344"/>
      <c r="AQ567" s="1344"/>
      <c r="AR567" s="1344"/>
      <c r="AS567" s="1345"/>
      <c r="AT567" s="924" t="str">
        <f t="shared" si="1"/>
        <v/>
      </c>
      <c r="AU567" s="923"/>
      <c r="BB567" s="2"/>
      <c r="BC567" s="2"/>
      <c r="BD567" s="2"/>
      <c r="BE567" s="2"/>
      <c r="BF567" s="2"/>
      <c r="BG567" s="2"/>
      <c r="BH567" s="2" t="s">
        <v>1315</v>
      </c>
      <c r="BI567" s="2" t="str">
        <f>AG673</f>
        <v>Yes</v>
      </c>
    </row>
    <row r="568" spans="1:61" ht="13.15" customHeight="1">
      <c r="B568" s="35" t="s">
        <v>1316</v>
      </c>
      <c r="C568" s="1417" t="s">
        <v>2727</v>
      </c>
      <c r="D568" s="1417"/>
      <c r="E568" s="1417"/>
      <c r="F568" s="1417"/>
      <c r="G568" s="1417"/>
      <c r="H568" s="1417"/>
      <c r="I568" s="1417"/>
      <c r="J568" s="1417"/>
      <c r="K568" s="1417"/>
      <c r="L568" s="1417"/>
      <c r="M568" s="1416" t="s">
        <v>1276</v>
      </c>
      <c r="N568" s="1416"/>
      <c r="O568" s="1416"/>
      <c r="P568" s="1416"/>
      <c r="Q568" s="1361"/>
      <c r="R568" s="1362"/>
      <c r="S568" s="1363"/>
      <c r="T568" s="1361"/>
      <c r="U568" s="1362"/>
      <c r="V568" s="1363"/>
      <c r="W568" s="1418"/>
      <c r="X568" s="1419"/>
      <c r="Y568" s="1420"/>
      <c r="Z568" s="1376" t="s">
        <v>816</v>
      </c>
      <c r="AA568" s="1376"/>
      <c r="AB568" s="1376"/>
      <c r="AC568" s="1376"/>
      <c r="AD568" s="1376"/>
      <c r="AE568" s="1369"/>
      <c r="AF568" s="1370"/>
      <c r="AG568" s="1370"/>
      <c r="AH568" s="1371"/>
      <c r="AI568" s="1448"/>
      <c r="AJ568" s="1449"/>
      <c r="AK568" s="1449"/>
      <c r="AL568" s="1450"/>
      <c r="AM568" s="1343">
        <v>5055737</v>
      </c>
      <c r="AN568" s="1344"/>
      <c r="AO568" s="1344"/>
      <c r="AP568" s="1344"/>
      <c r="AQ568" s="1344"/>
      <c r="AR568" s="1344"/>
      <c r="AS568" s="1345"/>
      <c r="AT568" s="924" t="str">
        <f t="shared" si="1"/>
        <v/>
      </c>
      <c r="AU568" s="923"/>
      <c r="BB568" s="2"/>
      <c r="BC568" s="2"/>
      <c r="BD568" s="2"/>
      <c r="BE568" s="2"/>
      <c r="BF568" s="2"/>
      <c r="BG568" s="2"/>
      <c r="BH568" s="2"/>
      <c r="BI568" s="2"/>
    </row>
    <row r="569" spans="1:61" ht="13.15" customHeight="1">
      <c r="B569" s="35" t="s">
        <v>1317</v>
      </c>
      <c r="C569" s="1417" t="s">
        <v>2728</v>
      </c>
      <c r="D569" s="1417"/>
      <c r="E569" s="1417"/>
      <c r="F569" s="1417"/>
      <c r="G569" s="1417"/>
      <c r="H569" s="1417"/>
      <c r="I569" s="1417"/>
      <c r="J569" s="1417"/>
      <c r="K569" s="1417"/>
      <c r="L569" s="1417"/>
      <c r="M569" s="1416" t="s">
        <v>1275</v>
      </c>
      <c r="N569" s="1416"/>
      <c r="O569" s="1416"/>
      <c r="P569" s="1416"/>
      <c r="Q569" s="1361"/>
      <c r="R569" s="1362"/>
      <c r="S569" s="1363"/>
      <c r="T569" s="1361"/>
      <c r="U569" s="1362"/>
      <c r="V569" s="1363"/>
      <c r="W569" s="1418"/>
      <c r="X569" s="1419"/>
      <c r="Y569" s="1420"/>
      <c r="Z569" s="1376" t="s">
        <v>816</v>
      </c>
      <c r="AA569" s="1376"/>
      <c r="AB569" s="1376"/>
      <c r="AC569" s="1376"/>
      <c r="AD569" s="1376"/>
      <c r="AE569" s="1369"/>
      <c r="AF569" s="1370"/>
      <c r="AG569" s="1370"/>
      <c r="AH569" s="1371"/>
      <c r="AI569" s="1448"/>
      <c r="AJ569" s="1449"/>
      <c r="AK569" s="1449"/>
      <c r="AL569" s="1450"/>
      <c r="AM569" s="1343">
        <v>100</v>
      </c>
      <c r="AN569" s="1344"/>
      <c r="AO569" s="1344"/>
      <c r="AP569" s="1344"/>
      <c r="AQ569" s="1344"/>
      <c r="AR569" s="1344"/>
      <c r="AS569" s="1345"/>
      <c r="AT569" s="924" t="str">
        <f t="shared" si="1"/>
        <v/>
      </c>
      <c r="AU569" s="923"/>
      <c r="BB569" s="2"/>
      <c r="BC569" s="2"/>
      <c r="BD569" s="2"/>
      <c r="BE569" s="2"/>
      <c r="BF569" s="2"/>
      <c r="BG569" s="2"/>
      <c r="BH569" s="2"/>
      <c r="BI569" s="2"/>
    </row>
    <row r="570" spans="1:61" ht="13.15" customHeight="1">
      <c r="B570" s="35" t="s">
        <v>1318</v>
      </c>
      <c r="C570" s="1417" t="s">
        <v>2821</v>
      </c>
      <c r="D570" s="1417"/>
      <c r="E570" s="1417"/>
      <c r="F570" s="1417"/>
      <c r="G570" s="1417"/>
      <c r="H570" s="1417"/>
      <c r="I570" s="1417"/>
      <c r="J570" s="1417"/>
      <c r="K570" s="1417"/>
      <c r="L570" s="1417"/>
      <c r="M570" s="1416" t="s">
        <v>1298</v>
      </c>
      <c r="N570" s="1416"/>
      <c r="O570" s="1416"/>
      <c r="P570" s="1416"/>
      <c r="Q570" s="1361"/>
      <c r="R570" s="1362"/>
      <c r="S570" s="1363"/>
      <c r="T570" s="1361"/>
      <c r="U570" s="1362"/>
      <c r="V570" s="1363"/>
      <c r="W570" s="1418"/>
      <c r="X570" s="1419"/>
      <c r="Y570" s="1420"/>
      <c r="Z570" s="1376" t="s">
        <v>816</v>
      </c>
      <c r="AA570" s="1376"/>
      <c r="AB570" s="1376"/>
      <c r="AC570" s="1376"/>
      <c r="AD570" s="1376"/>
      <c r="AE570" s="1369"/>
      <c r="AF570" s="1370"/>
      <c r="AG570" s="1370"/>
      <c r="AH570" s="1371"/>
      <c r="AI570" s="1448"/>
      <c r="AJ570" s="1449"/>
      <c r="AK570" s="1449"/>
      <c r="AL570" s="1450"/>
      <c r="AM570" s="1343">
        <v>857225</v>
      </c>
      <c r="AN570" s="1344"/>
      <c r="AO570" s="1344"/>
      <c r="AP570" s="1344"/>
      <c r="AQ570" s="1344"/>
      <c r="AR570" s="1344"/>
      <c r="AS570" s="1345"/>
      <c r="AT570" s="924" t="str">
        <f t="shared" si="1"/>
        <v/>
      </c>
      <c r="AU570" s="923"/>
      <c r="BB570" s="2"/>
      <c r="BC570" s="2"/>
      <c r="BD570" s="2"/>
      <c r="BE570" s="2"/>
      <c r="BF570" s="2"/>
      <c r="BG570" s="2"/>
      <c r="BH570" s="2"/>
      <c r="BI570" s="2"/>
    </row>
    <row r="571" spans="1:61" ht="13.15" customHeight="1">
      <c r="B571" s="35" t="s">
        <v>1319</v>
      </c>
      <c r="C571" s="1417" t="s">
        <v>1908</v>
      </c>
      <c r="D571" s="1417"/>
      <c r="E571" s="1417"/>
      <c r="F571" s="1417"/>
      <c r="G571" s="1417"/>
      <c r="H571" s="1417"/>
      <c r="I571" s="1417"/>
      <c r="J571" s="1417"/>
      <c r="K571" s="1417"/>
      <c r="L571" s="1417"/>
      <c r="M571" s="1416" t="s">
        <v>1270</v>
      </c>
      <c r="N571" s="1416"/>
      <c r="O571" s="1416"/>
      <c r="P571" s="1416"/>
      <c r="Q571" s="1361"/>
      <c r="R571" s="1362"/>
      <c r="S571" s="1363"/>
      <c r="T571" s="1361"/>
      <c r="U571" s="1362"/>
      <c r="V571" s="1363"/>
      <c r="W571" s="1418"/>
      <c r="X571" s="1419"/>
      <c r="Y571" s="1420"/>
      <c r="Z571" s="1376" t="s">
        <v>816</v>
      </c>
      <c r="AA571" s="1376"/>
      <c r="AB571" s="1376"/>
      <c r="AC571" s="1376"/>
      <c r="AD571" s="1376"/>
      <c r="AE571" s="1369"/>
      <c r="AF571" s="1370"/>
      <c r="AG571" s="1370"/>
      <c r="AH571" s="1371"/>
      <c r="AI571" s="1448"/>
      <c r="AJ571" s="1449"/>
      <c r="AK571" s="1449"/>
      <c r="AL571" s="1450"/>
      <c r="AM571" s="1343">
        <f>2010000+5753025+587012</f>
        <v>8350037</v>
      </c>
      <c r="AN571" s="1344"/>
      <c r="AO571" s="1344"/>
      <c r="AP571" s="1344"/>
      <c r="AQ571" s="1344"/>
      <c r="AR571" s="1344"/>
      <c r="AS571" s="1345"/>
      <c r="AT571" s="924" t="str">
        <f t="shared" si="1"/>
        <v/>
      </c>
      <c r="BB571" s="2"/>
      <c r="BC571" s="2"/>
      <c r="BD571" s="2"/>
      <c r="BE571" s="2"/>
      <c r="BF571" s="2"/>
      <c r="BG571" s="2"/>
      <c r="BH571" s="2"/>
      <c r="BI571" s="2"/>
    </row>
    <row r="572" spans="1:61" ht="13.15" customHeight="1">
      <c r="B572" s="35" t="s">
        <v>1320</v>
      </c>
      <c r="C572" s="1417"/>
      <c r="D572" s="1417"/>
      <c r="E572" s="1417"/>
      <c r="F572" s="1417"/>
      <c r="G572" s="1417"/>
      <c r="H572" s="1417"/>
      <c r="I572" s="1417"/>
      <c r="J572" s="1417"/>
      <c r="K572" s="1417"/>
      <c r="L572" s="1417"/>
      <c r="M572" s="1416" t="s">
        <v>1000</v>
      </c>
      <c r="N572" s="1416"/>
      <c r="O572" s="1416"/>
      <c r="P572" s="1416"/>
      <c r="Q572" s="1361"/>
      <c r="R572" s="1362"/>
      <c r="S572" s="1363"/>
      <c r="T572" s="1361"/>
      <c r="U572" s="1362"/>
      <c r="V572" s="1363"/>
      <c r="W572" s="1418"/>
      <c r="X572" s="1419"/>
      <c r="Y572" s="1420"/>
      <c r="Z572" s="1376" t="s">
        <v>1000</v>
      </c>
      <c r="AA572" s="1376"/>
      <c r="AB572" s="1376"/>
      <c r="AC572" s="1376"/>
      <c r="AD572" s="1376"/>
      <c r="AE572" s="1369"/>
      <c r="AF572" s="1370"/>
      <c r="AG572" s="1370"/>
      <c r="AH572" s="1371"/>
      <c r="AI572" s="1448"/>
      <c r="AJ572" s="1449"/>
      <c r="AK572" s="1449"/>
      <c r="AL572" s="1450"/>
      <c r="AM572" s="1343"/>
      <c r="AN572" s="1344"/>
      <c r="AO572" s="1344"/>
      <c r="AP572" s="1344"/>
      <c r="AQ572" s="1344"/>
      <c r="AR572" s="1344"/>
      <c r="AS572" s="1345"/>
      <c r="AT572" s="924" t="str">
        <f t="shared" si="1"/>
        <v/>
      </c>
      <c r="BB572" s="2"/>
      <c r="BC572" s="2"/>
      <c r="BD572" s="2"/>
      <c r="BE572" s="2"/>
      <c r="BF572" s="2"/>
      <c r="BG572" s="2"/>
      <c r="BH572" s="2"/>
      <c r="BI572" s="2"/>
    </row>
    <row r="573" spans="1:61" ht="13.15" customHeight="1">
      <c r="B573" s="35" t="s">
        <v>1321</v>
      </c>
      <c r="C573" s="1417"/>
      <c r="D573" s="1417"/>
      <c r="E573" s="1417"/>
      <c r="F573" s="1417"/>
      <c r="G573" s="1417"/>
      <c r="H573" s="1417"/>
      <c r="I573" s="1417"/>
      <c r="J573" s="1417"/>
      <c r="K573" s="1417"/>
      <c r="L573" s="1417"/>
      <c r="M573" s="1416" t="s">
        <v>1000</v>
      </c>
      <c r="N573" s="1416"/>
      <c r="O573" s="1416"/>
      <c r="P573" s="1416"/>
      <c r="Q573" s="1361"/>
      <c r="R573" s="1362"/>
      <c r="S573" s="1363"/>
      <c r="T573" s="1361"/>
      <c r="U573" s="1362"/>
      <c r="V573" s="1363"/>
      <c r="W573" s="1418"/>
      <c r="X573" s="1419"/>
      <c r="Y573" s="1420"/>
      <c r="Z573" s="1376" t="s">
        <v>1000</v>
      </c>
      <c r="AA573" s="1376"/>
      <c r="AB573" s="1376"/>
      <c r="AC573" s="1376"/>
      <c r="AD573" s="1376"/>
      <c r="AE573" s="1369"/>
      <c r="AF573" s="1370"/>
      <c r="AG573" s="1370"/>
      <c r="AH573" s="1371"/>
      <c r="AI573" s="1448"/>
      <c r="AJ573" s="1449"/>
      <c r="AK573" s="1449"/>
      <c r="AL573" s="1450"/>
      <c r="AM573" s="1343"/>
      <c r="AN573" s="1344"/>
      <c r="AO573" s="1344"/>
      <c r="AP573" s="1344"/>
      <c r="AQ573" s="1344"/>
      <c r="AR573" s="1344"/>
      <c r="AS573" s="1345"/>
      <c r="AT573" s="924" t="str">
        <f t="shared" si="1"/>
        <v/>
      </c>
      <c r="BB573" s="2"/>
      <c r="BC573" s="2"/>
      <c r="BD573" s="2"/>
      <c r="BE573" s="2"/>
      <c r="BF573" s="2"/>
      <c r="BG573" s="2"/>
      <c r="BH573" s="2"/>
      <c r="BI573" s="2"/>
    </row>
    <row r="574" spans="1:61" ht="13.15" customHeight="1">
      <c r="B574" s="1400" t="s">
        <v>1322</v>
      </c>
      <c r="C574" s="1401"/>
      <c r="D574" s="1401"/>
      <c r="E574" s="1401"/>
      <c r="F574" s="1401"/>
      <c r="G574" s="1401"/>
      <c r="H574" s="1401"/>
      <c r="I574" s="1401"/>
      <c r="J574" s="1401"/>
      <c r="K574" s="1401"/>
      <c r="L574" s="1401"/>
      <c r="M574" s="1401"/>
      <c r="N574" s="1401"/>
      <c r="O574" s="1401"/>
      <c r="P574" s="1401"/>
      <c r="Q574" s="1401"/>
      <c r="R574" s="1401"/>
      <c r="S574" s="1401"/>
      <c r="T574" s="1401"/>
      <c r="U574" s="1402"/>
      <c r="V574" s="1401"/>
      <c r="W574" s="1401"/>
      <c r="X574" s="1401"/>
      <c r="Y574" s="1401"/>
      <c r="Z574" s="1401"/>
      <c r="AA574" s="1401"/>
      <c r="AB574" s="1401"/>
      <c r="AC574" s="1401"/>
      <c r="AD574" s="1401"/>
      <c r="AE574" s="1401"/>
      <c r="AF574" s="1401"/>
      <c r="AG574" s="1401"/>
      <c r="AH574" s="1401"/>
      <c r="AI574" s="1401"/>
      <c r="AJ574" s="1401"/>
      <c r="AK574" s="1401"/>
      <c r="AL574" s="1403"/>
      <c r="AM574" s="1441">
        <f>SUM(AM562:AS573)</f>
        <v>112607197</v>
      </c>
      <c r="AN574" s="1442"/>
      <c r="AO574" s="1442"/>
      <c r="AP574" s="1442"/>
      <c r="AQ574" s="1442"/>
      <c r="AR574" s="1442"/>
      <c r="AS574" s="1443"/>
      <c r="BB574" s="2"/>
      <c r="BC574" s="2"/>
      <c r="BD574" s="2"/>
      <c r="BE574" s="2"/>
      <c r="BF574" s="2"/>
      <c r="BG574" s="2"/>
      <c r="BH574" s="2" t="s">
        <v>1316</v>
      </c>
      <c r="BI574" s="2" t="str">
        <f>N681</f>
        <v>Yes</v>
      </c>
    </row>
    <row r="575" spans="1:61" ht="13.1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1317</v>
      </c>
      <c r="BI575" s="2" t="str">
        <f>AG681</f>
        <v>Yes</v>
      </c>
    </row>
    <row r="576" spans="1:61" ht="13.15" customHeight="1">
      <c r="A576" s="36" t="s">
        <v>18</v>
      </c>
      <c r="B576" t="s">
        <v>1323</v>
      </c>
      <c r="G576" s="1346" t="str">
        <f>C562</f>
        <v>Wells Fargo Construction Tax-Exempt Loan</v>
      </c>
      <c r="H576" s="1346"/>
      <c r="I576" s="1346"/>
      <c r="J576" s="1346"/>
      <c r="K576" s="1346"/>
      <c r="L576" s="1346"/>
      <c r="M576" s="1346"/>
      <c r="N576" s="1346"/>
      <c r="O576" s="1346"/>
      <c r="P576" s="1346"/>
      <c r="Q576" s="1346"/>
      <c r="R576" s="1346"/>
      <c r="S576" s="6"/>
      <c r="T576" s="36" t="s">
        <v>31</v>
      </c>
      <c r="U576" t="s">
        <v>1323</v>
      </c>
      <c r="Z576" s="1346" t="str">
        <f>C563</f>
        <v>Wells Fargo Taxable Tail Construction Loan</v>
      </c>
      <c r="AA576" s="1346"/>
      <c r="AB576" s="1346"/>
      <c r="AC576" s="1346"/>
      <c r="AD576" s="1346"/>
      <c r="AE576" s="1346"/>
      <c r="AF576" s="1346"/>
      <c r="AG576" s="1346"/>
      <c r="AH576" s="1346"/>
      <c r="AI576" s="1346"/>
      <c r="AJ576" s="1346"/>
      <c r="AK576" s="1346"/>
      <c r="BB576" s="2"/>
      <c r="BC576" s="2"/>
      <c r="BD576" s="2"/>
      <c r="BE576" s="2"/>
      <c r="BF576" s="2"/>
      <c r="BG576" s="2"/>
      <c r="BH576" s="2"/>
      <c r="BI576" s="2"/>
    </row>
    <row r="577" spans="1:61" ht="13.15" customHeight="1">
      <c r="A577" s="17"/>
      <c r="B577" t="s">
        <v>1064</v>
      </c>
      <c r="G577" s="1399" t="s">
        <v>2818</v>
      </c>
      <c r="H577" s="1399"/>
      <c r="I577" s="1399"/>
      <c r="J577" s="1399"/>
      <c r="K577" s="1399"/>
      <c r="L577" s="1399"/>
      <c r="M577" s="1399"/>
      <c r="N577" s="1399"/>
      <c r="O577" s="1399"/>
      <c r="P577" s="1399"/>
      <c r="Q577" s="1399"/>
      <c r="R577" s="1399"/>
      <c r="S577" s="6"/>
      <c r="T577" s="17"/>
      <c r="U577" t="s">
        <v>1064</v>
      </c>
      <c r="Z577" s="1399" t="s">
        <v>2818</v>
      </c>
      <c r="AA577" s="1399"/>
      <c r="AB577" s="1399"/>
      <c r="AC577" s="1399"/>
      <c r="AD577" s="1399"/>
      <c r="AE577" s="1399"/>
      <c r="AF577" s="1399"/>
      <c r="AG577" s="1399"/>
      <c r="AH577" s="1399"/>
      <c r="AI577" s="1399"/>
      <c r="AJ577" s="1399"/>
      <c r="AK577" s="1399"/>
      <c r="BB577" s="2"/>
      <c r="BC577" s="2"/>
      <c r="BD577" s="2"/>
      <c r="BE577" s="2"/>
      <c r="BF577" s="2"/>
      <c r="BG577" s="2"/>
      <c r="BH577" s="2"/>
      <c r="BI577" s="2"/>
    </row>
    <row r="578" spans="1:61" ht="13.15" customHeight="1">
      <c r="A578" s="17"/>
      <c r="B578" t="s">
        <v>931</v>
      </c>
      <c r="G578" s="1399" t="s">
        <v>955</v>
      </c>
      <c r="H578" s="1399"/>
      <c r="I578" s="1399"/>
      <c r="J578" s="1399"/>
      <c r="K578" s="1399"/>
      <c r="L578" s="1399"/>
      <c r="M578" s="1399"/>
      <c r="N578" s="1399"/>
      <c r="O578" s="1399"/>
      <c r="P578" s="1399"/>
      <c r="Q578" s="1399"/>
      <c r="R578" s="1399"/>
      <c r="T578" s="17"/>
      <c r="U578" t="s">
        <v>931</v>
      </c>
      <c r="Z578" s="1360" t="s">
        <v>955</v>
      </c>
      <c r="AA578" s="1360"/>
      <c r="AB578" s="1360"/>
      <c r="AC578" s="1360"/>
      <c r="AD578" s="1360"/>
      <c r="AE578" s="1360"/>
      <c r="AF578" s="1360"/>
      <c r="AG578" s="1360"/>
      <c r="AH578" s="1360"/>
      <c r="AI578" s="1360"/>
      <c r="AJ578" s="1360"/>
      <c r="AK578" s="1360"/>
      <c r="BB578" s="2"/>
      <c r="BC578" s="2"/>
      <c r="BD578" s="2"/>
      <c r="BE578" s="2"/>
      <c r="BF578" s="2"/>
      <c r="BG578" s="2"/>
      <c r="BH578" s="2"/>
      <c r="BI578" s="2"/>
    </row>
    <row r="579" spans="1:61" ht="13.15" customHeight="1">
      <c r="A579" s="17"/>
      <c r="B579" t="s">
        <v>1324</v>
      </c>
      <c r="G579" s="1399" t="s">
        <v>2814</v>
      </c>
      <c r="H579" s="1399"/>
      <c r="I579" s="1399"/>
      <c r="J579" s="1399"/>
      <c r="K579" s="1399"/>
      <c r="L579" s="1399"/>
      <c r="M579" s="1399"/>
      <c r="N579" s="1399"/>
      <c r="O579" s="1399"/>
      <c r="P579" s="1399"/>
      <c r="Q579" s="1399"/>
      <c r="R579" s="1399"/>
      <c r="S579" s="6"/>
      <c r="T579" s="17"/>
      <c r="U579" t="s">
        <v>1324</v>
      </c>
      <c r="Z579" s="1360" t="s">
        <v>2814</v>
      </c>
      <c r="AA579" s="1360"/>
      <c r="AB579" s="1360"/>
      <c r="AC579" s="1360"/>
      <c r="AD579" s="1360"/>
      <c r="AE579" s="1360"/>
      <c r="AF579" s="1360"/>
      <c r="AG579" s="1360"/>
      <c r="AH579" s="1360"/>
      <c r="AI579" s="1360"/>
      <c r="AJ579" s="1360"/>
      <c r="AK579" s="1360"/>
      <c r="BB579" s="2"/>
      <c r="BC579" s="2"/>
      <c r="BD579" s="2"/>
      <c r="BE579" s="2"/>
      <c r="BF579" s="2"/>
      <c r="BG579" s="2"/>
      <c r="BH579" s="2"/>
      <c r="BI579" s="2"/>
    </row>
    <row r="580" spans="1:61" ht="13.15" customHeight="1">
      <c r="A580" s="17"/>
      <c r="B580" t="s">
        <v>828</v>
      </c>
      <c r="G580" s="1338" t="s">
        <v>2815</v>
      </c>
      <c r="H580" s="1338"/>
      <c r="I580" s="1338"/>
      <c r="J580" s="1338"/>
      <c r="K580" s="1338"/>
      <c r="L580" s="1338"/>
      <c r="O580" s="813" t="s">
        <v>1068</v>
      </c>
      <c r="P580" s="1339"/>
      <c r="Q580" s="1339"/>
      <c r="R580" s="1339"/>
      <c r="S580" s="8"/>
      <c r="T580" s="17"/>
      <c r="U580" t="s">
        <v>828</v>
      </c>
      <c r="Z580" s="1338" t="s">
        <v>2815</v>
      </c>
      <c r="AA580" s="1338"/>
      <c r="AB580" s="1338"/>
      <c r="AC580" s="1338"/>
      <c r="AD580" s="1338"/>
      <c r="AE580" s="1338"/>
      <c r="AH580" s="813" t="s">
        <v>1068</v>
      </c>
      <c r="AI580" s="1339"/>
      <c r="AJ580" s="1339"/>
      <c r="AK580" s="1339"/>
      <c r="BB580" s="2"/>
      <c r="BC580" s="2"/>
      <c r="BD580" s="2"/>
      <c r="BE580" s="2"/>
      <c r="BF580" s="2"/>
      <c r="BG580" s="2"/>
      <c r="BH580" s="2"/>
      <c r="BI580" s="2"/>
    </row>
    <row r="581" spans="1:61" ht="13.15" customHeight="1">
      <c r="A581" s="17"/>
      <c r="B581" t="s">
        <v>1325</v>
      </c>
      <c r="H581" s="1399" t="s">
        <v>2729</v>
      </c>
      <c r="I581" s="1399"/>
      <c r="J581" s="1399"/>
      <c r="K581" s="1399"/>
      <c r="L581" s="1399"/>
      <c r="M581" s="1399"/>
      <c r="N581" s="1399"/>
      <c r="O581" s="1399"/>
      <c r="P581" s="1399"/>
      <c r="Q581" s="1399"/>
      <c r="R581" s="1399"/>
      <c r="S581" s="6"/>
      <c r="T581" s="17"/>
      <c r="U581" t="s">
        <v>1325</v>
      </c>
      <c r="AA581" s="1399" t="s">
        <v>2730</v>
      </c>
      <c r="AB581" s="1399"/>
      <c r="AC581" s="1399"/>
      <c r="AD581" s="1399"/>
      <c r="AE581" s="1399"/>
      <c r="AF581" s="1399"/>
      <c r="AG581" s="1399"/>
      <c r="AH581" s="1399"/>
      <c r="AI581" s="1399"/>
      <c r="AJ581" s="1399"/>
      <c r="AK581" s="1399"/>
      <c r="BB581" s="2"/>
      <c r="BC581" s="2"/>
      <c r="BD581" s="2"/>
      <c r="BE581" s="2"/>
      <c r="BF581" s="2"/>
      <c r="BG581" s="2"/>
      <c r="BH581" s="2"/>
      <c r="BI581" s="2"/>
    </row>
    <row r="582" spans="1:61" ht="13.15" customHeight="1">
      <c r="A582" s="17"/>
      <c r="B582" s="200" t="s">
        <v>1326</v>
      </c>
      <c r="H582" s="6"/>
      <c r="I582" s="6"/>
      <c r="J582" s="6"/>
      <c r="K582" s="6"/>
      <c r="L582" s="6"/>
      <c r="M582" s="1536"/>
      <c r="N582" s="1536"/>
      <c r="O582" s="1536"/>
      <c r="P582" s="1536"/>
      <c r="Q582" s="1536"/>
      <c r="R582" s="1536"/>
      <c r="S582" s="6"/>
      <c r="T582" s="17"/>
      <c r="U582" s="200" t="s">
        <v>1326</v>
      </c>
      <c r="AA582" s="6"/>
      <c r="AB582" s="6"/>
      <c r="AC582" s="6"/>
      <c r="AD582" s="6"/>
      <c r="AE582" s="6"/>
      <c r="AF582" s="1536"/>
      <c r="AG582" s="1536"/>
      <c r="AH582" s="1536"/>
      <c r="AI582" s="1536"/>
      <c r="AJ582" s="1536"/>
      <c r="AK582" s="1536"/>
      <c r="BB582" s="2"/>
      <c r="BC582" s="2"/>
      <c r="BD582" s="2"/>
      <c r="BE582" s="2"/>
      <c r="BF582" s="2"/>
      <c r="BG582" s="2"/>
      <c r="BH582" s="2"/>
      <c r="BI582" s="2"/>
    </row>
    <row r="583" spans="1:61" ht="13.15" customHeight="1">
      <c r="A583" s="17"/>
      <c r="B583" t="s">
        <v>1327</v>
      </c>
      <c r="N583" s="1356" t="s">
        <v>847</v>
      </c>
      <c r="O583" s="1356"/>
      <c r="T583" s="17"/>
      <c r="U583" t="s">
        <v>1327</v>
      </c>
      <c r="AG583" s="1356" t="s">
        <v>847</v>
      </c>
      <c r="AH583" s="1356"/>
      <c r="BB583" s="2"/>
      <c r="BC583" s="2"/>
      <c r="BD583" s="2"/>
      <c r="BE583" s="2"/>
      <c r="BF583" s="2"/>
      <c r="BG583" s="2"/>
      <c r="BH583" s="2"/>
      <c r="BI583" s="2"/>
    </row>
    <row r="584" spans="1:61" ht="13.15" customHeight="1">
      <c r="A584" s="17"/>
      <c r="T584" s="17"/>
      <c r="BB584" s="2"/>
      <c r="BC584" s="2"/>
      <c r="BD584" s="2"/>
      <c r="BE584" s="2"/>
      <c r="BF584" s="2"/>
      <c r="BG584" s="2"/>
      <c r="BH584" s="2"/>
      <c r="BI584" s="2"/>
    </row>
    <row r="585" spans="1:61" ht="13.15" customHeight="1">
      <c r="A585" s="36" t="s">
        <v>39</v>
      </c>
      <c r="B585" t="s">
        <v>1323</v>
      </c>
      <c r="G585" s="1346" t="str">
        <f>C564</f>
        <v>City of Long Beach &amp; Long Beach Community Investment Company</v>
      </c>
      <c r="H585" s="1346"/>
      <c r="I585" s="1346"/>
      <c r="J585" s="1346"/>
      <c r="K585" s="1346"/>
      <c r="L585" s="1346"/>
      <c r="M585" s="1346"/>
      <c r="N585" s="1346"/>
      <c r="O585" s="1346"/>
      <c r="P585" s="1346"/>
      <c r="Q585" s="1346"/>
      <c r="R585" s="1346"/>
      <c r="T585" s="36" t="s">
        <v>82</v>
      </c>
      <c r="U585" t="s">
        <v>1323</v>
      </c>
      <c r="Z585" s="1346" t="str">
        <f>C565</f>
        <v>Gateway Cities Affordable Housing Trust</v>
      </c>
      <c r="AA585" s="1346"/>
      <c r="AB585" s="1346"/>
      <c r="AC585" s="1346"/>
      <c r="AD585" s="1346"/>
      <c r="AE585" s="1346"/>
      <c r="AF585" s="1346"/>
      <c r="AG585" s="1346"/>
      <c r="AH585" s="1346"/>
      <c r="AI585" s="1346"/>
      <c r="AJ585" s="1346"/>
      <c r="AK585" s="1346"/>
      <c r="BB585" s="2"/>
      <c r="BC585" s="2"/>
    </row>
    <row r="586" spans="1:61" ht="13.15" customHeight="1">
      <c r="A586" s="17"/>
      <c r="B586" t="s">
        <v>1064</v>
      </c>
      <c r="G586" s="1399" t="s">
        <v>2736</v>
      </c>
      <c r="H586" s="1399"/>
      <c r="I586" s="1399"/>
      <c r="J586" s="1399"/>
      <c r="K586" s="1399"/>
      <c r="L586" s="1399"/>
      <c r="M586" s="1399"/>
      <c r="N586" s="1399"/>
      <c r="O586" s="1399"/>
      <c r="P586" s="1399"/>
      <c r="Q586" s="1399"/>
      <c r="R586" s="1399"/>
      <c r="T586" s="17"/>
      <c r="U586" t="s">
        <v>1064</v>
      </c>
      <c r="Z586" s="1399" t="s">
        <v>2731</v>
      </c>
      <c r="AA586" s="1399"/>
      <c r="AB586" s="1399"/>
      <c r="AC586" s="1399"/>
      <c r="AD586" s="1399"/>
      <c r="AE586" s="1399"/>
      <c r="AF586" s="1399"/>
      <c r="AG586" s="1399"/>
      <c r="AH586" s="1399"/>
      <c r="AI586" s="1399"/>
      <c r="AJ586" s="1399"/>
      <c r="AK586" s="1399"/>
      <c r="BB586" s="2"/>
      <c r="BC586" s="2"/>
    </row>
    <row r="587" spans="1:61" ht="13.15" customHeight="1">
      <c r="A587" s="17"/>
      <c r="B587" t="s">
        <v>931</v>
      </c>
      <c r="G587" s="1360" t="s">
        <v>2737</v>
      </c>
      <c r="H587" s="1360"/>
      <c r="I587" s="1360"/>
      <c r="J587" s="1360"/>
      <c r="K587" s="1360"/>
      <c r="L587" s="1360"/>
      <c r="M587" s="1360"/>
      <c r="N587" s="1360"/>
      <c r="O587" s="1360"/>
      <c r="P587" s="1360"/>
      <c r="Q587" s="1360"/>
      <c r="R587" s="1360"/>
      <c r="T587" s="17"/>
      <c r="U587" t="s">
        <v>931</v>
      </c>
      <c r="Z587" s="1360" t="s">
        <v>2732</v>
      </c>
      <c r="AA587" s="1360"/>
      <c r="AB587" s="1360"/>
      <c r="AC587" s="1360"/>
      <c r="AD587" s="1360"/>
      <c r="AE587" s="1360"/>
      <c r="AF587" s="1360"/>
      <c r="AG587" s="1360"/>
      <c r="AH587" s="1360"/>
      <c r="AI587" s="1360"/>
      <c r="AJ587" s="1360"/>
      <c r="AK587" s="1360"/>
      <c r="BB587" s="2"/>
      <c r="BC587" s="2"/>
    </row>
    <row r="588" spans="1:61" ht="13.15" customHeight="1">
      <c r="A588" s="17"/>
      <c r="B588" t="s">
        <v>1324</v>
      </c>
      <c r="G588" s="1360" t="s">
        <v>2738</v>
      </c>
      <c r="H588" s="1360"/>
      <c r="I588" s="1360"/>
      <c r="J588" s="1360"/>
      <c r="K588" s="1360"/>
      <c r="L588" s="1360"/>
      <c r="M588" s="1360"/>
      <c r="N588" s="1360"/>
      <c r="O588" s="1360"/>
      <c r="P588" s="1360"/>
      <c r="Q588" s="1360"/>
      <c r="R588" s="1360"/>
      <c r="T588" s="17"/>
      <c r="U588" t="s">
        <v>1324</v>
      </c>
      <c r="Z588" s="1360" t="s">
        <v>2733</v>
      </c>
      <c r="AA588" s="1360"/>
      <c r="AB588" s="1360"/>
      <c r="AC588" s="1360"/>
      <c r="AD588" s="1360"/>
      <c r="AE588" s="1360"/>
      <c r="AF588" s="1360"/>
      <c r="AG588" s="1360"/>
      <c r="AH588" s="1360"/>
      <c r="AI588" s="1360"/>
      <c r="AJ588" s="1360"/>
      <c r="AK588" s="1360"/>
      <c r="BB588" s="2"/>
      <c r="BC588" s="2"/>
    </row>
    <row r="589" spans="1:61" ht="13.15" customHeight="1">
      <c r="A589" s="17"/>
      <c r="B589" t="s">
        <v>828</v>
      </c>
      <c r="G589" s="1338" t="s">
        <v>2739</v>
      </c>
      <c r="H589" s="1338"/>
      <c r="I589" s="1338"/>
      <c r="J589" s="1338"/>
      <c r="K589" s="1338"/>
      <c r="L589" s="1338"/>
      <c r="O589" s="813" t="s">
        <v>1068</v>
      </c>
      <c r="P589" s="1339"/>
      <c r="Q589" s="1339"/>
      <c r="R589" s="1339"/>
      <c r="T589" s="17"/>
      <c r="U589" t="s">
        <v>828</v>
      </c>
      <c r="Z589" s="1338" t="s">
        <v>2734</v>
      </c>
      <c r="AA589" s="1338"/>
      <c r="AB589" s="1338"/>
      <c r="AC589" s="1338"/>
      <c r="AD589" s="1338"/>
      <c r="AE589" s="1338"/>
      <c r="AH589" s="813" t="s">
        <v>1068</v>
      </c>
      <c r="AI589" s="1339"/>
      <c r="AJ589" s="1339"/>
      <c r="AK589" s="1339"/>
      <c r="BB589" s="2"/>
      <c r="BC589" s="2"/>
    </row>
    <row r="590" spans="1:61" ht="13.15" customHeight="1">
      <c r="A590" s="17"/>
      <c r="B590" t="s">
        <v>1325</v>
      </c>
      <c r="H590" s="1399" t="s">
        <v>2735</v>
      </c>
      <c r="I590" s="1399"/>
      <c r="J590" s="1399"/>
      <c r="K590" s="1399"/>
      <c r="L590" s="1399"/>
      <c r="M590" s="1399"/>
      <c r="N590" s="1399"/>
      <c r="O590" s="1399"/>
      <c r="P590" s="1399"/>
      <c r="Q590" s="1399"/>
      <c r="R590" s="1399"/>
      <c r="T590" s="17"/>
      <c r="U590" t="s">
        <v>1325</v>
      </c>
      <c r="AA590" s="1399" t="s">
        <v>2735</v>
      </c>
      <c r="AB590" s="1399"/>
      <c r="AC590" s="1399"/>
      <c r="AD590" s="1399"/>
      <c r="AE590" s="1399"/>
      <c r="AF590" s="1399"/>
      <c r="AG590" s="1399"/>
      <c r="AH590" s="1399"/>
      <c r="AI590" s="1399"/>
      <c r="AJ590" s="1399"/>
      <c r="AK590" s="1399"/>
      <c r="BB590" s="2"/>
      <c r="BC590" s="2"/>
    </row>
    <row r="591" spans="1:61" ht="13.15" customHeight="1">
      <c r="A591" s="17"/>
      <c r="B591" t="s">
        <v>1327</v>
      </c>
      <c r="N591" s="1356" t="s">
        <v>847</v>
      </c>
      <c r="O591" s="1356"/>
      <c r="T591" s="17"/>
      <c r="U591" t="s">
        <v>1327</v>
      </c>
      <c r="AG591" s="1356" t="s">
        <v>847</v>
      </c>
      <c r="AH591" s="1356"/>
      <c r="BB591" s="2"/>
      <c r="BC591" s="2"/>
    </row>
    <row r="592" spans="1:61" ht="13.15" customHeight="1">
      <c r="A592" s="17"/>
      <c r="T592" s="17"/>
      <c r="BB592" s="2"/>
      <c r="BC592" s="2"/>
    </row>
    <row r="593" spans="1:55" ht="13.15" customHeight="1">
      <c r="A593" s="36" t="s">
        <v>86</v>
      </c>
      <c r="B593" t="s">
        <v>1323</v>
      </c>
      <c r="G593" s="1346" t="str">
        <f>C566</f>
        <v>Costs Deferred Until Conversion</v>
      </c>
      <c r="H593" s="1346"/>
      <c r="I593" s="1346"/>
      <c r="J593" s="1346"/>
      <c r="K593" s="1346"/>
      <c r="L593" s="1346"/>
      <c r="M593" s="1346"/>
      <c r="N593" s="1346"/>
      <c r="O593" s="1346"/>
      <c r="P593" s="1346"/>
      <c r="Q593" s="1346"/>
      <c r="R593" s="1346"/>
      <c r="T593" s="36" t="s">
        <v>1315</v>
      </c>
      <c r="U593" t="s">
        <v>1323</v>
      </c>
      <c r="Z593" s="1346" t="str">
        <f>C567</f>
        <v>Contributed Developer Fee</v>
      </c>
      <c r="AA593" s="1346"/>
      <c r="AB593" s="1346"/>
      <c r="AC593" s="1346"/>
      <c r="AD593" s="1346"/>
      <c r="AE593" s="1346"/>
      <c r="AF593" s="1346"/>
      <c r="AG593" s="1346"/>
      <c r="AH593" s="1346"/>
      <c r="AI593" s="1346"/>
      <c r="AJ593" s="1346"/>
      <c r="AK593" s="1346"/>
      <c r="BB593" s="2"/>
      <c r="BC593" s="2"/>
    </row>
    <row r="594" spans="1:55" ht="13.15" customHeight="1">
      <c r="A594" s="17"/>
      <c r="B594" t="s">
        <v>1064</v>
      </c>
      <c r="G594" s="1399" t="s">
        <v>2647</v>
      </c>
      <c r="H594" s="1399"/>
      <c r="I594" s="1399"/>
      <c r="J594" s="1399"/>
      <c r="K594" s="1399"/>
      <c r="L594" s="1399"/>
      <c r="M594" s="1399"/>
      <c r="N594" s="1399"/>
      <c r="O594" s="1399"/>
      <c r="P594" s="1399"/>
      <c r="Q594" s="1399"/>
      <c r="R594" s="1399"/>
      <c r="T594" s="17"/>
      <c r="U594" t="s">
        <v>1064</v>
      </c>
      <c r="Z594" s="1399" t="s">
        <v>2647</v>
      </c>
      <c r="AA594" s="1399"/>
      <c r="AB594" s="1399"/>
      <c r="AC594" s="1399"/>
      <c r="AD594" s="1399"/>
      <c r="AE594" s="1399"/>
      <c r="AF594" s="1399"/>
      <c r="AG594" s="1399"/>
      <c r="AH594" s="1399"/>
      <c r="AI594" s="1399"/>
      <c r="AJ594" s="1399"/>
      <c r="AK594" s="1399"/>
      <c r="BB594" s="2"/>
      <c r="BC594" s="2"/>
    </row>
    <row r="595" spans="1:55" ht="13.15" customHeight="1">
      <c r="A595" s="17"/>
      <c r="B595" t="s">
        <v>931</v>
      </c>
      <c r="G595" s="1399" t="s">
        <v>2648</v>
      </c>
      <c r="H595" s="1399"/>
      <c r="I595" s="1399"/>
      <c r="J595" s="1399"/>
      <c r="K595" s="1399"/>
      <c r="L595" s="1399"/>
      <c r="M595" s="1399"/>
      <c r="N595" s="1399"/>
      <c r="O595" s="1399"/>
      <c r="P595" s="1399"/>
      <c r="Q595" s="1399"/>
      <c r="R595" s="1399"/>
      <c r="T595" s="17"/>
      <c r="U595" t="s">
        <v>931</v>
      </c>
      <c r="Z595" s="1360" t="s">
        <v>2648</v>
      </c>
      <c r="AA595" s="1360"/>
      <c r="AB595" s="1360"/>
      <c r="AC595" s="1360"/>
      <c r="AD595" s="1360"/>
      <c r="AE595" s="1360"/>
      <c r="AF595" s="1360"/>
      <c r="AG595" s="1360"/>
      <c r="AH595" s="1360"/>
      <c r="AI595" s="1360"/>
      <c r="AJ595" s="1360"/>
      <c r="AK595" s="1360"/>
      <c r="BB595" s="2"/>
      <c r="BC595" s="2"/>
    </row>
    <row r="596" spans="1:55" ht="13.15" customHeight="1">
      <c r="A596" s="17"/>
      <c r="B596" t="s">
        <v>1324</v>
      </c>
      <c r="G596" s="1399" t="s">
        <v>2740</v>
      </c>
      <c r="H596" s="1399"/>
      <c r="I596" s="1399"/>
      <c r="J596" s="1399"/>
      <c r="K596" s="1399"/>
      <c r="L596" s="1399"/>
      <c r="M596" s="1399"/>
      <c r="N596" s="1399"/>
      <c r="O596" s="1399"/>
      <c r="P596" s="1399"/>
      <c r="Q596" s="1399"/>
      <c r="R596" s="1399"/>
      <c r="T596" s="17"/>
      <c r="U596" t="s">
        <v>1324</v>
      </c>
      <c r="Z596" s="1360" t="s">
        <v>2740</v>
      </c>
      <c r="AA596" s="1360"/>
      <c r="AB596" s="1360"/>
      <c r="AC596" s="1360"/>
      <c r="AD596" s="1360"/>
      <c r="AE596" s="1360"/>
      <c r="AF596" s="1360"/>
      <c r="AG596" s="1360"/>
      <c r="AH596" s="1360"/>
      <c r="AI596" s="1360"/>
      <c r="AJ596" s="1360"/>
      <c r="AK596" s="1360"/>
    </row>
    <row r="597" spans="1:55" ht="13.15" customHeight="1">
      <c r="A597" s="17"/>
      <c r="B597" t="s">
        <v>828</v>
      </c>
      <c r="G597" s="1338" t="s">
        <v>2741</v>
      </c>
      <c r="H597" s="1338"/>
      <c r="I597" s="1338"/>
      <c r="J597" s="1338"/>
      <c r="K597" s="1338"/>
      <c r="L597" s="1338"/>
      <c r="O597" s="813" t="s">
        <v>1068</v>
      </c>
      <c r="P597" s="1339"/>
      <c r="Q597" s="1339"/>
      <c r="R597" s="1339"/>
      <c r="T597" s="17"/>
      <c r="U597" t="s">
        <v>828</v>
      </c>
      <c r="Z597" s="1338" t="s">
        <v>2741</v>
      </c>
      <c r="AA597" s="1338"/>
      <c r="AB597" s="1338"/>
      <c r="AC597" s="1338"/>
      <c r="AD597" s="1338"/>
      <c r="AE597" s="1338"/>
      <c r="AH597" s="813" t="s">
        <v>1068</v>
      </c>
      <c r="AI597" s="1339"/>
      <c r="AJ597" s="1339"/>
      <c r="AK597" s="1339"/>
      <c r="AZ597" s="2"/>
      <c r="BA597" s="2"/>
      <c r="BB597" s="2"/>
      <c r="BC597" s="2"/>
    </row>
    <row r="598" spans="1:55" ht="13.15" customHeight="1">
      <c r="A598" s="17"/>
      <c r="B598" t="s">
        <v>1325</v>
      </c>
      <c r="H598" s="1399" t="str">
        <f>G593</f>
        <v>Costs Deferred Until Conversion</v>
      </c>
      <c r="I598" s="1399"/>
      <c r="J598" s="1399"/>
      <c r="K598" s="1399"/>
      <c r="L598" s="1399"/>
      <c r="M598" s="1399"/>
      <c r="N598" s="1399"/>
      <c r="O598" s="1399"/>
      <c r="P598" s="1399"/>
      <c r="Q598" s="1399"/>
      <c r="R598" s="1399"/>
      <c r="T598" s="17"/>
      <c r="U598" t="s">
        <v>1325</v>
      </c>
      <c r="AA598" s="1399" t="s">
        <v>1908</v>
      </c>
      <c r="AB598" s="1399"/>
      <c r="AC598" s="1399"/>
      <c r="AD598" s="1399"/>
      <c r="AE598" s="1399"/>
      <c r="AF598" s="1399"/>
      <c r="AG598" s="1399"/>
      <c r="AH598" s="1399"/>
      <c r="AI598" s="1399"/>
      <c r="AJ598" s="1399"/>
      <c r="AK598" s="1399"/>
      <c r="AZ598" s="2"/>
      <c r="BA598" s="2"/>
      <c r="BB598" s="2"/>
      <c r="BC598" s="2"/>
    </row>
    <row r="599" spans="1:55" ht="13.15" customHeight="1">
      <c r="A599" s="17"/>
      <c r="B599" t="s">
        <v>1327</v>
      </c>
      <c r="N599" s="1356" t="s">
        <v>847</v>
      </c>
      <c r="O599" s="1356"/>
      <c r="T599" s="17"/>
      <c r="U599" t="s">
        <v>1327</v>
      </c>
      <c r="AG599" s="1356" t="s">
        <v>847</v>
      </c>
      <c r="AH599" s="1356"/>
      <c r="AZ599" s="2"/>
      <c r="BA599" s="2"/>
      <c r="BB599" s="2"/>
      <c r="BC599" s="2"/>
    </row>
    <row r="600" spans="1:55" ht="13.15" customHeight="1">
      <c r="A600" s="17"/>
      <c r="T600" s="17"/>
      <c r="AZ600" s="2"/>
      <c r="BA600" s="2"/>
      <c r="BB600" s="2"/>
      <c r="BC600" s="2"/>
    </row>
    <row r="601" spans="1:55" ht="13.15" customHeight="1">
      <c r="A601" s="36" t="s">
        <v>1316</v>
      </c>
      <c r="B601" t="s">
        <v>1323</v>
      </c>
      <c r="G601" s="1346" t="str">
        <f>C568</f>
        <v>LP Equity Contribution</v>
      </c>
      <c r="H601" s="1346"/>
      <c r="I601" s="1346"/>
      <c r="J601" s="1346"/>
      <c r="K601" s="1346"/>
      <c r="L601" s="1346"/>
      <c r="M601" s="1346"/>
      <c r="N601" s="1346"/>
      <c r="O601" s="1346"/>
      <c r="P601" s="1346"/>
      <c r="Q601" s="1346"/>
      <c r="R601" s="1346"/>
      <c r="T601" s="36" t="s">
        <v>1317</v>
      </c>
      <c r="U601" t="s">
        <v>1323</v>
      </c>
      <c r="Z601" s="1346" t="str">
        <f>C569</f>
        <v>GP Equity</v>
      </c>
      <c r="AA601" s="1346"/>
      <c r="AB601" s="1346"/>
      <c r="AC601" s="1346"/>
      <c r="AD601" s="1346"/>
      <c r="AE601" s="1346"/>
      <c r="AF601" s="1346"/>
      <c r="AG601" s="1346"/>
      <c r="AH601" s="1346"/>
      <c r="AI601" s="1346"/>
      <c r="AJ601" s="1346"/>
      <c r="AK601" s="1346"/>
      <c r="AZ601" s="2"/>
      <c r="BA601" s="2"/>
      <c r="BB601" s="2"/>
      <c r="BC601" s="2"/>
    </row>
    <row r="602" spans="1:55" s="3" customFormat="1" ht="13.15" customHeight="1">
      <c r="A602" s="17"/>
      <c r="B602" t="s">
        <v>1064</v>
      </c>
      <c r="C602"/>
      <c r="D602"/>
      <c r="E602"/>
      <c r="F602"/>
      <c r="G602" s="1399" t="s">
        <v>2790</v>
      </c>
      <c r="H602" s="1399"/>
      <c r="I602" s="1399"/>
      <c r="J602" s="1399"/>
      <c r="K602" s="1399"/>
      <c r="L602" s="1399"/>
      <c r="M602" s="1399"/>
      <c r="N602" s="1399"/>
      <c r="O602" s="1399"/>
      <c r="P602" s="1399"/>
      <c r="Q602" s="1399"/>
      <c r="R602" s="1399"/>
      <c r="S602"/>
      <c r="T602" s="17"/>
      <c r="U602" t="s">
        <v>1064</v>
      </c>
      <c r="V602"/>
      <c r="W602"/>
      <c r="X602"/>
      <c r="Y602"/>
      <c r="Z602" s="1399" t="s">
        <v>2647</v>
      </c>
      <c r="AA602" s="1399"/>
      <c r="AB602" s="1399"/>
      <c r="AC602" s="1399"/>
      <c r="AD602" s="1399"/>
      <c r="AE602" s="1399"/>
      <c r="AF602" s="1399"/>
      <c r="AG602" s="1399"/>
      <c r="AH602" s="1399"/>
      <c r="AI602" s="1399"/>
      <c r="AJ602" s="1399"/>
      <c r="AK602" s="1399"/>
      <c r="AL602"/>
      <c r="AM602"/>
      <c r="AN602"/>
      <c r="AO602"/>
      <c r="AP602"/>
      <c r="AQ602"/>
      <c r="AR602"/>
      <c r="AS602"/>
      <c r="AT602"/>
      <c r="AU602"/>
      <c r="AV602"/>
      <c r="AW602"/>
      <c r="AX602"/>
      <c r="AY602"/>
      <c r="AZ602" s="2"/>
      <c r="BA602" s="2"/>
      <c r="BB602" s="2"/>
      <c r="BC602" s="2"/>
    </row>
    <row r="603" spans="1:55" s="3" customFormat="1" ht="13.15" customHeight="1">
      <c r="A603" s="17"/>
      <c r="B603" t="s">
        <v>931</v>
      </c>
      <c r="C603"/>
      <c r="D603"/>
      <c r="E603"/>
      <c r="F603"/>
      <c r="G603" s="1399" t="s">
        <v>887</v>
      </c>
      <c r="H603" s="1399"/>
      <c r="I603" s="1399"/>
      <c r="J603" s="1399"/>
      <c r="K603" s="1399"/>
      <c r="L603" s="1399"/>
      <c r="M603" s="1399"/>
      <c r="N603" s="1399"/>
      <c r="O603" s="1399"/>
      <c r="P603" s="1399"/>
      <c r="Q603" s="1399"/>
      <c r="R603" s="1399"/>
      <c r="S603"/>
      <c r="T603" s="17"/>
      <c r="U603" t="s">
        <v>931</v>
      </c>
      <c r="V603"/>
      <c r="W603"/>
      <c r="X603"/>
      <c r="Y603"/>
      <c r="Z603" s="1360" t="s">
        <v>2648</v>
      </c>
      <c r="AA603" s="1360"/>
      <c r="AB603" s="1360"/>
      <c r="AC603" s="1360"/>
      <c r="AD603" s="1360"/>
      <c r="AE603" s="1360"/>
      <c r="AF603" s="1360"/>
      <c r="AG603" s="1360"/>
      <c r="AH603" s="1360"/>
      <c r="AI603" s="1360"/>
      <c r="AJ603" s="1360"/>
      <c r="AK603" s="1360"/>
      <c r="AL603"/>
      <c r="AM603"/>
      <c r="AN603"/>
      <c r="AO603"/>
      <c r="AP603"/>
      <c r="AQ603"/>
      <c r="AR603"/>
      <c r="AS603"/>
      <c r="AT603"/>
      <c r="AU603"/>
      <c r="AV603"/>
      <c r="AW603"/>
      <c r="AX603"/>
      <c r="AY603"/>
      <c r="AZ603" s="2"/>
      <c r="BA603" s="2"/>
      <c r="BB603" s="2"/>
      <c r="BC603" s="2"/>
    </row>
    <row r="604" spans="1:55" s="3" customFormat="1" ht="13.15" customHeight="1">
      <c r="A604" s="17"/>
      <c r="B604" t="s">
        <v>1324</v>
      </c>
      <c r="C604"/>
      <c r="D604"/>
      <c r="E604"/>
      <c r="F604"/>
      <c r="G604" s="1399" t="s">
        <v>2789</v>
      </c>
      <c r="H604" s="1399"/>
      <c r="I604" s="1399"/>
      <c r="J604" s="1399"/>
      <c r="K604" s="1399"/>
      <c r="L604" s="1399"/>
      <c r="M604" s="1399"/>
      <c r="N604" s="1399"/>
      <c r="O604" s="1399"/>
      <c r="P604" s="1399"/>
      <c r="Q604" s="1399"/>
      <c r="R604" s="1399"/>
      <c r="S604"/>
      <c r="T604" s="17"/>
      <c r="U604" t="s">
        <v>1324</v>
      </c>
      <c r="V604"/>
      <c r="W604"/>
      <c r="X604"/>
      <c r="Y604"/>
      <c r="Z604" s="1360" t="s">
        <v>2740</v>
      </c>
      <c r="AA604" s="1360"/>
      <c r="AB604" s="1360"/>
      <c r="AC604" s="1360"/>
      <c r="AD604" s="1360"/>
      <c r="AE604" s="1360"/>
      <c r="AF604" s="1360"/>
      <c r="AG604" s="1360"/>
      <c r="AH604" s="1360"/>
      <c r="AI604" s="1360"/>
      <c r="AJ604" s="1360"/>
      <c r="AK604" s="1360"/>
      <c r="AL604"/>
      <c r="AM604"/>
      <c r="AN604"/>
      <c r="AO604"/>
      <c r="AP604"/>
      <c r="AQ604"/>
      <c r="AR604"/>
      <c r="AS604"/>
      <c r="AT604"/>
      <c r="AU604"/>
      <c r="AV604"/>
      <c r="AW604"/>
      <c r="AX604"/>
      <c r="AY604"/>
      <c r="AZ604" s="2"/>
      <c r="BA604" s="2"/>
      <c r="BB604" s="2"/>
      <c r="BC604" s="2"/>
    </row>
    <row r="605" spans="1:55" s="3" customFormat="1" ht="13.15" customHeight="1">
      <c r="A605" s="17"/>
      <c r="B605" t="s">
        <v>828</v>
      </c>
      <c r="C605"/>
      <c r="D605"/>
      <c r="E605"/>
      <c r="F605"/>
      <c r="G605" s="1338" t="s">
        <v>2791</v>
      </c>
      <c r="H605" s="1338"/>
      <c r="I605" s="1338"/>
      <c r="J605" s="1338"/>
      <c r="K605" s="1338"/>
      <c r="L605" s="1338"/>
      <c r="M605"/>
      <c r="N605"/>
      <c r="O605" s="813" t="s">
        <v>1068</v>
      </c>
      <c r="P605" s="1339"/>
      <c r="Q605" s="1339"/>
      <c r="R605" s="1339"/>
      <c r="S605"/>
      <c r="T605" s="17"/>
      <c r="U605" t="s">
        <v>828</v>
      </c>
      <c r="V605"/>
      <c r="W605"/>
      <c r="X605"/>
      <c r="Y605"/>
      <c r="Z605" s="1338" t="s">
        <v>2741</v>
      </c>
      <c r="AA605" s="1338"/>
      <c r="AB605" s="1338"/>
      <c r="AC605" s="1338"/>
      <c r="AD605" s="1338"/>
      <c r="AE605" s="1338"/>
      <c r="AF605"/>
      <c r="AG605"/>
      <c r="AH605" s="813" t="s">
        <v>1068</v>
      </c>
      <c r="AI605" s="1339"/>
      <c r="AJ605" s="1339"/>
      <c r="AK605" s="1339"/>
      <c r="AL605"/>
      <c r="AM605"/>
      <c r="AN605"/>
      <c r="AO605"/>
      <c r="AP605"/>
      <c r="AQ605"/>
      <c r="AR605"/>
      <c r="AS605"/>
      <c r="AT605"/>
      <c r="AU605"/>
      <c r="AV605"/>
      <c r="AW605"/>
      <c r="AX605"/>
      <c r="AY605"/>
      <c r="AZ605" s="2"/>
      <c r="BA605" s="2"/>
      <c r="BB605" s="2"/>
      <c r="BC605" s="2"/>
    </row>
    <row r="606" spans="1:55" s="3" customFormat="1" ht="13.15" customHeight="1">
      <c r="A606" s="17"/>
      <c r="B606" t="s">
        <v>1325</v>
      </c>
      <c r="C606"/>
      <c r="D606"/>
      <c r="E606"/>
      <c r="F606"/>
      <c r="G606"/>
      <c r="H606" s="1399" t="s">
        <v>2792</v>
      </c>
      <c r="I606" s="1399"/>
      <c r="J606" s="1399"/>
      <c r="K606" s="1399"/>
      <c r="L606" s="1399"/>
      <c r="M606" s="1399"/>
      <c r="N606" s="1399"/>
      <c r="O606" s="1399"/>
      <c r="P606" s="1399"/>
      <c r="Q606" s="1399"/>
      <c r="R606" s="1399"/>
      <c r="S606"/>
      <c r="T606" s="17"/>
      <c r="U606" t="s">
        <v>1325</v>
      </c>
      <c r="V606"/>
      <c r="W606"/>
      <c r="X606"/>
      <c r="Y606"/>
      <c r="Z606"/>
      <c r="AA606" s="1399" t="s">
        <v>2728</v>
      </c>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2"/>
      <c r="BA606" s="2"/>
      <c r="BB606" s="2"/>
      <c r="BC606" s="2"/>
    </row>
    <row r="607" spans="1:55" ht="13.15" customHeight="1">
      <c r="A607" s="17"/>
      <c r="B607" t="s">
        <v>1327</v>
      </c>
      <c r="N607" s="1356" t="s">
        <v>847</v>
      </c>
      <c r="O607" s="1356"/>
      <c r="T607" s="17"/>
      <c r="U607" t="s">
        <v>1327</v>
      </c>
      <c r="AG607" s="1356" t="s">
        <v>847</v>
      </c>
      <c r="AH607" s="1356"/>
      <c r="BB607" s="2"/>
      <c r="BC607" s="2"/>
    </row>
    <row r="608" spans="1:55" ht="13.15" customHeight="1">
      <c r="A608" s="17"/>
      <c r="T608" s="17"/>
      <c r="BB608" s="2"/>
      <c r="BC608" s="2"/>
    </row>
    <row r="609" spans="1:55" ht="13.15" customHeight="1">
      <c r="A609" s="36" t="s">
        <v>1318</v>
      </c>
      <c r="B609" t="s">
        <v>1323</v>
      </c>
      <c r="G609" s="1346" t="str">
        <f>C570</f>
        <v>City of Long Beach Fee Waiver</v>
      </c>
      <c r="H609" s="1346"/>
      <c r="I609" s="1346"/>
      <c r="J609" s="1346"/>
      <c r="K609" s="1346"/>
      <c r="L609" s="1346"/>
      <c r="M609" s="1346"/>
      <c r="N609" s="1346"/>
      <c r="O609" s="1346"/>
      <c r="P609" s="1346"/>
      <c r="Q609" s="1346"/>
      <c r="R609" s="1346"/>
      <c r="T609" s="36" t="s">
        <v>1319</v>
      </c>
      <c r="U609" t="s">
        <v>1323</v>
      </c>
      <c r="Z609" s="1346" t="str">
        <f>C571</f>
        <v>Deferred Developer Fee</v>
      </c>
      <c r="AA609" s="1346"/>
      <c r="AB609" s="1346"/>
      <c r="AC609" s="1346"/>
      <c r="AD609" s="1346"/>
      <c r="AE609" s="1346"/>
      <c r="AF609" s="1346"/>
      <c r="AG609" s="1346"/>
      <c r="AH609" s="1346"/>
      <c r="AI609" s="1346"/>
      <c r="AJ609" s="1346"/>
      <c r="AK609" s="1346"/>
      <c r="BB609" s="2"/>
      <c r="BC609" s="2"/>
    </row>
    <row r="610" spans="1:55" ht="13.15" customHeight="1">
      <c r="A610" s="17"/>
      <c r="B610" t="s">
        <v>1064</v>
      </c>
      <c r="G610" s="1399" t="s">
        <v>2736</v>
      </c>
      <c r="H610" s="1399"/>
      <c r="I610" s="1399"/>
      <c r="J610" s="1399"/>
      <c r="K610" s="1399"/>
      <c r="L610" s="1399"/>
      <c r="M610" s="1399"/>
      <c r="N610" s="1399"/>
      <c r="O610" s="1399"/>
      <c r="P610" s="1399"/>
      <c r="Q610" s="1399"/>
      <c r="R610" s="1399"/>
      <c r="T610" s="17"/>
      <c r="U610" t="s">
        <v>1064</v>
      </c>
      <c r="Z610" s="1399" t="s">
        <v>2647</v>
      </c>
      <c r="AA610" s="1399"/>
      <c r="AB610" s="1399"/>
      <c r="AC610" s="1399"/>
      <c r="AD610" s="1399"/>
      <c r="AE610" s="1399"/>
      <c r="AF610" s="1399"/>
      <c r="AG610" s="1399"/>
      <c r="AH610" s="1399"/>
      <c r="AI610" s="1399"/>
      <c r="AJ610" s="1399"/>
      <c r="AK610" s="1399"/>
      <c r="AZ610" s="2"/>
      <c r="BA610" s="2"/>
      <c r="BB610" s="2"/>
      <c r="BC610" s="2"/>
    </row>
    <row r="611" spans="1:55" ht="13.15" customHeight="1">
      <c r="A611" s="17"/>
      <c r="B611" t="s">
        <v>931</v>
      </c>
      <c r="G611" s="1399" t="s">
        <v>2737</v>
      </c>
      <c r="H611" s="1399"/>
      <c r="I611" s="1399"/>
      <c r="J611" s="1399"/>
      <c r="K611" s="1399"/>
      <c r="L611" s="1399"/>
      <c r="M611" s="1399"/>
      <c r="N611" s="1399"/>
      <c r="O611" s="1399"/>
      <c r="P611" s="1399"/>
      <c r="Q611" s="1399"/>
      <c r="R611" s="1399"/>
      <c r="T611" s="17"/>
      <c r="U611" t="s">
        <v>931</v>
      </c>
      <c r="Z611" s="1360" t="s">
        <v>2648</v>
      </c>
      <c r="AA611" s="1360"/>
      <c r="AB611" s="1360"/>
      <c r="AC611" s="1360"/>
      <c r="AD611" s="1360"/>
      <c r="AE611" s="1360"/>
      <c r="AF611" s="1360"/>
      <c r="AG611" s="1360"/>
      <c r="AH611" s="1360"/>
      <c r="AI611" s="1360"/>
      <c r="AJ611" s="1360"/>
      <c r="AK611" s="1360"/>
      <c r="AZ611" s="2"/>
      <c r="BA611" s="2"/>
      <c r="BB611" s="2"/>
      <c r="BC611" s="2"/>
    </row>
    <row r="612" spans="1:55" ht="13.15" customHeight="1">
      <c r="A612" s="17"/>
      <c r="B612" t="s">
        <v>1324</v>
      </c>
      <c r="G612" s="1399" t="s">
        <v>2738</v>
      </c>
      <c r="H612" s="1399"/>
      <c r="I612" s="1399"/>
      <c r="J612" s="1399"/>
      <c r="K612" s="1399"/>
      <c r="L612" s="1399"/>
      <c r="M612" s="1399"/>
      <c r="N612" s="1399"/>
      <c r="O612" s="1399"/>
      <c r="P612" s="1399"/>
      <c r="Q612" s="1399"/>
      <c r="R612" s="1399"/>
      <c r="T612" s="17"/>
      <c r="U612" t="s">
        <v>1324</v>
      </c>
      <c r="Z612" s="1360" t="s">
        <v>2740</v>
      </c>
      <c r="AA612" s="1360"/>
      <c r="AB612" s="1360"/>
      <c r="AC612" s="1360"/>
      <c r="AD612" s="1360"/>
      <c r="AE612" s="1360"/>
      <c r="AF612" s="1360"/>
      <c r="AG612" s="1360"/>
      <c r="AH612" s="1360"/>
      <c r="AI612" s="1360"/>
      <c r="AJ612" s="1360"/>
      <c r="AK612" s="1360"/>
      <c r="AZ612" s="2"/>
      <c r="BA612" s="2"/>
      <c r="BB612" s="2"/>
      <c r="BC612" s="2"/>
    </row>
    <row r="613" spans="1:55" s="3" customFormat="1" ht="13.15" customHeight="1">
      <c r="A613" s="17"/>
      <c r="B613" t="s">
        <v>828</v>
      </c>
      <c r="C613"/>
      <c r="D613"/>
      <c r="E613"/>
      <c r="F613"/>
      <c r="G613" s="1338" t="s">
        <v>2739</v>
      </c>
      <c r="H613" s="1338"/>
      <c r="I613" s="1338"/>
      <c r="J613" s="1338"/>
      <c r="K613" s="1338"/>
      <c r="L613" s="1338"/>
      <c r="M613"/>
      <c r="N613"/>
      <c r="O613" s="813" t="s">
        <v>1068</v>
      </c>
      <c r="P613" s="1339"/>
      <c r="Q613" s="1339"/>
      <c r="R613" s="1339"/>
      <c r="S613"/>
      <c r="T613" s="17"/>
      <c r="U613" t="s">
        <v>828</v>
      </c>
      <c r="V613"/>
      <c r="W613"/>
      <c r="X613"/>
      <c r="Y613"/>
      <c r="Z613" s="1338" t="s">
        <v>2741</v>
      </c>
      <c r="AA613" s="1338"/>
      <c r="AB613" s="1338"/>
      <c r="AC613" s="1338"/>
      <c r="AD613" s="1338"/>
      <c r="AE613" s="1338"/>
      <c r="AF613"/>
      <c r="AG613"/>
      <c r="AH613" s="813" t="s">
        <v>1068</v>
      </c>
      <c r="AI613" s="1339"/>
      <c r="AJ613" s="1339"/>
      <c r="AK613" s="1339"/>
      <c r="AL613"/>
      <c r="AM613"/>
      <c r="AN613"/>
      <c r="AO613"/>
      <c r="AP613"/>
      <c r="AQ613"/>
      <c r="AR613"/>
      <c r="AS613"/>
      <c r="AT613"/>
      <c r="AU613"/>
      <c r="AV613"/>
      <c r="AW613"/>
      <c r="AX613"/>
      <c r="AY613"/>
      <c r="AZ613" s="2"/>
      <c r="BA613" s="2"/>
      <c r="BB613" s="2"/>
      <c r="BC613" s="2"/>
    </row>
    <row r="614" spans="1:55" s="3" customFormat="1" ht="13.15" customHeight="1">
      <c r="A614" s="17"/>
      <c r="B614" t="s">
        <v>1325</v>
      </c>
      <c r="C614"/>
      <c r="D614"/>
      <c r="E614"/>
      <c r="F614"/>
      <c r="G614"/>
      <c r="H614" s="1399" t="s">
        <v>2742</v>
      </c>
      <c r="I614" s="1399"/>
      <c r="J614" s="1399"/>
      <c r="K614" s="1399"/>
      <c r="L614" s="1399"/>
      <c r="M614" s="1399"/>
      <c r="N614" s="1399"/>
      <c r="O614" s="1399"/>
      <c r="P614" s="1399"/>
      <c r="Q614" s="1399"/>
      <c r="R614" s="1399"/>
      <c r="S614"/>
      <c r="T614" s="17"/>
      <c r="U614" t="s">
        <v>1325</v>
      </c>
      <c r="V614"/>
      <c r="W614"/>
      <c r="X614"/>
      <c r="Y614"/>
      <c r="Z614"/>
      <c r="AA614" s="1399" t="s">
        <v>1908</v>
      </c>
      <c r="AB614" s="1399"/>
      <c r="AC614" s="1399"/>
      <c r="AD614" s="1399"/>
      <c r="AE614" s="1399"/>
      <c r="AF614" s="1399"/>
      <c r="AG614" s="1399"/>
      <c r="AH614" s="1399"/>
      <c r="AI614" s="1399"/>
      <c r="AJ614" s="1399"/>
      <c r="AK614" s="1399"/>
      <c r="AL614"/>
      <c r="AM614"/>
      <c r="AN614"/>
      <c r="AO614"/>
      <c r="AP614"/>
      <c r="AQ614"/>
      <c r="AR614"/>
      <c r="AS614"/>
      <c r="AT614"/>
      <c r="AU614"/>
      <c r="AV614"/>
      <c r="AW614"/>
      <c r="AX614"/>
      <c r="AY614"/>
      <c r="AZ614" s="2"/>
      <c r="BA614" s="2"/>
      <c r="BB614" s="2"/>
      <c r="BC614" s="2"/>
    </row>
    <row r="615" spans="1:55" s="3" customFormat="1" ht="13.15" customHeight="1">
      <c r="A615" s="17"/>
      <c r="B615" t="s">
        <v>1327</v>
      </c>
      <c r="C615"/>
      <c r="D615"/>
      <c r="E615"/>
      <c r="F615"/>
      <c r="G615"/>
      <c r="H615"/>
      <c r="I615"/>
      <c r="J615"/>
      <c r="K615"/>
      <c r="L615"/>
      <c r="M615"/>
      <c r="N615" s="1356" t="s">
        <v>847</v>
      </c>
      <c r="O615" s="1356"/>
      <c r="P615"/>
      <c r="Q615"/>
      <c r="R615"/>
      <c r="S615"/>
      <c r="T615" s="17"/>
      <c r="U615" t="s">
        <v>1327</v>
      </c>
      <c r="V615"/>
      <c r="W615"/>
      <c r="X615"/>
      <c r="Y615"/>
      <c r="Z615"/>
      <c r="AA615"/>
      <c r="AB615"/>
      <c r="AC615"/>
      <c r="AD615"/>
      <c r="AE615"/>
      <c r="AF615"/>
      <c r="AG615" s="1356" t="s">
        <v>847</v>
      </c>
      <c r="AH615" s="1356"/>
      <c r="AI615"/>
      <c r="AJ615"/>
      <c r="AK615"/>
      <c r="AL615"/>
      <c r="AM615"/>
      <c r="AN615"/>
      <c r="AO615"/>
      <c r="AP615"/>
      <c r="AQ615"/>
      <c r="AR615"/>
      <c r="AS615"/>
      <c r="AT615"/>
      <c r="AU615"/>
      <c r="AV615"/>
      <c r="AW615"/>
      <c r="AX615"/>
      <c r="AY615"/>
      <c r="AZ615" s="2"/>
      <c r="BA615" s="2"/>
      <c r="BB615" s="2"/>
      <c r="BC615" s="2"/>
    </row>
    <row r="616" spans="1:55" ht="13.15" customHeight="1">
      <c r="A616" s="17"/>
      <c r="T616" s="17"/>
      <c r="AZ616" s="2"/>
      <c r="BA616" s="2"/>
      <c r="BB616" s="2"/>
      <c r="BC616" s="2"/>
    </row>
    <row r="617" spans="1:55" ht="13.15" customHeight="1">
      <c r="A617" s="36" t="s">
        <v>1320</v>
      </c>
      <c r="B617" t="s">
        <v>1323</v>
      </c>
      <c r="G617" s="1346">
        <f>C572</f>
        <v>0</v>
      </c>
      <c r="H617" s="1346"/>
      <c r="I617" s="1346"/>
      <c r="J617" s="1346"/>
      <c r="K617" s="1346"/>
      <c r="L617" s="1346"/>
      <c r="M617" s="1346"/>
      <c r="N617" s="1346"/>
      <c r="O617" s="1346"/>
      <c r="P617" s="1346"/>
      <c r="Q617" s="1346"/>
      <c r="R617" s="1346"/>
      <c r="T617" s="36" t="s">
        <v>1321</v>
      </c>
      <c r="U617" t="s">
        <v>1323</v>
      </c>
      <c r="Z617" s="1346">
        <f>C573</f>
        <v>0</v>
      </c>
      <c r="AA617" s="1346"/>
      <c r="AB617" s="1346"/>
      <c r="AC617" s="1346"/>
      <c r="AD617" s="1346"/>
      <c r="AE617" s="1346"/>
      <c r="AF617" s="1346"/>
      <c r="AG617" s="1346"/>
      <c r="AH617" s="1346"/>
      <c r="AI617" s="1346"/>
      <c r="AJ617" s="1346"/>
      <c r="AK617" s="1346"/>
      <c r="AZ617" s="2"/>
      <c r="BA617" s="2"/>
      <c r="BB617" s="2"/>
      <c r="BC617" s="2"/>
    </row>
    <row r="618" spans="1:55" ht="13.15" customHeight="1">
      <c r="B618" t="s">
        <v>1064</v>
      </c>
      <c r="G618" s="1399"/>
      <c r="H618" s="1399"/>
      <c r="I618" s="1399"/>
      <c r="J618" s="1399"/>
      <c r="K618" s="1399"/>
      <c r="L618" s="1399"/>
      <c r="M618" s="1399"/>
      <c r="N618" s="1399"/>
      <c r="O618" s="1399"/>
      <c r="P618" s="1399"/>
      <c r="Q618" s="1399"/>
      <c r="R618" s="1399"/>
      <c r="U618" t="s">
        <v>1064</v>
      </c>
      <c r="Z618" s="1399"/>
      <c r="AA618" s="1399"/>
      <c r="AB618" s="1399"/>
      <c r="AC618" s="1399"/>
      <c r="AD618" s="1399"/>
      <c r="AE618" s="1399"/>
      <c r="AF618" s="1399"/>
      <c r="AG618" s="1399"/>
      <c r="AH618" s="1399"/>
      <c r="AI618" s="1399"/>
      <c r="AJ618" s="1399"/>
      <c r="AK618" s="1399"/>
      <c r="AZ618" s="2"/>
      <c r="BA618" s="2"/>
      <c r="BB618" s="2"/>
      <c r="BC618" s="2"/>
    </row>
    <row r="619" spans="1:55" ht="13.15" customHeight="1">
      <c r="B619" t="s">
        <v>931</v>
      </c>
      <c r="G619" s="1399"/>
      <c r="H619" s="1399"/>
      <c r="I619" s="1399"/>
      <c r="J619" s="1399"/>
      <c r="K619" s="1399"/>
      <c r="L619" s="1399"/>
      <c r="M619" s="1399"/>
      <c r="N619" s="1399"/>
      <c r="O619" s="1399"/>
      <c r="P619" s="1399"/>
      <c r="Q619" s="1399"/>
      <c r="R619" s="1399"/>
      <c r="U619" t="s">
        <v>931</v>
      </c>
      <c r="Z619" s="1360"/>
      <c r="AA619" s="1360"/>
      <c r="AB619" s="1360"/>
      <c r="AC619" s="1360"/>
      <c r="AD619" s="1360"/>
      <c r="AE619" s="1360"/>
      <c r="AF619" s="1360"/>
      <c r="AG619" s="1360"/>
      <c r="AH619" s="1360"/>
      <c r="AI619" s="1360"/>
      <c r="AJ619" s="1360"/>
      <c r="AK619" s="1360"/>
      <c r="AZ619" s="2"/>
      <c r="BA619" s="2"/>
      <c r="BB619" s="2"/>
      <c r="BC619" s="2"/>
    </row>
    <row r="620" spans="1:55" ht="13.15" customHeight="1">
      <c r="B620" t="s">
        <v>1324</v>
      </c>
      <c r="G620" s="1399"/>
      <c r="H620" s="1399"/>
      <c r="I620" s="1399"/>
      <c r="J620" s="1399"/>
      <c r="K620" s="1399"/>
      <c r="L620" s="1399"/>
      <c r="M620" s="1399"/>
      <c r="N620" s="1399"/>
      <c r="O620" s="1399"/>
      <c r="P620" s="1399"/>
      <c r="Q620" s="1399"/>
      <c r="R620" s="1399"/>
      <c r="U620" t="s">
        <v>1324</v>
      </c>
      <c r="Z620" s="1360"/>
      <c r="AA620" s="1360"/>
      <c r="AB620" s="1360"/>
      <c r="AC620" s="1360"/>
      <c r="AD620" s="1360"/>
      <c r="AE620" s="1360"/>
      <c r="AF620" s="1360"/>
      <c r="AG620" s="1360"/>
      <c r="AH620" s="1360"/>
      <c r="AI620" s="1360"/>
      <c r="AJ620" s="1360"/>
      <c r="AK620" s="1360"/>
      <c r="AZ620" s="2"/>
      <c r="BA620" s="2"/>
      <c r="BB620" s="2"/>
      <c r="BC620" s="2"/>
    </row>
    <row r="621" spans="1:55" ht="13.15" customHeight="1">
      <c r="B621" t="s">
        <v>828</v>
      </c>
      <c r="G621" s="1338"/>
      <c r="H621" s="1338"/>
      <c r="I621" s="1338"/>
      <c r="J621" s="1338"/>
      <c r="K621" s="1338"/>
      <c r="L621" s="1338"/>
      <c r="O621" s="813" t="s">
        <v>1068</v>
      </c>
      <c r="P621" s="1339"/>
      <c r="Q621" s="1339"/>
      <c r="R621" s="1339"/>
      <c r="U621" t="s">
        <v>828</v>
      </c>
      <c r="Z621" s="1338"/>
      <c r="AA621" s="1338"/>
      <c r="AB621" s="1338"/>
      <c r="AC621" s="1338"/>
      <c r="AD621" s="1338"/>
      <c r="AE621" s="1338"/>
      <c r="AH621" s="813" t="s">
        <v>1068</v>
      </c>
      <c r="AI621" s="1339"/>
      <c r="AJ621" s="1339"/>
      <c r="AK621" s="1339"/>
      <c r="AZ621" s="2"/>
      <c r="BA621" s="2"/>
      <c r="BB621" s="2"/>
      <c r="BC621" s="2"/>
    </row>
    <row r="622" spans="1:55" ht="13.15" customHeight="1">
      <c r="B622" t="s">
        <v>1325</v>
      </c>
      <c r="H622" s="1399"/>
      <c r="I622" s="1399"/>
      <c r="J622" s="1399"/>
      <c r="K622" s="1399"/>
      <c r="L622" s="1399"/>
      <c r="M622" s="1399"/>
      <c r="N622" s="1399"/>
      <c r="O622" s="1399"/>
      <c r="P622" s="1399"/>
      <c r="Q622" s="1399"/>
      <c r="R622" s="1399"/>
      <c r="U622" t="s">
        <v>1325</v>
      </c>
      <c r="AA622" s="1399"/>
      <c r="AB622" s="1399"/>
      <c r="AC622" s="1399"/>
      <c r="AD622" s="1399"/>
      <c r="AE622" s="1399"/>
      <c r="AF622" s="1399"/>
      <c r="AG622" s="1399"/>
      <c r="AH622" s="1399"/>
      <c r="AI622" s="1399"/>
      <c r="AJ622" s="1399"/>
      <c r="AK622" s="1399"/>
      <c r="AU622" s="706"/>
      <c r="AV622" s="706"/>
      <c r="AW622" s="706"/>
      <c r="AX622" s="706"/>
      <c r="AY622" s="706"/>
      <c r="AZ622" s="2"/>
      <c r="BA622" s="2"/>
      <c r="BB622" s="2"/>
      <c r="BC622" s="2"/>
    </row>
    <row r="623" spans="1:55" ht="13.15" customHeight="1">
      <c r="B623" t="s">
        <v>1327</v>
      </c>
      <c r="N623" s="1356" t="s">
        <v>696</v>
      </c>
      <c r="O623" s="1356"/>
      <c r="U623" t="s">
        <v>1327</v>
      </c>
      <c r="AG623" s="1356" t="s">
        <v>696</v>
      </c>
      <c r="AH623" s="1356"/>
      <c r="AU623" s="706"/>
      <c r="AV623" s="706"/>
      <c r="AW623" s="706"/>
      <c r="AX623" s="706"/>
      <c r="AY623" s="706"/>
      <c r="AZ623" s="2"/>
      <c r="BA623" s="2"/>
      <c r="BB623" s="2"/>
      <c r="BC623" s="2"/>
    </row>
    <row r="624" spans="1:55" ht="13.15" customHeight="1">
      <c r="AZ624" s="2"/>
      <c r="BA624" s="2"/>
      <c r="BB624" s="2"/>
      <c r="BC624" s="2"/>
    </row>
    <row r="625" spans="1:56" ht="13.15" customHeight="1">
      <c r="A625" s="1253" t="s">
        <v>1328</v>
      </c>
      <c r="B625" s="1253"/>
      <c r="C625" s="1253"/>
      <c r="D625" s="1253"/>
      <c r="E625" s="1253"/>
      <c r="F625" s="1253"/>
      <c r="G625" s="1253"/>
      <c r="H625" s="1253"/>
      <c r="I625" s="1253"/>
      <c r="J625" s="1253"/>
      <c r="K625" s="1253"/>
      <c r="L625" s="1253"/>
      <c r="M625" s="1253"/>
      <c r="N625" s="1253"/>
      <c r="O625" s="1253"/>
      <c r="P625" s="1253"/>
      <c r="Q625" s="1253"/>
      <c r="R625" s="1253"/>
      <c r="S625" s="1253"/>
      <c r="T625" s="1253"/>
      <c r="U625" s="1253"/>
      <c r="V625" s="1253"/>
      <c r="W625" s="1253"/>
      <c r="X625" s="1253"/>
      <c r="Y625" s="1253"/>
      <c r="Z625" s="1253"/>
      <c r="AA625" s="1253"/>
      <c r="AB625" s="1253"/>
      <c r="AC625" s="1253"/>
      <c r="AD625" s="1253"/>
      <c r="AE625" s="1253"/>
      <c r="AF625" s="1253"/>
      <c r="AG625" s="1253"/>
      <c r="AH625" s="1253"/>
      <c r="AI625" s="1253"/>
      <c r="AJ625" s="1253"/>
      <c r="AK625" s="1253"/>
      <c r="AL625" s="1253"/>
      <c r="AM625" s="1253"/>
      <c r="AN625" s="1253"/>
      <c r="AO625" s="1253"/>
      <c r="AP625" s="1253"/>
      <c r="AQ625" s="1253"/>
      <c r="AR625" s="1253"/>
      <c r="AS625" s="1253"/>
      <c r="AT625" s="1253"/>
      <c r="AZ625" s="2"/>
      <c r="BA625" s="2"/>
      <c r="BB625" s="2"/>
      <c r="BC625" s="2"/>
    </row>
    <row r="626" spans="1:56" ht="13.15" customHeight="1">
      <c r="A626" s="1253"/>
      <c r="B626" s="1253"/>
      <c r="C626" s="1253"/>
      <c r="D626" s="1253"/>
      <c r="E626" s="1253"/>
      <c r="F626" s="1253"/>
      <c r="G626" s="1253"/>
      <c r="H626" s="1253"/>
      <c r="I626" s="1253"/>
      <c r="J626" s="1253"/>
      <c r="K626" s="1253"/>
      <c r="L626" s="1253"/>
      <c r="M626" s="1253"/>
      <c r="N626" s="1253"/>
      <c r="O626" s="1253"/>
      <c r="P626" s="1253"/>
      <c r="Q626" s="1253"/>
      <c r="R626" s="1253"/>
      <c r="S626" s="1253"/>
      <c r="T626" s="1253"/>
      <c r="U626" s="1253"/>
      <c r="V626" s="1253"/>
      <c r="W626" s="1253"/>
      <c r="X626" s="1253"/>
      <c r="Y626" s="1253"/>
      <c r="Z626" s="1253"/>
      <c r="AA626" s="1253"/>
      <c r="AB626" s="1253"/>
      <c r="AC626" s="1253"/>
      <c r="AD626" s="1253"/>
      <c r="AE626" s="1253"/>
      <c r="AF626" s="1253"/>
      <c r="AG626" s="1253"/>
      <c r="AH626" s="1253"/>
      <c r="AI626" s="1253"/>
      <c r="AJ626" s="1253"/>
      <c r="AK626" s="1253"/>
      <c r="AL626" s="1253"/>
      <c r="AM626" s="1253"/>
      <c r="AN626" s="1253"/>
      <c r="AO626" s="1253"/>
      <c r="AP626" s="1253"/>
      <c r="AQ626" s="1253"/>
      <c r="AR626" s="1253"/>
      <c r="AS626" s="1253"/>
      <c r="AT626" s="1253"/>
      <c r="AZ626" s="2"/>
      <c r="BA626" s="2"/>
      <c r="BB626" s="2"/>
      <c r="BC626" s="2"/>
    </row>
    <row r="627" spans="1:56" ht="13.15" customHeight="1">
      <c r="AZ627" s="2"/>
      <c r="BA627" s="2"/>
      <c r="BB627" s="2"/>
      <c r="BC627" s="2"/>
    </row>
    <row r="628" spans="1:56" ht="13.15" customHeight="1">
      <c r="A628" s="1" t="s">
        <v>872</v>
      </c>
      <c r="B628" s="1"/>
      <c r="C628" s="1" t="s">
        <v>175</v>
      </c>
      <c r="AZ628" s="2"/>
      <c r="BA628" s="2"/>
      <c r="BB628" s="2"/>
      <c r="BC628" s="2"/>
    </row>
    <row r="629" spans="1:56" ht="13.15" customHeight="1">
      <c r="A629" s="1"/>
      <c r="B629" s="1"/>
      <c r="C629" s="1"/>
      <c r="AZ629" s="2"/>
      <c r="BA629" s="2"/>
      <c r="BB629" s="2"/>
      <c r="BC629" s="2"/>
    </row>
    <row r="630" spans="1:56" ht="13.15" customHeight="1">
      <c r="C630" s="1" t="s">
        <v>1305</v>
      </c>
      <c r="AZ630" s="2"/>
      <c r="BA630" s="2"/>
      <c r="BB630" s="2"/>
      <c r="BC630" s="2"/>
    </row>
    <row r="631" spans="1:56" ht="13.15" customHeight="1">
      <c r="B631" s="364"/>
      <c r="C631" s="1"/>
      <c r="AU631" s="2"/>
      <c r="AZ631" s="2"/>
      <c r="BA631" s="2"/>
      <c r="BB631" s="2"/>
      <c r="BC631" s="2"/>
    </row>
    <row r="632" spans="1:56" ht="13.15" customHeight="1">
      <c r="B632" s="1767" t="s">
        <v>1306</v>
      </c>
      <c r="C632" s="1767"/>
      <c r="D632" s="1767"/>
      <c r="E632" s="1767"/>
      <c r="F632" s="1767"/>
      <c r="G632" s="1767"/>
      <c r="H632" s="1767"/>
      <c r="I632" s="1767"/>
      <c r="J632" s="1767"/>
      <c r="K632" s="1767"/>
      <c r="L632" s="1767"/>
      <c r="M632" s="1621" t="s">
        <v>1307</v>
      </c>
      <c r="N632" s="1621"/>
      <c r="O632" s="1621"/>
      <c r="P632" s="1621"/>
      <c r="Q632" s="1621" t="s">
        <v>1329</v>
      </c>
      <c r="R632" s="1621"/>
      <c r="S632" s="1621"/>
      <c r="T632" s="1621" t="s">
        <v>1330</v>
      </c>
      <c r="U632" s="1621"/>
      <c r="V632" s="1621"/>
      <c r="W632" s="1454" t="s">
        <v>1310</v>
      </c>
      <c r="X632" s="1454"/>
      <c r="Y632" s="1454"/>
      <c r="Z632" s="1405" t="s">
        <v>1331</v>
      </c>
      <c r="AA632" s="1405"/>
      <c r="AB632" s="1406"/>
      <c r="AC632" s="1776" t="s">
        <v>1312</v>
      </c>
      <c r="AD632" s="1777"/>
      <c r="AE632" s="1778"/>
      <c r="AF632" s="1404" t="s">
        <v>1332</v>
      </c>
      <c r="AG632" s="1405"/>
      <c r="AH632" s="1405"/>
      <c r="AI632" s="1405"/>
      <c r="AJ632" s="1406"/>
      <c r="AK632" s="1611" t="s">
        <v>1333</v>
      </c>
      <c r="AL632" s="1612"/>
      <c r="AM632" s="1612"/>
      <c r="AN632" s="1613"/>
      <c r="AO632" s="1621" t="s">
        <v>1314</v>
      </c>
      <c r="AP632" s="1621"/>
      <c r="AQ632" s="1621"/>
      <c r="AR632" s="1621"/>
      <c r="AS632" s="1621"/>
      <c r="AU632" s="2"/>
      <c r="AZ632" s="2"/>
      <c r="BA632" s="2"/>
      <c r="BB632" s="2"/>
      <c r="BC632" s="2"/>
    </row>
    <row r="633" spans="1:56" ht="13.15" customHeight="1">
      <c r="B633" s="1767"/>
      <c r="C633" s="1767"/>
      <c r="D633" s="1767"/>
      <c r="E633" s="1767"/>
      <c r="F633" s="1767"/>
      <c r="G633" s="1767"/>
      <c r="H633" s="1767"/>
      <c r="I633" s="1767"/>
      <c r="J633" s="1767"/>
      <c r="K633" s="1767"/>
      <c r="L633" s="1767"/>
      <c r="M633" s="1621"/>
      <c r="N633" s="1621"/>
      <c r="O633" s="1621"/>
      <c r="P633" s="1621"/>
      <c r="Q633" s="1621"/>
      <c r="R633" s="1621"/>
      <c r="S633" s="1621"/>
      <c r="T633" s="1621"/>
      <c r="U633" s="1621"/>
      <c r="V633" s="1621"/>
      <c r="W633" s="1454"/>
      <c r="X633" s="1454"/>
      <c r="Y633" s="1454"/>
      <c r="Z633" s="1408"/>
      <c r="AA633" s="1408"/>
      <c r="AB633" s="1409"/>
      <c r="AC633" s="1779"/>
      <c r="AD633" s="1780"/>
      <c r="AE633" s="1781"/>
      <c r="AF633" s="1407"/>
      <c r="AG633" s="1408"/>
      <c r="AH633" s="1408"/>
      <c r="AI633" s="1408"/>
      <c r="AJ633" s="1409"/>
      <c r="AK633" s="1614"/>
      <c r="AL633" s="1615"/>
      <c r="AM633" s="1615"/>
      <c r="AN633" s="1616"/>
      <c r="AO633" s="1621"/>
      <c r="AP633" s="1621"/>
      <c r="AQ633" s="1621"/>
      <c r="AR633" s="1621"/>
      <c r="AS633" s="1621"/>
      <c r="AU633" s="2"/>
      <c r="AZ633" s="2"/>
      <c r="BA633" s="2"/>
      <c r="BB633" s="2"/>
      <c r="BC633" s="2"/>
      <c r="BD633" s="2"/>
    </row>
    <row r="634" spans="1:56" ht="13.15" customHeight="1">
      <c r="B634" s="1767"/>
      <c r="C634" s="1767"/>
      <c r="D634" s="1767"/>
      <c r="E634" s="1767"/>
      <c r="F634" s="1767"/>
      <c r="G634" s="1767"/>
      <c r="H634" s="1767"/>
      <c r="I634" s="1767"/>
      <c r="J634" s="1767"/>
      <c r="K634" s="1767"/>
      <c r="L634" s="1767"/>
      <c r="M634" s="1621"/>
      <c r="N634" s="1621"/>
      <c r="O634" s="1621"/>
      <c r="P634" s="1621"/>
      <c r="Q634" s="1621"/>
      <c r="R634" s="1621"/>
      <c r="S634" s="1621"/>
      <c r="T634" s="1621"/>
      <c r="U634" s="1621"/>
      <c r="V634" s="1621"/>
      <c r="W634" s="1454"/>
      <c r="X634" s="1454"/>
      <c r="Y634" s="1454"/>
      <c r="Z634" s="1411"/>
      <c r="AA634" s="1411"/>
      <c r="AB634" s="1412"/>
      <c r="AC634" s="1782"/>
      <c r="AD634" s="1783"/>
      <c r="AE634" s="1784"/>
      <c r="AF634" s="1410"/>
      <c r="AG634" s="1411"/>
      <c r="AH634" s="1411"/>
      <c r="AI634" s="1411"/>
      <c r="AJ634" s="1412"/>
      <c r="AK634" s="1617"/>
      <c r="AL634" s="1618"/>
      <c r="AM634" s="1618"/>
      <c r="AN634" s="1619"/>
      <c r="AO634" s="1621"/>
      <c r="AP634" s="1621"/>
      <c r="AQ634" s="1621"/>
      <c r="AR634" s="1621"/>
      <c r="AS634" s="1621"/>
      <c r="AT634" s="2"/>
      <c r="AU634" s="2"/>
      <c r="AZ634" s="2"/>
      <c r="BA634" s="2"/>
      <c r="BB634" s="2"/>
      <c r="BC634" s="2"/>
      <c r="BD634" s="2"/>
    </row>
    <row r="635" spans="1:56" ht="13.15" customHeight="1">
      <c r="B635" s="34" t="s">
        <v>18</v>
      </c>
      <c r="C635" s="1544" t="s">
        <v>2743</v>
      </c>
      <c r="D635" s="1544"/>
      <c r="E635" s="1544"/>
      <c r="F635" s="1544"/>
      <c r="G635" s="1544"/>
      <c r="H635" s="1544"/>
      <c r="I635" s="1544"/>
      <c r="J635" s="1544"/>
      <c r="K635" s="1544"/>
      <c r="L635" s="1544"/>
      <c r="M635" s="1537" t="s">
        <v>1289</v>
      </c>
      <c r="N635" s="1537"/>
      <c r="O635" s="1537"/>
      <c r="P635" s="1537"/>
      <c r="Q635" s="1498">
        <v>480</v>
      </c>
      <c r="R635" s="1498"/>
      <c r="S635" s="1562"/>
      <c r="T635" s="1561">
        <f>40*12</f>
        <v>480</v>
      </c>
      <c r="U635" s="1498"/>
      <c r="V635" s="1562"/>
      <c r="W635" s="1357">
        <v>7.1199999999999999E-2</v>
      </c>
      <c r="X635" s="1358"/>
      <c r="Y635" s="1359"/>
      <c r="Z635" s="1445" t="s">
        <v>1336</v>
      </c>
      <c r="AA635" s="1446"/>
      <c r="AB635" s="1447"/>
      <c r="AC635" s="1395">
        <v>1</v>
      </c>
      <c r="AD635" s="1396"/>
      <c r="AE635" s="1397"/>
      <c r="AF635" s="1451">
        <v>1633240</v>
      </c>
      <c r="AG635" s="1452"/>
      <c r="AH635" s="1452"/>
      <c r="AI635" s="1452"/>
      <c r="AJ635" s="1453"/>
      <c r="AK635" s="1340"/>
      <c r="AL635" s="1341"/>
      <c r="AM635" s="1341"/>
      <c r="AN635" s="1342"/>
      <c r="AO635" s="1569">
        <v>21598000</v>
      </c>
      <c r="AP635" s="1569"/>
      <c r="AQ635" s="1569"/>
      <c r="AR635" s="1569"/>
      <c r="AS635" s="1569"/>
      <c r="AT635" s="2"/>
      <c r="AU635" s="2"/>
      <c r="AZ635" s="2"/>
      <c r="BA635" s="2"/>
      <c r="BB635" s="2"/>
      <c r="BC635" s="2"/>
      <c r="BD635" s="2"/>
    </row>
    <row r="636" spans="1:56" ht="13.15" customHeight="1">
      <c r="B636" s="35" t="s">
        <v>31</v>
      </c>
      <c r="C636" s="1544" t="s">
        <v>1818</v>
      </c>
      <c r="D636" s="1544"/>
      <c r="E636" s="1544"/>
      <c r="F636" s="1544"/>
      <c r="G636" s="1544"/>
      <c r="H636" s="1544"/>
      <c r="I636" s="1544"/>
      <c r="J636" s="1544"/>
      <c r="K636" s="1544"/>
      <c r="L636" s="1544"/>
      <c r="M636" s="1537" t="s">
        <v>1285</v>
      </c>
      <c r="N636" s="1537"/>
      <c r="O636" s="1537"/>
      <c r="P636" s="1537"/>
      <c r="Q636" s="1561">
        <v>480</v>
      </c>
      <c r="R636" s="1498"/>
      <c r="S636" s="1562"/>
      <c r="T636" s="1561"/>
      <c r="U636" s="1498"/>
      <c r="V636" s="1562"/>
      <c r="W636" s="1357">
        <v>0.03</v>
      </c>
      <c r="X636" s="1358"/>
      <c r="Y636" s="1359"/>
      <c r="Z636" s="1445" t="s">
        <v>1335</v>
      </c>
      <c r="AA636" s="1446"/>
      <c r="AB636" s="1447"/>
      <c r="AC636" s="1395">
        <v>2</v>
      </c>
      <c r="AD636" s="1396"/>
      <c r="AE636" s="1397"/>
      <c r="AF636" s="1451"/>
      <c r="AG636" s="1452"/>
      <c r="AH636" s="1452"/>
      <c r="AI636" s="1452"/>
      <c r="AJ636" s="1453"/>
      <c r="AK636" s="1340"/>
      <c r="AL636" s="1341"/>
      <c r="AM636" s="1341"/>
      <c r="AN636" s="1342"/>
      <c r="AO636" s="1444">
        <v>6000000</v>
      </c>
      <c r="AP636" s="1321"/>
      <c r="AQ636" s="1321"/>
      <c r="AR636" s="1321"/>
      <c r="AS636" s="1322"/>
      <c r="AT636" s="924" t="str">
        <f>IF(AND(NOT(C635=""),C636="",NOT(C637="")),"!","")</f>
        <v/>
      </c>
      <c r="AU636" s="2"/>
      <c r="AZ636" s="2"/>
      <c r="BA636" s="2"/>
      <c r="BB636" s="2"/>
      <c r="BC636" s="2"/>
      <c r="BD636" s="2"/>
    </row>
    <row r="637" spans="1:56" ht="13.15" customHeight="1">
      <c r="B637" s="35" t="s">
        <v>39</v>
      </c>
      <c r="C637" s="1544" t="s">
        <v>2725</v>
      </c>
      <c r="D637" s="1544"/>
      <c r="E637" s="1544"/>
      <c r="F637" s="1544"/>
      <c r="G637" s="1544"/>
      <c r="H637" s="1544"/>
      <c r="I637" s="1544"/>
      <c r="J637" s="1544"/>
      <c r="K637" s="1544"/>
      <c r="L637" s="1544"/>
      <c r="M637" s="1537" t="s">
        <v>1285</v>
      </c>
      <c r="N637" s="1537"/>
      <c r="O637" s="1537"/>
      <c r="P637" s="1537"/>
      <c r="Q637" s="1561">
        <f>55*12</f>
        <v>660</v>
      </c>
      <c r="R637" s="1498"/>
      <c r="S637" s="1562"/>
      <c r="T637" s="1561"/>
      <c r="U637" s="1498"/>
      <c r="V637" s="1562"/>
      <c r="W637" s="1357">
        <v>0.03</v>
      </c>
      <c r="X637" s="1358"/>
      <c r="Y637" s="1359"/>
      <c r="Z637" s="1445" t="s">
        <v>1335</v>
      </c>
      <c r="AA637" s="1446"/>
      <c r="AB637" s="1447"/>
      <c r="AC637" s="1395">
        <v>4</v>
      </c>
      <c r="AD637" s="1396"/>
      <c r="AE637" s="1397"/>
      <c r="AF637" s="1451"/>
      <c r="AG637" s="1452"/>
      <c r="AH637" s="1452"/>
      <c r="AI637" s="1452"/>
      <c r="AJ637" s="1453"/>
      <c r="AK637" s="1340"/>
      <c r="AL637" s="1341"/>
      <c r="AM637" s="1341"/>
      <c r="AN637" s="1342"/>
      <c r="AO637" s="1444">
        <v>5000000</v>
      </c>
      <c r="AP637" s="1321"/>
      <c r="AQ637" s="1321"/>
      <c r="AR637" s="1321"/>
      <c r="AS637" s="1322"/>
      <c r="AT637" s="924" t="str">
        <f t="shared" ref="AT637:AT646" si="2">IF(AND(NOT(C636=""),C637="",NOT(C638="")),"!","")</f>
        <v/>
      </c>
      <c r="AU637" s="2"/>
      <c r="AZ637" s="2"/>
      <c r="BA637" s="2"/>
      <c r="BB637" s="2"/>
      <c r="BC637" s="2"/>
      <c r="BD637" s="2"/>
    </row>
    <row r="638" spans="1:56" ht="13.15" customHeight="1">
      <c r="B638" s="35" t="s">
        <v>82</v>
      </c>
      <c r="C638" s="1544" t="s">
        <v>2719</v>
      </c>
      <c r="D638" s="1544"/>
      <c r="E638" s="1544"/>
      <c r="F638" s="1544"/>
      <c r="G638" s="1544"/>
      <c r="H638" s="1544"/>
      <c r="I638" s="1544"/>
      <c r="J638" s="1544"/>
      <c r="K638" s="1544"/>
      <c r="L638" s="1544"/>
      <c r="M638" s="1537" t="s">
        <v>1285</v>
      </c>
      <c r="N638" s="1537"/>
      <c r="O638" s="1537"/>
      <c r="P638" s="1537"/>
      <c r="Q638" s="1561">
        <v>660</v>
      </c>
      <c r="R638" s="1498"/>
      <c r="S638" s="1562"/>
      <c r="T638" s="1561"/>
      <c r="U638" s="1498"/>
      <c r="V638" s="1562"/>
      <c r="W638" s="1357">
        <v>0.03</v>
      </c>
      <c r="X638" s="1358"/>
      <c r="Y638" s="1359"/>
      <c r="Z638" s="1445" t="s">
        <v>1335</v>
      </c>
      <c r="AA638" s="1446"/>
      <c r="AB638" s="1447"/>
      <c r="AC638" s="1395">
        <v>5</v>
      </c>
      <c r="AD638" s="1396"/>
      <c r="AE638" s="1397"/>
      <c r="AF638" s="1451"/>
      <c r="AG638" s="1452"/>
      <c r="AH638" s="1452"/>
      <c r="AI638" s="1452"/>
      <c r="AJ638" s="1453"/>
      <c r="AK638" s="1340"/>
      <c r="AL638" s="1341"/>
      <c r="AM638" s="1341"/>
      <c r="AN638" s="1342"/>
      <c r="AO638" s="1444">
        <v>1294129</v>
      </c>
      <c r="AP638" s="1321"/>
      <c r="AQ638" s="1321"/>
      <c r="AR638" s="1321"/>
      <c r="AS638" s="1322"/>
      <c r="AT638" s="924" t="str">
        <f t="shared" si="2"/>
        <v/>
      </c>
      <c r="AU638" s="2"/>
      <c r="AZ638" s="2"/>
      <c r="BA638" s="2"/>
      <c r="BB638" s="2"/>
      <c r="BC638" s="2"/>
      <c r="BD638" s="2"/>
    </row>
    <row r="639" spans="1:56" ht="13.15" customHeight="1">
      <c r="B639" s="35" t="s">
        <v>86</v>
      </c>
      <c r="C639" s="1544" t="s">
        <v>2720</v>
      </c>
      <c r="D639" s="1544"/>
      <c r="E639" s="1544"/>
      <c r="F639" s="1544"/>
      <c r="G639" s="1544"/>
      <c r="H639" s="1544"/>
      <c r="I639" s="1544"/>
      <c r="J639" s="1544"/>
      <c r="K639" s="1544"/>
      <c r="L639" s="1544"/>
      <c r="M639" s="1537" t="s">
        <v>1285</v>
      </c>
      <c r="N639" s="1537"/>
      <c r="O639" s="1537"/>
      <c r="P639" s="1537"/>
      <c r="Q639" s="1561">
        <v>660</v>
      </c>
      <c r="R639" s="1498"/>
      <c r="S639" s="1562"/>
      <c r="T639" s="1561"/>
      <c r="U639" s="1498"/>
      <c r="V639" s="1562"/>
      <c r="W639" s="1357">
        <v>0.03</v>
      </c>
      <c r="X639" s="1358"/>
      <c r="Y639" s="1359"/>
      <c r="Z639" s="1445" t="s">
        <v>1336</v>
      </c>
      <c r="AA639" s="1446"/>
      <c r="AB639" s="1447"/>
      <c r="AC639" s="1395">
        <v>3</v>
      </c>
      <c r="AD639" s="1396"/>
      <c r="AE639" s="1397"/>
      <c r="AF639" s="1451">
        <v>71400</v>
      </c>
      <c r="AG639" s="1452"/>
      <c r="AH639" s="1452"/>
      <c r="AI639" s="1452"/>
      <c r="AJ639" s="1453"/>
      <c r="AK639" s="1340"/>
      <c r="AL639" s="1341"/>
      <c r="AM639" s="1341"/>
      <c r="AN639" s="1342"/>
      <c r="AO639" s="1444">
        <v>17000000</v>
      </c>
      <c r="AP639" s="1321"/>
      <c r="AQ639" s="1321"/>
      <c r="AR639" s="1321"/>
      <c r="AS639" s="1322"/>
      <c r="AT639" s="924" t="str">
        <f t="shared" si="2"/>
        <v/>
      </c>
      <c r="AU639" s="2"/>
      <c r="AZ639" s="2"/>
      <c r="BA639" s="2"/>
      <c r="BB639" s="2"/>
      <c r="BC639" s="2"/>
      <c r="BD639" s="2"/>
    </row>
    <row r="640" spans="1:56" ht="13.15" customHeight="1">
      <c r="B640" s="35" t="s">
        <v>1315</v>
      </c>
      <c r="C640" s="1544" t="str">
        <f>C567</f>
        <v>Contributed Developer Fee</v>
      </c>
      <c r="D640" s="1544"/>
      <c r="E640" s="1544"/>
      <c r="F640" s="1544"/>
      <c r="G640" s="1544"/>
      <c r="H640" s="1544"/>
      <c r="I640" s="1544"/>
      <c r="J640" s="1544"/>
      <c r="K640" s="1544"/>
      <c r="L640" s="1544"/>
      <c r="M640" s="1537" t="s">
        <v>1272</v>
      </c>
      <c r="N640" s="1537"/>
      <c r="O640" s="1537"/>
      <c r="P640" s="1537"/>
      <c r="Q640" s="1561"/>
      <c r="R640" s="1498"/>
      <c r="S640" s="1562"/>
      <c r="T640" s="1561"/>
      <c r="U640" s="1498"/>
      <c r="V640" s="1562"/>
      <c r="W640" s="1357"/>
      <c r="X640" s="1358"/>
      <c r="Y640" s="1359"/>
      <c r="Z640" s="1445" t="s">
        <v>1000</v>
      </c>
      <c r="AA640" s="1446"/>
      <c r="AB640" s="1447"/>
      <c r="AC640" s="1395"/>
      <c r="AD640" s="1396"/>
      <c r="AE640" s="1397"/>
      <c r="AF640" s="1451"/>
      <c r="AG640" s="1452"/>
      <c r="AH640" s="1452"/>
      <c r="AI640" s="1452"/>
      <c r="AJ640" s="1453"/>
      <c r="AK640" s="1340"/>
      <c r="AL640" s="1341"/>
      <c r="AM640" s="1341"/>
      <c r="AN640" s="1342"/>
      <c r="AO640" s="1444">
        <f>AM567</f>
        <v>1950332</v>
      </c>
      <c r="AP640" s="1321"/>
      <c r="AQ640" s="1321"/>
      <c r="AR640" s="1321"/>
      <c r="AS640" s="1322"/>
      <c r="AT640" s="924" t="str">
        <f t="shared" si="2"/>
        <v/>
      </c>
      <c r="AU640" s="2"/>
      <c r="AZ640" s="2"/>
      <c r="BA640" s="2"/>
      <c r="BB640" s="2"/>
      <c r="BC640" s="2"/>
      <c r="BD640" s="2"/>
    </row>
    <row r="641" spans="1:157" ht="13.15" customHeight="1">
      <c r="B641" s="35" t="s">
        <v>1316</v>
      </c>
      <c r="C641" s="1544" t="str">
        <f>C569</f>
        <v>GP Equity</v>
      </c>
      <c r="D641" s="1544"/>
      <c r="E641" s="1544"/>
      <c r="F641" s="1544"/>
      <c r="G641" s="1544"/>
      <c r="H641" s="1544"/>
      <c r="I641" s="1544"/>
      <c r="J641" s="1544"/>
      <c r="K641" s="1544"/>
      <c r="L641" s="1544"/>
      <c r="M641" s="1537" t="s">
        <v>1275</v>
      </c>
      <c r="N641" s="1537"/>
      <c r="O641" s="1537"/>
      <c r="P641" s="1537"/>
      <c r="Q641" s="1561"/>
      <c r="R641" s="1498"/>
      <c r="S641" s="1562"/>
      <c r="T641" s="1561"/>
      <c r="U641" s="1498"/>
      <c r="V641" s="1562"/>
      <c r="W641" s="1357"/>
      <c r="X641" s="1358"/>
      <c r="Y641" s="1359"/>
      <c r="Z641" s="1445" t="s">
        <v>1000</v>
      </c>
      <c r="AA641" s="1446"/>
      <c r="AB641" s="1447"/>
      <c r="AC641" s="1395"/>
      <c r="AD641" s="1396"/>
      <c r="AE641" s="1397"/>
      <c r="AF641" s="1451"/>
      <c r="AG641" s="1452"/>
      <c r="AH641" s="1452"/>
      <c r="AI641" s="1452"/>
      <c r="AJ641" s="1453"/>
      <c r="AK641" s="1340"/>
      <c r="AL641" s="1341"/>
      <c r="AM641" s="1341"/>
      <c r="AN641" s="1342"/>
      <c r="AO641" s="1444">
        <v>100</v>
      </c>
      <c r="AP641" s="1321"/>
      <c r="AQ641" s="1321"/>
      <c r="AR641" s="1321"/>
      <c r="AS641" s="1322"/>
      <c r="AT641" s="924" t="str">
        <f t="shared" si="2"/>
        <v/>
      </c>
      <c r="AU641" s="2"/>
      <c r="AV641" s="2"/>
      <c r="AW641" s="2"/>
      <c r="AX641" s="2"/>
      <c r="AY641" s="2"/>
      <c r="AZ641" s="2"/>
      <c r="BA641" s="2"/>
      <c r="BB641" s="2"/>
      <c r="BC641" s="2"/>
      <c r="BD641" s="2"/>
    </row>
    <row r="642" spans="1:157" ht="13.15" customHeight="1">
      <c r="B642" s="35" t="s">
        <v>1317</v>
      </c>
      <c r="C642" s="1544" t="str">
        <f>C570</f>
        <v>City of Long Beach Fee Waiver</v>
      </c>
      <c r="D642" s="1544"/>
      <c r="E642" s="1544"/>
      <c r="F642" s="1544"/>
      <c r="G642" s="1544"/>
      <c r="H642" s="1544"/>
      <c r="I642" s="1544"/>
      <c r="J642" s="1544"/>
      <c r="K642" s="1544"/>
      <c r="L642" s="1544"/>
      <c r="M642" s="1537" t="s">
        <v>1298</v>
      </c>
      <c r="N642" s="1537"/>
      <c r="O642" s="1537"/>
      <c r="P642" s="1537"/>
      <c r="Q642" s="1561"/>
      <c r="R642" s="1498"/>
      <c r="S642" s="1562"/>
      <c r="T642" s="1561"/>
      <c r="U642" s="1498"/>
      <c r="V642" s="1562"/>
      <c r="W642" s="1357"/>
      <c r="X642" s="1358"/>
      <c r="Y642" s="1359"/>
      <c r="Z642" s="1445" t="s">
        <v>1000</v>
      </c>
      <c r="AA642" s="1446"/>
      <c r="AB642" s="1447"/>
      <c r="AC642" s="1395"/>
      <c r="AD642" s="1396"/>
      <c r="AE642" s="1397"/>
      <c r="AF642" s="1451"/>
      <c r="AG642" s="1452"/>
      <c r="AH642" s="1452"/>
      <c r="AI642" s="1452"/>
      <c r="AJ642" s="1453"/>
      <c r="AK642" s="1340"/>
      <c r="AL642" s="1341"/>
      <c r="AM642" s="1341"/>
      <c r="AN642" s="1342"/>
      <c r="AO642" s="1444">
        <v>857225</v>
      </c>
      <c r="AP642" s="1321"/>
      <c r="AQ642" s="1321"/>
      <c r="AR642" s="1321"/>
      <c r="AS642" s="1322"/>
      <c r="AT642" s="924" t="str">
        <f t="shared" si="2"/>
        <v/>
      </c>
      <c r="AU642" s="2"/>
      <c r="AV642" s="2"/>
      <c r="AW642" s="2"/>
      <c r="AX642" s="2"/>
      <c r="AY642" s="2"/>
      <c r="AZ642" s="2"/>
      <c r="BA642" s="2" t="s">
        <v>1000</v>
      </c>
      <c r="BB642" s="2"/>
      <c r="BC642" s="2"/>
      <c r="BD642" s="2"/>
    </row>
    <row r="643" spans="1:157" ht="13.15" customHeight="1">
      <c r="B643" s="35" t="s">
        <v>1318</v>
      </c>
      <c r="C643" s="1544" t="s">
        <v>1908</v>
      </c>
      <c r="D643" s="1544"/>
      <c r="E643" s="1544"/>
      <c r="F643" s="1544"/>
      <c r="G643" s="1544"/>
      <c r="H643" s="1544"/>
      <c r="I643" s="1544"/>
      <c r="J643" s="1544"/>
      <c r="K643" s="1544"/>
      <c r="L643" s="1544"/>
      <c r="M643" s="1537" t="s">
        <v>1270</v>
      </c>
      <c r="N643" s="1537"/>
      <c r="O643" s="1537"/>
      <c r="P643" s="1537"/>
      <c r="Q643" s="1561"/>
      <c r="R643" s="1498"/>
      <c r="S643" s="1562"/>
      <c r="T643" s="1561"/>
      <c r="U643" s="1498"/>
      <c r="V643" s="1562"/>
      <c r="W643" s="1357"/>
      <c r="X643" s="1358"/>
      <c r="Y643" s="1359"/>
      <c r="Z643" s="1445" t="s">
        <v>1000</v>
      </c>
      <c r="AA643" s="1446"/>
      <c r="AB643" s="1447"/>
      <c r="AC643" s="1395"/>
      <c r="AD643" s="1396"/>
      <c r="AE643" s="1397"/>
      <c r="AF643" s="1451"/>
      <c r="AG643" s="1452"/>
      <c r="AH643" s="1452"/>
      <c r="AI643" s="1452"/>
      <c r="AJ643" s="1453"/>
      <c r="AK643" s="1340"/>
      <c r="AL643" s="1341"/>
      <c r="AM643" s="1341"/>
      <c r="AN643" s="1342"/>
      <c r="AO643" s="1444">
        <f>AM571</f>
        <v>8350037</v>
      </c>
      <c r="AP643" s="1321"/>
      <c r="AQ643" s="1321"/>
      <c r="AR643" s="1321"/>
      <c r="AS643" s="1322"/>
      <c r="AT643" s="924" t="str">
        <f t="shared" si="2"/>
        <v/>
      </c>
      <c r="AU643" s="2"/>
      <c r="AV643" s="2"/>
      <c r="AW643" s="2"/>
      <c r="AX643" s="2"/>
      <c r="AY643" s="2"/>
      <c r="AZ643" s="2"/>
      <c r="BA643" s="2" t="s">
        <v>1334</v>
      </c>
      <c r="BB643" s="2"/>
      <c r="BC643" s="2"/>
      <c r="BD643" s="2"/>
      <c r="BE643" s="2"/>
      <c r="BF643" s="2"/>
      <c r="BG643" s="2"/>
      <c r="BH643" s="2"/>
      <c r="BI643" s="2"/>
      <c r="BJ643" s="2"/>
      <c r="BK643" s="2"/>
      <c r="BL643" s="2"/>
      <c r="BM643" s="2"/>
      <c r="CR643" s="1110"/>
      <c r="CS643" s="2"/>
      <c r="CT643" s="2"/>
      <c r="CU643" s="2"/>
      <c r="CV643" s="2"/>
      <c r="CW643" s="2"/>
      <c r="CX643" s="2"/>
      <c r="CY643" s="2"/>
      <c r="CZ643" s="2"/>
      <c r="DA643" s="2"/>
      <c r="DB643" s="2"/>
      <c r="DC643" s="2"/>
      <c r="DD643" s="2"/>
      <c r="DE643" s="2"/>
      <c r="DF643" s="2"/>
      <c r="DX643" s="1337" t="e">
        <f t="shared" ref="DX643:DX677" si="3">EZ726*(CP726/$CP$761)</f>
        <v>#VALUE!</v>
      </c>
      <c r="DY643" s="1337"/>
      <c r="DZ643" s="1337"/>
      <c r="EA643" s="1337"/>
      <c r="EB643" s="1337"/>
      <c r="EC643" s="1337">
        <f t="shared" ref="EC643:EC677" si="4">FE726*(CU726/$CU$761)</f>
        <v>100.40540540540542</v>
      </c>
      <c r="ED643" s="1337"/>
      <c r="EE643" s="1337"/>
      <c r="EF643" s="1337"/>
      <c r="EG643" s="1337"/>
      <c r="EH643" s="1337" t="e">
        <f t="shared" ref="EH643:EH677" si="5">FJ726*(CZ726/$CZ$761)</f>
        <v>#VALUE!</v>
      </c>
      <c r="EI643" s="1337"/>
      <c r="EJ643" s="1337"/>
      <c r="EK643" s="1337"/>
      <c r="EL643" s="1337"/>
      <c r="EM643" s="1337" t="e">
        <f t="shared" ref="EM643:EM677" si="6">FO726*(DE726/$DE$761)</f>
        <v>#VALUE!</v>
      </c>
      <c r="EN643" s="1337"/>
      <c r="EO643" s="1337"/>
      <c r="EP643" s="1337"/>
      <c r="EQ643" s="1337"/>
      <c r="ER643" s="1337" t="e">
        <f t="shared" ref="ER643:ER677" si="7">FT726*(DJ726/$DJ$761)</f>
        <v>#VALUE!</v>
      </c>
      <c r="ES643" s="1337"/>
      <c r="ET643" s="1337"/>
      <c r="EU643" s="1337"/>
      <c r="EV643" s="1337"/>
      <c r="EW643" s="1337" t="e">
        <f t="shared" ref="EW643:EW677" si="8">FY726*(DO726/$DO$761)</f>
        <v>#VALUE!</v>
      </c>
      <c r="EX643" s="1337"/>
      <c r="EY643" s="1337"/>
      <c r="EZ643" s="1337"/>
      <c r="FA643" s="1337"/>
    </row>
    <row r="644" spans="1:157" ht="13.15" customHeight="1">
      <c r="B644" s="35" t="s">
        <v>1319</v>
      </c>
      <c r="C644" s="1544"/>
      <c r="D644" s="1544"/>
      <c r="E644" s="1544"/>
      <c r="F644" s="1544"/>
      <c r="G644" s="1544"/>
      <c r="H644" s="1544"/>
      <c r="I644" s="1544"/>
      <c r="J644" s="1544"/>
      <c r="K644" s="1544"/>
      <c r="L644" s="1544"/>
      <c r="M644" s="1537" t="s">
        <v>1000</v>
      </c>
      <c r="N644" s="1537"/>
      <c r="O644" s="1537"/>
      <c r="P644" s="1537"/>
      <c r="Q644" s="1561"/>
      <c r="R644" s="1498"/>
      <c r="S644" s="1562"/>
      <c r="T644" s="1561"/>
      <c r="U644" s="1498"/>
      <c r="V644" s="1562"/>
      <c r="W644" s="1357"/>
      <c r="X644" s="1358"/>
      <c r="Y644" s="1359"/>
      <c r="Z644" s="1445" t="s">
        <v>1000</v>
      </c>
      <c r="AA644" s="1446"/>
      <c r="AB644" s="1447"/>
      <c r="AC644" s="1395"/>
      <c r="AD644" s="1396"/>
      <c r="AE644" s="1397"/>
      <c r="AF644" s="1451"/>
      <c r="AG644" s="1452"/>
      <c r="AH644" s="1452"/>
      <c r="AI644" s="1452"/>
      <c r="AJ644" s="1453"/>
      <c r="AK644" s="1340"/>
      <c r="AL644" s="1341"/>
      <c r="AM644" s="1341"/>
      <c r="AN644" s="1342"/>
      <c r="AO644" s="1444"/>
      <c r="AP644" s="1321"/>
      <c r="AQ644" s="1321"/>
      <c r="AR644" s="1321"/>
      <c r="AS644" s="1322"/>
      <c r="AT644" s="924" t="str">
        <f t="shared" si="2"/>
        <v/>
      </c>
      <c r="AV644" s="2"/>
      <c r="AW644" s="2"/>
      <c r="AX644" s="2"/>
      <c r="AY644" s="2"/>
      <c r="AZ644" s="2"/>
      <c r="BA644" s="2" t="s">
        <v>1335</v>
      </c>
      <c r="BB644" s="2"/>
      <c r="BC644" s="2"/>
      <c r="BD644" s="2"/>
      <c r="BE644" s="2"/>
      <c r="BF644" s="2"/>
      <c r="BG644" s="2"/>
      <c r="BH644" s="2"/>
      <c r="BI644" s="2"/>
      <c r="BJ644" s="2"/>
      <c r="BK644" s="2"/>
      <c r="BL644" s="2"/>
      <c r="BM644" s="2"/>
      <c r="DA644" s="2"/>
      <c r="DB644" s="2"/>
      <c r="DC644" s="2"/>
      <c r="DD644" s="2"/>
      <c r="DE644" s="2"/>
      <c r="DF644" s="2"/>
      <c r="DX644" s="1337" t="e">
        <f t="shared" si="3"/>
        <v>#VALUE!</v>
      </c>
      <c r="DY644" s="1337"/>
      <c r="DZ644" s="1337"/>
      <c r="EA644" s="1337"/>
      <c r="EB644" s="1337"/>
      <c r="EC644" s="1337">
        <f t="shared" si="4"/>
        <v>200.81081081081084</v>
      </c>
      <c r="ED644" s="1337"/>
      <c r="EE644" s="1337"/>
      <c r="EF644" s="1337"/>
      <c r="EG644" s="1337"/>
      <c r="EH644" s="1337" t="e">
        <f t="shared" si="5"/>
        <v>#VALUE!</v>
      </c>
      <c r="EI644" s="1337"/>
      <c r="EJ644" s="1337"/>
      <c r="EK644" s="1337"/>
      <c r="EL644" s="1337"/>
      <c r="EM644" s="1337" t="e">
        <f t="shared" si="6"/>
        <v>#VALUE!</v>
      </c>
      <c r="EN644" s="1337"/>
      <c r="EO644" s="1337"/>
      <c r="EP644" s="1337"/>
      <c r="EQ644" s="1337"/>
      <c r="ER644" s="1337" t="e">
        <f t="shared" si="7"/>
        <v>#VALUE!</v>
      </c>
      <c r="ES644" s="1337"/>
      <c r="ET644" s="1337"/>
      <c r="EU644" s="1337"/>
      <c r="EV644" s="1337"/>
      <c r="EW644" s="1337" t="e">
        <f t="shared" si="8"/>
        <v>#VALUE!</v>
      </c>
      <c r="EX644" s="1337"/>
      <c r="EY644" s="1337"/>
      <c r="EZ644" s="1337"/>
      <c r="FA644" s="1337"/>
    </row>
    <row r="645" spans="1:157" ht="13.15" customHeight="1">
      <c r="B645" s="35" t="s">
        <v>1320</v>
      </c>
      <c r="C645" s="1544"/>
      <c r="D645" s="1544"/>
      <c r="E645" s="1544"/>
      <c r="F645" s="1544"/>
      <c r="G645" s="1544"/>
      <c r="H645" s="1544"/>
      <c r="I645" s="1544"/>
      <c r="J645" s="1544"/>
      <c r="K645" s="1544"/>
      <c r="L645" s="1544"/>
      <c r="M645" s="1537" t="s">
        <v>1000</v>
      </c>
      <c r="N645" s="1537"/>
      <c r="O645" s="1537"/>
      <c r="P645" s="1537"/>
      <c r="Q645" s="1561"/>
      <c r="R645" s="1498"/>
      <c r="S645" s="1562"/>
      <c r="T645" s="1561"/>
      <c r="U645" s="1498"/>
      <c r="V645" s="1562"/>
      <c r="W645" s="1357"/>
      <c r="X645" s="1358"/>
      <c r="Y645" s="1359"/>
      <c r="Z645" s="1445" t="s">
        <v>1000</v>
      </c>
      <c r="AA645" s="1446"/>
      <c r="AB645" s="1447"/>
      <c r="AC645" s="1395"/>
      <c r="AD645" s="1396"/>
      <c r="AE645" s="1397"/>
      <c r="AF645" s="1451"/>
      <c r="AG645" s="1452"/>
      <c r="AH645" s="1452"/>
      <c r="AI645" s="1452"/>
      <c r="AJ645" s="1453"/>
      <c r="AK645" s="1340"/>
      <c r="AL645" s="1341"/>
      <c r="AM645" s="1341"/>
      <c r="AN645" s="1342"/>
      <c r="AO645" s="1444"/>
      <c r="AP645" s="1321"/>
      <c r="AQ645" s="1321"/>
      <c r="AR645" s="1321"/>
      <c r="AS645" s="1322"/>
      <c r="AT645" s="924" t="str">
        <f t="shared" si="2"/>
        <v/>
      </c>
      <c r="AV645" s="2"/>
      <c r="AW645" s="2"/>
      <c r="AX645" s="2"/>
      <c r="AY645" s="2"/>
      <c r="AZ645" s="2"/>
      <c r="BA645" s="2" t="s">
        <v>1336</v>
      </c>
      <c r="BB645" s="2"/>
      <c r="BC645" s="2"/>
      <c r="BD645" s="2"/>
      <c r="BE645" s="2"/>
      <c r="BF645" s="2"/>
      <c r="BG645" s="2"/>
      <c r="BH645" s="2"/>
      <c r="BI645" s="2"/>
      <c r="BJ645" s="2"/>
      <c r="BK645" s="2"/>
      <c r="BL645" s="2"/>
      <c r="BM645" s="2"/>
      <c r="DA645" s="2"/>
      <c r="DB645" s="2"/>
      <c r="DC645" s="2"/>
      <c r="DD645" s="2"/>
      <c r="DE645" s="2"/>
      <c r="DF645" s="2"/>
      <c r="DX645" s="1337" t="e">
        <f t="shared" si="3"/>
        <v>#VALUE!</v>
      </c>
      <c r="DY645" s="1337"/>
      <c r="DZ645" s="1337"/>
      <c r="EA645" s="1337"/>
      <c r="EB645" s="1337"/>
      <c r="EC645" s="1337">
        <f t="shared" si="4"/>
        <v>354.32432432432432</v>
      </c>
      <c r="ED645" s="1337"/>
      <c r="EE645" s="1337"/>
      <c r="EF645" s="1337"/>
      <c r="EG645" s="1337"/>
      <c r="EH645" s="1337" t="e">
        <f t="shared" si="5"/>
        <v>#VALUE!</v>
      </c>
      <c r="EI645" s="1337"/>
      <c r="EJ645" s="1337"/>
      <c r="EK645" s="1337"/>
      <c r="EL645" s="1337"/>
      <c r="EM645" s="1337" t="e">
        <f t="shared" si="6"/>
        <v>#VALUE!</v>
      </c>
      <c r="EN645" s="1337"/>
      <c r="EO645" s="1337"/>
      <c r="EP645" s="1337"/>
      <c r="EQ645" s="1337"/>
      <c r="ER645" s="1337" t="e">
        <f t="shared" si="7"/>
        <v>#VALUE!</v>
      </c>
      <c r="ES645" s="1337"/>
      <c r="ET645" s="1337"/>
      <c r="EU645" s="1337"/>
      <c r="EV645" s="1337"/>
      <c r="EW645" s="1337" t="e">
        <f t="shared" si="8"/>
        <v>#VALUE!</v>
      </c>
      <c r="EX645" s="1337"/>
      <c r="EY645" s="1337"/>
      <c r="EZ645" s="1337"/>
      <c r="FA645" s="1337"/>
    </row>
    <row r="646" spans="1:157" ht="13.15" customHeight="1">
      <c r="B646" s="35" t="s">
        <v>1321</v>
      </c>
      <c r="C646" s="1544"/>
      <c r="D646" s="1544"/>
      <c r="E646" s="1544"/>
      <c r="F646" s="1544"/>
      <c r="G646" s="1544"/>
      <c r="H646" s="1544"/>
      <c r="I646" s="1544"/>
      <c r="J646" s="1544"/>
      <c r="K646" s="1544"/>
      <c r="L646" s="1544"/>
      <c r="M646" s="1537" t="s">
        <v>1000</v>
      </c>
      <c r="N646" s="1537"/>
      <c r="O646" s="1537"/>
      <c r="P646" s="1537"/>
      <c r="Q646" s="1561"/>
      <c r="R646" s="1498"/>
      <c r="S646" s="1562"/>
      <c r="T646" s="1561"/>
      <c r="U646" s="1498"/>
      <c r="V646" s="1562"/>
      <c r="W646" s="1357"/>
      <c r="X646" s="1358"/>
      <c r="Y646" s="1359"/>
      <c r="Z646" s="1445" t="s">
        <v>1000</v>
      </c>
      <c r="AA646" s="1446"/>
      <c r="AB646" s="1447"/>
      <c r="AC646" s="1395"/>
      <c r="AD646" s="1396"/>
      <c r="AE646" s="1397"/>
      <c r="AF646" s="1451"/>
      <c r="AG646" s="1452"/>
      <c r="AH646" s="1452"/>
      <c r="AI646" s="1452"/>
      <c r="AJ646" s="1453"/>
      <c r="AK646" s="1340"/>
      <c r="AL646" s="1341"/>
      <c r="AM646" s="1341"/>
      <c r="AN646" s="1342"/>
      <c r="AO646" s="1444"/>
      <c r="AP646" s="1321"/>
      <c r="AQ646" s="1321"/>
      <c r="AR646" s="1321"/>
      <c r="AS646" s="1322"/>
      <c r="AT646" s="924" t="str">
        <f t="shared" si="2"/>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337" t="e">
        <f t="shared" si="3"/>
        <v>#VALUE!</v>
      </c>
      <c r="DY646" s="1337"/>
      <c r="DZ646" s="1337"/>
      <c r="EA646" s="1337"/>
      <c r="EB646" s="1337"/>
      <c r="EC646" s="1337">
        <f t="shared" si="4"/>
        <v>258.64864864864865</v>
      </c>
      <c r="ED646" s="1337"/>
      <c r="EE646" s="1337"/>
      <c r="EF646" s="1337"/>
      <c r="EG646" s="1337"/>
      <c r="EH646" s="1337" t="e">
        <f t="shared" si="5"/>
        <v>#VALUE!</v>
      </c>
      <c r="EI646" s="1337"/>
      <c r="EJ646" s="1337"/>
      <c r="EK646" s="1337"/>
      <c r="EL646" s="1337"/>
      <c r="EM646" s="1337" t="e">
        <f t="shared" si="6"/>
        <v>#VALUE!</v>
      </c>
      <c r="EN646" s="1337"/>
      <c r="EO646" s="1337"/>
      <c r="EP646" s="1337"/>
      <c r="EQ646" s="1337"/>
      <c r="ER646" s="1337" t="e">
        <f t="shared" si="7"/>
        <v>#VALUE!</v>
      </c>
      <c r="ES646" s="1337"/>
      <c r="ET646" s="1337"/>
      <c r="EU646" s="1337"/>
      <c r="EV646" s="1337"/>
      <c r="EW646" s="1337" t="e">
        <f t="shared" si="8"/>
        <v>#VALUE!</v>
      </c>
      <c r="EX646" s="1337"/>
      <c r="EY646" s="1337"/>
      <c r="EZ646" s="1337"/>
      <c r="FA646" s="1337"/>
    </row>
    <row r="647" spans="1:157" ht="13.15" customHeight="1">
      <c r="B647" s="1400" t="s">
        <v>1337</v>
      </c>
      <c r="C647" s="1401"/>
      <c r="D647" s="1401"/>
      <c r="E647" s="1401"/>
      <c r="F647" s="1401"/>
      <c r="G647" s="1401"/>
      <c r="H647" s="1401"/>
      <c r="I647" s="1401"/>
      <c r="J647" s="1401"/>
      <c r="K647" s="1401"/>
      <c r="L647" s="1401"/>
      <c r="M647" s="1401"/>
      <c r="N647" s="1401"/>
      <c r="O647" s="1401"/>
      <c r="P647" s="1401"/>
      <c r="Q647" s="1401"/>
      <c r="R647" s="1401"/>
      <c r="S647" s="1401"/>
      <c r="T647" s="1401"/>
      <c r="U647" s="1401"/>
      <c r="V647" s="1401"/>
      <c r="W647" s="1401"/>
      <c r="X647" s="1401"/>
      <c r="Y647" s="1401"/>
      <c r="Z647" s="1401"/>
      <c r="AA647" s="1401"/>
      <c r="AB647" s="1401"/>
      <c r="AC647" s="1401"/>
      <c r="AD647" s="1401"/>
      <c r="AE647" s="1401"/>
      <c r="AF647" s="1401"/>
      <c r="AG647" s="1401"/>
      <c r="AH647" s="1401"/>
      <c r="AI647" s="1401"/>
      <c r="AJ647" s="1401"/>
      <c r="AK647" s="1401"/>
      <c r="AL647" s="1401"/>
      <c r="AM647" s="1401"/>
      <c r="AN647" s="1403"/>
      <c r="AO647" s="1441">
        <f>SUM(AO635:AR646)</f>
        <v>62049823</v>
      </c>
      <c r="AP647" s="1442"/>
      <c r="AQ647" s="1442"/>
      <c r="AR647" s="1442"/>
      <c r="AS647" s="1443"/>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337" t="e">
        <f t="shared" si="3"/>
        <v>#VALUE!</v>
      </c>
      <c r="DY647" s="1337"/>
      <c r="DZ647" s="1337"/>
      <c r="EA647" s="1337"/>
      <c r="EB647" s="1337"/>
      <c r="EC647" s="1337">
        <f t="shared" si="4"/>
        <v>304.70270270270271</v>
      </c>
      <c r="ED647" s="1337"/>
      <c r="EE647" s="1337"/>
      <c r="EF647" s="1337"/>
      <c r="EG647" s="1337"/>
      <c r="EH647" s="1337" t="e">
        <f t="shared" si="5"/>
        <v>#VALUE!</v>
      </c>
      <c r="EI647" s="1337"/>
      <c r="EJ647" s="1337"/>
      <c r="EK647" s="1337"/>
      <c r="EL647" s="1337"/>
      <c r="EM647" s="1337" t="e">
        <f t="shared" si="6"/>
        <v>#VALUE!</v>
      </c>
      <c r="EN647" s="1337"/>
      <c r="EO647" s="1337"/>
      <c r="EP647" s="1337"/>
      <c r="EQ647" s="1337"/>
      <c r="ER647" s="1337" t="e">
        <f t="shared" si="7"/>
        <v>#VALUE!</v>
      </c>
      <c r="ES647" s="1337"/>
      <c r="ET647" s="1337"/>
      <c r="EU647" s="1337"/>
      <c r="EV647" s="1337"/>
      <c r="EW647" s="1337" t="e">
        <f t="shared" si="8"/>
        <v>#VALUE!</v>
      </c>
      <c r="EX647" s="1337"/>
      <c r="EY647" s="1337"/>
      <c r="EZ647" s="1337"/>
      <c r="FA647" s="1337"/>
    </row>
    <row r="648" spans="1:157" ht="13.15" customHeight="1">
      <c r="B648" s="1400" t="s">
        <v>1338</v>
      </c>
      <c r="C648" s="1401"/>
      <c r="D648" s="1401"/>
      <c r="E648" s="1401"/>
      <c r="F648" s="1401"/>
      <c r="G648" s="1401"/>
      <c r="H648" s="1401"/>
      <c r="I648" s="1401"/>
      <c r="J648" s="1401"/>
      <c r="K648" s="1401"/>
      <c r="L648" s="1401"/>
      <c r="M648" s="1401"/>
      <c r="N648" s="1401"/>
      <c r="O648" s="1401"/>
      <c r="P648" s="1401"/>
      <c r="Q648" s="1401"/>
      <c r="R648" s="1401"/>
      <c r="S648" s="1401"/>
      <c r="T648" s="1401"/>
      <c r="U648" s="1401"/>
      <c r="V648" s="1401"/>
      <c r="W648" s="1401"/>
      <c r="X648" s="1401"/>
      <c r="Y648" s="1401"/>
      <c r="Z648" s="1401"/>
      <c r="AA648" s="1401"/>
      <c r="AB648" s="1401"/>
      <c r="AC648" s="1401"/>
      <c r="AD648" s="1401"/>
      <c r="AE648" s="1401"/>
      <c r="AF648" s="1401"/>
      <c r="AG648" s="1401"/>
      <c r="AH648" s="1401"/>
      <c r="AI648" s="1401"/>
      <c r="AJ648" s="1401"/>
      <c r="AK648" s="1401"/>
      <c r="AL648" s="1401"/>
      <c r="AM648" s="1401"/>
      <c r="AN648" s="1403"/>
      <c r="AO648" s="1444">
        <v>50557374</v>
      </c>
      <c r="AP648" s="1321"/>
      <c r="AQ648" s="1321"/>
      <c r="AR648" s="1321"/>
      <c r="AS648" s="1322"/>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337" t="e">
        <f t="shared" si="3"/>
        <v>#VALUE!</v>
      </c>
      <c r="DY648" s="1337"/>
      <c r="DZ648" s="1337"/>
      <c r="EA648" s="1337"/>
      <c r="EB648" s="1337"/>
      <c r="EC648" s="1337" t="e">
        <f t="shared" si="4"/>
        <v>#VALUE!</v>
      </c>
      <c r="ED648" s="1337"/>
      <c r="EE648" s="1337"/>
      <c r="EF648" s="1337"/>
      <c r="EG648" s="1337"/>
      <c r="EH648" s="1337">
        <f t="shared" si="5"/>
        <v>183.36842105263156</v>
      </c>
      <c r="EI648" s="1337"/>
      <c r="EJ648" s="1337"/>
      <c r="EK648" s="1337"/>
      <c r="EL648" s="1337"/>
      <c r="EM648" s="1337" t="e">
        <f t="shared" si="6"/>
        <v>#VALUE!</v>
      </c>
      <c r="EN648" s="1337"/>
      <c r="EO648" s="1337"/>
      <c r="EP648" s="1337"/>
      <c r="EQ648" s="1337"/>
      <c r="ER648" s="1337" t="e">
        <f t="shared" si="7"/>
        <v>#VALUE!</v>
      </c>
      <c r="ES648" s="1337"/>
      <c r="ET648" s="1337"/>
      <c r="EU648" s="1337"/>
      <c r="EV648" s="1337"/>
      <c r="EW648" s="1337" t="e">
        <f t="shared" si="8"/>
        <v>#VALUE!</v>
      </c>
      <c r="EX648" s="1337"/>
      <c r="EY648" s="1337"/>
      <c r="EZ648" s="1337"/>
      <c r="FA648" s="1337"/>
    </row>
    <row r="649" spans="1:157" ht="13.15" customHeight="1">
      <c r="B649" s="1622" t="s">
        <v>1339</v>
      </c>
      <c r="C649" s="1402"/>
      <c r="D649" s="1402"/>
      <c r="E649" s="1402"/>
      <c r="F649" s="1402"/>
      <c r="G649" s="1402"/>
      <c r="H649" s="1402"/>
      <c r="I649" s="1402"/>
      <c r="J649" s="1402"/>
      <c r="K649" s="1402"/>
      <c r="L649" s="1402"/>
      <c r="M649" s="1402"/>
      <c r="N649" s="1402"/>
      <c r="O649" s="1402"/>
      <c r="P649" s="1402"/>
      <c r="Q649" s="1402"/>
      <c r="R649" s="1402"/>
      <c r="S649" s="1402"/>
      <c r="T649" s="1402"/>
      <c r="U649" s="1402"/>
      <c r="V649" s="1402"/>
      <c r="W649" s="1402"/>
      <c r="X649" s="1402"/>
      <c r="Y649" s="1402"/>
      <c r="Z649" s="1402"/>
      <c r="AA649" s="1402"/>
      <c r="AB649" s="1402"/>
      <c r="AC649" s="1402"/>
      <c r="AD649" s="1402"/>
      <c r="AE649" s="1402"/>
      <c r="AF649" s="1402"/>
      <c r="AG649" s="1402"/>
      <c r="AH649" s="1402"/>
      <c r="AI649" s="1402"/>
      <c r="AJ649" s="1402"/>
      <c r="AK649" s="1402"/>
      <c r="AL649" s="1402"/>
      <c r="AM649" s="1402"/>
      <c r="AN649" s="1623"/>
      <c r="AO649" s="1441">
        <f>AO647+AO648</f>
        <v>112607197</v>
      </c>
      <c r="AP649" s="1442"/>
      <c r="AQ649" s="1442"/>
      <c r="AR649" s="1442"/>
      <c r="AS649" s="1443"/>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337" t="e">
        <f t="shared" si="3"/>
        <v>#VALUE!</v>
      </c>
      <c r="DY649" s="1337"/>
      <c r="DZ649" s="1337"/>
      <c r="EA649" s="1337"/>
      <c r="EB649" s="1337"/>
      <c r="EC649" s="1337" t="e">
        <f t="shared" si="4"/>
        <v>#VALUE!</v>
      </c>
      <c r="ED649" s="1337"/>
      <c r="EE649" s="1337"/>
      <c r="EF649" s="1337"/>
      <c r="EG649" s="1337"/>
      <c r="EH649" s="1337">
        <f t="shared" si="5"/>
        <v>735.15789473684208</v>
      </c>
      <c r="EI649" s="1337"/>
      <c r="EJ649" s="1337"/>
      <c r="EK649" s="1337"/>
      <c r="EL649" s="1337"/>
      <c r="EM649" s="1337" t="e">
        <f t="shared" si="6"/>
        <v>#VALUE!</v>
      </c>
      <c r="EN649" s="1337"/>
      <c r="EO649" s="1337"/>
      <c r="EP649" s="1337"/>
      <c r="EQ649" s="1337"/>
      <c r="ER649" s="1337" t="e">
        <f t="shared" si="7"/>
        <v>#VALUE!</v>
      </c>
      <c r="ES649" s="1337"/>
      <c r="ET649" s="1337"/>
      <c r="EU649" s="1337"/>
      <c r="EV649" s="1337"/>
      <c r="EW649" s="1337" t="e">
        <f t="shared" si="8"/>
        <v>#VALUE!</v>
      </c>
      <c r="EX649" s="1337"/>
      <c r="EY649" s="1337"/>
      <c r="EZ649" s="1337"/>
      <c r="FA649" s="1337"/>
    </row>
    <row r="650" spans="1:157" ht="13.1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337" t="e">
        <f t="shared" si="3"/>
        <v>#VALUE!</v>
      </c>
      <c r="DY650" s="1337"/>
      <c r="DZ650" s="1337"/>
      <c r="EA650" s="1337"/>
      <c r="EB650" s="1337"/>
      <c r="EC650" s="1337" t="e">
        <f t="shared" si="4"/>
        <v>#VALUE!</v>
      </c>
      <c r="ED650" s="1337"/>
      <c r="EE650" s="1337"/>
      <c r="EF650" s="1337"/>
      <c r="EG650" s="1337"/>
      <c r="EH650" s="1337">
        <f t="shared" si="5"/>
        <v>348.71052631578948</v>
      </c>
      <c r="EI650" s="1337"/>
      <c r="EJ650" s="1337"/>
      <c r="EK650" s="1337"/>
      <c r="EL650" s="1337"/>
      <c r="EM650" s="1337" t="e">
        <f t="shared" si="6"/>
        <v>#VALUE!</v>
      </c>
      <c r="EN650" s="1337"/>
      <c r="EO650" s="1337"/>
      <c r="EP650" s="1337"/>
      <c r="EQ650" s="1337"/>
      <c r="ER650" s="1337" t="e">
        <f t="shared" si="7"/>
        <v>#VALUE!</v>
      </c>
      <c r="ES650" s="1337"/>
      <c r="ET650" s="1337"/>
      <c r="EU650" s="1337"/>
      <c r="EV650" s="1337"/>
      <c r="EW650" s="1337" t="e">
        <f t="shared" si="8"/>
        <v>#VALUE!</v>
      </c>
      <c r="EX650" s="1337"/>
      <c r="EY650" s="1337"/>
      <c r="EZ650" s="1337"/>
      <c r="FA650" s="1337"/>
    </row>
    <row r="651" spans="1:157" ht="13.15" customHeight="1">
      <c r="A651" s="36" t="s">
        <v>18</v>
      </c>
      <c r="B651" t="s">
        <v>1323</v>
      </c>
      <c r="G651" s="1346" t="str">
        <f>C635</f>
        <v>Tax Exempt Perm Loan</v>
      </c>
      <c r="H651" s="1346"/>
      <c r="I651" s="1346"/>
      <c r="J651" s="1346"/>
      <c r="K651" s="1346"/>
      <c r="L651" s="1346"/>
      <c r="M651" s="1346"/>
      <c r="N651" s="1346"/>
      <c r="O651" s="1346"/>
      <c r="P651" s="1346"/>
      <c r="Q651" s="1346"/>
      <c r="R651" s="1346"/>
      <c r="S651" s="6"/>
      <c r="T651" s="36" t="s">
        <v>31</v>
      </c>
      <c r="U651" t="s">
        <v>1323</v>
      </c>
      <c r="Z651" s="1346" t="str">
        <f>C636</f>
        <v>CalHFA MIP</v>
      </c>
      <c r="AA651" s="1346"/>
      <c r="AB651" s="1346"/>
      <c r="AC651" s="1346"/>
      <c r="AD651" s="1346"/>
      <c r="AE651" s="1346"/>
      <c r="AF651" s="1346"/>
      <c r="AG651" s="1346"/>
      <c r="AH651" s="1346"/>
      <c r="AI651" s="1346"/>
      <c r="AJ651" s="1346"/>
      <c r="AK651" s="1346"/>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337" t="e">
        <f t="shared" si="3"/>
        <v>#VALUE!</v>
      </c>
      <c r="DY651" s="1337"/>
      <c r="DZ651" s="1337"/>
      <c r="EA651" s="1337"/>
      <c r="EB651" s="1337"/>
      <c r="EC651" s="1337" t="e">
        <f t="shared" si="4"/>
        <v>#VALUE!</v>
      </c>
      <c r="ED651" s="1337"/>
      <c r="EE651" s="1337"/>
      <c r="EF651" s="1337"/>
      <c r="EG651" s="1337"/>
      <c r="EH651" s="1337">
        <f t="shared" si="5"/>
        <v>293.9473684210526</v>
      </c>
      <c r="EI651" s="1337"/>
      <c r="EJ651" s="1337"/>
      <c r="EK651" s="1337"/>
      <c r="EL651" s="1337"/>
      <c r="EM651" s="1337" t="e">
        <f t="shared" si="6"/>
        <v>#VALUE!</v>
      </c>
      <c r="EN651" s="1337"/>
      <c r="EO651" s="1337"/>
      <c r="EP651" s="1337"/>
      <c r="EQ651" s="1337"/>
      <c r="ER651" s="1337" t="e">
        <f t="shared" si="7"/>
        <v>#VALUE!</v>
      </c>
      <c r="ES651" s="1337"/>
      <c r="ET651" s="1337"/>
      <c r="EU651" s="1337"/>
      <c r="EV651" s="1337"/>
      <c r="EW651" s="1337" t="e">
        <f t="shared" si="8"/>
        <v>#VALUE!</v>
      </c>
      <c r="EX651" s="1337"/>
      <c r="EY651" s="1337"/>
      <c r="EZ651" s="1337"/>
      <c r="FA651" s="1337"/>
    </row>
    <row r="652" spans="1:157" ht="13.15" customHeight="1">
      <c r="A652" s="17"/>
      <c r="B652" t="s">
        <v>1064</v>
      </c>
      <c r="G652" s="1399" t="s">
        <v>2699</v>
      </c>
      <c r="H652" s="1399"/>
      <c r="I652" s="1399"/>
      <c r="J652" s="1399"/>
      <c r="K652" s="1399"/>
      <c r="L652" s="1399"/>
      <c r="M652" s="1399"/>
      <c r="N652" s="1399"/>
      <c r="O652" s="1399"/>
      <c r="P652" s="1399"/>
      <c r="Q652" s="1399"/>
      <c r="R652" s="1399"/>
      <c r="S652" s="6"/>
      <c r="T652" s="17"/>
      <c r="U652" t="s">
        <v>1064</v>
      </c>
      <c r="Z652" s="1399" t="s">
        <v>2699</v>
      </c>
      <c r="AA652" s="1399"/>
      <c r="AB652" s="1399"/>
      <c r="AC652" s="1399"/>
      <c r="AD652" s="1399"/>
      <c r="AE652" s="1399"/>
      <c r="AF652" s="1399"/>
      <c r="AG652" s="1399"/>
      <c r="AH652" s="1399"/>
      <c r="AI652" s="1399"/>
      <c r="AJ652" s="1399"/>
      <c r="AK652" s="1399"/>
      <c r="AV652" s="2"/>
      <c r="AW652" s="2"/>
      <c r="AX652" s="2"/>
      <c r="AY652" s="2"/>
      <c r="AZ652" s="2"/>
      <c r="BA652" s="2"/>
      <c r="BB652" s="2"/>
      <c r="BC652" s="2"/>
      <c r="BD652" s="2"/>
      <c r="BE652" s="2"/>
      <c r="BF652" s="2"/>
      <c r="BG652" s="2"/>
      <c r="BH652" s="2"/>
      <c r="BI652" s="2"/>
      <c r="BJ652" s="2"/>
      <c r="BK652" s="2"/>
      <c r="BL652" s="2"/>
      <c r="BM652" s="2"/>
      <c r="DX652" s="1337" t="e">
        <f t="shared" si="3"/>
        <v>#VALUE!</v>
      </c>
      <c r="DY652" s="1337"/>
      <c r="DZ652" s="1337"/>
      <c r="EA652" s="1337"/>
      <c r="EB652" s="1337"/>
      <c r="EC652" s="1337" t="e">
        <f t="shared" si="4"/>
        <v>#VALUE!</v>
      </c>
      <c r="ED652" s="1337"/>
      <c r="EE652" s="1337"/>
      <c r="EF652" s="1337"/>
      <c r="EG652" s="1337"/>
      <c r="EH652" s="1337" t="e">
        <f t="shared" si="5"/>
        <v>#VALUE!</v>
      </c>
      <c r="EI652" s="1337"/>
      <c r="EJ652" s="1337"/>
      <c r="EK652" s="1337"/>
      <c r="EL652" s="1337"/>
      <c r="EM652" s="1337">
        <f t="shared" si="6"/>
        <v>228</v>
      </c>
      <c r="EN652" s="1337"/>
      <c r="EO652" s="1337"/>
      <c r="EP652" s="1337"/>
      <c r="EQ652" s="1337"/>
      <c r="ER652" s="1337" t="e">
        <f t="shared" si="7"/>
        <v>#VALUE!</v>
      </c>
      <c r="ES652" s="1337"/>
      <c r="ET652" s="1337"/>
      <c r="EU652" s="1337"/>
      <c r="EV652" s="1337"/>
      <c r="EW652" s="1337" t="e">
        <f t="shared" si="8"/>
        <v>#VALUE!</v>
      </c>
      <c r="EX652" s="1337"/>
      <c r="EY652" s="1337"/>
      <c r="EZ652" s="1337"/>
      <c r="FA652" s="1337"/>
    </row>
    <row r="653" spans="1:157" ht="13.15" customHeight="1">
      <c r="A653" s="17"/>
      <c r="B653" t="s">
        <v>931</v>
      </c>
      <c r="G653" s="1399" t="s">
        <v>2744</v>
      </c>
      <c r="H653" s="1399"/>
      <c r="I653" s="1399"/>
      <c r="J653" s="1399"/>
      <c r="K653" s="1399"/>
      <c r="L653" s="1399"/>
      <c r="M653" s="1399"/>
      <c r="N653" s="1399"/>
      <c r="O653" s="1399"/>
      <c r="P653" s="1399"/>
      <c r="Q653" s="1399"/>
      <c r="R653" s="1399"/>
      <c r="T653" s="17"/>
      <c r="U653" t="s">
        <v>931</v>
      </c>
      <c r="Z653" s="1360" t="s">
        <v>2744</v>
      </c>
      <c r="AA653" s="1360"/>
      <c r="AB653" s="1360"/>
      <c r="AC653" s="1360"/>
      <c r="AD653" s="1360"/>
      <c r="AE653" s="1360"/>
      <c r="AF653" s="1360"/>
      <c r="AG653" s="1360"/>
      <c r="AH653" s="1360"/>
      <c r="AI653" s="1360"/>
      <c r="AJ653" s="1360"/>
      <c r="AK653" s="1360"/>
      <c r="AV653" s="2"/>
      <c r="AW653" s="2"/>
      <c r="AX653" s="2"/>
      <c r="AY653" s="2"/>
      <c r="AZ653" s="2"/>
      <c r="BA653" s="2"/>
      <c r="BB653" s="2"/>
      <c r="BC653" s="2"/>
      <c r="BD653" s="2"/>
      <c r="BE653" s="2"/>
      <c r="BF653" s="2"/>
      <c r="BG653" s="2"/>
      <c r="BH653" s="2"/>
      <c r="BI653" s="2"/>
      <c r="BJ653" s="2"/>
      <c r="BK653" s="2"/>
      <c r="BL653" s="2"/>
      <c r="BM653" s="2"/>
      <c r="DX653" s="1337" t="e">
        <f t="shared" si="3"/>
        <v>#VALUE!</v>
      </c>
      <c r="DY653" s="1337"/>
      <c r="DZ653" s="1337"/>
      <c r="EA653" s="1337"/>
      <c r="EB653" s="1337"/>
      <c r="EC653" s="1337" t="e">
        <f t="shared" si="4"/>
        <v>#VALUE!</v>
      </c>
      <c r="ED653" s="1337"/>
      <c r="EE653" s="1337"/>
      <c r="EF653" s="1337"/>
      <c r="EG653" s="1337"/>
      <c r="EH653" s="1337" t="e">
        <f t="shared" si="5"/>
        <v>#VALUE!</v>
      </c>
      <c r="EI653" s="1337"/>
      <c r="EJ653" s="1337"/>
      <c r="EK653" s="1337"/>
      <c r="EL653" s="1337"/>
      <c r="EM653" s="1337">
        <f t="shared" si="6"/>
        <v>364.30769230769232</v>
      </c>
      <c r="EN653" s="1337"/>
      <c r="EO653" s="1337"/>
      <c r="EP653" s="1337"/>
      <c r="EQ653" s="1337"/>
      <c r="ER653" s="1337" t="e">
        <f t="shared" si="7"/>
        <v>#VALUE!</v>
      </c>
      <c r="ES653" s="1337"/>
      <c r="ET653" s="1337"/>
      <c r="EU653" s="1337"/>
      <c r="EV653" s="1337"/>
      <c r="EW653" s="1337" t="e">
        <f t="shared" si="8"/>
        <v>#VALUE!</v>
      </c>
      <c r="EX653" s="1337"/>
      <c r="EY653" s="1337"/>
      <c r="EZ653" s="1337"/>
      <c r="FA653" s="1337"/>
    </row>
    <row r="654" spans="1:157" ht="13.15" customHeight="1">
      <c r="A654" s="17"/>
      <c r="B654" t="s">
        <v>1324</v>
      </c>
      <c r="G654" s="1399" t="s">
        <v>2817</v>
      </c>
      <c r="H654" s="1399"/>
      <c r="I654" s="1399"/>
      <c r="J654" s="1399"/>
      <c r="K654" s="1399"/>
      <c r="L654" s="1399"/>
      <c r="M654" s="1399"/>
      <c r="N654" s="1399"/>
      <c r="O654" s="1399"/>
      <c r="P654" s="1399"/>
      <c r="Q654" s="1399"/>
      <c r="R654" s="1399"/>
      <c r="S654" s="6"/>
      <c r="T654" s="17"/>
      <c r="U654" t="s">
        <v>1324</v>
      </c>
      <c r="Z654" s="1360" t="s">
        <v>2817</v>
      </c>
      <c r="AA654" s="1360"/>
      <c r="AB654" s="1360"/>
      <c r="AC654" s="1360"/>
      <c r="AD654" s="1360"/>
      <c r="AE654" s="1360"/>
      <c r="AF654" s="1360"/>
      <c r="AG654" s="1360"/>
      <c r="AH654" s="1360"/>
      <c r="AI654" s="1360"/>
      <c r="AJ654" s="1360"/>
      <c r="AK654" s="1360"/>
      <c r="AZ654" s="2"/>
      <c r="BA654" s="2"/>
      <c r="BB654" s="2"/>
      <c r="BC654" s="2"/>
      <c r="BD654" s="2"/>
      <c r="BE654" s="2"/>
      <c r="BF654" s="2"/>
      <c r="BG654" s="2"/>
      <c r="BH654" s="2"/>
      <c r="BI654" s="2"/>
      <c r="BJ654" s="2"/>
      <c r="BK654" s="2"/>
      <c r="BL654" s="2"/>
      <c r="BM654" s="2"/>
      <c r="DX654" s="1337" t="e">
        <f t="shared" si="3"/>
        <v>#VALUE!</v>
      </c>
      <c r="DY654" s="1337"/>
      <c r="DZ654" s="1337"/>
      <c r="EA654" s="1337"/>
      <c r="EB654" s="1337"/>
      <c r="EC654" s="1337" t="e">
        <f t="shared" si="4"/>
        <v>#VALUE!</v>
      </c>
      <c r="ED654" s="1337"/>
      <c r="EE654" s="1337"/>
      <c r="EF654" s="1337"/>
      <c r="EG654" s="1337"/>
      <c r="EH654" s="1337" t="e">
        <f t="shared" si="5"/>
        <v>#VALUE!</v>
      </c>
      <c r="EI654" s="1337"/>
      <c r="EJ654" s="1337"/>
      <c r="EK654" s="1337"/>
      <c r="EL654" s="1337"/>
      <c r="EM654" s="1337">
        <f t="shared" si="6"/>
        <v>389.4871794871795</v>
      </c>
      <c r="EN654" s="1337"/>
      <c r="EO654" s="1337"/>
      <c r="EP654" s="1337"/>
      <c r="EQ654" s="1337"/>
      <c r="ER654" s="1337" t="e">
        <f t="shared" si="7"/>
        <v>#VALUE!</v>
      </c>
      <c r="ES654" s="1337"/>
      <c r="ET654" s="1337"/>
      <c r="EU654" s="1337"/>
      <c r="EV654" s="1337"/>
      <c r="EW654" s="1337" t="e">
        <f t="shared" si="8"/>
        <v>#VALUE!</v>
      </c>
      <c r="EX654" s="1337"/>
      <c r="EY654" s="1337"/>
      <c r="EZ654" s="1337"/>
      <c r="FA654" s="1337"/>
    </row>
    <row r="655" spans="1:157" ht="13.15" customHeight="1">
      <c r="A655" s="17"/>
      <c r="B655" t="s">
        <v>828</v>
      </c>
      <c r="G655" s="1338" t="s">
        <v>2816</v>
      </c>
      <c r="H655" s="1338"/>
      <c r="I655" s="1338"/>
      <c r="J655" s="1338"/>
      <c r="K655" s="1338"/>
      <c r="L655" s="1338"/>
      <c r="O655" s="813" t="s">
        <v>1068</v>
      </c>
      <c r="P655" s="1339"/>
      <c r="Q655" s="1339"/>
      <c r="R655" s="1339"/>
      <c r="S655" s="8"/>
      <c r="T655" s="17"/>
      <c r="U655" t="s">
        <v>828</v>
      </c>
      <c r="Z655" s="1338" t="s">
        <v>2816</v>
      </c>
      <c r="AA655" s="1338"/>
      <c r="AB655" s="1338"/>
      <c r="AC655" s="1338"/>
      <c r="AD655" s="1338"/>
      <c r="AE655" s="1338"/>
      <c r="AH655" s="813" t="s">
        <v>1068</v>
      </c>
      <c r="AI655" s="1339"/>
      <c r="AJ655" s="1339"/>
      <c r="AK655" s="1339"/>
      <c r="AZ655" s="2"/>
      <c r="BA655" s="2"/>
      <c r="BB655" s="2"/>
      <c r="BC655" s="2"/>
      <c r="BD655" s="2"/>
      <c r="BE655" s="2"/>
      <c r="BF655" s="2"/>
      <c r="BG655" s="2"/>
      <c r="BH655" s="2"/>
      <c r="BI655" s="2"/>
      <c r="BJ655" s="2"/>
      <c r="BK655" s="2"/>
      <c r="BL655" s="2"/>
      <c r="BM655" s="2"/>
      <c r="DX655" s="1337" t="e">
        <f t="shared" si="3"/>
        <v>#VALUE!</v>
      </c>
      <c r="DY655" s="1337"/>
      <c r="DZ655" s="1337"/>
      <c r="EA655" s="1337"/>
      <c r="EB655" s="1337"/>
      <c r="EC655" s="1337" t="e">
        <f t="shared" si="4"/>
        <v>#VALUE!</v>
      </c>
      <c r="ED655" s="1337"/>
      <c r="EE655" s="1337"/>
      <c r="EF655" s="1337"/>
      <c r="EG655" s="1337"/>
      <c r="EH655" s="1337" t="e">
        <f t="shared" si="5"/>
        <v>#VALUE!</v>
      </c>
      <c r="EI655" s="1337"/>
      <c r="EJ655" s="1337"/>
      <c r="EK655" s="1337"/>
      <c r="EL655" s="1337"/>
      <c r="EM655" s="1337">
        <f t="shared" si="6"/>
        <v>986.15384615384619</v>
      </c>
      <c r="EN655" s="1337"/>
      <c r="EO655" s="1337"/>
      <c r="EP655" s="1337"/>
      <c r="EQ655" s="1337"/>
      <c r="ER655" s="1337" t="e">
        <f t="shared" si="7"/>
        <v>#VALUE!</v>
      </c>
      <c r="ES655" s="1337"/>
      <c r="ET655" s="1337"/>
      <c r="EU655" s="1337"/>
      <c r="EV655" s="1337"/>
      <c r="EW655" s="1337" t="e">
        <f t="shared" si="8"/>
        <v>#VALUE!</v>
      </c>
      <c r="EX655" s="1337"/>
      <c r="EY655" s="1337"/>
      <c r="EZ655" s="1337"/>
      <c r="FA655" s="1337"/>
    </row>
    <row r="656" spans="1:157" ht="13.15" customHeight="1">
      <c r="A656" s="17"/>
      <c r="B656" t="s">
        <v>1325</v>
      </c>
      <c r="H656" s="1399" t="s">
        <v>2745</v>
      </c>
      <c r="I656" s="1399"/>
      <c r="J656" s="1399"/>
      <c r="K656" s="1399"/>
      <c r="L656" s="1399"/>
      <c r="M656" s="1399"/>
      <c r="N656" s="1399"/>
      <c r="O656" s="1399"/>
      <c r="P656" s="1399"/>
      <c r="Q656" s="1399"/>
      <c r="R656" s="1399"/>
      <c r="S656" s="6"/>
      <c r="T656" s="17"/>
      <c r="U656" t="s">
        <v>1325</v>
      </c>
      <c r="AA656" s="1399" t="s">
        <v>2735</v>
      </c>
      <c r="AB656" s="1399"/>
      <c r="AC656" s="1399"/>
      <c r="AD656" s="1399"/>
      <c r="AE656" s="1399"/>
      <c r="AF656" s="1399"/>
      <c r="AG656" s="1399"/>
      <c r="AH656" s="1399"/>
      <c r="AI656" s="1399"/>
      <c r="AJ656" s="1399"/>
      <c r="AK656" s="1399"/>
      <c r="AZ656" s="2"/>
      <c r="BA656" s="2"/>
      <c r="BB656" s="2"/>
      <c r="BC656" s="2"/>
      <c r="BD656" s="2"/>
      <c r="BE656" s="2"/>
      <c r="BF656" s="2"/>
      <c r="BG656" s="2"/>
      <c r="BH656" s="2"/>
      <c r="BI656" s="2"/>
      <c r="BJ656" s="2"/>
      <c r="BK656" s="2"/>
      <c r="BL656" s="2"/>
      <c r="BM656" s="2"/>
      <c r="DX656" s="1337" t="e">
        <f t="shared" si="3"/>
        <v>#VALUE!</v>
      </c>
      <c r="DY656" s="1337"/>
      <c r="DZ656" s="1337"/>
      <c r="EA656" s="1337"/>
      <c r="EB656" s="1337"/>
      <c r="EC656" s="1337" t="e">
        <f t="shared" si="4"/>
        <v>#VALUE!</v>
      </c>
      <c r="ED656" s="1337"/>
      <c r="EE656" s="1337"/>
      <c r="EF656" s="1337"/>
      <c r="EG656" s="1337"/>
      <c r="EH656" s="1337" t="e">
        <f t="shared" si="5"/>
        <v>#VALUE!</v>
      </c>
      <c r="EI656" s="1337"/>
      <c r="EJ656" s="1337"/>
      <c r="EK656" s="1337"/>
      <c r="EL656" s="1337"/>
      <c r="EM656" s="1337" t="e">
        <f t="shared" si="6"/>
        <v>#VALUE!</v>
      </c>
      <c r="EN656" s="1337"/>
      <c r="EO656" s="1337"/>
      <c r="EP656" s="1337"/>
      <c r="EQ656" s="1337"/>
      <c r="ER656" s="1337" t="e">
        <f t="shared" si="7"/>
        <v>#VALUE!</v>
      </c>
      <c r="ES656" s="1337"/>
      <c r="ET656" s="1337"/>
      <c r="EU656" s="1337"/>
      <c r="EV656" s="1337"/>
      <c r="EW656" s="1337" t="e">
        <f t="shared" si="8"/>
        <v>#VALUE!</v>
      </c>
      <c r="EX656" s="1337"/>
      <c r="EY656" s="1337"/>
      <c r="EZ656" s="1337"/>
      <c r="FA656" s="1337"/>
    </row>
    <row r="657" spans="1:157" ht="13.15" customHeight="1">
      <c r="A657" s="17"/>
      <c r="B657" t="s">
        <v>1327</v>
      </c>
      <c r="N657" s="1356" t="s">
        <v>847</v>
      </c>
      <c r="O657" s="1356"/>
      <c r="T657" s="17"/>
      <c r="U657" t="s">
        <v>1327</v>
      </c>
      <c r="AG657" s="1356" t="s">
        <v>847</v>
      </c>
      <c r="AH657" s="1356"/>
      <c r="AZ657" s="2"/>
      <c r="BA657" s="2"/>
      <c r="BB657" s="2"/>
      <c r="BC657" s="2"/>
      <c r="BD657" s="2"/>
      <c r="BE657" s="2"/>
      <c r="BF657" s="2"/>
      <c r="BG657" s="2"/>
      <c r="BH657" s="2"/>
      <c r="BI657" s="2"/>
      <c r="BJ657" s="2"/>
      <c r="BK657" s="2"/>
      <c r="BL657" s="2"/>
      <c r="BM657" s="2"/>
      <c r="DX657" s="1337" t="e">
        <f t="shared" si="3"/>
        <v>#VALUE!</v>
      </c>
      <c r="DY657" s="1337"/>
      <c r="DZ657" s="1337"/>
      <c r="EA657" s="1337"/>
      <c r="EB657" s="1337"/>
      <c r="EC657" s="1337" t="e">
        <f t="shared" si="4"/>
        <v>#VALUE!</v>
      </c>
      <c r="ED657" s="1337"/>
      <c r="EE657" s="1337"/>
      <c r="EF657" s="1337"/>
      <c r="EG657" s="1337"/>
      <c r="EH657" s="1337" t="e">
        <f t="shared" si="5"/>
        <v>#VALUE!</v>
      </c>
      <c r="EI657" s="1337"/>
      <c r="EJ657" s="1337"/>
      <c r="EK657" s="1337"/>
      <c r="EL657" s="1337"/>
      <c r="EM657" s="1337" t="e">
        <f t="shared" si="6"/>
        <v>#VALUE!</v>
      </c>
      <c r="EN657" s="1337"/>
      <c r="EO657" s="1337"/>
      <c r="EP657" s="1337"/>
      <c r="EQ657" s="1337"/>
      <c r="ER657" s="1337" t="e">
        <f t="shared" si="7"/>
        <v>#VALUE!</v>
      </c>
      <c r="ES657" s="1337"/>
      <c r="ET657" s="1337"/>
      <c r="EU657" s="1337"/>
      <c r="EV657" s="1337"/>
      <c r="EW657" s="1337" t="e">
        <f t="shared" si="8"/>
        <v>#VALUE!</v>
      </c>
      <c r="EX657" s="1337"/>
      <c r="EY657" s="1337"/>
      <c r="EZ657" s="1337"/>
      <c r="FA657" s="1337"/>
    </row>
    <row r="658" spans="1:157" ht="13.15" customHeight="1">
      <c r="A658" s="17"/>
      <c r="T658" s="17"/>
      <c r="AZ658" s="2"/>
      <c r="BA658" s="2"/>
      <c r="BB658" s="2"/>
      <c r="BC658" s="2"/>
      <c r="BD658" s="2"/>
      <c r="BE658" s="2"/>
      <c r="BF658" s="2"/>
      <c r="BG658" s="2"/>
      <c r="BH658" s="2"/>
      <c r="BI658" s="2"/>
      <c r="BJ658" s="2"/>
      <c r="BK658" s="2"/>
      <c r="BL658" s="2"/>
      <c r="BM658" s="2"/>
      <c r="DX658" s="1337" t="e">
        <f t="shared" si="3"/>
        <v>#VALUE!</v>
      </c>
      <c r="DY658" s="1337"/>
      <c r="DZ658" s="1337"/>
      <c r="EA658" s="1337"/>
      <c r="EB658" s="1337"/>
      <c r="EC658" s="1337" t="e">
        <f t="shared" si="4"/>
        <v>#VALUE!</v>
      </c>
      <c r="ED658" s="1337"/>
      <c r="EE658" s="1337"/>
      <c r="EF658" s="1337"/>
      <c r="EG658" s="1337"/>
      <c r="EH658" s="1337" t="e">
        <f t="shared" si="5"/>
        <v>#VALUE!</v>
      </c>
      <c r="EI658" s="1337"/>
      <c r="EJ658" s="1337"/>
      <c r="EK658" s="1337"/>
      <c r="EL658" s="1337"/>
      <c r="EM658" s="1337" t="e">
        <f t="shared" si="6"/>
        <v>#VALUE!</v>
      </c>
      <c r="EN658" s="1337"/>
      <c r="EO658" s="1337"/>
      <c r="EP658" s="1337"/>
      <c r="EQ658" s="1337"/>
      <c r="ER658" s="1337" t="e">
        <f t="shared" si="7"/>
        <v>#VALUE!</v>
      </c>
      <c r="ES658" s="1337"/>
      <c r="ET658" s="1337"/>
      <c r="EU658" s="1337"/>
      <c r="EV658" s="1337"/>
      <c r="EW658" s="1337" t="e">
        <f t="shared" si="8"/>
        <v>#VALUE!</v>
      </c>
      <c r="EX658" s="1337"/>
      <c r="EY658" s="1337"/>
      <c r="EZ658" s="1337"/>
      <c r="FA658" s="1337"/>
    </row>
    <row r="659" spans="1:157" ht="13.15" customHeight="1">
      <c r="A659" s="36" t="s">
        <v>39</v>
      </c>
      <c r="B659" t="s">
        <v>1323</v>
      </c>
      <c r="G659" s="1346" t="str">
        <f>C637</f>
        <v>City of Long Beach &amp; Long Beach Community Investment Company</v>
      </c>
      <c r="H659" s="1346"/>
      <c r="I659" s="1346"/>
      <c r="J659" s="1346"/>
      <c r="K659" s="1346"/>
      <c r="L659" s="1346"/>
      <c r="M659" s="1346"/>
      <c r="N659" s="1346"/>
      <c r="O659" s="1346"/>
      <c r="P659" s="1346"/>
      <c r="Q659" s="1346"/>
      <c r="R659" s="1346"/>
      <c r="T659" s="36" t="s">
        <v>82</v>
      </c>
      <c r="U659" t="s">
        <v>1323</v>
      </c>
      <c r="Z659" s="1346" t="str">
        <f>C638</f>
        <v>Gateway Cities Affordable Housing Trust</v>
      </c>
      <c r="AA659" s="1346"/>
      <c r="AB659" s="1346"/>
      <c r="AC659" s="1346"/>
      <c r="AD659" s="1346"/>
      <c r="AE659" s="1346"/>
      <c r="AF659" s="1346"/>
      <c r="AG659" s="1346"/>
      <c r="AH659" s="1346"/>
      <c r="AI659" s="1346"/>
      <c r="AJ659" s="1346"/>
      <c r="AK659" s="1346"/>
      <c r="AZ659" s="2"/>
      <c r="BA659" s="2"/>
      <c r="BB659" s="2"/>
      <c r="BC659" s="2"/>
      <c r="BD659" s="2"/>
      <c r="BE659" s="2"/>
      <c r="BF659" s="2"/>
      <c r="BG659" s="2"/>
      <c r="BH659" s="2"/>
      <c r="BI659" s="2"/>
      <c r="BJ659" s="2"/>
      <c r="BK659" s="2"/>
      <c r="BL659" s="2"/>
      <c r="BM659" s="2"/>
      <c r="DX659" s="1337" t="e">
        <f t="shared" si="3"/>
        <v>#VALUE!</v>
      </c>
      <c r="DY659" s="1337"/>
      <c r="DZ659" s="1337"/>
      <c r="EA659" s="1337"/>
      <c r="EB659" s="1337"/>
      <c r="EC659" s="1337" t="e">
        <f t="shared" si="4"/>
        <v>#VALUE!</v>
      </c>
      <c r="ED659" s="1337"/>
      <c r="EE659" s="1337"/>
      <c r="EF659" s="1337"/>
      <c r="EG659" s="1337"/>
      <c r="EH659" s="1337" t="e">
        <f t="shared" si="5"/>
        <v>#VALUE!</v>
      </c>
      <c r="EI659" s="1337"/>
      <c r="EJ659" s="1337"/>
      <c r="EK659" s="1337"/>
      <c r="EL659" s="1337"/>
      <c r="EM659" s="1337" t="e">
        <f t="shared" si="6"/>
        <v>#VALUE!</v>
      </c>
      <c r="EN659" s="1337"/>
      <c r="EO659" s="1337"/>
      <c r="EP659" s="1337"/>
      <c r="EQ659" s="1337"/>
      <c r="ER659" s="1337" t="e">
        <f t="shared" si="7"/>
        <v>#VALUE!</v>
      </c>
      <c r="ES659" s="1337"/>
      <c r="ET659" s="1337"/>
      <c r="EU659" s="1337"/>
      <c r="EV659" s="1337"/>
      <c r="EW659" s="1337" t="e">
        <f t="shared" si="8"/>
        <v>#VALUE!</v>
      </c>
      <c r="EX659" s="1337"/>
      <c r="EY659" s="1337"/>
      <c r="EZ659" s="1337"/>
      <c r="FA659" s="1337"/>
    </row>
    <row r="660" spans="1:157" ht="13.15" customHeight="1">
      <c r="A660" s="17"/>
      <c r="B660" t="s">
        <v>1064</v>
      </c>
      <c r="G660" s="1399" t="s">
        <v>2736</v>
      </c>
      <c r="H660" s="1399"/>
      <c r="I660" s="1399"/>
      <c r="J660" s="1399"/>
      <c r="K660" s="1399"/>
      <c r="L660" s="1399"/>
      <c r="M660" s="1399"/>
      <c r="N660" s="1399"/>
      <c r="O660" s="1399"/>
      <c r="P660" s="1399"/>
      <c r="Q660" s="1399"/>
      <c r="R660" s="1399"/>
      <c r="T660" s="17"/>
      <c r="U660" t="s">
        <v>1064</v>
      </c>
      <c r="Z660" s="1399" t="s">
        <v>2731</v>
      </c>
      <c r="AA660" s="1399"/>
      <c r="AB660" s="1399"/>
      <c r="AC660" s="1399"/>
      <c r="AD660" s="1399"/>
      <c r="AE660" s="1399"/>
      <c r="AF660" s="1399"/>
      <c r="AG660" s="1399"/>
      <c r="AH660" s="1399"/>
      <c r="AI660" s="1399"/>
      <c r="AJ660" s="1399"/>
      <c r="AK660" s="1399"/>
      <c r="AZ660" s="2"/>
      <c r="BA660" s="2"/>
      <c r="BB660" s="2"/>
      <c r="BC660" s="2"/>
      <c r="BD660" s="2"/>
      <c r="BE660" s="2"/>
      <c r="BF660" s="2"/>
      <c r="BG660" s="2"/>
      <c r="BH660" s="2"/>
      <c r="BI660" s="2"/>
      <c r="BJ660" s="2"/>
      <c r="BK660" s="2"/>
      <c r="BL660" s="2"/>
      <c r="BM660" s="2"/>
      <c r="DX660" s="1337" t="e">
        <f t="shared" si="3"/>
        <v>#VALUE!</v>
      </c>
      <c r="DY660" s="1337"/>
      <c r="DZ660" s="1337"/>
      <c r="EA660" s="1337"/>
      <c r="EB660" s="1337"/>
      <c r="EC660" s="1337" t="e">
        <f t="shared" si="4"/>
        <v>#VALUE!</v>
      </c>
      <c r="ED660" s="1337"/>
      <c r="EE660" s="1337"/>
      <c r="EF660" s="1337"/>
      <c r="EG660" s="1337"/>
      <c r="EH660" s="1337" t="e">
        <f t="shared" si="5"/>
        <v>#VALUE!</v>
      </c>
      <c r="EI660" s="1337"/>
      <c r="EJ660" s="1337"/>
      <c r="EK660" s="1337"/>
      <c r="EL660" s="1337"/>
      <c r="EM660" s="1337" t="e">
        <f t="shared" si="6"/>
        <v>#VALUE!</v>
      </c>
      <c r="EN660" s="1337"/>
      <c r="EO660" s="1337"/>
      <c r="EP660" s="1337"/>
      <c r="EQ660" s="1337"/>
      <c r="ER660" s="1337" t="e">
        <f t="shared" si="7"/>
        <v>#VALUE!</v>
      </c>
      <c r="ES660" s="1337"/>
      <c r="ET660" s="1337"/>
      <c r="EU660" s="1337"/>
      <c r="EV660" s="1337"/>
      <c r="EW660" s="1337" t="e">
        <f t="shared" si="8"/>
        <v>#VALUE!</v>
      </c>
      <c r="EX660" s="1337"/>
      <c r="EY660" s="1337"/>
      <c r="EZ660" s="1337"/>
      <c r="FA660" s="1337"/>
    </row>
    <row r="661" spans="1:157" ht="13.15" customHeight="1">
      <c r="A661" s="17"/>
      <c r="B661" t="s">
        <v>931</v>
      </c>
      <c r="G661" s="1360" t="s">
        <v>2737</v>
      </c>
      <c r="H661" s="1360"/>
      <c r="I661" s="1360"/>
      <c r="J661" s="1360"/>
      <c r="K661" s="1360"/>
      <c r="L661" s="1360"/>
      <c r="M661" s="1360"/>
      <c r="N661" s="1360"/>
      <c r="O661" s="1360"/>
      <c r="P661" s="1360"/>
      <c r="Q661" s="1360"/>
      <c r="R661" s="1360"/>
      <c r="T661" s="17"/>
      <c r="U661" t="s">
        <v>931</v>
      </c>
      <c r="Z661" s="1360" t="s">
        <v>2732</v>
      </c>
      <c r="AA661" s="1360"/>
      <c r="AB661" s="1360"/>
      <c r="AC661" s="1360"/>
      <c r="AD661" s="1360"/>
      <c r="AE661" s="1360"/>
      <c r="AF661" s="1360"/>
      <c r="AG661" s="1360"/>
      <c r="AH661" s="1360"/>
      <c r="AI661" s="1360"/>
      <c r="AJ661" s="1360"/>
      <c r="AK661" s="1360"/>
      <c r="AZ661" s="2"/>
      <c r="BA661" s="2"/>
      <c r="BB661" s="2"/>
      <c r="BC661" s="2"/>
      <c r="BD661" s="2"/>
      <c r="BE661" s="2"/>
      <c r="BF661" s="2"/>
      <c r="BG661" s="2"/>
      <c r="BH661" s="2"/>
      <c r="BI661" s="2"/>
      <c r="BJ661" s="2"/>
      <c r="BK661" s="2"/>
      <c r="BL661" s="2"/>
      <c r="BM661" s="2"/>
      <c r="DX661" s="1337" t="e">
        <f t="shared" si="3"/>
        <v>#VALUE!</v>
      </c>
      <c r="DY661" s="1337"/>
      <c r="DZ661" s="1337"/>
      <c r="EA661" s="1337"/>
      <c r="EB661" s="1337"/>
      <c r="EC661" s="1337" t="e">
        <f t="shared" si="4"/>
        <v>#VALUE!</v>
      </c>
      <c r="ED661" s="1337"/>
      <c r="EE661" s="1337"/>
      <c r="EF661" s="1337"/>
      <c r="EG661" s="1337"/>
      <c r="EH661" s="1337" t="e">
        <f t="shared" si="5"/>
        <v>#VALUE!</v>
      </c>
      <c r="EI661" s="1337"/>
      <c r="EJ661" s="1337"/>
      <c r="EK661" s="1337"/>
      <c r="EL661" s="1337"/>
      <c r="EM661" s="1337" t="e">
        <f t="shared" si="6"/>
        <v>#VALUE!</v>
      </c>
      <c r="EN661" s="1337"/>
      <c r="EO661" s="1337"/>
      <c r="EP661" s="1337"/>
      <c r="EQ661" s="1337"/>
      <c r="ER661" s="1337" t="e">
        <f t="shared" si="7"/>
        <v>#VALUE!</v>
      </c>
      <c r="ES661" s="1337"/>
      <c r="ET661" s="1337"/>
      <c r="EU661" s="1337"/>
      <c r="EV661" s="1337"/>
      <c r="EW661" s="1337" t="e">
        <f t="shared" si="8"/>
        <v>#VALUE!</v>
      </c>
      <c r="EX661" s="1337"/>
      <c r="EY661" s="1337"/>
      <c r="EZ661" s="1337"/>
      <c r="FA661" s="1337"/>
    </row>
    <row r="662" spans="1:157" ht="13.15" customHeight="1">
      <c r="A662" s="17"/>
      <c r="B662" t="s">
        <v>1324</v>
      </c>
      <c r="G662" s="1360" t="s">
        <v>2738</v>
      </c>
      <c r="H662" s="1360"/>
      <c r="I662" s="1360"/>
      <c r="J662" s="1360"/>
      <c r="K662" s="1360"/>
      <c r="L662" s="1360"/>
      <c r="M662" s="1360"/>
      <c r="N662" s="1360"/>
      <c r="O662" s="1360"/>
      <c r="P662" s="1360"/>
      <c r="Q662" s="1360"/>
      <c r="R662" s="1360"/>
      <c r="T662" s="17"/>
      <c r="U662" t="s">
        <v>1324</v>
      </c>
      <c r="Z662" s="1360" t="s">
        <v>2733</v>
      </c>
      <c r="AA662" s="1360"/>
      <c r="AB662" s="1360"/>
      <c r="AC662" s="1360"/>
      <c r="AD662" s="1360"/>
      <c r="AE662" s="1360"/>
      <c r="AF662" s="1360"/>
      <c r="AG662" s="1360"/>
      <c r="AH662" s="1360"/>
      <c r="AI662" s="1360"/>
      <c r="AJ662" s="1360"/>
      <c r="AK662" s="1360"/>
      <c r="AZ662" s="2"/>
      <c r="BA662" s="2"/>
      <c r="BB662" s="2"/>
      <c r="BC662" s="2"/>
      <c r="BD662" s="2"/>
      <c r="BE662" s="2"/>
      <c r="BF662" s="2"/>
      <c r="BG662" s="2"/>
      <c r="BH662" s="2"/>
      <c r="BI662" s="2"/>
      <c r="BJ662" s="2"/>
      <c r="BK662" s="2"/>
      <c r="BL662" s="2"/>
      <c r="BM662" s="2"/>
      <c r="DX662" s="1337" t="e">
        <f t="shared" si="3"/>
        <v>#VALUE!</v>
      </c>
      <c r="DY662" s="1337"/>
      <c r="DZ662" s="1337"/>
      <c r="EA662" s="1337"/>
      <c r="EB662" s="1337"/>
      <c r="EC662" s="1337" t="e">
        <f t="shared" si="4"/>
        <v>#VALUE!</v>
      </c>
      <c r="ED662" s="1337"/>
      <c r="EE662" s="1337"/>
      <c r="EF662" s="1337"/>
      <c r="EG662" s="1337"/>
      <c r="EH662" s="1337" t="e">
        <f t="shared" si="5"/>
        <v>#VALUE!</v>
      </c>
      <c r="EI662" s="1337"/>
      <c r="EJ662" s="1337"/>
      <c r="EK662" s="1337"/>
      <c r="EL662" s="1337"/>
      <c r="EM662" s="1337" t="e">
        <f t="shared" si="6"/>
        <v>#VALUE!</v>
      </c>
      <c r="EN662" s="1337"/>
      <c r="EO662" s="1337"/>
      <c r="EP662" s="1337"/>
      <c r="EQ662" s="1337"/>
      <c r="ER662" s="1337" t="e">
        <f t="shared" si="7"/>
        <v>#VALUE!</v>
      </c>
      <c r="ES662" s="1337"/>
      <c r="ET662" s="1337"/>
      <c r="EU662" s="1337"/>
      <c r="EV662" s="1337"/>
      <c r="EW662" s="1337" t="e">
        <f t="shared" si="8"/>
        <v>#VALUE!</v>
      </c>
      <c r="EX662" s="1337"/>
      <c r="EY662" s="1337"/>
      <c r="EZ662" s="1337"/>
      <c r="FA662" s="1337"/>
    </row>
    <row r="663" spans="1:157" ht="13.15" customHeight="1">
      <c r="A663" s="17"/>
      <c r="B663" t="s">
        <v>828</v>
      </c>
      <c r="G663" s="1338" t="s">
        <v>2739</v>
      </c>
      <c r="H663" s="1338"/>
      <c r="I663" s="1338"/>
      <c r="J663" s="1338"/>
      <c r="K663" s="1338"/>
      <c r="L663" s="1338"/>
      <c r="O663" s="813" t="s">
        <v>1068</v>
      </c>
      <c r="P663" s="1339"/>
      <c r="Q663" s="1339"/>
      <c r="R663" s="1339"/>
      <c r="T663" s="17"/>
      <c r="U663" t="s">
        <v>828</v>
      </c>
      <c r="Z663" s="1338" t="s">
        <v>2734</v>
      </c>
      <c r="AA663" s="1338"/>
      <c r="AB663" s="1338"/>
      <c r="AC663" s="1338"/>
      <c r="AD663" s="1338"/>
      <c r="AE663" s="1338"/>
      <c r="AH663" s="813" t="s">
        <v>1068</v>
      </c>
      <c r="AI663" s="1339"/>
      <c r="AJ663" s="1339"/>
      <c r="AK663" s="1339"/>
      <c r="AZ663" s="2"/>
      <c r="BA663" s="2"/>
      <c r="BB663" s="2"/>
      <c r="BC663" s="2"/>
      <c r="BD663" s="2"/>
      <c r="BE663" s="2"/>
      <c r="BF663" s="2"/>
      <c r="BG663" s="2"/>
      <c r="BH663" s="2"/>
      <c r="BI663" s="2"/>
      <c r="BJ663" s="2"/>
      <c r="BK663" s="2"/>
      <c r="BL663" s="2"/>
      <c r="BM663" s="2"/>
      <c r="DX663" s="1337" t="e">
        <f t="shared" si="3"/>
        <v>#VALUE!</v>
      </c>
      <c r="DY663" s="1337"/>
      <c r="DZ663" s="1337"/>
      <c r="EA663" s="1337"/>
      <c r="EB663" s="1337"/>
      <c r="EC663" s="1337" t="e">
        <f t="shared" si="4"/>
        <v>#VALUE!</v>
      </c>
      <c r="ED663" s="1337"/>
      <c r="EE663" s="1337"/>
      <c r="EF663" s="1337"/>
      <c r="EG663" s="1337"/>
      <c r="EH663" s="1337" t="e">
        <f t="shared" si="5"/>
        <v>#VALUE!</v>
      </c>
      <c r="EI663" s="1337"/>
      <c r="EJ663" s="1337"/>
      <c r="EK663" s="1337"/>
      <c r="EL663" s="1337"/>
      <c r="EM663" s="1337" t="e">
        <f t="shared" si="6"/>
        <v>#VALUE!</v>
      </c>
      <c r="EN663" s="1337"/>
      <c r="EO663" s="1337"/>
      <c r="EP663" s="1337"/>
      <c r="EQ663" s="1337"/>
      <c r="ER663" s="1337" t="e">
        <f t="shared" si="7"/>
        <v>#VALUE!</v>
      </c>
      <c r="ES663" s="1337"/>
      <c r="ET663" s="1337"/>
      <c r="EU663" s="1337"/>
      <c r="EV663" s="1337"/>
      <c r="EW663" s="1337" t="e">
        <f t="shared" si="8"/>
        <v>#VALUE!</v>
      </c>
      <c r="EX663" s="1337"/>
      <c r="EY663" s="1337"/>
      <c r="EZ663" s="1337"/>
      <c r="FA663" s="1337"/>
    </row>
    <row r="664" spans="1:157" ht="13.15" customHeight="1">
      <c r="A664" s="17"/>
      <c r="B664" t="s">
        <v>1325</v>
      </c>
      <c r="H664" s="1399" t="s">
        <v>2735</v>
      </c>
      <c r="I664" s="1399"/>
      <c r="J664" s="1399"/>
      <c r="K664" s="1399"/>
      <c r="L664" s="1399"/>
      <c r="M664" s="1399"/>
      <c r="N664" s="1399"/>
      <c r="O664" s="1399"/>
      <c r="P664" s="1399"/>
      <c r="Q664" s="1399"/>
      <c r="R664" s="1399"/>
      <c r="T664" s="17"/>
      <c r="U664" t="s">
        <v>1325</v>
      </c>
      <c r="AA664" s="1399" t="s">
        <v>2735</v>
      </c>
      <c r="AB664" s="1399"/>
      <c r="AC664" s="1399"/>
      <c r="AD664" s="1399"/>
      <c r="AE664" s="1399"/>
      <c r="AF664" s="1399"/>
      <c r="AG664" s="1399"/>
      <c r="AH664" s="1399"/>
      <c r="AI664" s="1399"/>
      <c r="AJ664" s="1399"/>
      <c r="AK664" s="1399"/>
      <c r="AZ664" s="2"/>
      <c r="BA664" s="2"/>
      <c r="BB664" s="2"/>
      <c r="BC664" s="2"/>
      <c r="BD664" s="2"/>
      <c r="BE664" s="2"/>
      <c r="BF664" s="2"/>
      <c r="BG664" s="2"/>
      <c r="BH664" s="2"/>
      <c r="BI664" s="2"/>
      <c r="BJ664" s="2"/>
      <c r="BK664" s="2"/>
      <c r="BL664" s="2"/>
      <c r="BM664" s="2"/>
      <c r="DX664" s="1337" t="e">
        <f t="shared" si="3"/>
        <v>#VALUE!</v>
      </c>
      <c r="DY664" s="1337"/>
      <c r="DZ664" s="1337"/>
      <c r="EA664" s="1337"/>
      <c r="EB664" s="1337"/>
      <c r="EC664" s="1337" t="e">
        <f t="shared" si="4"/>
        <v>#VALUE!</v>
      </c>
      <c r="ED664" s="1337"/>
      <c r="EE664" s="1337"/>
      <c r="EF664" s="1337"/>
      <c r="EG664" s="1337"/>
      <c r="EH664" s="1337" t="e">
        <f t="shared" si="5"/>
        <v>#VALUE!</v>
      </c>
      <c r="EI664" s="1337"/>
      <c r="EJ664" s="1337"/>
      <c r="EK664" s="1337"/>
      <c r="EL664" s="1337"/>
      <c r="EM664" s="1337" t="e">
        <f t="shared" si="6"/>
        <v>#VALUE!</v>
      </c>
      <c r="EN664" s="1337"/>
      <c r="EO664" s="1337"/>
      <c r="EP664" s="1337"/>
      <c r="EQ664" s="1337"/>
      <c r="ER664" s="1337" t="e">
        <f t="shared" si="7"/>
        <v>#VALUE!</v>
      </c>
      <c r="ES664" s="1337"/>
      <c r="ET664" s="1337"/>
      <c r="EU664" s="1337"/>
      <c r="EV664" s="1337"/>
      <c r="EW664" s="1337" t="e">
        <f t="shared" si="8"/>
        <v>#VALUE!</v>
      </c>
      <c r="EX664" s="1337"/>
      <c r="EY664" s="1337"/>
      <c r="EZ664" s="1337"/>
      <c r="FA664" s="1337"/>
    </row>
    <row r="665" spans="1:157" ht="13.15" customHeight="1">
      <c r="A665" s="17"/>
      <c r="B665" t="s">
        <v>1327</v>
      </c>
      <c r="N665" s="1356" t="s">
        <v>847</v>
      </c>
      <c r="O665" s="1356"/>
      <c r="T665" s="17"/>
      <c r="U665" t="s">
        <v>1327</v>
      </c>
      <c r="AG665" s="1356" t="s">
        <v>847</v>
      </c>
      <c r="AH665" s="1356"/>
      <c r="AZ665" s="2"/>
      <c r="BA665" s="2"/>
      <c r="BB665" s="2"/>
      <c r="BC665" s="2"/>
      <c r="BD665" s="2"/>
      <c r="BE665" s="2"/>
      <c r="BF665" s="2"/>
      <c r="BG665" s="2"/>
      <c r="BH665" s="2"/>
      <c r="BI665" s="2"/>
      <c r="BJ665" s="2"/>
      <c r="BK665" s="2"/>
      <c r="BL665" s="2"/>
      <c r="BM665" s="2"/>
      <c r="DX665" s="1337" t="e">
        <f t="shared" si="3"/>
        <v>#VALUE!</v>
      </c>
      <c r="DY665" s="1337"/>
      <c r="DZ665" s="1337"/>
      <c r="EA665" s="1337"/>
      <c r="EB665" s="1337"/>
      <c r="EC665" s="1337" t="e">
        <f t="shared" si="4"/>
        <v>#VALUE!</v>
      </c>
      <c r="ED665" s="1337"/>
      <c r="EE665" s="1337"/>
      <c r="EF665" s="1337"/>
      <c r="EG665" s="1337"/>
      <c r="EH665" s="1337" t="e">
        <f t="shared" si="5"/>
        <v>#VALUE!</v>
      </c>
      <c r="EI665" s="1337"/>
      <c r="EJ665" s="1337"/>
      <c r="EK665" s="1337"/>
      <c r="EL665" s="1337"/>
      <c r="EM665" s="1337" t="e">
        <f t="shared" si="6"/>
        <v>#VALUE!</v>
      </c>
      <c r="EN665" s="1337"/>
      <c r="EO665" s="1337"/>
      <c r="EP665" s="1337"/>
      <c r="EQ665" s="1337"/>
      <c r="ER665" s="1337" t="e">
        <f t="shared" si="7"/>
        <v>#VALUE!</v>
      </c>
      <c r="ES665" s="1337"/>
      <c r="ET665" s="1337"/>
      <c r="EU665" s="1337"/>
      <c r="EV665" s="1337"/>
      <c r="EW665" s="1337" t="e">
        <f t="shared" si="8"/>
        <v>#VALUE!</v>
      </c>
      <c r="EX665" s="1337"/>
      <c r="EY665" s="1337"/>
      <c r="EZ665" s="1337"/>
      <c r="FA665" s="1337"/>
    </row>
    <row r="666" spans="1:157" ht="13.15" customHeight="1">
      <c r="A666" s="17"/>
      <c r="T666" s="17"/>
      <c r="AZ666" s="2"/>
      <c r="BA666" s="2"/>
      <c r="BB666" s="2"/>
      <c r="BC666" s="2"/>
      <c r="BD666" s="2"/>
      <c r="BE666" s="2"/>
      <c r="BF666" s="2"/>
      <c r="BG666" s="2"/>
      <c r="BH666" s="2"/>
      <c r="BI666" s="2"/>
      <c r="BJ666" s="2"/>
      <c r="BK666" s="2"/>
      <c r="BL666" s="2"/>
      <c r="BM666" s="2"/>
      <c r="DX666" s="1337" t="e">
        <f t="shared" si="3"/>
        <v>#VALUE!</v>
      </c>
      <c r="DY666" s="1337"/>
      <c r="DZ666" s="1337"/>
      <c r="EA666" s="1337"/>
      <c r="EB666" s="1337"/>
      <c r="EC666" s="1337" t="e">
        <f t="shared" si="4"/>
        <v>#VALUE!</v>
      </c>
      <c r="ED666" s="1337"/>
      <c r="EE666" s="1337"/>
      <c r="EF666" s="1337"/>
      <c r="EG666" s="1337"/>
      <c r="EH666" s="1337" t="e">
        <f t="shared" si="5"/>
        <v>#VALUE!</v>
      </c>
      <c r="EI666" s="1337"/>
      <c r="EJ666" s="1337"/>
      <c r="EK666" s="1337"/>
      <c r="EL666" s="1337"/>
      <c r="EM666" s="1337" t="e">
        <f t="shared" si="6"/>
        <v>#VALUE!</v>
      </c>
      <c r="EN666" s="1337"/>
      <c r="EO666" s="1337"/>
      <c r="EP666" s="1337"/>
      <c r="EQ666" s="1337"/>
      <c r="ER666" s="1337" t="e">
        <f t="shared" si="7"/>
        <v>#VALUE!</v>
      </c>
      <c r="ES666" s="1337"/>
      <c r="ET666" s="1337"/>
      <c r="EU666" s="1337"/>
      <c r="EV666" s="1337"/>
      <c r="EW666" s="1337" t="e">
        <f t="shared" si="8"/>
        <v>#VALUE!</v>
      </c>
      <c r="EX666" s="1337"/>
      <c r="EY666" s="1337"/>
      <c r="EZ666" s="1337"/>
      <c r="FA666" s="1337"/>
    </row>
    <row r="667" spans="1:157" ht="13.15" customHeight="1">
      <c r="A667" s="36" t="s">
        <v>86</v>
      </c>
      <c r="B667" t="s">
        <v>1323</v>
      </c>
      <c r="G667" s="1346" t="str">
        <f>C639</f>
        <v>HCD - AHSC</v>
      </c>
      <c r="H667" s="1346"/>
      <c r="I667" s="1346"/>
      <c r="J667" s="1346"/>
      <c r="K667" s="1346"/>
      <c r="L667" s="1346"/>
      <c r="M667" s="1346"/>
      <c r="N667" s="1346"/>
      <c r="O667" s="1346"/>
      <c r="P667" s="1346"/>
      <c r="Q667" s="1346"/>
      <c r="R667" s="1346"/>
      <c r="T667" s="36" t="s">
        <v>1315</v>
      </c>
      <c r="U667" t="s">
        <v>1323</v>
      </c>
      <c r="Z667" s="1346" t="str">
        <f>C640</f>
        <v>Contributed Developer Fee</v>
      </c>
      <c r="AA667" s="1346"/>
      <c r="AB667" s="1346"/>
      <c r="AC667" s="1346"/>
      <c r="AD667" s="1346"/>
      <c r="AE667" s="1346"/>
      <c r="AF667" s="1346"/>
      <c r="AG667" s="1346"/>
      <c r="AH667" s="1346"/>
      <c r="AI667" s="1346"/>
      <c r="AJ667" s="1346"/>
      <c r="AK667" s="1346"/>
      <c r="AZ667" s="2"/>
      <c r="BA667" s="2"/>
      <c r="BB667" s="2"/>
      <c r="BC667" s="2"/>
      <c r="BD667" s="2"/>
      <c r="BE667" s="2"/>
      <c r="BF667" s="2"/>
      <c r="BG667" s="2"/>
      <c r="BH667" s="2"/>
      <c r="BI667" s="2"/>
      <c r="BJ667" s="2"/>
      <c r="BK667" s="2"/>
      <c r="BL667" s="2"/>
      <c r="BM667" s="2"/>
      <c r="DX667" s="1337" t="e">
        <f t="shared" si="3"/>
        <v>#VALUE!</v>
      </c>
      <c r="DY667" s="1337"/>
      <c r="DZ667" s="1337"/>
      <c r="EA667" s="1337"/>
      <c r="EB667" s="1337"/>
      <c r="EC667" s="1337" t="e">
        <f t="shared" si="4"/>
        <v>#VALUE!</v>
      </c>
      <c r="ED667" s="1337"/>
      <c r="EE667" s="1337"/>
      <c r="EF667" s="1337"/>
      <c r="EG667" s="1337"/>
      <c r="EH667" s="1337" t="e">
        <f t="shared" si="5"/>
        <v>#VALUE!</v>
      </c>
      <c r="EI667" s="1337"/>
      <c r="EJ667" s="1337"/>
      <c r="EK667" s="1337"/>
      <c r="EL667" s="1337"/>
      <c r="EM667" s="1337" t="e">
        <f t="shared" si="6"/>
        <v>#VALUE!</v>
      </c>
      <c r="EN667" s="1337"/>
      <c r="EO667" s="1337"/>
      <c r="EP667" s="1337"/>
      <c r="EQ667" s="1337"/>
      <c r="ER667" s="1337" t="e">
        <f t="shared" si="7"/>
        <v>#VALUE!</v>
      </c>
      <c r="ES667" s="1337"/>
      <c r="ET667" s="1337"/>
      <c r="EU667" s="1337"/>
      <c r="EV667" s="1337"/>
      <c r="EW667" s="1337" t="e">
        <f t="shared" si="8"/>
        <v>#VALUE!</v>
      </c>
      <c r="EX667" s="1337"/>
      <c r="EY667" s="1337"/>
      <c r="EZ667" s="1337"/>
      <c r="FA667" s="1337"/>
    </row>
    <row r="668" spans="1:157" ht="13.15" customHeight="1">
      <c r="A668" s="17"/>
      <c r="B668" t="s">
        <v>1064</v>
      </c>
      <c r="G668" s="1399" t="s">
        <v>2746</v>
      </c>
      <c r="H668" s="1399"/>
      <c r="I668" s="1399"/>
      <c r="J668" s="1399"/>
      <c r="K668" s="1399"/>
      <c r="L668" s="1399"/>
      <c r="M668" s="1399"/>
      <c r="N668" s="1399"/>
      <c r="O668" s="1399"/>
      <c r="P668" s="1399"/>
      <c r="Q668" s="1399"/>
      <c r="R668" s="1399"/>
      <c r="T668" s="17"/>
      <c r="U668" t="s">
        <v>1064</v>
      </c>
      <c r="Z668" s="1399" t="s">
        <v>2647</v>
      </c>
      <c r="AA668" s="1399"/>
      <c r="AB668" s="1399"/>
      <c r="AC668" s="1399"/>
      <c r="AD668" s="1399"/>
      <c r="AE668" s="1399"/>
      <c r="AF668" s="1399"/>
      <c r="AG668" s="1399"/>
      <c r="AH668" s="1399"/>
      <c r="AI668" s="1399"/>
      <c r="AJ668" s="1399"/>
      <c r="AK668" s="1399"/>
      <c r="AZ668" s="2"/>
      <c r="BA668" s="2"/>
      <c r="BB668" s="2"/>
      <c r="BC668" s="2"/>
      <c r="BD668" s="2"/>
      <c r="BE668" s="2"/>
      <c r="BF668" s="2"/>
      <c r="BG668" s="2"/>
      <c r="BH668" s="2"/>
      <c r="BI668" s="2"/>
      <c r="BJ668" s="2"/>
      <c r="BK668" s="2"/>
      <c r="BL668" s="2"/>
      <c r="BM668" s="2"/>
      <c r="DX668" s="1337" t="e">
        <f t="shared" si="3"/>
        <v>#VALUE!</v>
      </c>
      <c r="DY668" s="1337"/>
      <c r="DZ668" s="1337"/>
      <c r="EA668" s="1337"/>
      <c r="EB668" s="1337"/>
      <c r="EC668" s="1337" t="e">
        <f t="shared" si="4"/>
        <v>#VALUE!</v>
      </c>
      <c r="ED668" s="1337"/>
      <c r="EE668" s="1337"/>
      <c r="EF668" s="1337"/>
      <c r="EG668" s="1337"/>
      <c r="EH668" s="1337" t="e">
        <f t="shared" si="5"/>
        <v>#VALUE!</v>
      </c>
      <c r="EI668" s="1337"/>
      <c r="EJ668" s="1337"/>
      <c r="EK668" s="1337"/>
      <c r="EL668" s="1337"/>
      <c r="EM668" s="1337" t="e">
        <f t="shared" si="6"/>
        <v>#VALUE!</v>
      </c>
      <c r="EN668" s="1337"/>
      <c r="EO668" s="1337"/>
      <c r="EP668" s="1337"/>
      <c r="EQ668" s="1337"/>
      <c r="ER668" s="1337" t="e">
        <f t="shared" si="7"/>
        <v>#VALUE!</v>
      </c>
      <c r="ES668" s="1337"/>
      <c r="ET668" s="1337"/>
      <c r="EU668" s="1337"/>
      <c r="EV668" s="1337"/>
      <c r="EW668" s="1337" t="e">
        <f t="shared" si="8"/>
        <v>#VALUE!</v>
      </c>
      <c r="EX668" s="1337"/>
      <c r="EY668" s="1337"/>
      <c r="EZ668" s="1337"/>
      <c r="FA668" s="1337"/>
    </row>
    <row r="669" spans="1:157" ht="13.15" customHeight="1">
      <c r="A669" s="17"/>
      <c r="B669" t="s">
        <v>931</v>
      </c>
      <c r="G669" s="1399" t="s">
        <v>2747</v>
      </c>
      <c r="H669" s="1399"/>
      <c r="I669" s="1399"/>
      <c r="J669" s="1399"/>
      <c r="K669" s="1399"/>
      <c r="L669" s="1399"/>
      <c r="M669" s="1399"/>
      <c r="N669" s="1399"/>
      <c r="O669" s="1399"/>
      <c r="P669" s="1399"/>
      <c r="Q669" s="1399"/>
      <c r="R669" s="1399"/>
      <c r="T669" s="17"/>
      <c r="U669" t="s">
        <v>931</v>
      </c>
      <c r="Z669" s="1360" t="s">
        <v>2648</v>
      </c>
      <c r="AA669" s="1360"/>
      <c r="AB669" s="1360"/>
      <c r="AC669" s="1360"/>
      <c r="AD669" s="1360"/>
      <c r="AE669" s="1360"/>
      <c r="AF669" s="1360"/>
      <c r="AG669" s="1360"/>
      <c r="AH669" s="1360"/>
      <c r="AI669" s="1360"/>
      <c r="AJ669" s="1360"/>
      <c r="AK669" s="1360"/>
      <c r="AZ669" s="2"/>
      <c r="BA669" s="2"/>
      <c r="BB669" s="2"/>
      <c r="BC669" s="2"/>
      <c r="BD669" s="2"/>
      <c r="BE669" s="2"/>
      <c r="BF669" s="2"/>
      <c r="BG669" s="2"/>
      <c r="BH669" s="2"/>
      <c r="BI669" s="2"/>
      <c r="BJ669" s="2"/>
      <c r="BK669" s="2"/>
      <c r="BL669" s="2"/>
      <c r="BM669" s="2"/>
      <c r="DX669" s="1337" t="e">
        <f t="shared" si="3"/>
        <v>#VALUE!</v>
      </c>
      <c r="DY669" s="1337"/>
      <c r="DZ669" s="1337"/>
      <c r="EA669" s="1337"/>
      <c r="EB669" s="1337"/>
      <c r="EC669" s="1337" t="e">
        <f t="shared" si="4"/>
        <v>#VALUE!</v>
      </c>
      <c r="ED669" s="1337"/>
      <c r="EE669" s="1337"/>
      <c r="EF669" s="1337"/>
      <c r="EG669" s="1337"/>
      <c r="EH669" s="1337" t="e">
        <f t="shared" si="5"/>
        <v>#VALUE!</v>
      </c>
      <c r="EI669" s="1337"/>
      <c r="EJ669" s="1337"/>
      <c r="EK669" s="1337"/>
      <c r="EL669" s="1337"/>
      <c r="EM669" s="1337" t="e">
        <f t="shared" si="6"/>
        <v>#VALUE!</v>
      </c>
      <c r="EN669" s="1337"/>
      <c r="EO669" s="1337"/>
      <c r="EP669" s="1337"/>
      <c r="EQ669" s="1337"/>
      <c r="ER669" s="1337" t="e">
        <f t="shared" si="7"/>
        <v>#VALUE!</v>
      </c>
      <c r="ES669" s="1337"/>
      <c r="ET669" s="1337"/>
      <c r="EU669" s="1337"/>
      <c r="EV669" s="1337"/>
      <c r="EW669" s="1337" t="e">
        <f t="shared" si="8"/>
        <v>#VALUE!</v>
      </c>
      <c r="EX669" s="1337"/>
      <c r="EY669" s="1337"/>
      <c r="EZ669" s="1337"/>
      <c r="FA669" s="1337"/>
    </row>
    <row r="670" spans="1:157" ht="13.15" customHeight="1">
      <c r="A670" s="17"/>
      <c r="B670" t="s">
        <v>1324</v>
      </c>
      <c r="G670" s="1399" t="s">
        <v>2748</v>
      </c>
      <c r="H670" s="1399"/>
      <c r="I670" s="1399"/>
      <c r="J670" s="1399"/>
      <c r="K670" s="1399"/>
      <c r="L670" s="1399"/>
      <c r="M670" s="1399"/>
      <c r="N670" s="1399"/>
      <c r="O670" s="1399"/>
      <c r="P670" s="1399"/>
      <c r="Q670" s="1399"/>
      <c r="R670" s="1399"/>
      <c r="T670" s="17"/>
      <c r="U670" t="s">
        <v>1324</v>
      </c>
      <c r="Z670" s="1360" t="s">
        <v>2740</v>
      </c>
      <c r="AA670" s="1360"/>
      <c r="AB670" s="1360"/>
      <c r="AC670" s="1360"/>
      <c r="AD670" s="1360"/>
      <c r="AE670" s="1360"/>
      <c r="AF670" s="1360"/>
      <c r="AG670" s="1360"/>
      <c r="AH670" s="1360"/>
      <c r="AI670" s="1360"/>
      <c r="AJ670" s="1360"/>
      <c r="AK670" s="1360"/>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337" t="e">
        <f t="shared" si="3"/>
        <v>#VALUE!</v>
      </c>
      <c r="DY670" s="1337"/>
      <c r="DZ670" s="1337"/>
      <c r="EA670" s="1337"/>
      <c r="EB670" s="1337"/>
      <c r="EC670" s="1337" t="e">
        <f t="shared" si="4"/>
        <v>#VALUE!</v>
      </c>
      <c r="ED670" s="1337"/>
      <c r="EE670" s="1337"/>
      <c r="EF670" s="1337"/>
      <c r="EG670" s="1337"/>
      <c r="EH670" s="1337" t="e">
        <f t="shared" si="5"/>
        <v>#VALUE!</v>
      </c>
      <c r="EI670" s="1337"/>
      <c r="EJ670" s="1337"/>
      <c r="EK670" s="1337"/>
      <c r="EL670" s="1337"/>
      <c r="EM670" s="1337" t="e">
        <f t="shared" si="6"/>
        <v>#VALUE!</v>
      </c>
      <c r="EN670" s="1337"/>
      <c r="EO670" s="1337"/>
      <c r="EP670" s="1337"/>
      <c r="EQ670" s="1337"/>
      <c r="ER670" s="1337" t="e">
        <f t="shared" si="7"/>
        <v>#VALUE!</v>
      </c>
      <c r="ES670" s="1337"/>
      <c r="ET670" s="1337"/>
      <c r="EU670" s="1337"/>
      <c r="EV670" s="1337"/>
      <c r="EW670" s="1337" t="e">
        <f t="shared" si="8"/>
        <v>#VALUE!</v>
      </c>
      <c r="EX670" s="1337"/>
      <c r="EY670" s="1337"/>
      <c r="EZ670" s="1337"/>
      <c r="FA670" s="1337"/>
    </row>
    <row r="671" spans="1:157" ht="13.15" customHeight="1">
      <c r="A671" s="17"/>
      <c r="B671" t="s">
        <v>828</v>
      </c>
      <c r="G671" s="1338" t="s">
        <v>2749</v>
      </c>
      <c r="H671" s="1338"/>
      <c r="I671" s="1338"/>
      <c r="J671" s="1338"/>
      <c r="K671" s="1338"/>
      <c r="L671" s="1338"/>
      <c r="O671" s="813" t="s">
        <v>1068</v>
      </c>
      <c r="P671" s="1339"/>
      <c r="Q671" s="1339"/>
      <c r="R671" s="1339"/>
      <c r="T671" s="17"/>
      <c r="U671" t="s">
        <v>828</v>
      </c>
      <c r="Z671" s="1338" t="s">
        <v>2741</v>
      </c>
      <c r="AA671" s="1338"/>
      <c r="AB671" s="1338"/>
      <c r="AC671" s="1338"/>
      <c r="AD671" s="1338"/>
      <c r="AE671" s="1338"/>
      <c r="AH671" s="813" t="s">
        <v>1068</v>
      </c>
      <c r="AI671" s="1339"/>
      <c r="AJ671" s="1339"/>
      <c r="AK671" s="1339"/>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337" t="e">
        <f t="shared" si="3"/>
        <v>#VALUE!</v>
      </c>
      <c r="DY671" s="1337"/>
      <c r="DZ671" s="1337"/>
      <c r="EA671" s="1337"/>
      <c r="EB671" s="1337"/>
      <c r="EC671" s="1337" t="e">
        <f t="shared" si="4"/>
        <v>#VALUE!</v>
      </c>
      <c r="ED671" s="1337"/>
      <c r="EE671" s="1337"/>
      <c r="EF671" s="1337"/>
      <c r="EG671" s="1337"/>
      <c r="EH671" s="1337" t="e">
        <f t="shared" si="5"/>
        <v>#VALUE!</v>
      </c>
      <c r="EI671" s="1337"/>
      <c r="EJ671" s="1337"/>
      <c r="EK671" s="1337"/>
      <c r="EL671" s="1337"/>
      <c r="EM671" s="1337" t="e">
        <f t="shared" si="6"/>
        <v>#VALUE!</v>
      </c>
      <c r="EN671" s="1337"/>
      <c r="EO671" s="1337"/>
      <c r="EP671" s="1337"/>
      <c r="EQ671" s="1337"/>
      <c r="ER671" s="1337" t="e">
        <f t="shared" si="7"/>
        <v>#VALUE!</v>
      </c>
      <c r="ES671" s="1337"/>
      <c r="ET671" s="1337"/>
      <c r="EU671" s="1337"/>
      <c r="EV671" s="1337"/>
      <c r="EW671" s="1337" t="e">
        <f t="shared" si="8"/>
        <v>#VALUE!</v>
      </c>
      <c r="EX671" s="1337"/>
      <c r="EY671" s="1337"/>
      <c r="EZ671" s="1337"/>
      <c r="FA671" s="1337"/>
    </row>
    <row r="672" spans="1:157" ht="13.15" customHeight="1">
      <c r="A672" s="17"/>
      <c r="B672" t="s">
        <v>1325</v>
      </c>
      <c r="H672" s="1399" t="s">
        <v>2735</v>
      </c>
      <c r="I672" s="1399"/>
      <c r="J672" s="1399"/>
      <c r="K672" s="1399"/>
      <c r="L672" s="1399"/>
      <c r="M672" s="1399"/>
      <c r="N672" s="1399"/>
      <c r="O672" s="1399"/>
      <c r="P672" s="1399"/>
      <c r="Q672" s="1399"/>
      <c r="R672" s="1399"/>
      <c r="T672" s="17"/>
      <c r="U672" t="s">
        <v>1325</v>
      </c>
      <c r="AA672" s="1399" t="s">
        <v>2802</v>
      </c>
      <c r="AB672" s="1399"/>
      <c r="AC672" s="1399"/>
      <c r="AD672" s="1399"/>
      <c r="AE672" s="1399"/>
      <c r="AF672" s="1399"/>
      <c r="AG672" s="1399"/>
      <c r="AH672" s="1399"/>
      <c r="AI672" s="1399"/>
      <c r="AJ672" s="1399"/>
      <c r="AK672" s="1399"/>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337" t="e">
        <f t="shared" si="3"/>
        <v>#VALUE!</v>
      </c>
      <c r="DY672" s="1337"/>
      <c r="DZ672" s="1337"/>
      <c r="EA672" s="1337"/>
      <c r="EB672" s="1337"/>
      <c r="EC672" s="1337" t="e">
        <f t="shared" si="4"/>
        <v>#VALUE!</v>
      </c>
      <c r="ED672" s="1337"/>
      <c r="EE672" s="1337"/>
      <c r="EF672" s="1337"/>
      <c r="EG672" s="1337"/>
      <c r="EH672" s="1337" t="e">
        <f t="shared" si="5"/>
        <v>#VALUE!</v>
      </c>
      <c r="EI672" s="1337"/>
      <c r="EJ672" s="1337"/>
      <c r="EK672" s="1337"/>
      <c r="EL672" s="1337"/>
      <c r="EM672" s="1337" t="e">
        <f t="shared" si="6"/>
        <v>#VALUE!</v>
      </c>
      <c r="EN672" s="1337"/>
      <c r="EO672" s="1337"/>
      <c r="EP672" s="1337"/>
      <c r="EQ672" s="1337"/>
      <c r="ER672" s="1337" t="e">
        <f t="shared" si="7"/>
        <v>#VALUE!</v>
      </c>
      <c r="ES672" s="1337"/>
      <c r="ET672" s="1337"/>
      <c r="EU672" s="1337"/>
      <c r="EV672" s="1337"/>
      <c r="EW672" s="1337" t="e">
        <f t="shared" si="8"/>
        <v>#VALUE!</v>
      </c>
      <c r="EX672" s="1337"/>
      <c r="EY672" s="1337"/>
      <c r="EZ672" s="1337"/>
      <c r="FA672" s="1337"/>
    </row>
    <row r="673" spans="1:157" ht="13.15" customHeight="1">
      <c r="A673" s="17"/>
      <c r="B673" t="s">
        <v>1327</v>
      </c>
      <c r="N673" s="1356" t="s">
        <v>847</v>
      </c>
      <c r="O673" s="1356"/>
      <c r="T673" s="17"/>
      <c r="U673" t="s">
        <v>1327</v>
      </c>
      <c r="AG673" s="1356" t="s">
        <v>847</v>
      </c>
      <c r="AH673" s="1356"/>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337" t="e">
        <f t="shared" si="3"/>
        <v>#VALUE!</v>
      </c>
      <c r="DY673" s="1337"/>
      <c r="DZ673" s="1337"/>
      <c r="EA673" s="1337"/>
      <c r="EB673" s="1337"/>
      <c r="EC673" s="1337" t="e">
        <f t="shared" si="4"/>
        <v>#VALUE!</v>
      </c>
      <c r="ED673" s="1337"/>
      <c r="EE673" s="1337"/>
      <c r="EF673" s="1337"/>
      <c r="EG673" s="1337"/>
      <c r="EH673" s="1337" t="e">
        <f t="shared" si="5"/>
        <v>#VALUE!</v>
      </c>
      <c r="EI673" s="1337"/>
      <c r="EJ673" s="1337"/>
      <c r="EK673" s="1337"/>
      <c r="EL673" s="1337"/>
      <c r="EM673" s="1337" t="e">
        <f t="shared" si="6"/>
        <v>#VALUE!</v>
      </c>
      <c r="EN673" s="1337"/>
      <c r="EO673" s="1337"/>
      <c r="EP673" s="1337"/>
      <c r="EQ673" s="1337"/>
      <c r="ER673" s="1337" t="e">
        <f t="shared" si="7"/>
        <v>#VALUE!</v>
      </c>
      <c r="ES673" s="1337"/>
      <c r="ET673" s="1337"/>
      <c r="EU673" s="1337"/>
      <c r="EV673" s="1337"/>
      <c r="EW673" s="1337" t="e">
        <f t="shared" si="8"/>
        <v>#VALUE!</v>
      </c>
      <c r="EX673" s="1337"/>
      <c r="EY673" s="1337"/>
      <c r="EZ673" s="1337"/>
      <c r="FA673" s="1337"/>
    </row>
    <row r="674" spans="1:157" ht="13.1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337" t="e">
        <f t="shared" si="3"/>
        <v>#VALUE!</v>
      </c>
      <c r="DY674" s="1337"/>
      <c r="DZ674" s="1337"/>
      <c r="EA674" s="1337"/>
      <c r="EB674" s="1337"/>
      <c r="EC674" s="1337" t="e">
        <f t="shared" si="4"/>
        <v>#VALUE!</v>
      </c>
      <c r="ED674" s="1337"/>
      <c r="EE674" s="1337"/>
      <c r="EF674" s="1337"/>
      <c r="EG674" s="1337"/>
      <c r="EH674" s="1337" t="e">
        <f t="shared" si="5"/>
        <v>#VALUE!</v>
      </c>
      <c r="EI674" s="1337"/>
      <c r="EJ674" s="1337"/>
      <c r="EK674" s="1337"/>
      <c r="EL674" s="1337"/>
      <c r="EM674" s="1337" t="e">
        <f t="shared" si="6"/>
        <v>#VALUE!</v>
      </c>
      <c r="EN674" s="1337"/>
      <c r="EO674" s="1337"/>
      <c r="EP674" s="1337"/>
      <c r="EQ674" s="1337"/>
      <c r="ER674" s="1337" t="e">
        <f t="shared" si="7"/>
        <v>#VALUE!</v>
      </c>
      <c r="ES674" s="1337"/>
      <c r="ET674" s="1337"/>
      <c r="EU674" s="1337"/>
      <c r="EV674" s="1337"/>
      <c r="EW674" s="1337" t="e">
        <f t="shared" si="8"/>
        <v>#VALUE!</v>
      </c>
      <c r="EX674" s="1337"/>
      <c r="EY674" s="1337"/>
      <c r="EZ674" s="1337"/>
      <c r="FA674" s="1337"/>
    </row>
    <row r="675" spans="1:157" ht="13.15" customHeight="1">
      <c r="A675" s="36" t="s">
        <v>1316</v>
      </c>
      <c r="B675" t="s">
        <v>1323</v>
      </c>
      <c r="G675" s="1346" t="str">
        <f>C641</f>
        <v>GP Equity</v>
      </c>
      <c r="H675" s="1346"/>
      <c r="I675" s="1346"/>
      <c r="J675" s="1346"/>
      <c r="K675" s="1346"/>
      <c r="L675" s="1346"/>
      <c r="M675" s="1346"/>
      <c r="N675" s="1346"/>
      <c r="O675" s="1346"/>
      <c r="P675" s="1346"/>
      <c r="Q675" s="1346"/>
      <c r="R675" s="1346"/>
      <c r="T675" s="36" t="s">
        <v>1317</v>
      </c>
      <c r="U675" t="s">
        <v>1323</v>
      </c>
      <c r="Z675" s="1346" t="str">
        <f>C642</f>
        <v>City of Long Beach Fee Waiver</v>
      </c>
      <c r="AA675" s="1346"/>
      <c r="AB675" s="1346"/>
      <c r="AC675" s="1346"/>
      <c r="AD675" s="1346"/>
      <c r="AE675" s="1346"/>
      <c r="AF675" s="1346"/>
      <c r="AG675" s="1346"/>
      <c r="AH675" s="1346"/>
      <c r="AI675" s="1346"/>
      <c r="AJ675" s="1346"/>
      <c r="AK675" s="1346"/>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337" t="e">
        <f t="shared" si="3"/>
        <v>#VALUE!</v>
      </c>
      <c r="DY675" s="1337"/>
      <c r="DZ675" s="1337"/>
      <c r="EA675" s="1337"/>
      <c r="EB675" s="1337"/>
      <c r="EC675" s="1337" t="e">
        <f t="shared" si="4"/>
        <v>#VALUE!</v>
      </c>
      <c r="ED675" s="1337"/>
      <c r="EE675" s="1337"/>
      <c r="EF675" s="1337"/>
      <c r="EG675" s="1337"/>
      <c r="EH675" s="1337" t="e">
        <f t="shared" si="5"/>
        <v>#VALUE!</v>
      </c>
      <c r="EI675" s="1337"/>
      <c r="EJ675" s="1337"/>
      <c r="EK675" s="1337"/>
      <c r="EL675" s="1337"/>
      <c r="EM675" s="1337" t="e">
        <f t="shared" si="6"/>
        <v>#VALUE!</v>
      </c>
      <c r="EN675" s="1337"/>
      <c r="EO675" s="1337"/>
      <c r="EP675" s="1337"/>
      <c r="EQ675" s="1337"/>
      <c r="ER675" s="1337" t="e">
        <f t="shared" si="7"/>
        <v>#VALUE!</v>
      </c>
      <c r="ES675" s="1337"/>
      <c r="ET675" s="1337"/>
      <c r="EU675" s="1337"/>
      <c r="EV675" s="1337"/>
      <c r="EW675" s="1337" t="e">
        <f t="shared" si="8"/>
        <v>#VALUE!</v>
      </c>
      <c r="EX675" s="1337"/>
      <c r="EY675" s="1337"/>
      <c r="EZ675" s="1337"/>
      <c r="FA675" s="1337"/>
    </row>
    <row r="676" spans="1:157" ht="13.15" customHeight="1">
      <c r="A676" s="17"/>
      <c r="B676" t="s">
        <v>1064</v>
      </c>
      <c r="G676" s="1399" t="s">
        <v>2647</v>
      </c>
      <c r="H676" s="1399"/>
      <c r="I676" s="1399"/>
      <c r="J676" s="1399"/>
      <c r="K676" s="1399"/>
      <c r="L676" s="1399"/>
      <c r="M676" s="1399"/>
      <c r="N676" s="1399"/>
      <c r="O676" s="1399"/>
      <c r="P676" s="1399"/>
      <c r="Q676" s="1399"/>
      <c r="R676" s="1399"/>
      <c r="T676" s="17"/>
      <c r="U676" t="s">
        <v>1064</v>
      </c>
      <c r="Z676" s="1399" t="s">
        <v>2736</v>
      </c>
      <c r="AA676" s="1399"/>
      <c r="AB676" s="1399"/>
      <c r="AC676" s="1399"/>
      <c r="AD676" s="1399"/>
      <c r="AE676" s="1399"/>
      <c r="AF676" s="1399"/>
      <c r="AG676" s="1399"/>
      <c r="AH676" s="1399"/>
      <c r="AI676" s="1399"/>
      <c r="AJ676" s="1399"/>
      <c r="AK676" s="1399"/>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337" t="e">
        <f t="shared" si="3"/>
        <v>#VALUE!</v>
      </c>
      <c r="DY676" s="1337"/>
      <c r="DZ676" s="1337"/>
      <c r="EA676" s="1337"/>
      <c r="EB676" s="1337"/>
      <c r="EC676" s="1337" t="e">
        <f t="shared" si="4"/>
        <v>#VALUE!</v>
      </c>
      <c r="ED676" s="1337"/>
      <c r="EE676" s="1337"/>
      <c r="EF676" s="1337"/>
      <c r="EG676" s="1337"/>
      <c r="EH676" s="1337" t="e">
        <f t="shared" si="5"/>
        <v>#VALUE!</v>
      </c>
      <c r="EI676" s="1337"/>
      <c r="EJ676" s="1337"/>
      <c r="EK676" s="1337"/>
      <c r="EL676" s="1337"/>
      <c r="EM676" s="1337" t="e">
        <f t="shared" si="6"/>
        <v>#VALUE!</v>
      </c>
      <c r="EN676" s="1337"/>
      <c r="EO676" s="1337"/>
      <c r="EP676" s="1337"/>
      <c r="EQ676" s="1337"/>
      <c r="ER676" s="1337" t="e">
        <f t="shared" si="7"/>
        <v>#VALUE!</v>
      </c>
      <c r="ES676" s="1337"/>
      <c r="ET676" s="1337"/>
      <c r="EU676" s="1337"/>
      <c r="EV676" s="1337"/>
      <c r="EW676" s="1337" t="e">
        <f t="shared" si="8"/>
        <v>#VALUE!</v>
      </c>
      <c r="EX676" s="1337"/>
      <c r="EY676" s="1337"/>
      <c r="EZ676" s="1337"/>
      <c r="FA676" s="1337"/>
    </row>
    <row r="677" spans="1:157" ht="13.15" customHeight="1">
      <c r="A677" s="17"/>
      <c r="B677" t="s">
        <v>931</v>
      </c>
      <c r="G677" s="1399" t="s">
        <v>2648</v>
      </c>
      <c r="H677" s="1399"/>
      <c r="I677" s="1399"/>
      <c r="J677" s="1399"/>
      <c r="K677" s="1399"/>
      <c r="L677" s="1399"/>
      <c r="M677" s="1399"/>
      <c r="N677" s="1399"/>
      <c r="O677" s="1399"/>
      <c r="P677" s="1399"/>
      <c r="Q677" s="1399"/>
      <c r="R677" s="1399"/>
      <c r="T677" s="17"/>
      <c r="U677" t="s">
        <v>931</v>
      </c>
      <c r="Z677" s="1360" t="s">
        <v>2737</v>
      </c>
      <c r="AA677" s="1360"/>
      <c r="AB677" s="1360"/>
      <c r="AC677" s="1360"/>
      <c r="AD677" s="1360"/>
      <c r="AE677" s="1360"/>
      <c r="AF677" s="1360"/>
      <c r="AG677" s="1360"/>
      <c r="AH677" s="1360"/>
      <c r="AI677" s="1360"/>
      <c r="AJ677" s="1360"/>
      <c r="AK677" s="1360"/>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337" t="e">
        <f t="shared" si="3"/>
        <v>#VALUE!</v>
      </c>
      <c r="DY677" s="1337"/>
      <c r="DZ677" s="1337"/>
      <c r="EA677" s="1337"/>
      <c r="EB677" s="1337"/>
      <c r="EC677" s="1337" t="e">
        <f t="shared" si="4"/>
        <v>#VALUE!</v>
      </c>
      <c r="ED677" s="1337"/>
      <c r="EE677" s="1337"/>
      <c r="EF677" s="1337"/>
      <c r="EG677" s="1337"/>
      <c r="EH677" s="1337" t="e">
        <f t="shared" si="5"/>
        <v>#VALUE!</v>
      </c>
      <c r="EI677" s="1337"/>
      <c r="EJ677" s="1337"/>
      <c r="EK677" s="1337"/>
      <c r="EL677" s="1337"/>
      <c r="EM677" s="1337" t="e">
        <f t="shared" si="6"/>
        <v>#VALUE!</v>
      </c>
      <c r="EN677" s="1337"/>
      <c r="EO677" s="1337"/>
      <c r="EP677" s="1337"/>
      <c r="EQ677" s="1337"/>
      <c r="ER677" s="1337" t="e">
        <f t="shared" si="7"/>
        <v>#VALUE!</v>
      </c>
      <c r="ES677" s="1337"/>
      <c r="ET677" s="1337"/>
      <c r="EU677" s="1337"/>
      <c r="EV677" s="1337"/>
      <c r="EW677" s="1337" t="e">
        <f t="shared" si="8"/>
        <v>#VALUE!</v>
      </c>
      <c r="EX677" s="1337"/>
      <c r="EY677" s="1337"/>
      <c r="EZ677" s="1337"/>
      <c r="FA677" s="1337"/>
    </row>
    <row r="678" spans="1:157" ht="13.15" customHeight="1">
      <c r="A678" s="17"/>
      <c r="B678" t="s">
        <v>1324</v>
      </c>
      <c r="G678" s="1399" t="s">
        <v>2740</v>
      </c>
      <c r="H678" s="1399"/>
      <c r="I678" s="1399"/>
      <c r="J678" s="1399"/>
      <c r="K678" s="1399"/>
      <c r="L678" s="1399"/>
      <c r="M678" s="1399"/>
      <c r="N678" s="1399"/>
      <c r="O678" s="1399"/>
      <c r="P678" s="1399"/>
      <c r="Q678" s="1399"/>
      <c r="R678" s="1399"/>
      <c r="T678" s="17"/>
      <c r="U678" t="s">
        <v>1324</v>
      </c>
      <c r="Z678" s="1360" t="s">
        <v>2738</v>
      </c>
      <c r="AA678" s="1360"/>
      <c r="AB678" s="1360"/>
      <c r="AC678" s="1360"/>
      <c r="AD678" s="1360"/>
      <c r="AE678" s="1360"/>
      <c r="AF678" s="1360"/>
      <c r="AG678" s="1360"/>
      <c r="AH678" s="1360"/>
      <c r="AI678" s="1360"/>
      <c r="AJ678" s="1360"/>
      <c r="AK678" s="1360"/>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337">
        <f>SUMIF(DX643:EB677,"&gt;0")</f>
        <v>0</v>
      </c>
      <c r="DY678" s="1337"/>
      <c r="DZ678" s="1337"/>
      <c r="EA678" s="1337"/>
      <c r="EB678" s="1337"/>
      <c r="EC678" s="1337">
        <f>SUMIF(EC643:EG677,"&gt;0")</f>
        <v>1218.8918918918921</v>
      </c>
      <c r="ED678" s="1337"/>
      <c r="EE678" s="1337"/>
      <c r="EF678" s="1337"/>
      <c r="EG678" s="1337"/>
      <c r="EH678" s="1337">
        <f>SUMIF(EH643:EL677,"&gt;0")</f>
        <v>1561.1842105263158</v>
      </c>
      <c r="EI678" s="1337"/>
      <c r="EJ678" s="1337"/>
      <c r="EK678" s="1337"/>
      <c r="EL678" s="1337"/>
      <c r="EM678" s="1337">
        <f>SUMIF(EM643:EQ677,"&gt;0")</f>
        <v>1967.948717948718</v>
      </c>
      <c r="EN678" s="1337"/>
      <c r="EO678" s="1337"/>
      <c r="EP678" s="1337"/>
      <c r="EQ678" s="1337"/>
      <c r="ER678" s="1337">
        <f>SUMIF(ER643:EV677,"&gt;0")</f>
        <v>0</v>
      </c>
      <c r="ES678" s="1337"/>
      <c r="ET678" s="1337"/>
      <c r="EU678" s="1337"/>
      <c r="EV678" s="1337"/>
      <c r="EW678" s="1337">
        <f>SUMIF(EW643:FA677,"&gt;0")</f>
        <v>0</v>
      </c>
      <c r="EX678" s="1337"/>
      <c r="EY678" s="1337"/>
      <c r="EZ678" s="1337"/>
      <c r="FA678" s="1337"/>
    </row>
    <row r="679" spans="1:157" ht="13.15" customHeight="1">
      <c r="A679" s="17"/>
      <c r="B679" t="s">
        <v>828</v>
      </c>
      <c r="G679" s="1338" t="s">
        <v>2741</v>
      </c>
      <c r="H679" s="1338"/>
      <c r="I679" s="1338"/>
      <c r="J679" s="1338"/>
      <c r="K679" s="1338"/>
      <c r="L679" s="1338"/>
      <c r="O679" s="813" t="s">
        <v>1068</v>
      </c>
      <c r="P679" s="1339"/>
      <c r="Q679" s="1339"/>
      <c r="R679" s="1339"/>
      <c r="T679" s="17"/>
      <c r="U679" t="s">
        <v>828</v>
      </c>
      <c r="Z679" s="1338" t="s">
        <v>2739</v>
      </c>
      <c r="AA679" s="1338"/>
      <c r="AB679" s="1338"/>
      <c r="AC679" s="1338"/>
      <c r="AD679" s="1338"/>
      <c r="AE679" s="1338"/>
      <c r="AH679" s="813" t="s">
        <v>1068</v>
      </c>
      <c r="AI679" s="1339"/>
      <c r="AJ679" s="1339"/>
      <c r="AK679" s="1339"/>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3.15" customHeight="1">
      <c r="A680" s="17"/>
      <c r="B680" t="s">
        <v>1325</v>
      </c>
      <c r="H680" s="1399" t="s">
        <v>2728</v>
      </c>
      <c r="I680" s="1399"/>
      <c r="J680" s="1399"/>
      <c r="K680" s="1399"/>
      <c r="L680" s="1399"/>
      <c r="M680" s="1399"/>
      <c r="N680" s="1399"/>
      <c r="O680" s="1399"/>
      <c r="P680" s="1399"/>
      <c r="Q680" s="1399"/>
      <c r="R680" s="1399"/>
      <c r="T680" s="17"/>
      <c r="U680" t="s">
        <v>1325</v>
      </c>
      <c r="AA680" s="1399" t="s">
        <v>2742</v>
      </c>
      <c r="AB680" s="1399"/>
      <c r="AC680" s="1399"/>
      <c r="AD680" s="1399"/>
      <c r="AE680" s="1399"/>
      <c r="AF680" s="1399"/>
      <c r="AG680" s="1399"/>
      <c r="AH680" s="1399"/>
      <c r="AI680" s="1399"/>
      <c r="AJ680" s="1399"/>
      <c r="AK680" s="1399"/>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3.15" customHeight="1">
      <c r="A681" s="17"/>
      <c r="B681" t="s">
        <v>1327</v>
      </c>
      <c r="N681" s="1356" t="s">
        <v>847</v>
      </c>
      <c r="O681" s="1356"/>
      <c r="T681" s="17"/>
      <c r="U681" t="s">
        <v>1327</v>
      </c>
      <c r="AG681" s="1356" t="s">
        <v>847</v>
      </c>
      <c r="AH681" s="1356"/>
      <c r="AZ681" s="2"/>
    </row>
    <row r="682" spans="1:157" ht="13.15" customHeight="1">
      <c r="A682" s="17"/>
      <c r="T682" s="17"/>
      <c r="AZ682" s="2"/>
    </row>
    <row r="683" spans="1:157" ht="13.15" customHeight="1">
      <c r="A683" s="36" t="s">
        <v>1318</v>
      </c>
      <c r="B683" t="s">
        <v>1323</v>
      </c>
      <c r="G683" s="1346" t="str">
        <f>C643</f>
        <v>Deferred Developer Fee</v>
      </c>
      <c r="H683" s="1346"/>
      <c r="I683" s="1346"/>
      <c r="J683" s="1346"/>
      <c r="K683" s="1346"/>
      <c r="L683" s="1346"/>
      <c r="M683" s="1346"/>
      <c r="N683" s="1346"/>
      <c r="O683" s="1346"/>
      <c r="P683" s="1346"/>
      <c r="Q683" s="1346"/>
      <c r="R683" s="1346"/>
      <c r="T683" s="36" t="s">
        <v>1319</v>
      </c>
      <c r="U683" t="s">
        <v>1323</v>
      </c>
      <c r="Z683" s="1346">
        <f>C644</f>
        <v>0</v>
      </c>
      <c r="AA683" s="1346"/>
      <c r="AB683" s="1346"/>
      <c r="AC683" s="1346"/>
      <c r="AD683" s="1346"/>
      <c r="AE683" s="1346"/>
      <c r="AF683" s="1346"/>
      <c r="AG683" s="1346"/>
      <c r="AH683" s="1346"/>
      <c r="AI683" s="1346"/>
      <c r="AJ683" s="1346"/>
      <c r="AK683" s="1346"/>
      <c r="AZ683" s="2"/>
    </row>
    <row r="684" spans="1:157" ht="13.15" customHeight="1">
      <c r="A684" s="17"/>
      <c r="B684" t="s">
        <v>1064</v>
      </c>
      <c r="G684" s="1399" t="s">
        <v>2647</v>
      </c>
      <c r="H684" s="1399"/>
      <c r="I684" s="1399"/>
      <c r="J684" s="1399"/>
      <c r="K684" s="1399"/>
      <c r="L684" s="1399"/>
      <c r="M684" s="1399"/>
      <c r="N684" s="1399"/>
      <c r="O684" s="1399"/>
      <c r="P684" s="1399"/>
      <c r="Q684" s="1399"/>
      <c r="R684" s="1399"/>
      <c r="T684" s="17"/>
      <c r="U684" t="s">
        <v>1064</v>
      </c>
      <c r="Z684" s="1399"/>
      <c r="AA684" s="1399"/>
      <c r="AB684" s="1399"/>
      <c r="AC684" s="1399"/>
      <c r="AD684" s="1399"/>
      <c r="AE684" s="1399"/>
      <c r="AF684" s="1399"/>
      <c r="AG684" s="1399"/>
      <c r="AH684" s="1399"/>
      <c r="AI684" s="1399"/>
      <c r="AJ684" s="1399"/>
      <c r="AK684" s="1399"/>
      <c r="AZ684" s="2"/>
    </row>
    <row r="685" spans="1:157" ht="13.15" customHeight="1">
      <c r="A685" s="17"/>
      <c r="B685" t="s">
        <v>931</v>
      </c>
      <c r="G685" s="1399" t="s">
        <v>2648</v>
      </c>
      <c r="H685" s="1399"/>
      <c r="I685" s="1399"/>
      <c r="J685" s="1399"/>
      <c r="K685" s="1399"/>
      <c r="L685" s="1399"/>
      <c r="M685" s="1399"/>
      <c r="N685" s="1399"/>
      <c r="O685" s="1399"/>
      <c r="P685" s="1399"/>
      <c r="Q685" s="1399"/>
      <c r="R685" s="1399"/>
      <c r="T685" s="17"/>
      <c r="U685" t="s">
        <v>931</v>
      </c>
      <c r="Z685" s="1360"/>
      <c r="AA685" s="1360"/>
      <c r="AB685" s="1360"/>
      <c r="AC685" s="1360"/>
      <c r="AD685" s="1360"/>
      <c r="AE685" s="1360"/>
      <c r="AF685" s="1360"/>
      <c r="AG685" s="1360"/>
      <c r="AH685" s="1360"/>
      <c r="AI685" s="1360"/>
      <c r="AJ685" s="1360"/>
      <c r="AK685" s="1360"/>
      <c r="AZ685" s="2"/>
    </row>
    <row r="686" spans="1:157" ht="13.15" customHeight="1">
      <c r="A686" s="17"/>
      <c r="B686" t="s">
        <v>1324</v>
      </c>
      <c r="G686" s="1399" t="s">
        <v>2740</v>
      </c>
      <c r="H686" s="1399"/>
      <c r="I686" s="1399"/>
      <c r="J686" s="1399"/>
      <c r="K686" s="1399"/>
      <c r="L686" s="1399"/>
      <c r="M686" s="1399"/>
      <c r="N686" s="1399"/>
      <c r="O686" s="1399"/>
      <c r="P686" s="1399"/>
      <c r="Q686" s="1399"/>
      <c r="R686" s="1399"/>
      <c r="T686" s="17"/>
      <c r="U686" t="s">
        <v>1324</v>
      </c>
      <c r="Z686" s="1360"/>
      <c r="AA686" s="1360"/>
      <c r="AB686" s="1360"/>
      <c r="AC686" s="1360"/>
      <c r="AD686" s="1360"/>
      <c r="AE686" s="1360"/>
      <c r="AF686" s="1360"/>
      <c r="AG686" s="1360"/>
      <c r="AH686" s="1360"/>
      <c r="AI686" s="1360"/>
      <c r="AJ686" s="1360"/>
      <c r="AK686" s="1360"/>
      <c r="AZ686" s="2"/>
    </row>
    <row r="687" spans="1:157" ht="13.15" customHeight="1">
      <c r="A687" s="17"/>
      <c r="B687" t="s">
        <v>828</v>
      </c>
      <c r="G687" s="1338" t="s">
        <v>2741</v>
      </c>
      <c r="H687" s="1338"/>
      <c r="I687" s="1338"/>
      <c r="J687" s="1338"/>
      <c r="K687" s="1338"/>
      <c r="L687" s="1338"/>
      <c r="O687" s="813" t="s">
        <v>1068</v>
      </c>
      <c r="P687" s="1339"/>
      <c r="Q687" s="1339"/>
      <c r="R687" s="1339"/>
      <c r="T687" s="17"/>
      <c r="U687" t="s">
        <v>828</v>
      </c>
      <c r="Z687" s="1338"/>
      <c r="AA687" s="1338"/>
      <c r="AB687" s="1338"/>
      <c r="AC687" s="1338"/>
      <c r="AD687" s="1338"/>
      <c r="AE687" s="1338"/>
      <c r="AH687" s="813" t="s">
        <v>1068</v>
      </c>
      <c r="AI687" s="1339"/>
      <c r="AJ687" s="1339"/>
      <c r="AK687" s="1339"/>
      <c r="AZ687" s="2"/>
    </row>
    <row r="688" spans="1:157" ht="13.15" customHeight="1">
      <c r="A688" s="17"/>
      <c r="B688" t="s">
        <v>1325</v>
      </c>
      <c r="H688" s="1399" t="s">
        <v>1908</v>
      </c>
      <c r="I688" s="1399"/>
      <c r="J688" s="1399"/>
      <c r="K688" s="1399"/>
      <c r="L688" s="1399"/>
      <c r="M688" s="1399"/>
      <c r="N688" s="1399"/>
      <c r="O688" s="1399"/>
      <c r="P688" s="1399"/>
      <c r="Q688" s="1399"/>
      <c r="R688" s="1399"/>
      <c r="T688" s="17"/>
      <c r="U688" t="s">
        <v>1325</v>
      </c>
      <c r="AA688" s="1399"/>
      <c r="AB688" s="1399"/>
      <c r="AC688" s="1399"/>
      <c r="AD688" s="1399"/>
      <c r="AE688" s="1399"/>
      <c r="AF688" s="1399"/>
      <c r="AG688" s="1399"/>
      <c r="AH688" s="1399"/>
      <c r="AI688" s="1399"/>
      <c r="AJ688" s="1399"/>
      <c r="AK688" s="1399"/>
      <c r="AZ688" s="2"/>
    </row>
    <row r="689" spans="1:52" ht="13.15" customHeight="1">
      <c r="A689" s="17"/>
      <c r="B689" t="s">
        <v>1327</v>
      </c>
      <c r="N689" s="1356" t="s">
        <v>847</v>
      </c>
      <c r="O689" s="1356"/>
      <c r="T689" s="17"/>
      <c r="U689" t="s">
        <v>1327</v>
      </c>
      <c r="AG689" s="1356" t="s">
        <v>696</v>
      </c>
      <c r="AH689" s="1356"/>
      <c r="AZ689" s="2"/>
    </row>
    <row r="690" spans="1:52" ht="13.15" customHeight="1">
      <c r="A690" s="17"/>
      <c r="T690" s="17"/>
      <c r="AZ690" s="2"/>
    </row>
    <row r="691" spans="1:52" ht="13.15" customHeight="1">
      <c r="A691" s="36" t="s">
        <v>1320</v>
      </c>
      <c r="B691" t="s">
        <v>1323</v>
      </c>
      <c r="G691" s="1346">
        <f>C645</f>
        <v>0</v>
      </c>
      <c r="H691" s="1346"/>
      <c r="I691" s="1346"/>
      <c r="J691" s="1346"/>
      <c r="K691" s="1346"/>
      <c r="L691" s="1346"/>
      <c r="M691" s="1346"/>
      <c r="N691" s="1346"/>
      <c r="O691" s="1346"/>
      <c r="P691" s="1346"/>
      <c r="Q691" s="1346"/>
      <c r="R691" s="1346"/>
      <c r="T691" s="36" t="s">
        <v>1321</v>
      </c>
      <c r="U691" t="s">
        <v>1323</v>
      </c>
      <c r="Z691" s="1346">
        <f>C646</f>
        <v>0</v>
      </c>
      <c r="AA691" s="1346"/>
      <c r="AB691" s="1346"/>
      <c r="AC691" s="1346"/>
      <c r="AD691" s="1346"/>
      <c r="AE691" s="1346"/>
      <c r="AF691" s="1346"/>
      <c r="AG691" s="1346"/>
      <c r="AH691" s="1346"/>
      <c r="AI691" s="1346"/>
      <c r="AJ691" s="1346"/>
      <c r="AK691" s="1346"/>
      <c r="AZ691" s="2"/>
    </row>
    <row r="692" spans="1:52" ht="13.15" customHeight="1">
      <c r="B692" t="s">
        <v>1064</v>
      </c>
      <c r="G692" s="1399"/>
      <c r="H692" s="1399"/>
      <c r="I692" s="1399"/>
      <c r="J692" s="1399"/>
      <c r="K692" s="1399"/>
      <c r="L692" s="1399"/>
      <c r="M692" s="1399"/>
      <c r="N692" s="1399"/>
      <c r="O692" s="1399"/>
      <c r="P692" s="1399"/>
      <c r="Q692" s="1399"/>
      <c r="R692" s="1399"/>
      <c r="T692" s="17"/>
      <c r="U692" t="s">
        <v>1064</v>
      </c>
      <c r="Z692" s="1399"/>
      <c r="AA692" s="1399"/>
      <c r="AB692" s="1399"/>
      <c r="AC692" s="1399"/>
      <c r="AD692" s="1399"/>
      <c r="AE692" s="1399"/>
      <c r="AF692" s="1399"/>
      <c r="AG692" s="1399"/>
      <c r="AH692" s="1399"/>
      <c r="AI692" s="1399"/>
      <c r="AJ692" s="1399"/>
      <c r="AK692" s="1399"/>
      <c r="AZ692" s="2"/>
    </row>
    <row r="693" spans="1:52" ht="13.15" customHeight="1">
      <c r="B693" t="s">
        <v>931</v>
      </c>
      <c r="G693" s="1399"/>
      <c r="H693" s="1399"/>
      <c r="I693" s="1399"/>
      <c r="J693" s="1399"/>
      <c r="K693" s="1399"/>
      <c r="L693" s="1399"/>
      <c r="M693" s="1399"/>
      <c r="N693" s="1399"/>
      <c r="O693" s="1399"/>
      <c r="P693" s="1399"/>
      <c r="Q693" s="1399"/>
      <c r="R693" s="1399"/>
      <c r="U693" t="s">
        <v>931</v>
      </c>
      <c r="Z693" s="1360"/>
      <c r="AA693" s="1360"/>
      <c r="AB693" s="1360"/>
      <c r="AC693" s="1360"/>
      <c r="AD693" s="1360"/>
      <c r="AE693" s="1360"/>
      <c r="AF693" s="1360"/>
      <c r="AG693" s="1360"/>
      <c r="AH693" s="1360"/>
      <c r="AI693" s="1360"/>
      <c r="AJ693" s="1360"/>
      <c r="AK693" s="1360"/>
      <c r="AZ693" s="2"/>
    </row>
    <row r="694" spans="1:52" ht="13.15" customHeight="1">
      <c r="B694" t="s">
        <v>1324</v>
      </c>
      <c r="G694" s="1399"/>
      <c r="H694" s="1399"/>
      <c r="I694" s="1399"/>
      <c r="J694" s="1399"/>
      <c r="K694" s="1399"/>
      <c r="L694" s="1399"/>
      <c r="M694" s="1399"/>
      <c r="N694" s="1399"/>
      <c r="O694" s="1399"/>
      <c r="P694" s="1399"/>
      <c r="Q694" s="1399"/>
      <c r="R694" s="1399"/>
      <c r="U694" t="s">
        <v>1324</v>
      </c>
      <c r="Z694" s="1360"/>
      <c r="AA694" s="1360"/>
      <c r="AB694" s="1360"/>
      <c r="AC694" s="1360"/>
      <c r="AD694" s="1360"/>
      <c r="AE694" s="1360"/>
      <c r="AF694" s="1360"/>
      <c r="AG694" s="1360"/>
      <c r="AH694" s="1360"/>
      <c r="AI694" s="1360"/>
      <c r="AJ694" s="1360"/>
      <c r="AK694" s="1360"/>
      <c r="AZ694" s="2"/>
    </row>
    <row r="695" spans="1:52" ht="13.15" customHeight="1">
      <c r="B695" t="s">
        <v>828</v>
      </c>
      <c r="G695" s="1338"/>
      <c r="H695" s="1338"/>
      <c r="I695" s="1338"/>
      <c r="J695" s="1338"/>
      <c r="K695" s="1338"/>
      <c r="L695" s="1338"/>
      <c r="O695" s="813" t="s">
        <v>1068</v>
      </c>
      <c r="P695" s="1339"/>
      <c r="Q695" s="1339"/>
      <c r="R695" s="1339"/>
      <c r="U695" t="s">
        <v>828</v>
      </c>
      <c r="Z695" s="1338"/>
      <c r="AA695" s="1338"/>
      <c r="AB695" s="1338"/>
      <c r="AC695" s="1338"/>
      <c r="AD695" s="1338"/>
      <c r="AE695" s="1338"/>
      <c r="AH695" s="813" t="s">
        <v>1068</v>
      </c>
      <c r="AI695" s="1339"/>
      <c r="AJ695" s="1339"/>
      <c r="AK695" s="1339"/>
      <c r="AZ695" s="2"/>
    </row>
    <row r="696" spans="1:52" ht="13.15" customHeight="1">
      <c r="B696" t="s">
        <v>1325</v>
      </c>
      <c r="H696" s="1399"/>
      <c r="I696" s="1399"/>
      <c r="J696" s="1399"/>
      <c r="K696" s="1399"/>
      <c r="L696" s="1399"/>
      <c r="M696" s="1399"/>
      <c r="N696" s="1399"/>
      <c r="O696" s="1399"/>
      <c r="P696" s="1399"/>
      <c r="Q696" s="1399"/>
      <c r="R696" s="1399"/>
      <c r="U696" t="s">
        <v>1325</v>
      </c>
      <c r="AA696" s="1399"/>
      <c r="AB696" s="1399"/>
      <c r="AC696" s="1399"/>
      <c r="AD696" s="1399"/>
      <c r="AE696" s="1399"/>
      <c r="AF696" s="1399"/>
      <c r="AG696" s="1399"/>
      <c r="AH696" s="1399"/>
      <c r="AI696" s="1399"/>
      <c r="AJ696" s="1399"/>
      <c r="AK696" s="1399"/>
      <c r="AZ696" s="2"/>
    </row>
    <row r="697" spans="1:52" ht="13.15" customHeight="1">
      <c r="B697" t="s">
        <v>1327</v>
      </c>
      <c r="N697" s="1356" t="s">
        <v>696</v>
      </c>
      <c r="O697" s="1356"/>
      <c r="U697" t="s">
        <v>1327</v>
      </c>
      <c r="AG697" s="1356" t="s">
        <v>696</v>
      </c>
      <c r="AH697" s="1356"/>
      <c r="AZ697" s="2"/>
    </row>
    <row r="698" spans="1:52" ht="13.15" customHeight="1">
      <c r="AZ698" s="2"/>
    </row>
    <row r="699" spans="1:52" ht="13.15" customHeight="1">
      <c r="A699" s="1" t="s">
        <v>913</v>
      </c>
      <c r="C699" s="1" t="s">
        <v>179</v>
      </c>
      <c r="E699" s="1078"/>
      <c r="F699" s="1078"/>
      <c r="G699" s="1078"/>
      <c r="H699" s="1078"/>
      <c r="AZ699" s="2"/>
    </row>
    <row r="700" spans="1:52" ht="13.15" customHeight="1">
      <c r="B700" s="1107"/>
      <c r="C700" s="1107"/>
      <c r="D700" s="816" t="s">
        <v>1340</v>
      </c>
      <c r="E700" s="1107"/>
      <c r="F700" s="1107"/>
      <c r="G700" s="1107"/>
      <c r="H700" s="1107"/>
      <c r="AZ700" s="2"/>
    </row>
    <row r="701" spans="1:52" ht="13.15" customHeight="1">
      <c r="B701" s="1107"/>
      <c r="C701" s="1107"/>
      <c r="E701" s="816" t="s">
        <v>1341</v>
      </c>
      <c r="F701" s="1107"/>
      <c r="G701" s="1107"/>
      <c r="H701" s="1107"/>
      <c r="AE701" s="1356" t="s">
        <v>847</v>
      </c>
      <c r="AF701" s="1356"/>
      <c r="AZ701" s="2"/>
    </row>
    <row r="702" spans="1:52" ht="13.15" customHeight="1">
      <c r="B702" s="1107"/>
      <c r="C702" s="1107"/>
      <c r="D702" s="816" t="s">
        <v>1342</v>
      </c>
      <c r="E702" s="1107"/>
      <c r="F702" s="1107"/>
      <c r="G702" s="1107"/>
      <c r="H702" s="1107"/>
      <c r="AE702" s="1356" t="s">
        <v>847</v>
      </c>
      <c r="AF702" s="1356"/>
      <c r="AZ702" s="2"/>
    </row>
    <row r="703" spans="1:52" ht="13.15" customHeight="1">
      <c r="B703" s="1107"/>
      <c r="C703" s="1107"/>
      <c r="D703" s="816" t="s">
        <v>1343</v>
      </c>
      <c r="E703" s="1107"/>
      <c r="F703" s="1107"/>
      <c r="G703" s="1107"/>
      <c r="H703" s="1107"/>
      <c r="AE703" s="1487">
        <v>46161</v>
      </c>
      <c r="AF703" s="1487"/>
      <c r="AG703" s="1487"/>
      <c r="AH703" s="1487"/>
      <c r="AI703" s="1487"/>
    </row>
    <row r="704" spans="1:52" ht="13.15" customHeight="1">
      <c r="B704" s="1107"/>
      <c r="C704" s="1107"/>
      <c r="D704" s="198" t="s">
        <v>1344</v>
      </c>
      <c r="E704" s="1107"/>
      <c r="F704" s="1107"/>
      <c r="G704" s="1107"/>
      <c r="H704" s="1107"/>
      <c r="AE704" s="1610">
        <v>46253</v>
      </c>
      <c r="AF704" s="1610"/>
      <c r="AG704" s="1610"/>
      <c r="AH704" s="1610"/>
      <c r="AI704" s="1610"/>
    </row>
    <row r="705" spans="1:110" ht="13.15" customHeight="1">
      <c r="B705" s="1107"/>
      <c r="C705" s="1107"/>
    </row>
    <row r="706" spans="1:110" ht="13.15" customHeight="1">
      <c r="B706" s="1107"/>
      <c r="C706" s="1107"/>
      <c r="D706" s="816" t="s">
        <v>1345</v>
      </c>
      <c r="E706" s="1107"/>
      <c r="F706" s="1107"/>
      <c r="G706" s="1107"/>
      <c r="H706" s="1107"/>
      <c r="AE706" s="1487">
        <v>46428</v>
      </c>
      <c r="AF706" s="1487"/>
      <c r="AG706" s="1487"/>
      <c r="AH706" s="1487"/>
      <c r="AI706" s="1487"/>
    </row>
    <row r="707" spans="1:110" ht="13.15" customHeight="1">
      <c r="B707" s="1107"/>
      <c r="C707" s="1107"/>
      <c r="D707" s="816" t="s">
        <v>1346</v>
      </c>
      <c r="E707" s="1107"/>
      <c r="F707" s="1107"/>
      <c r="G707" s="1107"/>
      <c r="H707" s="1107"/>
      <c r="AE707" s="1786">
        <v>0.25559999999999999</v>
      </c>
      <c r="AF707" s="1786"/>
      <c r="AG707" s="1786"/>
      <c r="AH707" s="1786"/>
      <c r="AI707" s="1786"/>
    </row>
    <row r="708" spans="1:110" ht="13.15" customHeight="1">
      <c r="B708" s="1107"/>
      <c r="C708" s="1107"/>
      <c r="D708" s="816" t="s">
        <v>1347</v>
      </c>
      <c r="E708" s="1107"/>
      <c r="F708" s="1107"/>
      <c r="G708" s="1107"/>
      <c r="H708" s="1107"/>
      <c r="W708" s="1346" t="str">
        <f>H344</f>
        <v>California Housing Finance Agency (CalHFA)</v>
      </c>
      <c r="X708" s="1346"/>
      <c r="Y708" s="1346"/>
      <c r="Z708" s="1346"/>
      <c r="AA708" s="1346"/>
      <c r="AB708" s="1346"/>
      <c r="AC708" s="1346"/>
      <c r="AD708" s="1346"/>
      <c r="AE708" s="1346"/>
      <c r="AF708" s="1346"/>
      <c r="AG708" s="1346"/>
      <c r="AH708" s="1346"/>
      <c r="AI708" s="1346"/>
      <c r="AJ708" s="1346"/>
      <c r="AK708" s="1346"/>
    </row>
    <row r="709" spans="1:110" ht="13.15" customHeight="1">
      <c r="B709" s="1107"/>
      <c r="C709" s="1107"/>
      <c r="D709" s="816"/>
      <c r="E709" s="1107"/>
      <c r="F709" s="1107"/>
      <c r="G709" s="1107"/>
      <c r="H709" s="1107"/>
    </row>
    <row r="710" spans="1:110" ht="13.15" customHeight="1">
      <c r="B710" s="1107"/>
      <c r="C710" s="1107"/>
      <c r="D710" s="816" t="s">
        <v>1348</v>
      </c>
      <c r="E710" s="1107"/>
      <c r="F710" s="1107"/>
      <c r="G710" s="1107"/>
      <c r="H710" s="1107"/>
      <c r="AE710" s="1356" t="s">
        <v>696</v>
      </c>
      <c r="AF710" s="1356"/>
    </row>
    <row r="711" spans="1:110" ht="13.15" customHeight="1">
      <c r="B711" s="1107"/>
      <c r="C711" s="1107"/>
      <c r="D711" s="816" t="s">
        <v>1349</v>
      </c>
      <c r="E711" s="1107"/>
      <c r="F711" s="1107"/>
      <c r="G711" s="1107"/>
      <c r="H711" s="1107"/>
      <c r="W711" s="1399" t="s">
        <v>816</v>
      </c>
      <c r="X711" s="1399"/>
      <c r="Y711" s="1399"/>
      <c r="Z711" s="1399"/>
      <c r="AA711" s="1399"/>
      <c r="AB711" s="1399"/>
      <c r="AC711" s="1399"/>
      <c r="AD711" s="1399"/>
      <c r="AE711" s="1399"/>
      <c r="AF711" s="1399"/>
      <c r="AG711" s="1399"/>
      <c r="AH711" s="1399"/>
      <c r="AI711" s="1399"/>
      <c r="AJ711" s="1399"/>
      <c r="AK711" s="1399"/>
    </row>
    <row r="712" spans="1:110" ht="13.15" customHeight="1">
      <c r="B712" s="1107"/>
      <c r="C712" s="1107"/>
      <c r="D712" s="816" t="s">
        <v>1066</v>
      </c>
      <c r="E712" s="1107"/>
      <c r="F712" s="1107"/>
      <c r="G712" s="1107"/>
      <c r="H712" s="1107"/>
      <c r="J712" s="1399" t="s">
        <v>816</v>
      </c>
      <c r="K712" s="1399"/>
      <c r="L712" s="1399"/>
      <c r="M712" s="1399"/>
      <c r="N712" s="1399"/>
      <c r="O712" s="1399"/>
      <c r="P712" s="1399"/>
      <c r="Q712" s="1399"/>
      <c r="R712" s="1399"/>
      <c r="S712" s="1399"/>
      <c r="T712" s="1399"/>
      <c r="U712" s="1399"/>
      <c r="V712" s="1399"/>
      <c r="W712" s="1399"/>
      <c r="X712" s="1399"/>
      <c r="BB712" s="2"/>
      <c r="BC712" s="2"/>
      <c r="BD712" s="2"/>
      <c r="BE712" s="2"/>
      <c r="BF712" s="2"/>
      <c r="BJ712" s="2"/>
      <c r="BK712" s="2"/>
      <c r="BL712" s="2"/>
      <c r="BM712" s="2"/>
      <c r="BN712" s="2"/>
      <c r="BO712" s="2"/>
    </row>
    <row r="713" spans="1:110" ht="13.15" customHeight="1">
      <c r="B713" s="1107"/>
      <c r="C713" s="1107"/>
      <c r="D713" s="816" t="s">
        <v>1067</v>
      </c>
      <c r="J713" s="1338" t="s">
        <v>816</v>
      </c>
      <c r="K713" s="1338"/>
      <c r="L713" s="1338"/>
      <c r="M713" s="1338"/>
      <c r="N713" s="1338"/>
      <c r="O713" s="1338"/>
      <c r="P713" s="2" t="s">
        <v>1068</v>
      </c>
      <c r="Q713" s="2"/>
      <c r="R713" s="1339"/>
      <c r="S713" s="1339"/>
      <c r="T713" s="1339"/>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15" customHeight="1">
      <c r="B714" s="1107"/>
      <c r="C714" s="1107"/>
      <c r="D714" s="816" t="s">
        <v>1350</v>
      </c>
      <c r="W714" s="1399" t="s">
        <v>311</v>
      </c>
      <c r="X714" s="1399"/>
      <c r="Y714" s="1399"/>
      <c r="Z714" s="1399"/>
      <c r="AA714" s="1399"/>
      <c r="AB714" s="1399"/>
      <c r="AC714" s="1399"/>
      <c r="AD714" s="1399"/>
      <c r="AE714" s="1399"/>
      <c r="AF714" s="1399"/>
      <c r="AG714" s="1399"/>
      <c r="AH714" s="1399"/>
      <c r="AI714" s="1399"/>
      <c r="AJ714" s="1399"/>
      <c r="AK714" s="1399"/>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15" customHeight="1">
      <c r="B715" s="1107"/>
      <c r="C715" s="1107"/>
      <c r="D715" s="816"/>
      <c r="E715" s="1399" t="s">
        <v>816</v>
      </c>
      <c r="F715" s="1399"/>
      <c r="G715" s="1399"/>
      <c r="H715" s="1399"/>
      <c r="I715" s="1399"/>
      <c r="J715" s="1399"/>
      <c r="K715" s="1399"/>
      <c r="L715" s="1399"/>
      <c r="M715" s="1399"/>
      <c r="N715" s="1399"/>
      <c r="O715" s="1399"/>
      <c r="P715" s="1399"/>
      <c r="Q715" s="1399"/>
      <c r="R715" s="1399"/>
      <c r="S715" s="1399"/>
      <c r="T715" s="1399"/>
      <c r="U715" s="1399"/>
      <c r="V715" s="1399"/>
      <c r="W715" s="1399"/>
      <c r="X715" s="1399"/>
      <c r="Y715" s="1399"/>
      <c r="Z715" s="1399"/>
      <c r="AA715" s="1399"/>
      <c r="AB715" s="1399"/>
      <c r="AC715" s="1399"/>
      <c r="AD715" s="1399"/>
      <c r="AE715" s="1399"/>
      <c r="AF715" s="1399"/>
      <c r="AG715" s="1399"/>
      <c r="AH715" s="1399"/>
      <c r="AI715" s="1399"/>
      <c r="AJ715" s="1399"/>
      <c r="AK715" s="1399"/>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1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15" customHeight="1">
      <c r="A717" s="1253" t="s">
        <v>1351</v>
      </c>
      <c r="B717" s="1253"/>
      <c r="C717" s="1253"/>
      <c r="D717" s="1253"/>
      <c r="E717" s="1253"/>
      <c r="F717" s="1253"/>
      <c r="G717" s="1253"/>
      <c r="H717" s="1253"/>
      <c r="I717" s="1253"/>
      <c r="J717" s="1253"/>
      <c r="K717" s="1253"/>
      <c r="L717" s="1253"/>
      <c r="M717" s="1253"/>
      <c r="N717" s="1253"/>
      <c r="O717" s="1253"/>
      <c r="P717" s="1253"/>
      <c r="Q717" s="1253"/>
      <c r="R717" s="1253"/>
      <c r="S717" s="1253"/>
      <c r="T717" s="1253"/>
      <c r="U717" s="1253"/>
      <c r="V717" s="1253"/>
      <c r="W717" s="1253"/>
      <c r="X717" s="1253"/>
      <c r="Y717" s="1253"/>
      <c r="Z717" s="1253"/>
      <c r="AA717" s="1253"/>
      <c r="AB717" s="1253"/>
      <c r="AC717" s="1253"/>
      <c r="AD717" s="1253"/>
      <c r="AE717" s="1253"/>
      <c r="AF717" s="1253"/>
      <c r="AG717" s="1253"/>
      <c r="AH717" s="1253"/>
      <c r="AI717" s="1253"/>
      <c r="AJ717" s="1253"/>
      <c r="AK717" s="1253"/>
      <c r="AL717" s="1253"/>
      <c r="AM717" s="1253"/>
      <c r="AN717" s="1253"/>
      <c r="AO717" s="1253"/>
      <c r="AP717" s="1253"/>
      <c r="AQ717" s="1253"/>
      <c r="AR717" s="1253"/>
      <c r="AS717" s="1253"/>
      <c r="AT717" s="1253"/>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15" customHeight="1">
      <c r="A718" s="1253"/>
      <c r="B718" s="1253"/>
      <c r="C718" s="1253"/>
      <c r="D718" s="1253"/>
      <c r="E718" s="1253"/>
      <c r="F718" s="1253"/>
      <c r="G718" s="1253"/>
      <c r="H718" s="1253"/>
      <c r="I718" s="1253"/>
      <c r="J718" s="1253"/>
      <c r="K718" s="1253"/>
      <c r="L718" s="1253"/>
      <c r="M718" s="1253"/>
      <c r="N718" s="1253"/>
      <c r="O718" s="1253"/>
      <c r="P718" s="1253"/>
      <c r="Q718" s="1253"/>
      <c r="R718" s="1253"/>
      <c r="S718" s="1253"/>
      <c r="T718" s="1253"/>
      <c r="U718" s="1253"/>
      <c r="V718" s="1253"/>
      <c r="W718" s="1253"/>
      <c r="X718" s="1253"/>
      <c r="Y718" s="1253"/>
      <c r="Z718" s="1253"/>
      <c r="AA718" s="1253"/>
      <c r="AB718" s="1253"/>
      <c r="AC718" s="1253"/>
      <c r="AD718" s="1253"/>
      <c r="AE718" s="1253"/>
      <c r="AF718" s="1253"/>
      <c r="AG718" s="1253"/>
      <c r="AH718" s="1253"/>
      <c r="AI718" s="1253"/>
      <c r="AJ718" s="1253"/>
      <c r="AK718" s="1253"/>
      <c r="AL718" s="1253"/>
      <c r="AM718" s="1253"/>
      <c r="AN718" s="1253"/>
      <c r="AO718" s="1253"/>
      <c r="AP718" s="1253"/>
      <c r="AQ718" s="1253"/>
      <c r="AR718" s="1253"/>
      <c r="AS718" s="1253"/>
      <c r="AT718" s="1253"/>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15" customHeight="1">
      <c r="A719" s="1253"/>
      <c r="B719" s="1253"/>
      <c r="C719" s="1253"/>
      <c r="D719" s="1253"/>
      <c r="E719" s="1253"/>
      <c r="F719" s="1253"/>
      <c r="G719" s="1253"/>
      <c r="H719" s="1253"/>
      <c r="I719" s="1253"/>
      <c r="J719" s="1253"/>
      <c r="K719" s="1253"/>
      <c r="L719" s="1253"/>
      <c r="M719" s="1253"/>
      <c r="N719" s="1253"/>
      <c r="O719" s="1253"/>
      <c r="P719" s="1253"/>
      <c r="Q719" s="1253"/>
      <c r="R719" s="1253"/>
      <c r="S719" s="1253"/>
      <c r="T719" s="1253"/>
      <c r="U719" s="1253"/>
      <c r="V719" s="1253"/>
      <c r="W719" s="1253"/>
      <c r="X719" s="1253"/>
      <c r="Y719" s="1253"/>
      <c r="Z719" s="1253"/>
      <c r="AA719" s="1253"/>
      <c r="AB719" s="1253"/>
      <c r="AC719" s="1253"/>
      <c r="AD719" s="1253"/>
      <c r="AE719" s="1253"/>
      <c r="AF719" s="1253"/>
      <c r="AG719" s="1253"/>
      <c r="AH719" s="1253"/>
      <c r="AI719" s="1253"/>
      <c r="AJ719" s="1253"/>
      <c r="AK719" s="1253"/>
      <c r="AL719" s="1253"/>
      <c r="AM719" s="1253"/>
      <c r="AN719" s="1253"/>
      <c r="AO719" s="1253"/>
      <c r="AP719" s="1253"/>
      <c r="AQ719" s="1253"/>
      <c r="AR719" s="1253"/>
      <c r="AS719" s="1253"/>
      <c r="AT719" s="1253"/>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15" customHeight="1">
      <c r="A720" s="1" t="s">
        <v>872</v>
      </c>
      <c r="B720" s="1"/>
      <c r="C720" s="1" t="s">
        <v>1352</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3.15"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3.15" customHeight="1">
      <c r="B722" s="1347" t="s">
        <v>1353</v>
      </c>
      <c r="C722" s="1348"/>
      <c r="D722" s="1348"/>
      <c r="E722" s="1348"/>
      <c r="F722" s="1349"/>
      <c r="G722" s="1347" t="s">
        <v>1354</v>
      </c>
      <c r="H722" s="1348"/>
      <c r="I722" s="1348"/>
      <c r="J722" s="1349"/>
      <c r="K722" s="1552" t="s">
        <v>1355</v>
      </c>
      <c r="L722" s="1553"/>
      <c r="M722" s="1553"/>
      <c r="N722" s="1554"/>
      <c r="O722" s="1347" t="s">
        <v>1356</v>
      </c>
      <c r="P722" s="1348"/>
      <c r="Q722" s="1348"/>
      <c r="R722" s="1348"/>
      <c r="S722" s="1349"/>
      <c r="T722" s="1347" t="s">
        <v>1357</v>
      </c>
      <c r="U722" s="1348"/>
      <c r="V722" s="1348"/>
      <c r="W722" s="1349"/>
      <c r="X722" s="1347" t="s">
        <v>1358</v>
      </c>
      <c r="Y722" s="1348"/>
      <c r="Z722" s="1348"/>
      <c r="AA722" s="1348"/>
      <c r="AB722" s="1349"/>
      <c r="AC722" s="1347" t="s">
        <v>1359</v>
      </c>
      <c r="AD722" s="1348"/>
      <c r="AE722" s="1348"/>
      <c r="AF722" s="1348"/>
      <c r="AG722" s="1349"/>
      <c r="AH722" s="1347" t="s">
        <v>1360</v>
      </c>
      <c r="AI722" s="1348"/>
      <c r="AJ722" s="1349"/>
      <c r="AK722" s="1347" t="s">
        <v>1361</v>
      </c>
      <c r="AL722" s="1348"/>
      <c r="AM722" s="1348"/>
      <c r="AN722" s="1348"/>
      <c r="AO722" s="1349"/>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3.15" customHeight="1">
      <c r="B723" s="1350"/>
      <c r="C723" s="1351"/>
      <c r="D723" s="1351"/>
      <c r="E723" s="1351"/>
      <c r="F723" s="1352"/>
      <c r="G723" s="1350"/>
      <c r="H723" s="1351"/>
      <c r="I723" s="1351"/>
      <c r="J723" s="1352"/>
      <c r="K723" s="1555"/>
      <c r="L723" s="1556"/>
      <c r="M723" s="1556"/>
      <c r="N723" s="1557"/>
      <c r="O723" s="1350"/>
      <c r="P723" s="1351"/>
      <c r="Q723" s="1351"/>
      <c r="R723" s="1351"/>
      <c r="S723" s="1352"/>
      <c r="T723" s="1350"/>
      <c r="U723" s="1351"/>
      <c r="V723" s="1351"/>
      <c r="W723" s="1352"/>
      <c r="X723" s="1350"/>
      <c r="Y723" s="1351"/>
      <c r="Z723" s="1351"/>
      <c r="AA723" s="1351"/>
      <c r="AB723" s="1352"/>
      <c r="AC723" s="1350"/>
      <c r="AD723" s="1351"/>
      <c r="AE723" s="1351"/>
      <c r="AF723" s="1351"/>
      <c r="AG723" s="1352"/>
      <c r="AH723" s="1350"/>
      <c r="AI723" s="1351"/>
      <c r="AJ723" s="1352"/>
      <c r="AK723" s="1350"/>
      <c r="AL723" s="1351"/>
      <c r="AM723" s="1351"/>
      <c r="AN723" s="1351"/>
      <c r="AO723" s="1352"/>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3.15" customHeight="1">
      <c r="A724" s="2"/>
      <c r="B724" s="1350"/>
      <c r="C724" s="1351"/>
      <c r="D724" s="1351"/>
      <c r="E724" s="1351"/>
      <c r="F724" s="1352"/>
      <c r="G724" s="1350"/>
      <c r="H724" s="1351"/>
      <c r="I724" s="1351"/>
      <c r="J724" s="1352"/>
      <c r="K724" s="1555"/>
      <c r="L724" s="1556"/>
      <c r="M724" s="1556"/>
      <c r="N724" s="1557"/>
      <c r="O724" s="1350"/>
      <c r="P724" s="1351"/>
      <c r="Q724" s="1351"/>
      <c r="R724" s="1351"/>
      <c r="S724" s="1352"/>
      <c r="T724" s="1350"/>
      <c r="U724" s="1351"/>
      <c r="V724" s="1351"/>
      <c r="W724" s="1352"/>
      <c r="X724" s="1350"/>
      <c r="Y724" s="1351"/>
      <c r="Z724" s="1351"/>
      <c r="AA724" s="1351"/>
      <c r="AB724" s="1352"/>
      <c r="AC724" s="1350"/>
      <c r="AD724" s="1351"/>
      <c r="AE724" s="1351"/>
      <c r="AF724" s="1351"/>
      <c r="AG724" s="1352"/>
      <c r="AH724" s="1350"/>
      <c r="AI724" s="1351"/>
      <c r="AJ724" s="1352"/>
      <c r="AK724" s="1350"/>
      <c r="AL724" s="1351"/>
      <c r="AM724" s="1351"/>
      <c r="AN724" s="1351"/>
      <c r="AO724" s="1352"/>
      <c r="AP724" s="2"/>
      <c r="AQ724" s="2"/>
      <c r="AR724" s="2"/>
      <c r="AS724" s="2"/>
      <c r="BA724" s="2"/>
      <c r="BB724" s="2"/>
      <c r="BC724" s="2"/>
      <c r="BD724" s="2"/>
      <c r="BE724" s="114"/>
      <c r="BF724" s="115" t="s">
        <v>1362</v>
      </c>
      <c r="BG724" s="114"/>
      <c r="BH724" s="114"/>
      <c r="BI724" s="2"/>
      <c r="BJ724" s="2"/>
      <c r="BK724" s="2"/>
      <c r="BL724" s="2"/>
      <c r="BM724" s="2"/>
      <c r="BN724" s="2"/>
      <c r="BS724" s="115" t="s">
        <v>1363</v>
      </c>
      <c r="BT724" s="114"/>
      <c r="BU724" s="114"/>
      <c r="CC724" s="2"/>
      <c r="CD724" s="2"/>
      <c r="CE724" s="2"/>
      <c r="CF724" s="2"/>
      <c r="CG724" s="2"/>
      <c r="CH724" s="2"/>
      <c r="CI724" s="2"/>
      <c r="CJ724" s="2"/>
      <c r="CK724" s="2"/>
      <c r="CL724" s="2"/>
      <c r="CM724" s="2"/>
      <c r="CN724" s="2"/>
      <c r="CO724" s="2"/>
      <c r="CP724" s="2" t="s">
        <v>1364</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1365</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1366</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3.15" customHeight="1">
      <c r="A725" s="2"/>
      <c r="B725" s="1353"/>
      <c r="C725" s="1354"/>
      <c r="D725" s="1354"/>
      <c r="E725" s="1354"/>
      <c r="F725" s="1355"/>
      <c r="G725" s="1353"/>
      <c r="H725" s="1354"/>
      <c r="I725" s="1354"/>
      <c r="J725" s="1355"/>
      <c r="K725" s="1555"/>
      <c r="L725" s="1556"/>
      <c r="M725" s="1556"/>
      <c r="N725" s="1557"/>
      <c r="O725" s="1353"/>
      <c r="P725" s="1354"/>
      <c r="Q725" s="1354"/>
      <c r="R725" s="1354"/>
      <c r="S725" s="1355"/>
      <c r="T725" s="1353"/>
      <c r="U725" s="1354"/>
      <c r="V725" s="1354"/>
      <c r="W725" s="1355"/>
      <c r="X725" s="1353"/>
      <c r="Y725" s="1354"/>
      <c r="Z725" s="1354"/>
      <c r="AA725" s="1354"/>
      <c r="AB725" s="1355"/>
      <c r="AC725" s="1353"/>
      <c r="AD725" s="1354"/>
      <c r="AE725" s="1354"/>
      <c r="AF725" s="1354"/>
      <c r="AG725" s="1355"/>
      <c r="AH725" s="1353"/>
      <c r="AI725" s="1354"/>
      <c r="AJ725" s="1355"/>
      <c r="AK725" s="1353"/>
      <c r="AL725" s="1354"/>
      <c r="AM725" s="1354"/>
      <c r="AN725" s="1354"/>
      <c r="AO725" s="1355"/>
      <c r="AP725" s="2"/>
      <c r="AQ725" s="2"/>
      <c r="AR725" s="2"/>
      <c r="AS725" s="2"/>
      <c r="AZ725" s="57" t="s">
        <v>1367</v>
      </c>
      <c r="BA725" s="2"/>
      <c r="BB725" s="2"/>
      <c r="BC725" s="2"/>
      <c r="BD725" s="2"/>
      <c r="BE725" s="114"/>
      <c r="BF725" s="177" t="s">
        <v>1368</v>
      </c>
      <c r="BG725" s="181" t="s">
        <v>1369</v>
      </c>
      <c r="BH725" s="180" t="s">
        <v>1370</v>
      </c>
      <c r="BI725" s="2"/>
      <c r="BJ725" s="2"/>
      <c r="BK725" s="2"/>
      <c r="BL725" s="2"/>
      <c r="BM725" s="2"/>
      <c r="BN725" s="2"/>
      <c r="BS725" s="177" t="s">
        <v>1368</v>
      </c>
      <c r="BT725" s="181" t="s">
        <v>1369</v>
      </c>
      <c r="BU725" s="180" t="s">
        <v>1370</v>
      </c>
      <c r="CC725" s="2"/>
      <c r="CD725" s="2"/>
      <c r="CE725" s="2"/>
      <c r="CF725" s="2"/>
      <c r="CG725" s="1100" t="s">
        <v>1371</v>
      </c>
      <c r="CH725" s="1102"/>
      <c r="CI725" s="1318"/>
      <c r="CJ725" s="1320"/>
      <c r="CK725" s="1100" t="s">
        <v>1372</v>
      </c>
      <c r="CL725" s="1102"/>
      <c r="CM725" s="1318"/>
      <c r="CN725" s="1320"/>
      <c r="CO725" s="2"/>
      <c r="CP725" s="1625" t="s">
        <v>839</v>
      </c>
      <c r="CQ725" s="1626"/>
      <c r="CR725" s="1626"/>
      <c r="CS725" s="1626"/>
      <c r="CT725" s="1627"/>
      <c r="CU725" s="1624" t="s">
        <v>834</v>
      </c>
      <c r="CV725" s="1624"/>
      <c r="CW725" s="1624"/>
      <c r="CX725" s="1624"/>
      <c r="CY725" s="1624"/>
      <c r="CZ725" s="1624" t="s">
        <v>835</v>
      </c>
      <c r="DA725" s="1624"/>
      <c r="DB725" s="1624"/>
      <c r="DC725" s="1624"/>
      <c r="DD725" s="1624"/>
      <c r="DE725" s="1624" t="s">
        <v>836</v>
      </c>
      <c r="DF725" s="1624"/>
      <c r="DG725" s="1624"/>
      <c r="DH725" s="1624"/>
      <c r="DI725" s="1624"/>
      <c r="DJ725" s="1624" t="s">
        <v>840</v>
      </c>
      <c r="DK725" s="1624"/>
      <c r="DL725" s="1624"/>
      <c r="DM725" s="1624"/>
      <c r="DN725" s="1624"/>
      <c r="DO725" s="1624" t="s">
        <v>838</v>
      </c>
      <c r="DP725" s="1624"/>
      <c r="DQ725" s="1624"/>
      <c r="DR725" s="1624"/>
      <c r="DS725" s="1624"/>
      <c r="DT725" s="1094"/>
      <c r="DU725" s="1624" t="s">
        <v>839</v>
      </c>
      <c r="DV725" s="1624"/>
      <c r="DW725" s="1624"/>
      <c r="DX725" s="1624"/>
      <c r="DY725" s="1624"/>
      <c r="DZ725" s="1624" t="s">
        <v>834</v>
      </c>
      <c r="EA725" s="1624"/>
      <c r="EB725" s="1624"/>
      <c r="EC725" s="1624"/>
      <c r="ED725" s="1624"/>
      <c r="EE725" s="1624" t="s">
        <v>835</v>
      </c>
      <c r="EF725" s="1624"/>
      <c r="EG725" s="1624"/>
      <c r="EH725" s="1624"/>
      <c r="EI725" s="1624"/>
      <c r="EJ725" s="1624" t="s">
        <v>836</v>
      </c>
      <c r="EK725" s="1624"/>
      <c r="EL725" s="1624"/>
      <c r="EM725" s="1624"/>
      <c r="EN725" s="1624"/>
      <c r="EO725" s="1624" t="s">
        <v>840</v>
      </c>
      <c r="EP725" s="1624"/>
      <c r="EQ725" s="1624"/>
      <c r="ER725" s="1624"/>
      <c r="ES725" s="1624"/>
      <c r="ET725" s="1624" t="s">
        <v>838</v>
      </c>
      <c r="EU725" s="1624"/>
      <c r="EV725" s="1624"/>
      <c r="EW725" s="1624"/>
      <c r="EX725" s="1624"/>
      <c r="EY725" s="2"/>
      <c r="EZ725" s="1624" t="s">
        <v>839</v>
      </c>
      <c r="FA725" s="1624"/>
      <c r="FB725" s="1624"/>
      <c r="FC725" s="1624"/>
      <c r="FD725" s="1624"/>
      <c r="FE725" s="1624" t="s">
        <v>834</v>
      </c>
      <c r="FF725" s="1624"/>
      <c r="FG725" s="1624"/>
      <c r="FH725" s="1624"/>
      <c r="FI725" s="1624"/>
      <c r="FJ725" s="1624" t="s">
        <v>835</v>
      </c>
      <c r="FK725" s="1624"/>
      <c r="FL725" s="1624"/>
      <c r="FM725" s="1624"/>
      <c r="FN725" s="1624"/>
      <c r="FO725" s="1624" t="s">
        <v>836</v>
      </c>
      <c r="FP725" s="1624"/>
      <c r="FQ725" s="1624"/>
      <c r="FR725" s="1624"/>
      <c r="FS725" s="1624"/>
      <c r="FT725" s="1624" t="s">
        <v>840</v>
      </c>
      <c r="FU725" s="1624"/>
      <c r="FV725" s="1624"/>
      <c r="FW725" s="1624"/>
      <c r="FX725" s="1624"/>
      <c r="FY725" s="1624" t="s">
        <v>838</v>
      </c>
      <c r="FZ725" s="1624"/>
      <c r="GA725" s="1624"/>
      <c r="GB725" s="1624"/>
      <c r="GC725" s="1624"/>
    </row>
    <row r="726" spans="1:185" ht="13.15" customHeight="1">
      <c r="A726" s="2"/>
      <c r="B726" s="1332" t="s">
        <v>834</v>
      </c>
      <c r="C726" s="1333"/>
      <c r="D726" s="1333"/>
      <c r="E726" s="1333"/>
      <c r="F726" s="1334"/>
      <c r="G726" s="1538">
        <v>10</v>
      </c>
      <c r="H726" s="1539"/>
      <c r="I726" s="1539"/>
      <c r="J726" s="1540"/>
      <c r="K726" s="1545">
        <v>579</v>
      </c>
      <c r="L726" s="1546"/>
      <c r="M726" s="1546"/>
      <c r="N726" s="1547"/>
      <c r="O726" s="1541">
        <v>743</v>
      </c>
      <c r="P726" s="1542"/>
      <c r="Q726" s="1542"/>
      <c r="R726" s="1542"/>
      <c r="S726" s="1543"/>
      <c r="T726" s="1541">
        <v>109</v>
      </c>
      <c r="U726" s="1542"/>
      <c r="V726" s="1542"/>
      <c r="W726" s="1543"/>
      <c r="X726" s="1385">
        <f t="shared" ref="X726:X749" si="9">O726+T726</f>
        <v>852</v>
      </c>
      <c r="Y726" s="1386"/>
      <c r="Z726" s="1386"/>
      <c r="AA726" s="1386"/>
      <c r="AB726" s="1387"/>
      <c r="AC726" s="1548">
        <v>0.3</v>
      </c>
      <c r="AD726" s="1549"/>
      <c r="AE726" s="1549"/>
      <c r="AF726" s="1549"/>
      <c r="AG726" s="1550"/>
      <c r="AH726" s="1372">
        <f>IF($AC726&gt;0,($X726/$AZ726), "")</f>
        <v>0.3</v>
      </c>
      <c r="AI726" s="1373"/>
      <c r="AJ726" s="1374"/>
      <c r="AK726" s="1332" t="s">
        <v>944</v>
      </c>
      <c r="AL726" s="1333"/>
      <c r="AM726" s="1333"/>
      <c r="AN726" s="1333"/>
      <c r="AO726" s="1334"/>
      <c r="AP726" s="2"/>
      <c r="AQ726" s="2"/>
      <c r="AR726" s="2"/>
      <c r="AS726" s="2"/>
      <c r="AZ726" s="68">
        <f t="shared" ref="AZ726:AZ760" si="10">IF($G726=0,"N/A",VLOOKUP($T$189,TC_Rent,(MATCH($B726,bedrooms,FALSE)),FALSE))</f>
        <v>2840</v>
      </c>
      <c r="BA726" s="2"/>
      <c r="BB726" s="2"/>
      <c r="BC726" s="2"/>
      <c r="BD726" s="2"/>
      <c r="BE726" s="114"/>
      <c r="BF726" s="178">
        <f t="shared" ref="BF726:BF760" si="11">G726</f>
        <v>10</v>
      </c>
      <c r="BG726" s="182">
        <f t="shared" ref="BG726:BG760" si="12">IF($BF$761=0,0,BF726/$BF$761)</f>
        <v>6.6225165562913912E-2</v>
      </c>
      <c r="BH726" s="183">
        <f t="shared" ref="BH726:BH760" si="13">IF(BG726=0,"",BG726*AC726)</f>
        <v>1.9867549668874173E-2</v>
      </c>
      <c r="BI726" s="2"/>
      <c r="BJ726" s="2"/>
      <c r="BK726" s="2"/>
      <c r="BL726" s="2"/>
      <c r="BM726" s="2"/>
      <c r="BN726" s="2"/>
      <c r="BS726" s="178">
        <f t="shared" ref="BS726:BS760" si="14">G726</f>
        <v>10</v>
      </c>
      <c r="BT726" s="182">
        <f t="shared" ref="BT726:BT760" si="15">IF($BS$761=0,0,BS726/$BS$761)</f>
        <v>6.6225165562913912E-2</v>
      </c>
      <c r="BU726" s="183">
        <f t="shared" ref="BU726:BU760" si="16">IF(BT726=0,"",BT726*AH726)</f>
        <v>1.9867549668874173E-2</v>
      </c>
      <c r="CC726" s="2"/>
      <c r="CD726" s="2"/>
      <c r="CE726" s="2"/>
      <c r="CF726" s="2"/>
      <c r="CG726" s="1318">
        <f>IF(AND(AC726&lt;=0.5,AC726&gt;=0.36),1,0)</f>
        <v>0</v>
      </c>
      <c r="CH726" s="1320"/>
      <c r="CI726" s="1318">
        <f>IF(CG726=1,G726,0)</f>
        <v>0</v>
      </c>
      <c r="CJ726" s="1320"/>
      <c r="CK726" s="1318">
        <f t="shared" ref="CK726:CK760" si="17">IF(AND(AC726&lt;=0.35,AC726&gt;0),1,0)</f>
        <v>1</v>
      </c>
      <c r="CL726" s="1320"/>
      <c r="CM726" s="1318">
        <f t="shared" ref="CM726:CM760" si="18">IF(CK726=1,G726,0)</f>
        <v>10</v>
      </c>
      <c r="CN726" s="1320"/>
      <c r="CO726" s="2"/>
      <c r="CP726" s="1315">
        <f t="shared" ref="CP726:CP760" si="19">IF(B726="SRO/Studio",G726,0)</f>
        <v>0</v>
      </c>
      <c r="CQ726" s="1316"/>
      <c r="CR726" s="1316"/>
      <c r="CS726" s="1316"/>
      <c r="CT726" s="1317"/>
      <c r="CU726" s="1323">
        <f t="shared" ref="CU726:CU760" si="20">IF(B726="1 Bedroom",G726,0)</f>
        <v>10</v>
      </c>
      <c r="CV726" s="1323"/>
      <c r="CW726" s="1323"/>
      <c r="CX726" s="1323"/>
      <c r="CY726" s="1323"/>
      <c r="CZ726" s="1323">
        <f t="shared" ref="CZ726:CZ760" si="21">IF(B726="2 Bedrooms",G726,0)</f>
        <v>0</v>
      </c>
      <c r="DA726" s="1323"/>
      <c r="DB726" s="1323"/>
      <c r="DC726" s="1323"/>
      <c r="DD726" s="1323"/>
      <c r="DE726" s="1323">
        <f t="shared" ref="DE726:DE760" si="22">IF(B726="3 Bedrooms",G726,0)</f>
        <v>0</v>
      </c>
      <c r="DF726" s="1323"/>
      <c r="DG726" s="1323"/>
      <c r="DH726" s="1323"/>
      <c r="DI726" s="1323"/>
      <c r="DJ726" s="1323">
        <f t="shared" ref="DJ726:DJ760" si="23">IF(B726="4 Bedrooms",G726,0)</f>
        <v>0</v>
      </c>
      <c r="DK726" s="1323"/>
      <c r="DL726" s="1323"/>
      <c r="DM726" s="1323"/>
      <c r="DN726" s="1323"/>
      <c r="DO726" s="1323">
        <f t="shared" ref="DO726:DO760" si="24">IF(B726="5 Bedrooms",G726,0)</f>
        <v>0</v>
      </c>
      <c r="DP726" s="1323"/>
      <c r="DQ726" s="1323"/>
      <c r="DR726" s="1323"/>
      <c r="DS726" s="1323"/>
      <c r="DT726" s="1110"/>
      <c r="DU726" s="1335">
        <f t="shared" ref="DU726:DU760" si="25">IF(AND(B726="SRO/Studio",AC726&lt;=0.3),G726,0)</f>
        <v>0</v>
      </c>
      <c r="DV726" s="1335"/>
      <c r="DW726" s="1335"/>
      <c r="DX726" s="1335"/>
      <c r="DY726" s="1335"/>
      <c r="DZ726" s="1335">
        <f t="shared" ref="DZ726:DZ760" si="26">IF(AND(B726="1 Bedroom",AC726&lt;=0.3),G726,0)</f>
        <v>10</v>
      </c>
      <c r="EA726" s="1335"/>
      <c r="EB726" s="1335"/>
      <c r="EC726" s="1335"/>
      <c r="ED726" s="1335"/>
      <c r="EE726" s="1335">
        <f t="shared" ref="EE726:EE760" si="27">IF(AND(B726="2 Bedrooms",AC726&lt;=0.3),G726,0)</f>
        <v>0</v>
      </c>
      <c r="EF726" s="1335"/>
      <c r="EG726" s="1335"/>
      <c r="EH726" s="1335"/>
      <c r="EI726" s="1335"/>
      <c r="EJ726" s="1335">
        <f t="shared" ref="EJ726:EJ760" si="28">IF(AND(B726="3 Bedrooms",AC726&lt;=0.3),G726,0)</f>
        <v>0</v>
      </c>
      <c r="EK726" s="1335"/>
      <c r="EL726" s="1335"/>
      <c r="EM726" s="1335"/>
      <c r="EN726" s="1335"/>
      <c r="EO726" s="1335">
        <f t="shared" ref="EO726:EO760" si="29">IF(AND(B726="4 Bedrooms",AC726&lt;=0.3),G726,0)</f>
        <v>0</v>
      </c>
      <c r="EP726" s="1335"/>
      <c r="EQ726" s="1335"/>
      <c r="ER726" s="1335"/>
      <c r="ES726" s="1335"/>
      <c r="ET726" s="1335">
        <f t="shared" ref="ET726:ET760" si="30">IF(AND(B726="5 Bedrooms",AC726&lt;=0.3),G726,0)</f>
        <v>0</v>
      </c>
      <c r="EU726" s="1335"/>
      <c r="EV726" s="1335"/>
      <c r="EW726" s="1335"/>
      <c r="EX726" s="1335"/>
      <c r="EY726" s="2"/>
      <c r="EZ726" s="1318" t="str">
        <f t="shared" ref="EZ726:EZ760" si="31">IF(CP726&gt;0,O726,"")</f>
        <v/>
      </c>
      <c r="FA726" s="1319"/>
      <c r="FB726" s="1319"/>
      <c r="FC726" s="1319"/>
      <c r="FD726" s="1320"/>
      <c r="FE726" s="1318">
        <f t="shared" ref="FE726:FE760" si="32">IF(CU726&gt;0,O726,"")</f>
        <v>743</v>
      </c>
      <c r="FF726" s="1319"/>
      <c r="FG726" s="1319"/>
      <c r="FH726" s="1319"/>
      <c r="FI726" s="1320"/>
      <c r="FJ726" s="1318" t="str">
        <f t="shared" ref="FJ726:FJ760" si="33">IF(CZ726&gt;0,O726,"")</f>
        <v/>
      </c>
      <c r="FK726" s="1319"/>
      <c r="FL726" s="1319"/>
      <c r="FM726" s="1319"/>
      <c r="FN726" s="1320"/>
      <c r="FO726" s="1318" t="str">
        <f t="shared" ref="FO726:FO760" si="34">IF(DE726&gt;0,O726,"")</f>
        <v/>
      </c>
      <c r="FP726" s="1319"/>
      <c r="FQ726" s="1319"/>
      <c r="FR726" s="1319"/>
      <c r="FS726" s="1320"/>
      <c r="FT726" s="1318" t="str">
        <f t="shared" ref="FT726:FT760" si="35">IF(DJ726&gt;0,O726,"")</f>
        <v/>
      </c>
      <c r="FU726" s="1319"/>
      <c r="FV726" s="1319"/>
      <c r="FW726" s="1319"/>
      <c r="FX726" s="1320"/>
      <c r="FY726" s="1318" t="str">
        <f t="shared" ref="FY726:FY760" si="36">IF(DO726&gt;0,O726,"")</f>
        <v/>
      </c>
      <c r="FZ726" s="1319"/>
      <c r="GA726" s="1319"/>
      <c r="GB726" s="1319"/>
      <c r="GC726" s="1320"/>
    </row>
    <row r="727" spans="1:185" ht="13.15" customHeight="1">
      <c r="A727" s="2"/>
      <c r="B727" s="1332" t="s">
        <v>834</v>
      </c>
      <c r="C727" s="1333"/>
      <c r="D727" s="1333"/>
      <c r="E727" s="1333"/>
      <c r="F727" s="1334"/>
      <c r="G727" s="1538">
        <v>20</v>
      </c>
      <c r="H727" s="1539"/>
      <c r="I727" s="1539"/>
      <c r="J727" s="1540"/>
      <c r="K727" s="1545">
        <v>579</v>
      </c>
      <c r="L727" s="1546"/>
      <c r="M727" s="1546"/>
      <c r="N727" s="1547"/>
      <c r="O727" s="1541">
        <f>852-109</f>
        <v>743</v>
      </c>
      <c r="P727" s="1542"/>
      <c r="Q727" s="1542"/>
      <c r="R727" s="1542"/>
      <c r="S727" s="1543"/>
      <c r="T727" s="1541">
        <v>109</v>
      </c>
      <c r="U727" s="1542"/>
      <c r="V727" s="1542"/>
      <c r="W727" s="1543"/>
      <c r="X727" s="1385">
        <f t="shared" si="9"/>
        <v>852</v>
      </c>
      <c r="Y727" s="1386"/>
      <c r="Z727" s="1386"/>
      <c r="AA727" s="1386"/>
      <c r="AB727" s="1387"/>
      <c r="AC727" s="1548">
        <v>0.3</v>
      </c>
      <c r="AD727" s="1549"/>
      <c r="AE727" s="1549"/>
      <c r="AF727" s="1549"/>
      <c r="AG727" s="1550"/>
      <c r="AH727" s="1372">
        <f t="shared" ref="AH727:AH760" si="37">IF($AC727&gt;0,($X727/$AZ727), "")</f>
        <v>0.3</v>
      </c>
      <c r="AI727" s="1373"/>
      <c r="AJ727" s="1374"/>
      <c r="AK727" s="1332" t="s">
        <v>816</v>
      </c>
      <c r="AL727" s="1333"/>
      <c r="AM727" s="1333"/>
      <c r="AN727" s="1333"/>
      <c r="AO727" s="1334"/>
      <c r="AP727" s="2"/>
      <c r="AQ727" s="2"/>
      <c r="AR727" s="2"/>
      <c r="AS727" s="2"/>
      <c r="AZ727" s="68">
        <f t="shared" si="10"/>
        <v>2840</v>
      </c>
      <c r="BA727" s="2"/>
      <c r="BB727" s="2"/>
      <c r="BC727" s="2"/>
      <c r="BD727" s="2"/>
      <c r="BE727" s="114"/>
      <c r="BF727" s="179">
        <f t="shared" si="11"/>
        <v>20</v>
      </c>
      <c r="BG727" s="182">
        <f t="shared" si="12"/>
        <v>0.13245033112582782</v>
      </c>
      <c r="BH727" s="183">
        <f t="shared" si="13"/>
        <v>3.9735099337748346E-2</v>
      </c>
      <c r="BI727" s="2"/>
      <c r="BJ727" s="2"/>
      <c r="BK727" s="2"/>
      <c r="BL727" s="2"/>
      <c r="BM727" s="2"/>
      <c r="BN727" s="2"/>
      <c r="BS727" s="179">
        <f t="shared" si="14"/>
        <v>20</v>
      </c>
      <c r="BT727" s="182">
        <f t="shared" si="15"/>
        <v>0.13245033112582782</v>
      </c>
      <c r="BU727" s="183">
        <f t="shared" si="16"/>
        <v>3.9735099337748346E-2</v>
      </c>
      <c r="CC727" s="2"/>
      <c r="CD727" s="2"/>
      <c r="CE727" s="2"/>
      <c r="CF727" s="2"/>
      <c r="CG727" s="1318">
        <f t="shared" ref="CG727:CG760" si="38">IF(AND(AC727&lt;=0.5,AC727&gt;=0.36),1,0)</f>
        <v>0</v>
      </c>
      <c r="CH727" s="1320"/>
      <c r="CI727" s="1318">
        <f t="shared" ref="CI727:CI760" si="39">IF(CG727=1,G727,0)</f>
        <v>0</v>
      </c>
      <c r="CJ727" s="1320"/>
      <c r="CK727" s="1318">
        <f t="shared" si="17"/>
        <v>1</v>
      </c>
      <c r="CL727" s="1320"/>
      <c r="CM727" s="1318">
        <f t="shared" si="18"/>
        <v>20</v>
      </c>
      <c r="CN727" s="1320"/>
      <c r="CO727" s="2"/>
      <c r="CP727" s="1315">
        <f t="shared" si="19"/>
        <v>0</v>
      </c>
      <c r="CQ727" s="1316"/>
      <c r="CR727" s="1316"/>
      <c r="CS727" s="1316"/>
      <c r="CT727" s="1317"/>
      <c r="CU727" s="1323">
        <f t="shared" si="20"/>
        <v>20</v>
      </c>
      <c r="CV727" s="1323"/>
      <c r="CW727" s="1323"/>
      <c r="CX727" s="1323"/>
      <c r="CY727" s="1323"/>
      <c r="CZ727" s="1323">
        <f t="shared" si="21"/>
        <v>0</v>
      </c>
      <c r="DA727" s="1323"/>
      <c r="DB727" s="1323"/>
      <c r="DC727" s="1323"/>
      <c r="DD727" s="1323"/>
      <c r="DE727" s="1323">
        <f t="shared" si="22"/>
        <v>0</v>
      </c>
      <c r="DF727" s="1323"/>
      <c r="DG727" s="1323"/>
      <c r="DH727" s="1323"/>
      <c r="DI727" s="1323"/>
      <c r="DJ727" s="1323">
        <f t="shared" si="23"/>
        <v>0</v>
      </c>
      <c r="DK727" s="1323"/>
      <c r="DL727" s="1323"/>
      <c r="DM727" s="1323"/>
      <c r="DN727" s="1323"/>
      <c r="DO727" s="1323">
        <f t="shared" si="24"/>
        <v>0</v>
      </c>
      <c r="DP727" s="1323"/>
      <c r="DQ727" s="1323"/>
      <c r="DR727" s="1323"/>
      <c r="DS727" s="1323"/>
      <c r="DT727" s="1110"/>
      <c r="DU727" s="1335">
        <f t="shared" si="25"/>
        <v>0</v>
      </c>
      <c r="DV727" s="1335"/>
      <c r="DW727" s="1335"/>
      <c r="DX727" s="1335"/>
      <c r="DY727" s="1335"/>
      <c r="DZ727" s="1335">
        <f t="shared" si="26"/>
        <v>20</v>
      </c>
      <c r="EA727" s="1335"/>
      <c r="EB727" s="1335"/>
      <c r="EC727" s="1335"/>
      <c r="ED727" s="1335"/>
      <c r="EE727" s="1335">
        <f t="shared" si="27"/>
        <v>0</v>
      </c>
      <c r="EF727" s="1335"/>
      <c r="EG727" s="1335"/>
      <c r="EH727" s="1335"/>
      <c r="EI727" s="1335"/>
      <c r="EJ727" s="1335">
        <f t="shared" si="28"/>
        <v>0</v>
      </c>
      <c r="EK727" s="1335"/>
      <c r="EL727" s="1335"/>
      <c r="EM727" s="1335"/>
      <c r="EN727" s="1335"/>
      <c r="EO727" s="1335">
        <f t="shared" si="29"/>
        <v>0</v>
      </c>
      <c r="EP727" s="1335"/>
      <c r="EQ727" s="1335"/>
      <c r="ER727" s="1335"/>
      <c r="ES727" s="1335"/>
      <c r="ET727" s="1335">
        <f t="shared" si="30"/>
        <v>0</v>
      </c>
      <c r="EU727" s="1335"/>
      <c r="EV727" s="1335"/>
      <c r="EW727" s="1335"/>
      <c r="EX727" s="1335"/>
      <c r="EY727" s="2"/>
      <c r="EZ727" s="1318" t="str">
        <f t="shared" si="31"/>
        <v/>
      </c>
      <c r="FA727" s="1319"/>
      <c r="FB727" s="1319"/>
      <c r="FC727" s="1319"/>
      <c r="FD727" s="1320"/>
      <c r="FE727" s="1318">
        <f t="shared" si="32"/>
        <v>743</v>
      </c>
      <c r="FF727" s="1319"/>
      <c r="FG727" s="1319"/>
      <c r="FH727" s="1319"/>
      <c r="FI727" s="1320"/>
      <c r="FJ727" s="1318" t="str">
        <f t="shared" si="33"/>
        <v/>
      </c>
      <c r="FK727" s="1319"/>
      <c r="FL727" s="1319"/>
      <c r="FM727" s="1319"/>
      <c r="FN727" s="1320"/>
      <c r="FO727" s="1318" t="str">
        <f t="shared" si="34"/>
        <v/>
      </c>
      <c r="FP727" s="1319"/>
      <c r="FQ727" s="1319"/>
      <c r="FR727" s="1319"/>
      <c r="FS727" s="1320"/>
      <c r="FT727" s="1318" t="str">
        <f t="shared" si="35"/>
        <v/>
      </c>
      <c r="FU727" s="1319"/>
      <c r="FV727" s="1319"/>
      <c r="FW727" s="1319"/>
      <c r="FX727" s="1320"/>
      <c r="FY727" s="1318" t="str">
        <f t="shared" si="36"/>
        <v/>
      </c>
      <c r="FZ727" s="1319"/>
      <c r="GA727" s="1319"/>
      <c r="GB727" s="1319"/>
      <c r="GC727" s="1320"/>
    </row>
    <row r="728" spans="1:185" ht="13.15" customHeight="1">
      <c r="A728" s="2"/>
      <c r="B728" s="1332" t="s">
        <v>834</v>
      </c>
      <c r="C728" s="1333"/>
      <c r="D728" s="1333"/>
      <c r="E728" s="1333"/>
      <c r="F728" s="1334"/>
      <c r="G728" s="1538">
        <v>20</v>
      </c>
      <c r="H728" s="1539"/>
      <c r="I728" s="1539"/>
      <c r="J728" s="1540"/>
      <c r="K728" s="1545">
        <v>579</v>
      </c>
      <c r="L728" s="1546"/>
      <c r="M728" s="1546"/>
      <c r="N728" s="1547"/>
      <c r="O728" s="1541">
        <v>1311</v>
      </c>
      <c r="P728" s="1542"/>
      <c r="Q728" s="1542"/>
      <c r="R728" s="1542"/>
      <c r="S728" s="1543"/>
      <c r="T728" s="1541">
        <v>109</v>
      </c>
      <c r="U728" s="1542"/>
      <c r="V728" s="1542"/>
      <c r="W728" s="1543"/>
      <c r="X728" s="1385">
        <f t="shared" si="9"/>
        <v>1420</v>
      </c>
      <c r="Y728" s="1386"/>
      <c r="Z728" s="1386"/>
      <c r="AA728" s="1386"/>
      <c r="AB728" s="1387"/>
      <c r="AC728" s="1548">
        <v>0.5</v>
      </c>
      <c r="AD728" s="1549"/>
      <c r="AE728" s="1549"/>
      <c r="AF728" s="1549"/>
      <c r="AG728" s="1550"/>
      <c r="AH728" s="1372">
        <f t="shared" si="37"/>
        <v>0.5</v>
      </c>
      <c r="AI728" s="1373"/>
      <c r="AJ728" s="1374"/>
      <c r="AK728" s="1332" t="s">
        <v>816</v>
      </c>
      <c r="AL728" s="1333"/>
      <c r="AM728" s="1333"/>
      <c r="AN728" s="1333"/>
      <c r="AO728" s="1334"/>
      <c r="AP728" s="2"/>
      <c r="AQ728" s="2"/>
      <c r="AR728" s="2"/>
      <c r="AS728" s="2"/>
      <c r="AZ728" s="68">
        <f t="shared" si="10"/>
        <v>2840</v>
      </c>
      <c r="BA728" s="2"/>
      <c r="BB728" s="2"/>
      <c r="BC728" s="2"/>
      <c r="BD728" s="2"/>
      <c r="BE728" s="114"/>
      <c r="BF728" s="179">
        <f t="shared" si="11"/>
        <v>20</v>
      </c>
      <c r="BG728" s="182">
        <f t="shared" si="12"/>
        <v>0.13245033112582782</v>
      </c>
      <c r="BH728" s="183">
        <f t="shared" si="13"/>
        <v>6.6225165562913912E-2</v>
      </c>
      <c r="BI728" s="2"/>
      <c r="BJ728" s="2"/>
      <c r="BK728" s="2"/>
      <c r="BL728" s="2"/>
      <c r="BM728" s="2"/>
      <c r="BN728" s="2"/>
      <c r="BS728" s="179">
        <f t="shared" si="14"/>
        <v>20</v>
      </c>
      <c r="BT728" s="182">
        <f t="shared" si="15"/>
        <v>0.13245033112582782</v>
      </c>
      <c r="BU728" s="183">
        <f t="shared" si="16"/>
        <v>6.6225165562913912E-2</v>
      </c>
      <c r="CC728" s="2"/>
      <c r="CD728" s="2"/>
      <c r="CE728" s="2"/>
      <c r="CF728" s="2"/>
      <c r="CG728" s="1318">
        <f t="shared" si="38"/>
        <v>1</v>
      </c>
      <c r="CH728" s="1320"/>
      <c r="CI728" s="1318">
        <f t="shared" si="39"/>
        <v>20</v>
      </c>
      <c r="CJ728" s="1320"/>
      <c r="CK728" s="1318">
        <f t="shared" si="17"/>
        <v>0</v>
      </c>
      <c r="CL728" s="1320"/>
      <c r="CM728" s="1318">
        <f t="shared" si="18"/>
        <v>0</v>
      </c>
      <c r="CN728" s="1320"/>
      <c r="CO728" s="2"/>
      <c r="CP728" s="1315">
        <f t="shared" si="19"/>
        <v>0</v>
      </c>
      <c r="CQ728" s="1316"/>
      <c r="CR728" s="1316"/>
      <c r="CS728" s="1316"/>
      <c r="CT728" s="1317"/>
      <c r="CU728" s="1323">
        <f t="shared" si="20"/>
        <v>20</v>
      </c>
      <c r="CV728" s="1323"/>
      <c r="CW728" s="1323"/>
      <c r="CX728" s="1323"/>
      <c r="CY728" s="1323"/>
      <c r="CZ728" s="1323">
        <f t="shared" si="21"/>
        <v>0</v>
      </c>
      <c r="DA728" s="1323"/>
      <c r="DB728" s="1323"/>
      <c r="DC728" s="1323"/>
      <c r="DD728" s="1323"/>
      <c r="DE728" s="1323">
        <f t="shared" si="22"/>
        <v>0</v>
      </c>
      <c r="DF728" s="1323"/>
      <c r="DG728" s="1323"/>
      <c r="DH728" s="1323"/>
      <c r="DI728" s="1323"/>
      <c r="DJ728" s="1323">
        <f t="shared" si="23"/>
        <v>0</v>
      </c>
      <c r="DK728" s="1323"/>
      <c r="DL728" s="1323"/>
      <c r="DM728" s="1323"/>
      <c r="DN728" s="1323"/>
      <c r="DO728" s="1323">
        <f t="shared" si="24"/>
        <v>0</v>
      </c>
      <c r="DP728" s="1323"/>
      <c r="DQ728" s="1323"/>
      <c r="DR728" s="1323"/>
      <c r="DS728" s="1323"/>
      <c r="DT728" s="1110"/>
      <c r="DU728" s="1335">
        <f t="shared" si="25"/>
        <v>0</v>
      </c>
      <c r="DV728" s="1335"/>
      <c r="DW728" s="1335"/>
      <c r="DX728" s="1335"/>
      <c r="DY728" s="1335"/>
      <c r="DZ728" s="1335">
        <f t="shared" si="26"/>
        <v>0</v>
      </c>
      <c r="EA728" s="1335"/>
      <c r="EB728" s="1335"/>
      <c r="EC728" s="1335"/>
      <c r="ED728" s="1335"/>
      <c r="EE728" s="1335">
        <f t="shared" si="27"/>
        <v>0</v>
      </c>
      <c r="EF728" s="1335"/>
      <c r="EG728" s="1335"/>
      <c r="EH728" s="1335"/>
      <c r="EI728" s="1335"/>
      <c r="EJ728" s="1335">
        <f t="shared" si="28"/>
        <v>0</v>
      </c>
      <c r="EK728" s="1335"/>
      <c r="EL728" s="1335"/>
      <c r="EM728" s="1335"/>
      <c r="EN728" s="1335"/>
      <c r="EO728" s="1335">
        <f t="shared" si="29"/>
        <v>0</v>
      </c>
      <c r="EP728" s="1335"/>
      <c r="EQ728" s="1335"/>
      <c r="ER728" s="1335"/>
      <c r="ES728" s="1335"/>
      <c r="ET728" s="1335">
        <f t="shared" si="30"/>
        <v>0</v>
      </c>
      <c r="EU728" s="1335"/>
      <c r="EV728" s="1335"/>
      <c r="EW728" s="1335"/>
      <c r="EX728" s="1335"/>
      <c r="EZ728" s="1318" t="str">
        <f t="shared" si="31"/>
        <v/>
      </c>
      <c r="FA728" s="1319"/>
      <c r="FB728" s="1319"/>
      <c r="FC728" s="1319"/>
      <c r="FD728" s="1320"/>
      <c r="FE728" s="1318">
        <f t="shared" si="32"/>
        <v>1311</v>
      </c>
      <c r="FF728" s="1319"/>
      <c r="FG728" s="1319"/>
      <c r="FH728" s="1319"/>
      <c r="FI728" s="1320"/>
      <c r="FJ728" s="1318" t="str">
        <f t="shared" si="33"/>
        <v/>
      </c>
      <c r="FK728" s="1319"/>
      <c r="FL728" s="1319"/>
      <c r="FM728" s="1319"/>
      <c r="FN728" s="1320"/>
      <c r="FO728" s="1318" t="str">
        <f t="shared" si="34"/>
        <v/>
      </c>
      <c r="FP728" s="1319"/>
      <c r="FQ728" s="1319"/>
      <c r="FR728" s="1319"/>
      <c r="FS728" s="1320"/>
      <c r="FT728" s="1318" t="str">
        <f t="shared" si="35"/>
        <v/>
      </c>
      <c r="FU728" s="1319"/>
      <c r="FV728" s="1319"/>
      <c r="FW728" s="1319"/>
      <c r="FX728" s="1320"/>
      <c r="FY728" s="1318" t="str">
        <f t="shared" si="36"/>
        <v/>
      </c>
      <c r="FZ728" s="1319"/>
      <c r="GA728" s="1319"/>
      <c r="GB728" s="1319"/>
      <c r="GC728" s="1320"/>
    </row>
    <row r="729" spans="1:185" ht="13.15" customHeight="1">
      <c r="B729" s="1332" t="s">
        <v>834</v>
      </c>
      <c r="C729" s="1333"/>
      <c r="D729" s="1333"/>
      <c r="E729" s="1333"/>
      <c r="F729" s="1334"/>
      <c r="G729" s="1538">
        <v>12</v>
      </c>
      <c r="H729" s="1539"/>
      <c r="I729" s="1539"/>
      <c r="J729" s="1540"/>
      <c r="K729" s="1545">
        <v>579</v>
      </c>
      <c r="L729" s="1546"/>
      <c r="M729" s="1546"/>
      <c r="N729" s="1547"/>
      <c r="O729" s="1541">
        <v>1595</v>
      </c>
      <c r="P729" s="1542"/>
      <c r="Q729" s="1542"/>
      <c r="R729" s="1542"/>
      <c r="S729" s="1543"/>
      <c r="T729" s="1541">
        <v>109</v>
      </c>
      <c r="U729" s="1542"/>
      <c r="V729" s="1542"/>
      <c r="W729" s="1543"/>
      <c r="X729" s="1385">
        <f t="shared" si="9"/>
        <v>1704</v>
      </c>
      <c r="Y729" s="1386"/>
      <c r="Z729" s="1386"/>
      <c r="AA729" s="1386"/>
      <c r="AB729" s="1387"/>
      <c r="AC729" s="1548">
        <v>0.6</v>
      </c>
      <c r="AD729" s="1549"/>
      <c r="AE729" s="1549"/>
      <c r="AF729" s="1549"/>
      <c r="AG729" s="1550"/>
      <c r="AH729" s="1372">
        <f t="shared" si="37"/>
        <v>0.6</v>
      </c>
      <c r="AI729" s="1373"/>
      <c r="AJ729" s="1374"/>
      <c r="AK729" s="1332" t="s">
        <v>816</v>
      </c>
      <c r="AL729" s="1333"/>
      <c r="AM729" s="1333"/>
      <c r="AN729" s="1333"/>
      <c r="AO729" s="1334"/>
      <c r="AP729" s="2"/>
      <c r="AQ729" s="2"/>
      <c r="AR729" s="2"/>
      <c r="AS729" s="2"/>
      <c r="AY729" s="69"/>
      <c r="AZ729" s="68">
        <f t="shared" si="10"/>
        <v>2840</v>
      </c>
      <c r="BA729" s="2"/>
      <c r="BB729" s="2"/>
      <c r="BC729" s="2"/>
      <c r="BD729" s="2"/>
      <c r="BE729" s="114"/>
      <c r="BF729" s="179">
        <f t="shared" si="11"/>
        <v>12</v>
      </c>
      <c r="BG729" s="182">
        <f t="shared" si="12"/>
        <v>7.9470198675496692E-2</v>
      </c>
      <c r="BH729" s="183">
        <f t="shared" si="13"/>
        <v>4.7682119205298017E-2</v>
      </c>
      <c r="BI729" s="2"/>
      <c r="BJ729" s="2"/>
      <c r="BK729" s="2"/>
      <c r="BL729" s="2"/>
      <c r="BM729" s="2"/>
      <c r="BN729" s="2"/>
      <c r="BS729" s="179">
        <f t="shared" si="14"/>
        <v>12</v>
      </c>
      <c r="BT729" s="182">
        <f t="shared" si="15"/>
        <v>7.9470198675496692E-2</v>
      </c>
      <c r="BU729" s="183">
        <f t="shared" si="16"/>
        <v>4.7682119205298017E-2</v>
      </c>
      <c r="CC729" s="2"/>
      <c r="CD729" s="2"/>
      <c r="CE729" s="2"/>
      <c r="CF729" s="2"/>
      <c r="CG729" s="1318">
        <f t="shared" si="38"/>
        <v>0</v>
      </c>
      <c r="CH729" s="1320"/>
      <c r="CI729" s="1318">
        <f t="shared" si="39"/>
        <v>0</v>
      </c>
      <c r="CJ729" s="1320"/>
      <c r="CK729" s="1318">
        <f t="shared" si="17"/>
        <v>0</v>
      </c>
      <c r="CL729" s="1320"/>
      <c r="CM729" s="1318">
        <f t="shared" si="18"/>
        <v>0</v>
      </c>
      <c r="CN729" s="1320"/>
      <c r="CO729" s="2"/>
      <c r="CP729" s="1315">
        <f t="shared" si="19"/>
        <v>0</v>
      </c>
      <c r="CQ729" s="1316"/>
      <c r="CR729" s="1316"/>
      <c r="CS729" s="1316"/>
      <c r="CT729" s="1317"/>
      <c r="CU729" s="1323">
        <f t="shared" si="20"/>
        <v>12</v>
      </c>
      <c r="CV729" s="1323"/>
      <c r="CW729" s="1323"/>
      <c r="CX729" s="1323"/>
      <c r="CY729" s="1323"/>
      <c r="CZ729" s="1323">
        <f t="shared" si="21"/>
        <v>0</v>
      </c>
      <c r="DA729" s="1323"/>
      <c r="DB729" s="1323"/>
      <c r="DC729" s="1323"/>
      <c r="DD729" s="1323"/>
      <c r="DE729" s="1323">
        <f t="shared" si="22"/>
        <v>0</v>
      </c>
      <c r="DF729" s="1323"/>
      <c r="DG729" s="1323"/>
      <c r="DH729" s="1323"/>
      <c r="DI729" s="1323"/>
      <c r="DJ729" s="1323">
        <f t="shared" si="23"/>
        <v>0</v>
      </c>
      <c r="DK729" s="1323"/>
      <c r="DL729" s="1323"/>
      <c r="DM729" s="1323"/>
      <c r="DN729" s="1323"/>
      <c r="DO729" s="1323">
        <f t="shared" si="24"/>
        <v>0</v>
      </c>
      <c r="DP729" s="1323"/>
      <c r="DQ729" s="1323"/>
      <c r="DR729" s="1323"/>
      <c r="DS729" s="1323"/>
      <c r="DT729" s="1110"/>
      <c r="DU729" s="1335">
        <f t="shared" si="25"/>
        <v>0</v>
      </c>
      <c r="DV729" s="1335"/>
      <c r="DW729" s="1335"/>
      <c r="DX729" s="1335"/>
      <c r="DY729" s="1335"/>
      <c r="DZ729" s="1335">
        <f t="shared" si="26"/>
        <v>0</v>
      </c>
      <c r="EA729" s="1335"/>
      <c r="EB729" s="1335"/>
      <c r="EC729" s="1335"/>
      <c r="ED729" s="1335"/>
      <c r="EE729" s="1335">
        <f t="shared" si="27"/>
        <v>0</v>
      </c>
      <c r="EF729" s="1335"/>
      <c r="EG729" s="1335"/>
      <c r="EH729" s="1335"/>
      <c r="EI729" s="1335"/>
      <c r="EJ729" s="1335">
        <f t="shared" si="28"/>
        <v>0</v>
      </c>
      <c r="EK729" s="1335"/>
      <c r="EL729" s="1335"/>
      <c r="EM729" s="1335"/>
      <c r="EN729" s="1335"/>
      <c r="EO729" s="1335">
        <f t="shared" si="29"/>
        <v>0</v>
      </c>
      <c r="EP729" s="1335"/>
      <c r="EQ729" s="1335"/>
      <c r="ER729" s="1335"/>
      <c r="ES729" s="1335"/>
      <c r="ET729" s="1335">
        <f t="shared" si="30"/>
        <v>0</v>
      </c>
      <c r="EU729" s="1335"/>
      <c r="EV729" s="1335"/>
      <c r="EW729" s="1335"/>
      <c r="EX729" s="1335"/>
      <c r="EZ729" s="1318" t="str">
        <f t="shared" si="31"/>
        <v/>
      </c>
      <c r="FA729" s="1319"/>
      <c r="FB729" s="1319"/>
      <c r="FC729" s="1319"/>
      <c r="FD729" s="1320"/>
      <c r="FE729" s="1318">
        <f t="shared" si="32"/>
        <v>1595</v>
      </c>
      <c r="FF729" s="1319"/>
      <c r="FG729" s="1319"/>
      <c r="FH729" s="1319"/>
      <c r="FI729" s="1320"/>
      <c r="FJ729" s="1318" t="str">
        <f t="shared" si="33"/>
        <v/>
      </c>
      <c r="FK729" s="1319"/>
      <c r="FL729" s="1319"/>
      <c r="FM729" s="1319"/>
      <c r="FN729" s="1320"/>
      <c r="FO729" s="1318" t="str">
        <f t="shared" si="34"/>
        <v/>
      </c>
      <c r="FP729" s="1319"/>
      <c r="FQ729" s="1319"/>
      <c r="FR729" s="1319"/>
      <c r="FS729" s="1320"/>
      <c r="FT729" s="1318" t="str">
        <f t="shared" si="35"/>
        <v/>
      </c>
      <c r="FU729" s="1319"/>
      <c r="FV729" s="1319"/>
      <c r="FW729" s="1319"/>
      <c r="FX729" s="1320"/>
      <c r="FY729" s="1318" t="str">
        <f t="shared" si="36"/>
        <v/>
      </c>
      <c r="FZ729" s="1319"/>
      <c r="GA729" s="1319"/>
      <c r="GB729" s="1319"/>
      <c r="GC729" s="1320"/>
    </row>
    <row r="730" spans="1:185" ht="13.15" customHeight="1">
      <c r="B730" s="1332" t="s">
        <v>834</v>
      </c>
      <c r="C730" s="1333"/>
      <c r="D730" s="1333"/>
      <c r="E730" s="1333"/>
      <c r="F730" s="1334"/>
      <c r="G730" s="1538">
        <v>12</v>
      </c>
      <c r="H730" s="1539"/>
      <c r="I730" s="1539"/>
      <c r="J730" s="1540"/>
      <c r="K730" s="1545">
        <v>579</v>
      </c>
      <c r="L730" s="1546"/>
      <c r="M730" s="1546"/>
      <c r="N730" s="1547"/>
      <c r="O730" s="1541">
        <v>1879</v>
      </c>
      <c r="P730" s="1542"/>
      <c r="Q730" s="1542"/>
      <c r="R730" s="1542"/>
      <c r="S730" s="1543"/>
      <c r="T730" s="1541">
        <v>109</v>
      </c>
      <c r="U730" s="1542"/>
      <c r="V730" s="1542"/>
      <c r="W730" s="1543"/>
      <c r="X730" s="1385">
        <f t="shared" si="9"/>
        <v>1988</v>
      </c>
      <c r="Y730" s="1386"/>
      <c r="Z730" s="1386"/>
      <c r="AA730" s="1386"/>
      <c r="AB730" s="1387"/>
      <c r="AC730" s="1548">
        <v>0.7</v>
      </c>
      <c r="AD730" s="1549"/>
      <c r="AE730" s="1549"/>
      <c r="AF730" s="1549"/>
      <c r="AG730" s="1550"/>
      <c r="AH730" s="1372">
        <f t="shared" si="37"/>
        <v>0.7</v>
      </c>
      <c r="AI730" s="1373"/>
      <c r="AJ730" s="1374"/>
      <c r="AK730" s="1332" t="s">
        <v>816</v>
      </c>
      <c r="AL730" s="1333"/>
      <c r="AM730" s="1333"/>
      <c r="AN730" s="1333"/>
      <c r="AO730" s="1334"/>
      <c r="AP730" s="2"/>
      <c r="AQ730" s="2"/>
      <c r="AR730" s="2"/>
      <c r="AS730" s="2"/>
      <c r="AY730" s="69"/>
      <c r="AZ730" s="68">
        <f t="shared" si="10"/>
        <v>2840</v>
      </c>
      <c r="BA730" s="2"/>
      <c r="BB730" s="2"/>
      <c r="BC730" s="2"/>
      <c r="BD730" s="2"/>
      <c r="BE730" s="114"/>
      <c r="BF730" s="179">
        <f t="shared" si="11"/>
        <v>12</v>
      </c>
      <c r="BG730" s="182">
        <f t="shared" si="12"/>
        <v>7.9470198675496692E-2</v>
      </c>
      <c r="BH730" s="183">
        <f t="shared" si="13"/>
        <v>5.562913907284768E-2</v>
      </c>
      <c r="BI730" s="2"/>
      <c r="BJ730" s="2"/>
      <c r="BK730" s="2"/>
      <c r="BL730" s="2"/>
      <c r="BM730" s="2"/>
      <c r="BN730" s="2"/>
      <c r="BS730" s="179">
        <f t="shared" si="14"/>
        <v>12</v>
      </c>
      <c r="BT730" s="182">
        <f t="shared" si="15"/>
        <v>7.9470198675496692E-2</v>
      </c>
      <c r="BU730" s="183">
        <f t="shared" si="16"/>
        <v>5.562913907284768E-2</v>
      </c>
      <c r="CC730" s="2"/>
      <c r="CD730" s="2"/>
      <c r="CE730" s="2"/>
      <c r="CF730" s="2"/>
      <c r="CG730" s="1318">
        <f t="shared" si="38"/>
        <v>0</v>
      </c>
      <c r="CH730" s="1320"/>
      <c r="CI730" s="1318">
        <f t="shared" si="39"/>
        <v>0</v>
      </c>
      <c r="CJ730" s="1320"/>
      <c r="CK730" s="1318">
        <f t="shared" si="17"/>
        <v>0</v>
      </c>
      <c r="CL730" s="1320"/>
      <c r="CM730" s="1318">
        <f t="shared" si="18"/>
        <v>0</v>
      </c>
      <c r="CN730" s="1320"/>
      <c r="CO730" s="2"/>
      <c r="CP730" s="1315">
        <f t="shared" si="19"/>
        <v>0</v>
      </c>
      <c r="CQ730" s="1316"/>
      <c r="CR730" s="1316"/>
      <c r="CS730" s="1316"/>
      <c r="CT730" s="1317"/>
      <c r="CU730" s="1323">
        <f t="shared" si="20"/>
        <v>12</v>
      </c>
      <c r="CV730" s="1323"/>
      <c r="CW730" s="1323"/>
      <c r="CX730" s="1323"/>
      <c r="CY730" s="1323"/>
      <c r="CZ730" s="1323">
        <f t="shared" si="21"/>
        <v>0</v>
      </c>
      <c r="DA730" s="1323"/>
      <c r="DB730" s="1323"/>
      <c r="DC730" s="1323"/>
      <c r="DD730" s="1323"/>
      <c r="DE730" s="1323">
        <f t="shared" si="22"/>
        <v>0</v>
      </c>
      <c r="DF730" s="1323"/>
      <c r="DG730" s="1323"/>
      <c r="DH730" s="1323"/>
      <c r="DI730" s="1323"/>
      <c r="DJ730" s="1323">
        <f t="shared" si="23"/>
        <v>0</v>
      </c>
      <c r="DK730" s="1323"/>
      <c r="DL730" s="1323"/>
      <c r="DM730" s="1323"/>
      <c r="DN730" s="1323"/>
      <c r="DO730" s="1323">
        <f t="shared" si="24"/>
        <v>0</v>
      </c>
      <c r="DP730" s="1323"/>
      <c r="DQ730" s="1323"/>
      <c r="DR730" s="1323"/>
      <c r="DS730" s="1323"/>
      <c r="DT730" s="1110"/>
      <c r="DU730" s="1335">
        <f t="shared" si="25"/>
        <v>0</v>
      </c>
      <c r="DV730" s="1335"/>
      <c r="DW730" s="1335"/>
      <c r="DX730" s="1335"/>
      <c r="DY730" s="1335"/>
      <c r="DZ730" s="1335">
        <f t="shared" si="26"/>
        <v>0</v>
      </c>
      <c r="EA730" s="1335"/>
      <c r="EB730" s="1335"/>
      <c r="EC730" s="1335"/>
      <c r="ED730" s="1335"/>
      <c r="EE730" s="1335">
        <f t="shared" si="27"/>
        <v>0</v>
      </c>
      <c r="EF730" s="1335"/>
      <c r="EG730" s="1335"/>
      <c r="EH730" s="1335"/>
      <c r="EI730" s="1335"/>
      <c r="EJ730" s="1335">
        <f t="shared" si="28"/>
        <v>0</v>
      </c>
      <c r="EK730" s="1335"/>
      <c r="EL730" s="1335"/>
      <c r="EM730" s="1335"/>
      <c r="EN730" s="1335"/>
      <c r="EO730" s="1335">
        <f t="shared" si="29"/>
        <v>0</v>
      </c>
      <c r="EP730" s="1335"/>
      <c r="EQ730" s="1335"/>
      <c r="ER730" s="1335"/>
      <c r="ES730" s="1335"/>
      <c r="ET730" s="1335">
        <f t="shared" si="30"/>
        <v>0</v>
      </c>
      <c r="EU730" s="1335"/>
      <c r="EV730" s="1335"/>
      <c r="EW730" s="1335"/>
      <c r="EX730" s="1335"/>
      <c r="EZ730" s="1318" t="str">
        <f t="shared" si="31"/>
        <v/>
      </c>
      <c r="FA730" s="1319"/>
      <c r="FB730" s="1319"/>
      <c r="FC730" s="1319"/>
      <c r="FD730" s="1320"/>
      <c r="FE730" s="1318">
        <f t="shared" si="32"/>
        <v>1879</v>
      </c>
      <c r="FF730" s="1319"/>
      <c r="FG730" s="1319"/>
      <c r="FH730" s="1319"/>
      <c r="FI730" s="1320"/>
      <c r="FJ730" s="1318" t="str">
        <f t="shared" si="33"/>
        <v/>
      </c>
      <c r="FK730" s="1319"/>
      <c r="FL730" s="1319"/>
      <c r="FM730" s="1319"/>
      <c r="FN730" s="1320"/>
      <c r="FO730" s="1318" t="str">
        <f t="shared" si="34"/>
        <v/>
      </c>
      <c r="FP730" s="1319"/>
      <c r="FQ730" s="1319"/>
      <c r="FR730" s="1319"/>
      <c r="FS730" s="1320"/>
      <c r="FT730" s="1318" t="str">
        <f t="shared" si="35"/>
        <v/>
      </c>
      <c r="FU730" s="1319"/>
      <c r="FV730" s="1319"/>
      <c r="FW730" s="1319"/>
      <c r="FX730" s="1320"/>
      <c r="FY730" s="1318" t="str">
        <f t="shared" si="36"/>
        <v/>
      </c>
      <c r="FZ730" s="1319"/>
      <c r="GA730" s="1319"/>
      <c r="GB730" s="1319"/>
      <c r="GC730" s="1320"/>
    </row>
    <row r="731" spans="1:185" ht="13.15" customHeight="1">
      <c r="B731" s="1332" t="s">
        <v>835</v>
      </c>
      <c r="C731" s="1333"/>
      <c r="D731" s="1333"/>
      <c r="E731" s="1333"/>
      <c r="F731" s="1334"/>
      <c r="G731" s="1538">
        <v>8</v>
      </c>
      <c r="H731" s="1539"/>
      <c r="I731" s="1539"/>
      <c r="J731" s="1540"/>
      <c r="K731" s="1545">
        <v>759</v>
      </c>
      <c r="L731" s="1546"/>
      <c r="M731" s="1546"/>
      <c r="N731" s="1547"/>
      <c r="O731" s="1541">
        <f>1022-151</f>
        <v>871</v>
      </c>
      <c r="P731" s="1542"/>
      <c r="Q731" s="1542"/>
      <c r="R731" s="1542"/>
      <c r="S731" s="1543"/>
      <c r="T731" s="1541">
        <v>151</v>
      </c>
      <c r="U731" s="1542"/>
      <c r="V731" s="1542"/>
      <c r="W731" s="1543"/>
      <c r="X731" s="1385">
        <f t="shared" si="9"/>
        <v>1022</v>
      </c>
      <c r="Y731" s="1386"/>
      <c r="Z731" s="1386"/>
      <c r="AA731" s="1386"/>
      <c r="AB731" s="1387"/>
      <c r="AC731" s="1548">
        <v>0.3</v>
      </c>
      <c r="AD731" s="1549"/>
      <c r="AE731" s="1549"/>
      <c r="AF731" s="1549"/>
      <c r="AG731" s="1550"/>
      <c r="AH731" s="1372">
        <f t="shared" si="37"/>
        <v>0.30005871990604815</v>
      </c>
      <c r="AI731" s="1373"/>
      <c r="AJ731" s="1374"/>
      <c r="AK731" s="1332" t="s">
        <v>816</v>
      </c>
      <c r="AL731" s="1333"/>
      <c r="AM731" s="1333"/>
      <c r="AN731" s="1333"/>
      <c r="AO731" s="1334"/>
      <c r="AP731" s="2"/>
      <c r="AQ731" s="2"/>
      <c r="AR731" s="2"/>
      <c r="AS731" s="2"/>
      <c r="AY731" s="69"/>
      <c r="AZ731" s="68">
        <f t="shared" si="10"/>
        <v>3406</v>
      </c>
      <c r="BA731" s="2"/>
      <c r="BB731" s="2"/>
      <c r="BC731" s="2"/>
      <c r="BD731" s="2"/>
      <c r="BE731" s="114"/>
      <c r="BF731" s="179">
        <f t="shared" si="11"/>
        <v>8</v>
      </c>
      <c r="BG731" s="182">
        <f t="shared" si="12"/>
        <v>5.2980132450331126E-2</v>
      </c>
      <c r="BH731" s="183">
        <f t="shared" si="13"/>
        <v>1.5894039735099338E-2</v>
      </c>
      <c r="BI731" s="2"/>
      <c r="BJ731" s="2"/>
      <c r="BK731" s="2"/>
      <c r="BL731" s="2"/>
      <c r="BM731" s="2"/>
      <c r="BN731" s="2"/>
      <c r="BS731" s="179">
        <f t="shared" si="14"/>
        <v>8</v>
      </c>
      <c r="BT731" s="182">
        <f t="shared" si="15"/>
        <v>5.2980132450331126E-2</v>
      </c>
      <c r="BU731" s="183">
        <f t="shared" si="16"/>
        <v>1.5897150723499238E-2</v>
      </c>
      <c r="CC731" s="2"/>
      <c r="CD731" s="2"/>
      <c r="CE731" s="2"/>
      <c r="CF731" s="2"/>
      <c r="CG731" s="1318">
        <f t="shared" si="38"/>
        <v>0</v>
      </c>
      <c r="CH731" s="1320"/>
      <c r="CI731" s="1318">
        <f t="shared" si="39"/>
        <v>0</v>
      </c>
      <c r="CJ731" s="1320"/>
      <c r="CK731" s="1318">
        <f t="shared" si="17"/>
        <v>1</v>
      </c>
      <c r="CL731" s="1320"/>
      <c r="CM731" s="1318">
        <f t="shared" si="18"/>
        <v>8</v>
      </c>
      <c r="CN731" s="1320"/>
      <c r="CO731" s="2"/>
      <c r="CP731" s="1315">
        <f t="shared" si="19"/>
        <v>0</v>
      </c>
      <c r="CQ731" s="1316"/>
      <c r="CR731" s="1316"/>
      <c r="CS731" s="1316"/>
      <c r="CT731" s="1317"/>
      <c r="CU731" s="1323">
        <f t="shared" si="20"/>
        <v>0</v>
      </c>
      <c r="CV731" s="1323"/>
      <c r="CW731" s="1323"/>
      <c r="CX731" s="1323"/>
      <c r="CY731" s="1323"/>
      <c r="CZ731" s="1323">
        <f t="shared" si="21"/>
        <v>8</v>
      </c>
      <c r="DA731" s="1323"/>
      <c r="DB731" s="1323"/>
      <c r="DC731" s="1323"/>
      <c r="DD731" s="1323"/>
      <c r="DE731" s="1323">
        <f t="shared" si="22"/>
        <v>0</v>
      </c>
      <c r="DF731" s="1323"/>
      <c r="DG731" s="1323"/>
      <c r="DH731" s="1323"/>
      <c r="DI731" s="1323"/>
      <c r="DJ731" s="1323">
        <f t="shared" si="23"/>
        <v>0</v>
      </c>
      <c r="DK731" s="1323"/>
      <c r="DL731" s="1323"/>
      <c r="DM731" s="1323"/>
      <c r="DN731" s="1323"/>
      <c r="DO731" s="1323">
        <f t="shared" si="24"/>
        <v>0</v>
      </c>
      <c r="DP731" s="1323"/>
      <c r="DQ731" s="1323"/>
      <c r="DR731" s="1323"/>
      <c r="DS731" s="1323"/>
      <c r="DT731" s="1110"/>
      <c r="DU731" s="1335">
        <f t="shared" si="25"/>
        <v>0</v>
      </c>
      <c r="DV731" s="1335"/>
      <c r="DW731" s="1335"/>
      <c r="DX731" s="1335"/>
      <c r="DY731" s="1335"/>
      <c r="DZ731" s="1335">
        <f t="shared" si="26"/>
        <v>0</v>
      </c>
      <c r="EA731" s="1335"/>
      <c r="EB731" s="1335"/>
      <c r="EC731" s="1335"/>
      <c r="ED731" s="1335"/>
      <c r="EE731" s="1335">
        <f t="shared" si="27"/>
        <v>8</v>
      </c>
      <c r="EF731" s="1335"/>
      <c r="EG731" s="1335"/>
      <c r="EH731" s="1335"/>
      <c r="EI731" s="1335"/>
      <c r="EJ731" s="1335">
        <f t="shared" si="28"/>
        <v>0</v>
      </c>
      <c r="EK731" s="1335"/>
      <c r="EL731" s="1335"/>
      <c r="EM731" s="1335"/>
      <c r="EN731" s="1335"/>
      <c r="EO731" s="1335">
        <f t="shared" si="29"/>
        <v>0</v>
      </c>
      <c r="EP731" s="1335"/>
      <c r="EQ731" s="1335"/>
      <c r="ER731" s="1335"/>
      <c r="ES731" s="1335"/>
      <c r="ET731" s="1335">
        <f t="shared" si="30"/>
        <v>0</v>
      </c>
      <c r="EU731" s="1335"/>
      <c r="EV731" s="1335"/>
      <c r="EW731" s="1335"/>
      <c r="EX731" s="1335"/>
      <c r="EZ731" s="1318" t="str">
        <f t="shared" si="31"/>
        <v/>
      </c>
      <c r="FA731" s="1319"/>
      <c r="FB731" s="1319"/>
      <c r="FC731" s="1319"/>
      <c r="FD731" s="1320"/>
      <c r="FE731" s="1318" t="str">
        <f t="shared" si="32"/>
        <v/>
      </c>
      <c r="FF731" s="1319"/>
      <c r="FG731" s="1319"/>
      <c r="FH731" s="1319"/>
      <c r="FI731" s="1320"/>
      <c r="FJ731" s="1318">
        <f t="shared" si="33"/>
        <v>871</v>
      </c>
      <c r="FK731" s="1319"/>
      <c r="FL731" s="1319"/>
      <c r="FM731" s="1319"/>
      <c r="FN731" s="1320"/>
      <c r="FO731" s="1318" t="str">
        <f t="shared" si="34"/>
        <v/>
      </c>
      <c r="FP731" s="1319"/>
      <c r="FQ731" s="1319"/>
      <c r="FR731" s="1319"/>
      <c r="FS731" s="1320"/>
      <c r="FT731" s="1318" t="str">
        <f t="shared" si="35"/>
        <v/>
      </c>
      <c r="FU731" s="1319"/>
      <c r="FV731" s="1319"/>
      <c r="FW731" s="1319"/>
      <c r="FX731" s="1320"/>
      <c r="FY731" s="1318" t="str">
        <f t="shared" si="36"/>
        <v/>
      </c>
      <c r="FZ731" s="1319"/>
      <c r="GA731" s="1319"/>
      <c r="GB731" s="1319"/>
      <c r="GC731" s="1320"/>
    </row>
    <row r="732" spans="1:185" ht="13.15" customHeight="1">
      <c r="B732" s="1332" t="s">
        <v>835</v>
      </c>
      <c r="C732" s="1333"/>
      <c r="D732" s="1333"/>
      <c r="E732" s="1333"/>
      <c r="F732" s="1334"/>
      <c r="G732" s="1538">
        <v>18</v>
      </c>
      <c r="H732" s="1539"/>
      <c r="I732" s="1539"/>
      <c r="J732" s="1540"/>
      <c r="K732" s="1545">
        <v>759</v>
      </c>
      <c r="L732" s="1546"/>
      <c r="M732" s="1546"/>
      <c r="N732" s="1547"/>
      <c r="O732" s="1541">
        <v>1552</v>
      </c>
      <c r="P732" s="1542"/>
      <c r="Q732" s="1542"/>
      <c r="R732" s="1542"/>
      <c r="S732" s="1543"/>
      <c r="T732" s="1541">
        <v>151</v>
      </c>
      <c r="U732" s="1542"/>
      <c r="V732" s="1542"/>
      <c r="W732" s="1543"/>
      <c r="X732" s="1385">
        <f t="shared" si="9"/>
        <v>1703</v>
      </c>
      <c r="Y732" s="1386"/>
      <c r="Z732" s="1386"/>
      <c r="AA732" s="1386"/>
      <c r="AB732" s="1387"/>
      <c r="AC732" s="1548">
        <v>0.5</v>
      </c>
      <c r="AD732" s="1549"/>
      <c r="AE732" s="1549"/>
      <c r="AF732" s="1549"/>
      <c r="AG732" s="1550"/>
      <c r="AH732" s="1372">
        <f t="shared" si="37"/>
        <v>0.5</v>
      </c>
      <c r="AI732" s="1373"/>
      <c r="AJ732" s="1374"/>
      <c r="AK732" s="1332" t="s">
        <v>816</v>
      </c>
      <c r="AL732" s="1333"/>
      <c r="AM732" s="1333"/>
      <c r="AN732" s="1333"/>
      <c r="AO732" s="1334"/>
      <c r="AP732" s="2"/>
      <c r="AQ732" s="2"/>
      <c r="AR732" s="2"/>
      <c r="AS732" s="2"/>
      <c r="AY732" s="69"/>
      <c r="AZ732" s="68">
        <f t="shared" si="10"/>
        <v>3406</v>
      </c>
      <c r="BA732" s="2"/>
      <c r="BB732" s="2"/>
      <c r="BC732" s="2"/>
      <c r="BD732" s="2"/>
      <c r="BE732" s="114"/>
      <c r="BF732" s="179">
        <f t="shared" si="11"/>
        <v>18</v>
      </c>
      <c r="BG732" s="182">
        <f t="shared" si="12"/>
        <v>0.11920529801324503</v>
      </c>
      <c r="BH732" s="183">
        <f t="shared" si="13"/>
        <v>5.9602649006622516E-2</v>
      </c>
      <c r="BI732" s="2"/>
      <c r="BJ732" s="2"/>
      <c r="BK732" s="2"/>
      <c r="BL732" s="2"/>
      <c r="BM732" s="2"/>
      <c r="BN732" s="2"/>
      <c r="BS732" s="179">
        <f t="shared" si="14"/>
        <v>18</v>
      </c>
      <c r="BT732" s="182">
        <f t="shared" si="15"/>
        <v>0.11920529801324503</v>
      </c>
      <c r="BU732" s="183">
        <f t="shared" si="16"/>
        <v>5.9602649006622516E-2</v>
      </c>
      <c r="CC732" s="2"/>
      <c r="CE732" s="2"/>
      <c r="CF732" s="2"/>
      <c r="CG732" s="1318">
        <f t="shared" si="38"/>
        <v>1</v>
      </c>
      <c r="CH732" s="1320"/>
      <c r="CI732" s="1318">
        <f t="shared" si="39"/>
        <v>18</v>
      </c>
      <c r="CJ732" s="1320"/>
      <c r="CK732" s="1318">
        <f t="shared" si="17"/>
        <v>0</v>
      </c>
      <c r="CL732" s="1320"/>
      <c r="CM732" s="1318">
        <f t="shared" si="18"/>
        <v>0</v>
      </c>
      <c r="CN732" s="1320"/>
      <c r="CO732" s="2"/>
      <c r="CP732" s="1315">
        <f t="shared" si="19"/>
        <v>0</v>
      </c>
      <c r="CQ732" s="1316"/>
      <c r="CR732" s="1316"/>
      <c r="CS732" s="1316"/>
      <c r="CT732" s="1317"/>
      <c r="CU732" s="1323">
        <f t="shared" si="20"/>
        <v>0</v>
      </c>
      <c r="CV732" s="1323"/>
      <c r="CW732" s="1323"/>
      <c r="CX732" s="1323"/>
      <c r="CY732" s="1323"/>
      <c r="CZ732" s="1323">
        <f t="shared" si="21"/>
        <v>18</v>
      </c>
      <c r="DA732" s="1323"/>
      <c r="DB732" s="1323"/>
      <c r="DC732" s="1323"/>
      <c r="DD732" s="1323"/>
      <c r="DE732" s="1323">
        <f t="shared" si="22"/>
        <v>0</v>
      </c>
      <c r="DF732" s="1323"/>
      <c r="DG732" s="1323"/>
      <c r="DH732" s="1323"/>
      <c r="DI732" s="1323"/>
      <c r="DJ732" s="1323">
        <f t="shared" si="23"/>
        <v>0</v>
      </c>
      <c r="DK732" s="1323"/>
      <c r="DL732" s="1323"/>
      <c r="DM732" s="1323"/>
      <c r="DN732" s="1323"/>
      <c r="DO732" s="1323">
        <f t="shared" si="24"/>
        <v>0</v>
      </c>
      <c r="DP732" s="1323"/>
      <c r="DQ732" s="1323"/>
      <c r="DR732" s="1323"/>
      <c r="DS732" s="1323"/>
      <c r="DT732" s="1110"/>
      <c r="DU732" s="1335">
        <f t="shared" si="25"/>
        <v>0</v>
      </c>
      <c r="DV732" s="1335"/>
      <c r="DW732" s="1335"/>
      <c r="DX732" s="1335"/>
      <c r="DY732" s="1335"/>
      <c r="DZ732" s="1335">
        <f t="shared" si="26"/>
        <v>0</v>
      </c>
      <c r="EA732" s="1335"/>
      <c r="EB732" s="1335"/>
      <c r="EC732" s="1335"/>
      <c r="ED732" s="1335"/>
      <c r="EE732" s="1335">
        <f t="shared" si="27"/>
        <v>0</v>
      </c>
      <c r="EF732" s="1335"/>
      <c r="EG732" s="1335"/>
      <c r="EH732" s="1335"/>
      <c r="EI732" s="1335"/>
      <c r="EJ732" s="1335">
        <f t="shared" si="28"/>
        <v>0</v>
      </c>
      <c r="EK732" s="1335"/>
      <c r="EL732" s="1335"/>
      <c r="EM732" s="1335"/>
      <c r="EN732" s="1335"/>
      <c r="EO732" s="1335">
        <f t="shared" si="29"/>
        <v>0</v>
      </c>
      <c r="EP732" s="1335"/>
      <c r="EQ732" s="1335"/>
      <c r="ER732" s="1335"/>
      <c r="ES732" s="1335"/>
      <c r="ET732" s="1335">
        <f t="shared" si="30"/>
        <v>0</v>
      </c>
      <c r="EU732" s="1335"/>
      <c r="EV732" s="1335"/>
      <c r="EW732" s="1335"/>
      <c r="EX732" s="1335"/>
      <c r="EZ732" s="1318" t="str">
        <f t="shared" si="31"/>
        <v/>
      </c>
      <c r="FA732" s="1319"/>
      <c r="FB732" s="1319"/>
      <c r="FC732" s="1319"/>
      <c r="FD732" s="1320"/>
      <c r="FE732" s="1318" t="str">
        <f t="shared" si="32"/>
        <v/>
      </c>
      <c r="FF732" s="1319"/>
      <c r="FG732" s="1319"/>
      <c r="FH732" s="1319"/>
      <c r="FI732" s="1320"/>
      <c r="FJ732" s="1318">
        <f t="shared" si="33"/>
        <v>1552</v>
      </c>
      <c r="FK732" s="1319"/>
      <c r="FL732" s="1319"/>
      <c r="FM732" s="1319"/>
      <c r="FN732" s="1320"/>
      <c r="FO732" s="1318" t="str">
        <f t="shared" si="34"/>
        <v/>
      </c>
      <c r="FP732" s="1319"/>
      <c r="FQ732" s="1319"/>
      <c r="FR732" s="1319"/>
      <c r="FS732" s="1320"/>
      <c r="FT732" s="1318" t="str">
        <f t="shared" si="35"/>
        <v/>
      </c>
      <c r="FU732" s="1319"/>
      <c r="FV732" s="1319"/>
      <c r="FW732" s="1319"/>
      <c r="FX732" s="1320"/>
      <c r="FY732" s="1318" t="str">
        <f t="shared" si="36"/>
        <v/>
      </c>
      <c r="FZ732" s="1319"/>
      <c r="GA732" s="1319"/>
      <c r="GB732" s="1319"/>
      <c r="GC732" s="1320"/>
    </row>
    <row r="733" spans="1:185" ht="13.15" customHeight="1">
      <c r="B733" s="1332" t="s">
        <v>835</v>
      </c>
      <c r="C733" s="1333"/>
      <c r="D733" s="1333"/>
      <c r="E733" s="1333"/>
      <c r="F733" s="1334"/>
      <c r="G733" s="1538">
        <v>7</v>
      </c>
      <c r="H733" s="1539"/>
      <c r="I733" s="1539"/>
      <c r="J733" s="1540"/>
      <c r="K733" s="1545">
        <v>759</v>
      </c>
      <c r="L733" s="1546"/>
      <c r="M733" s="1546"/>
      <c r="N733" s="1547"/>
      <c r="O733" s="1541">
        <v>1893</v>
      </c>
      <c r="P733" s="1542"/>
      <c r="Q733" s="1542"/>
      <c r="R733" s="1542"/>
      <c r="S733" s="1543"/>
      <c r="T733" s="1541">
        <v>151</v>
      </c>
      <c r="U733" s="1542"/>
      <c r="V733" s="1542"/>
      <c r="W733" s="1543"/>
      <c r="X733" s="1385">
        <f t="shared" si="9"/>
        <v>2044</v>
      </c>
      <c r="Y733" s="1386"/>
      <c r="Z733" s="1386"/>
      <c r="AA733" s="1386"/>
      <c r="AB733" s="1387"/>
      <c r="AC733" s="1548">
        <v>0.6</v>
      </c>
      <c r="AD733" s="1549"/>
      <c r="AE733" s="1549"/>
      <c r="AF733" s="1549"/>
      <c r="AG733" s="1550"/>
      <c r="AH733" s="1372">
        <f t="shared" si="37"/>
        <v>0.60011743981209631</v>
      </c>
      <c r="AI733" s="1373"/>
      <c r="AJ733" s="1374"/>
      <c r="AK733" s="1332" t="s">
        <v>816</v>
      </c>
      <c r="AL733" s="1333"/>
      <c r="AM733" s="1333"/>
      <c r="AN733" s="1333"/>
      <c r="AO733" s="1334"/>
      <c r="AP733" s="2"/>
      <c r="AQ733" s="2"/>
      <c r="AR733" s="2"/>
      <c r="AS733" s="2"/>
      <c r="AY733" s="759"/>
      <c r="AZ733" s="68">
        <f t="shared" si="10"/>
        <v>3406</v>
      </c>
      <c r="BA733" s="2"/>
      <c r="BB733" s="2"/>
      <c r="BC733" s="2"/>
      <c r="BD733" s="2"/>
      <c r="BE733" s="114"/>
      <c r="BF733" s="179">
        <f t="shared" si="11"/>
        <v>7</v>
      </c>
      <c r="BG733" s="182">
        <f t="shared" si="12"/>
        <v>4.6357615894039736E-2</v>
      </c>
      <c r="BH733" s="183">
        <f t="shared" si="13"/>
        <v>2.781456953642384E-2</v>
      </c>
      <c r="BI733" s="2"/>
      <c r="BJ733" s="2"/>
      <c r="BK733" s="2"/>
      <c r="BL733" s="2"/>
      <c r="BM733" s="2"/>
      <c r="BN733" s="2"/>
      <c r="BS733" s="179">
        <f t="shared" si="14"/>
        <v>7</v>
      </c>
      <c r="BT733" s="182">
        <f t="shared" si="15"/>
        <v>4.6357615894039736E-2</v>
      </c>
      <c r="BU733" s="183">
        <f t="shared" si="16"/>
        <v>2.7820013766123669E-2</v>
      </c>
      <c r="BV733" s="1177"/>
      <c r="BW733" s="2"/>
      <c r="BX733" s="2"/>
      <c r="BY733" s="2"/>
      <c r="BZ733" s="2"/>
      <c r="CA733" s="2"/>
      <c r="CB733" s="2"/>
      <c r="CC733" s="2"/>
      <c r="CE733" s="2"/>
      <c r="CF733" s="2"/>
      <c r="CG733" s="1318">
        <f t="shared" si="38"/>
        <v>0</v>
      </c>
      <c r="CH733" s="1320"/>
      <c r="CI733" s="1318">
        <f t="shared" si="39"/>
        <v>0</v>
      </c>
      <c r="CJ733" s="1320"/>
      <c r="CK733" s="1318">
        <f t="shared" si="17"/>
        <v>0</v>
      </c>
      <c r="CL733" s="1320"/>
      <c r="CM733" s="1318">
        <f t="shared" si="18"/>
        <v>0</v>
      </c>
      <c r="CN733" s="1320"/>
      <c r="CO733" s="2"/>
      <c r="CP733" s="1315">
        <f t="shared" si="19"/>
        <v>0</v>
      </c>
      <c r="CQ733" s="1316"/>
      <c r="CR733" s="1316"/>
      <c r="CS733" s="1316"/>
      <c r="CT733" s="1317"/>
      <c r="CU733" s="1323">
        <f t="shared" si="20"/>
        <v>0</v>
      </c>
      <c r="CV733" s="1323"/>
      <c r="CW733" s="1323"/>
      <c r="CX733" s="1323"/>
      <c r="CY733" s="1323"/>
      <c r="CZ733" s="1323">
        <f t="shared" si="21"/>
        <v>7</v>
      </c>
      <c r="DA733" s="1323"/>
      <c r="DB733" s="1323"/>
      <c r="DC733" s="1323"/>
      <c r="DD733" s="1323"/>
      <c r="DE733" s="1323">
        <f t="shared" si="22"/>
        <v>0</v>
      </c>
      <c r="DF733" s="1323"/>
      <c r="DG733" s="1323"/>
      <c r="DH733" s="1323"/>
      <c r="DI733" s="1323"/>
      <c r="DJ733" s="1323">
        <f t="shared" si="23"/>
        <v>0</v>
      </c>
      <c r="DK733" s="1323"/>
      <c r="DL733" s="1323"/>
      <c r="DM733" s="1323"/>
      <c r="DN733" s="1323"/>
      <c r="DO733" s="1323">
        <f t="shared" si="24"/>
        <v>0</v>
      </c>
      <c r="DP733" s="1323"/>
      <c r="DQ733" s="1323"/>
      <c r="DR733" s="1323"/>
      <c r="DS733" s="1323"/>
      <c r="DT733" s="1110"/>
      <c r="DU733" s="1335">
        <f t="shared" si="25"/>
        <v>0</v>
      </c>
      <c r="DV733" s="1335"/>
      <c r="DW733" s="1335"/>
      <c r="DX733" s="1335"/>
      <c r="DY733" s="1335"/>
      <c r="DZ733" s="1335">
        <f t="shared" si="26"/>
        <v>0</v>
      </c>
      <c r="EA733" s="1335"/>
      <c r="EB733" s="1335"/>
      <c r="EC733" s="1335"/>
      <c r="ED733" s="1335"/>
      <c r="EE733" s="1335">
        <f t="shared" si="27"/>
        <v>0</v>
      </c>
      <c r="EF733" s="1335"/>
      <c r="EG733" s="1335"/>
      <c r="EH733" s="1335"/>
      <c r="EI733" s="1335"/>
      <c r="EJ733" s="1335">
        <f t="shared" si="28"/>
        <v>0</v>
      </c>
      <c r="EK733" s="1335"/>
      <c r="EL733" s="1335"/>
      <c r="EM733" s="1335"/>
      <c r="EN733" s="1335"/>
      <c r="EO733" s="1335">
        <f t="shared" si="29"/>
        <v>0</v>
      </c>
      <c r="EP733" s="1335"/>
      <c r="EQ733" s="1335"/>
      <c r="ER733" s="1335"/>
      <c r="ES733" s="1335"/>
      <c r="ET733" s="1335">
        <f t="shared" si="30"/>
        <v>0</v>
      </c>
      <c r="EU733" s="1335"/>
      <c r="EV733" s="1335"/>
      <c r="EW733" s="1335"/>
      <c r="EX733" s="1335"/>
      <c r="EZ733" s="1318" t="str">
        <f t="shared" si="31"/>
        <v/>
      </c>
      <c r="FA733" s="1319"/>
      <c r="FB733" s="1319"/>
      <c r="FC733" s="1319"/>
      <c r="FD733" s="1320"/>
      <c r="FE733" s="1318" t="str">
        <f t="shared" si="32"/>
        <v/>
      </c>
      <c r="FF733" s="1319"/>
      <c r="FG733" s="1319"/>
      <c r="FH733" s="1319"/>
      <c r="FI733" s="1320"/>
      <c r="FJ733" s="1318">
        <f t="shared" si="33"/>
        <v>1893</v>
      </c>
      <c r="FK733" s="1319"/>
      <c r="FL733" s="1319"/>
      <c r="FM733" s="1319"/>
      <c r="FN733" s="1320"/>
      <c r="FO733" s="1318" t="str">
        <f t="shared" si="34"/>
        <v/>
      </c>
      <c r="FP733" s="1319"/>
      <c r="FQ733" s="1319"/>
      <c r="FR733" s="1319"/>
      <c r="FS733" s="1320"/>
      <c r="FT733" s="1318" t="str">
        <f t="shared" si="35"/>
        <v/>
      </c>
      <c r="FU733" s="1319"/>
      <c r="FV733" s="1319"/>
      <c r="FW733" s="1319"/>
      <c r="FX733" s="1320"/>
      <c r="FY733" s="1318" t="str">
        <f t="shared" si="36"/>
        <v/>
      </c>
      <c r="FZ733" s="1319"/>
      <c r="GA733" s="1319"/>
      <c r="GB733" s="1319"/>
      <c r="GC733" s="1320"/>
    </row>
    <row r="734" spans="1:185" ht="13.15" customHeight="1">
      <c r="B734" s="1332" t="s">
        <v>835</v>
      </c>
      <c r="C734" s="1333"/>
      <c r="D734" s="1333"/>
      <c r="E734" s="1333"/>
      <c r="F734" s="1334"/>
      <c r="G734" s="1538">
        <v>5</v>
      </c>
      <c r="H734" s="1539"/>
      <c r="I734" s="1539"/>
      <c r="J734" s="1540"/>
      <c r="K734" s="1545">
        <v>759</v>
      </c>
      <c r="L734" s="1546"/>
      <c r="M734" s="1546"/>
      <c r="N734" s="1547"/>
      <c r="O734" s="1541">
        <v>2234</v>
      </c>
      <c r="P734" s="1542"/>
      <c r="Q734" s="1542"/>
      <c r="R734" s="1542"/>
      <c r="S734" s="1543"/>
      <c r="T734" s="1541">
        <v>151</v>
      </c>
      <c r="U734" s="1542"/>
      <c r="V734" s="1542"/>
      <c r="W734" s="1543"/>
      <c r="X734" s="1385">
        <f t="shared" si="9"/>
        <v>2385</v>
      </c>
      <c r="Y734" s="1386"/>
      <c r="Z734" s="1386"/>
      <c r="AA734" s="1386"/>
      <c r="AB734" s="1387"/>
      <c r="AC734" s="1548">
        <v>0.7</v>
      </c>
      <c r="AD734" s="1549"/>
      <c r="AE734" s="1549"/>
      <c r="AF734" s="1549"/>
      <c r="AG734" s="1550"/>
      <c r="AH734" s="1372">
        <f t="shared" si="37"/>
        <v>0.70023487962419262</v>
      </c>
      <c r="AI734" s="1373"/>
      <c r="AJ734" s="1374"/>
      <c r="AK734" s="1332" t="s">
        <v>816</v>
      </c>
      <c r="AL734" s="1333"/>
      <c r="AM734" s="1333"/>
      <c r="AN734" s="1333"/>
      <c r="AO734" s="1334"/>
      <c r="AP734" s="2"/>
      <c r="AQ734" s="2"/>
      <c r="AR734" s="2"/>
      <c r="AS734" s="2"/>
      <c r="AY734" s="759"/>
      <c r="AZ734" s="68">
        <f t="shared" si="10"/>
        <v>3406</v>
      </c>
      <c r="BA734" s="2"/>
      <c r="BB734" s="2"/>
      <c r="BC734" s="2"/>
      <c r="BD734" s="2"/>
      <c r="BE734" s="114"/>
      <c r="BF734" s="179">
        <f t="shared" si="11"/>
        <v>5</v>
      </c>
      <c r="BG734" s="182">
        <f t="shared" si="12"/>
        <v>3.3112582781456956E-2</v>
      </c>
      <c r="BH734" s="183">
        <f t="shared" si="13"/>
        <v>2.3178807947019868E-2</v>
      </c>
      <c r="BI734" s="2"/>
      <c r="BJ734" s="2"/>
      <c r="BK734" s="2"/>
      <c r="BL734" s="2"/>
      <c r="BM734" s="2"/>
      <c r="BN734" s="2"/>
      <c r="BS734" s="179">
        <f t="shared" si="14"/>
        <v>5</v>
      </c>
      <c r="BT734" s="182">
        <f t="shared" si="15"/>
        <v>3.3112582781456956E-2</v>
      </c>
      <c r="BU734" s="183">
        <f t="shared" si="16"/>
        <v>2.3186585418019625E-2</v>
      </c>
      <c r="BV734" s="2"/>
      <c r="BW734" s="2"/>
      <c r="BX734" s="2"/>
      <c r="BY734" s="2"/>
      <c r="BZ734" s="2"/>
      <c r="CA734" s="2"/>
      <c r="CB734" s="2"/>
      <c r="CC734" s="2"/>
      <c r="CE734" s="2"/>
      <c r="CF734" s="2"/>
      <c r="CG734" s="1318">
        <f t="shared" si="38"/>
        <v>0</v>
      </c>
      <c r="CH734" s="1320"/>
      <c r="CI734" s="1318">
        <f t="shared" si="39"/>
        <v>0</v>
      </c>
      <c r="CJ734" s="1320"/>
      <c r="CK734" s="1318">
        <f t="shared" si="17"/>
        <v>0</v>
      </c>
      <c r="CL734" s="1320"/>
      <c r="CM734" s="1318">
        <f t="shared" si="18"/>
        <v>0</v>
      </c>
      <c r="CN734" s="1320"/>
      <c r="CO734" s="2"/>
      <c r="CP734" s="1315">
        <f t="shared" si="19"/>
        <v>0</v>
      </c>
      <c r="CQ734" s="1316"/>
      <c r="CR734" s="1316"/>
      <c r="CS734" s="1316"/>
      <c r="CT734" s="1317"/>
      <c r="CU734" s="1323">
        <f t="shared" si="20"/>
        <v>0</v>
      </c>
      <c r="CV734" s="1323"/>
      <c r="CW734" s="1323"/>
      <c r="CX734" s="1323"/>
      <c r="CY734" s="1323"/>
      <c r="CZ734" s="1323">
        <f t="shared" si="21"/>
        <v>5</v>
      </c>
      <c r="DA734" s="1323"/>
      <c r="DB734" s="1323"/>
      <c r="DC734" s="1323"/>
      <c r="DD734" s="1323"/>
      <c r="DE734" s="1323">
        <f t="shared" si="22"/>
        <v>0</v>
      </c>
      <c r="DF734" s="1323"/>
      <c r="DG734" s="1323"/>
      <c r="DH734" s="1323"/>
      <c r="DI734" s="1323"/>
      <c r="DJ734" s="1323">
        <f t="shared" si="23"/>
        <v>0</v>
      </c>
      <c r="DK734" s="1323"/>
      <c r="DL734" s="1323"/>
      <c r="DM734" s="1323"/>
      <c r="DN734" s="1323"/>
      <c r="DO734" s="1323">
        <f t="shared" si="24"/>
        <v>0</v>
      </c>
      <c r="DP734" s="1323"/>
      <c r="DQ734" s="1323"/>
      <c r="DR734" s="1323"/>
      <c r="DS734" s="1323"/>
      <c r="DT734" s="1110"/>
      <c r="DU734" s="1335">
        <f t="shared" si="25"/>
        <v>0</v>
      </c>
      <c r="DV734" s="1335"/>
      <c r="DW734" s="1335"/>
      <c r="DX734" s="1335"/>
      <c r="DY734" s="1335"/>
      <c r="DZ734" s="1335">
        <f t="shared" si="26"/>
        <v>0</v>
      </c>
      <c r="EA734" s="1335"/>
      <c r="EB734" s="1335"/>
      <c r="EC734" s="1335"/>
      <c r="ED734" s="1335"/>
      <c r="EE734" s="1335">
        <f t="shared" si="27"/>
        <v>0</v>
      </c>
      <c r="EF734" s="1335"/>
      <c r="EG734" s="1335"/>
      <c r="EH734" s="1335"/>
      <c r="EI734" s="1335"/>
      <c r="EJ734" s="1335">
        <f t="shared" si="28"/>
        <v>0</v>
      </c>
      <c r="EK734" s="1335"/>
      <c r="EL734" s="1335"/>
      <c r="EM734" s="1335"/>
      <c r="EN734" s="1335"/>
      <c r="EO734" s="1335">
        <f t="shared" si="29"/>
        <v>0</v>
      </c>
      <c r="EP734" s="1335"/>
      <c r="EQ734" s="1335"/>
      <c r="ER734" s="1335"/>
      <c r="ES734" s="1335"/>
      <c r="ET734" s="1335">
        <f t="shared" si="30"/>
        <v>0</v>
      </c>
      <c r="EU734" s="1335"/>
      <c r="EV734" s="1335"/>
      <c r="EW734" s="1335"/>
      <c r="EX734" s="1335"/>
      <c r="EY734" s="2"/>
      <c r="EZ734" s="1318" t="str">
        <f t="shared" si="31"/>
        <v/>
      </c>
      <c r="FA734" s="1319"/>
      <c r="FB734" s="1319"/>
      <c r="FC734" s="1319"/>
      <c r="FD734" s="1320"/>
      <c r="FE734" s="1318" t="str">
        <f t="shared" si="32"/>
        <v/>
      </c>
      <c r="FF734" s="1319"/>
      <c r="FG734" s="1319"/>
      <c r="FH734" s="1319"/>
      <c r="FI734" s="1320"/>
      <c r="FJ734" s="1318">
        <f t="shared" si="33"/>
        <v>2234</v>
      </c>
      <c r="FK734" s="1319"/>
      <c r="FL734" s="1319"/>
      <c r="FM734" s="1319"/>
      <c r="FN734" s="1320"/>
      <c r="FO734" s="1318" t="str">
        <f t="shared" si="34"/>
        <v/>
      </c>
      <c r="FP734" s="1319"/>
      <c r="FQ734" s="1319"/>
      <c r="FR734" s="1319"/>
      <c r="FS734" s="1320"/>
      <c r="FT734" s="1318" t="str">
        <f t="shared" si="35"/>
        <v/>
      </c>
      <c r="FU734" s="1319"/>
      <c r="FV734" s="1319"/>
      <c r="FW734" s="1319"/>
      <c r="FX734" s="1320"/>
      <c r="FY734" s="1318" t="str">
        <f t="shared" si="36"/>
        <v/>
      </c>
      <c r="FZ734" s="1319"/>
      <c r="GA734" s="1319"/>
      <c r="GB734" s="1319"/>
      <c r="GC734" s="1320"/>
    </row>
    <row r="735" spans="1:185" ht="13.15" customHeight="1">
      <c r="A735" s="2"/>
      <c r="B735" s="1332" t="s">
        <v>836</v>
      </c>
      <c r="C735" s="1333"/>
      <c r="D735" s="1333"/>
      <c r="E735" s="1333"/>
      <c r="F735" s="1334"/>
      <c r="G735" s="1538">
        <v>9</v>
      </c>
      <c r="H735" s="1539"/>
      <c r="I735" s="1539"/>
      <c r="J735" s="1540"/>
      <c r="K735" s="1545">
        <v>1038</v>
      </c>
      <c r="L735" s="1546"/>
      <c r="M735" s="1546"/>
      <c r="N735" s="1547"/>
      <c r="O735" s="1541">
        <f>1181-193</f>
        <v>988</v>
      </c>
      <c r="P735" s="1542"/>
      <c r="Q735" s="1542"/>
      <c r="R735" s="1542"/>
      <c r="S735" s="1543"/>
      <c r="T735" s="1541">
        <v>193</v>
      </c>
      <c r="U735" s="1542"/>
      <c r="V735" s="1542"/>
      <c r="W735" s="1543"/>
      <c r="X735" s="1385">
        <f t="shared" si="9"/>
        <v>1181</v>
      </c>
      <c r="Y735" s="1386"/>
      <c r="Z735" s="1386"/>
      <c r="AA735" s="1386"/>
      <c r="AB735" s="1387"/>
      <c r="AC735" s="1548">
        <v>0.3</v>
      </c>
      <c r="AD735" s="1549"/>
      <c r="AE735" s="1549"/>
      <c r="AF735" s="1549"/>
      <c r="AG735" s="1550"/>
      <c r="AH735" s="1372">
        <f t="shared" si="37"/>
        <v>0.29989842559674962</v>
      </c>
      <c r="AI735" s="1373"/>
      <c r="AJ735" s="1374"/>
      <c r="AK735" s="1332" t="s">
        <v>816</v>
      </c>
      <c r="AL735" s="1333"/>
      <c r="AM735" s="1333"/>
      <c r="AN735" s="1333"/>
      <c r="AO735" s="1334"/>
      <c r="AP735" s="2"/>
      <c r="AQ735" s="2"/>
      <c r="AR735" s="2"/>
      <c r="AS735" s="2"/>
      <c r="AY735" s="759"/>
      <c r="AZ735" s="68">
        <f t="shared" si="10"/>
        <v>3938</v>
      </c>
      <c r="BA735" s="2"/>
      <c r="BB735" s="2"/>
      <c r="BC735" s="2"/>
      <c r="BD735" s="2"/>
      <c r="BE735" s="114"/>
      <c r="BF735" s="179">
        <f t="shared" si="11"/>
        <v>9</v>
      </c>
      <c r="BG735" s="182">
        <f t="shared" si="12"/>
        <v>5.9602649006622516E-2</v>
      </c>
      <c r="BH735" s="183">
        <f t="shared" si="13"/>
        <v>1.7880794701986755E-2</v>
      </c>
      <c r="BI735" s="2"/>
      <c r="BJ735" s="2"/>
      <c r="BK735" s="2"/>
      <c r="BL735" s="2"/>
      <c r="BM735" s="2"/>
      <c r="BN735" s="2"/>
      <c r="BS735" s="179">
        <f t="shared" si="14"/>
        <v>9</v>
      </c>
      <c r="BT735" s="182">
        <f t="shared" si="15"/>
        <v>5.9602649006622516E-2</v>
      </c>
      <c r="BU735" s="183">
        <f t="shared" si="16"/>
        <v>1.7874740598481764E-2</v>
      </c>
      <c r="BV735" s="2"/>
      <c r="BW735" s="2"/>
      <c r="BX735" s="2"/>
      <c r="BY735" s="2"/>
      <c r="BZ735" s="2"/>
      <c r="CA735" s="2"/>
      <c r="CB735" s="2"/>
      <c r="CC735" s="2"/>
      <c r="CE735" s="2"/>
      <c r="CF735" s="2"/>
      <c r="CG735" s="1318">
        <f t="shared" si="38"/>
        <v>0</v>
      </c>
      <c r="CH735" s="1320"/>
      <c r="CI735" s="1318">
        <f t="shared" si="39"/>
        <v>0</v>
      </c>
      <c r="CJ735" s="1320"/>
      <c r="CK735" s="1318">
        <f t="shared" si="17"/>
        <v>1</v>
      </c>
      <c r="CL735" s="1320"/>
      <c r="CM735" s="1318">
        <f t="shared" si="18"/>
        <v>9</v>
      </c>
      <c r="CN735" s="1320"/>
      <c r="CO735" s="2"/>
      <c r="CP735" s="1315">
        <f t="shared" si="19"/>
        <v>0</v>
      </c>
      <c r="CQ735" s="1316"/>
      <c r="CR735" s="1316"/>
      <c r="CS735" s="1316"/>
      <c r="CT735" s="1317"/>
      <c r="CU735" s="1323">
        <f t="shared" si="20"/>
        <v>0</v>
      </c>
      <c r="CV735" s="1323"/>
      <c r="CW735" s="1323"/>
      <c r="CX735" s="1323"/>
      <c r="CY735" s="1323"/>
      <c r="CZ735" s="1323">
        <f t="shared" si="21"/>
        <v>0</v>
      </c>
      <c r="DA735" s="1323"/>
      <c r="DB735" s="1323"/>
      <c r="DC735" s="1323"/>
      <c r="DD735" s="1323"/>
      <c r="DE735" s="1323">
        <f t="shared" si="22"/>
        <v>9</v>
      </c>
      <c r="DF735" s="1323"/>
      <c r="DG735" s="1323"/>
      <c r="DH735" s="1323"/>
      <c r="DI735" s="1323"/>
      <c r="DJ735" s="1323">
        <f t="shared" si="23"/>
        <v>0</v>
      </c>
      <c r="DK735" s="1323"/>
      <c r="DL735" s="1323"/>
      <c r="DM735" s="1323"/>
      <c r="DN735" s="1323"/>
      <c r="DO735" s="1323">
        <f t="shared" si="24"/>
        <v>0</v>
      </c>
      <c r="DP735" s="1323"/>
      <c r="DQ735" s="1323"/>
      <c r="DR735" s="1323"/>
      <c r="DS735" s="1323"/>
      <c r="DT735" s="1110"/>
      <c r="DU735" s="1335">
        <f t="shared" si="25"/>
        <v>0</v>
      </c>
      <c r="DV735" s="1335"/>
      <c r="DW735" s="1335"/>
      <c r="DX735" s="1335"/>
      <c r="DY735" s="1335"/>
      <c r="DZ735" s="1335">
        <f t="shared" si="26"/>
        <v>0</v>
      </c>
      <c r="EA735" s="1335"/>
      <c r="EB735" s="1335"/>
      <c r="EC735" s="1335"/>
      <c r="ED735" s="1335"/>
      <c r="EE735" s="1335">
        <f t="shared" si="27"/>
        <v>0</v>
      </c>
      <c r="EF735" s="1335"/>
      <c r="EG735" s="1335"/>
      <c r="EH735" s="1335"/>
      <c r="EI735" s="1335"/>
      <c r="EJ735" s="1335">
        <f t="shared" si="28"/>
        <v>9</v>
      </c>
      <c r="EK735" s="1335"/>
      <c r="EL735" s="1335"/>
      <c r="EM735" s="1335"/>
      <c r="EN735" s="1335"/>
      <c r="EO735" s="1335">
        <f t="shared" si="29"/>
        <v>0</v>
      </c>
      <c r="EP735" s="1335"/>
      <c r="EQ735" s="1335"/>
      <c r="ER735" s="1335"/>
      <c r="ES735" s="1335"/>
      <c r="ET735" s="1335">
        <f t="shared" si="30"/>
        <v>0</v>
      </c>
      <c r="EU735" s="1335"/>
      <c r="EV735" s="1335"/>
      <c r="EW735" s="1335"/>
      <c r="EX735" s="1335"/>
      <c r="EY735" s="2"/>
      <c r="EZ735" s="1318" t="str">
        <f t="shared" si="31"/>
        <v/>
      </c>
      <c r="FA735" s="1319"/>
      <c r="FB735" s="1319"/>
      <c r="FC735" s="1319"/>
      <c r="FD735" s="1320"/>
      <c r="FE735" s="1318" t="str">
        <f t="shared" si="32"/>
        <v/>
      </c>
      <c r="FF735" s="1319"/>
      <c r="FG735" s="1319"/>
      <c r="FH735" s="1319"/>
      <c r="FI735" s="1320"/>
      <c r="FJ735" s="1318" t="str">
        <f t="shared" si="33"/>
        <v/>
      </c>
      <c r="FK735" s="1319"/>
      <c r="FL735" s="1319"/>
      <c r="FM735" s="1319"/>
      <c r="FN735" s="1320"/>
      <c r="FO735" s="1318">
        <f t="shared" si="34"/>
        <v>988</v>
      </c>
      <c r="FP735" s="1319"/>
      <c r="FQ735" s="1319"/>
      <c r="FR735" s="1319"/>
      <c r="FS735" s="1320"/>
      <c r="FT735" s="1318" t="str">
        <f t="shared" si="35"/>
        <v/>
      </c>
      <c r="FU735" s="1319"/>
      <c r="FV735" s="1319"/>
      <c r="FW735" s="1319"/>
      <c r="FX735" s="1320"/>
      <c r="FY735" s="1318" t="str">
        <f t="shared" si="36"/>
        <v/>
      </c>
      <c r="FZ735" s="1319"/>
      <c r="GA735" s="1319"/>
      <c r="GB735" s="1319"/>
      <c r="GC735" s="1320"/>
    </row>
    <row r="736" spans="1:185" ht="13.15" customHeight="1">
      <c r="A736" s="2"/>
      <c r="B736" s="1332" t="s">
        <v>836</v>
      </c>
      <c r="C736" s="1333"/>
      <c r="D736" s="1333"/>
      <c r="E736" s="1333"/>
      <c r="F736" s="1334"/>
      <c r="G736" s="1538">
        <v>8</v>
      </c>
      <c r="H736" s="1539"/>
      <c r="I736" s="1539"/>
      <c r="J736" s="1540"/>
      <c r="K736" s="1545">
        <v>1038</v>
      </c>
      <c r="L736" s="1546"/>
      <c r="M736" s="1546"/>
      <c r="N736" s="1547"/>
      <c r="O736" s="1541">
        <v>1776</v>
      </c>
      <c r="P736" s="1542"/>
      <c r="Q736" s="1542"/>
      <c r="R736" s="1542"/>
      <c r="S736" s="1543"/>
      <c r="T736" s="1541">
        <v>193</v>
      </c>
      <c r="U736" s="1542"/>
      <c r="V736" s="1542"/>
      <c r="W736" s="1543"/>
      <c r="X736" s="1385">
        <f t="shared" si="9"/>
        <v>1969</v>
      </c>
      <c r="Y736" s="1386"/>
      <c r="Z736" s="1386"/>
      <c r="AA736" s="1386"/>
      <c r="AB736" s="1387"/>
      <c r="AC736" s="1548">
        <v>0.5</v>
      </c>
      <c r="AD736" s="1549"/>
      <c r="AE736" s="1549"/>
      <c r="AF736" s="1549"/>
      <c r="AG736" s="1550"/>
      <c r="AH736" s="1372">
        <f t="shared" si="37"/>
        <v>0.5</v>
      </c>
      <c r="AI736" s="1373"/>
      <c r="AJ736" s="1374"/>
      <c r="AK736" s="1332" t="s">
        <v>816</v>
      </c>
      <c r="AL736" s="1333"/>
      <c r="AM736" s="1333"/>
      <c r="AN736" s="1333"/>
      <c r="AO736" s="1334"/>
      <c r="AP736" s="2"/>
      <c r="AQ736" s="2"/>
      <c r="AR736" s="2"/>
      <c r="AS736" s="2"/>
      <c r="AY736" s="759"/>
      <c r="AZ736" s="68">
        <f t="shared" si="10"/>
        <v>3938</v>
      </c>
      <c r="BA736" s="2"/>
      <c r="BB736" s="2"/>
      <c r="BC736" s="2"/>
      <c r="BD736" s="2"/>
      <c r="BE736" s="114"/>
      <c r="BF736" s="179">
        <f t="shared" si="11"/>
        <v>8</v>
      </c>
      <c r="BG736" s="182">
        <f t="shared" si="12"/>
        <v>5.2980132450331126E-2</v>
      </c>
      <c r="BH736" s="183">
        <f t="shared" si="13"/>
        <v>2.6490066225165563E-2</v>
      </c>
      <c r="BI736" s="2"/>
      <c r="BJ736" s="2"/>
      <c r="BK736" s="2"/>
      <c r="BL736" s="2"/>
      <c r="BM736" s="2"/>
      <c r="BN736" s="2"/>
      <c r="BS736" s="179">
        <f t="shared" si="14"/>
        <v>8</v>
      </c>
      <c r="BT736" s="182">
        <f t="shared" si="15"/>
        <v>5.2980132450331126E-2</v>
      </c>
      <c r="BU736" s="183">
        <f t="shared" si="16"/>
        <v>2.6490066225165563E-2</v>
      </c>
      <c r="BV736" s="2"/>
      <c r="BW736" s="2"/>
      <c r="BX736" s="2"/>
      <c r="BY736" s="2"/>
      <c r="BZ736" s="2"/>
      <c r="CA736" s="2"/>
      <c r="CB736" s="2"/>
      <c r="CC736" s="2"/>
      <c r="CE736" s="2"/>
      <c r="CF736" s="2"/>
      <c r="CG736" s="1318">
        <f t="shared" si="38"/>
        <v>1</v>
      </c>
      <c r="CH736" s="1320"/>
      <c r="CI736" s="1318">
        <f t="shared" si="39"/>
        <v>8</v>
      </c>
      <c r="CJ736" s="1320"/>
      <c r="CK736" s="1318">
        <f t="shared" si="17"/>
        <v>0</v>
      </c>
      <c r="CL736" s="1320"/>
      <c r="CM736" s="1318">
        <f t="shared" si="18"/>
        <v>0</v>
      </c>
      <c r="CN736" s="1320"/>
      <c r="CO736" s="2"/>
      <c r="CP736" s="1315">
        <f t="shared" si="19"/>
        <v>0</v>
      </c>
      <c r="CQ736" s="1316"/>
      <c r="CR736" s="1316"/>
      <c r="CS736" s="1316"/>
      <c r="CT736" s="1317"/>
      <c r="CU736" s="1323">
        <f t="shared" si="20"/>
        <v>0</v>
      </c>
      <c r="CV736" s="1323"/>
      <c r="CW736" s="1323"/>
      <c r="CX736" s="1323"/>
      <c r="CY736" s="1323"/>
      <c r="CZ736" s="1323">
        <f t="shared" si="21"/>
        <v>0</v>
      </c>
      <c r="DA736" s="1323"/>
      <c r="DB736" s="1323"/>
      <c r="DC736" s="1323"/>
      <c r="DD736" s="1323"/>
      <c r="DE736" s="1323">
        <f t="shared" si="22"/>
        <v>8</v>
      </c>
      <c r="DF736" s="1323"/>
      <c r="DG736" s="1323"/>
      <c r="DH736" s="1323"/>
      <c r="DI736" s="1323"/>
      <c r="DJ736" s="1323">
        <f t="shared" si="23"/>
        <v>0</v>
      </c>
      <c r="DK736" s="1323"/>
      <c r="DL736" s="1323"/>
      <c r="DM736" s="1323"/>
      <c r="DN736" s="1323"/>
      <c r="DO736" s="1323">
        <f t="shared" si="24"/>
        <v>0</v>
      </c>
      <c r="DP736" s="1323"/>
      <c r="DQ736" s="1323"/>
      <c r="DR736" s="1323"/>
      <c r="DS736" s="1323"/>
      <c r="DT736" s="1110"/>
      <c r="DU736" s="1335">
        <f t="shared" si="25"/>
        <v>0</v>
      </c>
      <c r="DV736" s="1335"/>
      <c r="DW736" s="1335"/>
      <c r="DX736" s="1335"/>
      <c r="DY736" s="1335"/>
      <c r="DZ736" s="1335">
        <f t="shared" si="26"/>
        <v>0</v>
      </c>
      <c r="EA736" s="1335"/>
      <c r="EB736" s="1335"/>
      <c r="EC736" s="1335"/>
      <c r="ED736" s="1335"/>
      <c r="EE736" s="1335">
        <f t="shared" si="27"/>
        <v>0</v>
      </c>
      <c r="EF736" s="1335"/>
      <c r="EG736" s="1335"/>
      <c r="EH736" s="1335"/>
      <c r="EI736" s="1335"/>
      <c r="EJ736" s="1335">
        <f t="shared" si="28"/>
        <v>0</v>
      </c>
      <c r="EK736" s="1335"/>
      <c r="EL736" s="1335"/>
      <c r="EM736" s="1335"/>
      <c r="EN736" s="1335"/>
      <c r="EO736" s="1335">
        <f t="shared" si="29"/>
        <v>0</v>
      </c>
      <c r="EP736" s="1335"/>
      <c r="EQ736" s="1335"/>
      <c r="ER736" s="1335"/>
      <c r="ES736" s="1335"/>
      <c r="ET736" s="1335">
        <f t="shared" si="30"/>
        <v>0</v>
      </c>
      <c r="EU736" s="1335"/>
      <c r="EV736" s="1335"/>
      <c r="EW736" s="1335"/>
      <c r="EX736" s="1335"/>
      <c r="EY736" s="2"/>
      <c r="EZ736" s="1318" t="str">
        <f t="shared" si="31"/>
        <v/>
      </c>
      <c r="FA736" s="1319"/>
      <c r="FB736" s="1319"/>
      <c r="FC736" s="1319"/>
      <c r="FD736" s="1320"/>
      <c r="FE736" s="1318" t="str">
        <f t="shared" si="32"/>
        <v/>
      </c>
      <c r="FF736" s="1319"/>
      <c r="FG736" s="1319"/>
      <c r="FH736" s="1319"/>
      <c r="FI736" s="1320"/>
      <c r="FJ736" s="1318" t="str">
        <f t="shared" si="33"/>
        <v/>
      </c>
      <c r="FK736" s="1319"/>
      <c r="FL736" s="1319"/>
      <c r="FM736" s="1319"/>
      <c r="FN736" s="1320"/>
      <c r="FO736" s="1318">
        <f t="shared" si="34"/>
        <v>1776</v>
      </c>
      <c r="FP736" s="1319"/>
      <c r="FQ736" s="1319"/>
      <c r="FR736" s="1319"/>
      <c r="FS736" s="1320"/>
      <c r="FT736" s="1318" t="str">
        <f t="shared" si="35"/>
        <v/>
      </c>
      <c r="FU736" s="1319"/>
      <c r="FV736" s="1319"/>
      <c r="FW736" s="1319"/>
      <c r="FX736" s="1320"/>
      <c r="FY736" s="1318" t="str">
        <f t="shared" si="36"/>
        <v/>
      </c>
      <c r="FZ736" s="1319"/>
      <c r="GA736" s="1319"/>
      <c r="GB736" s="1319"/>
      <c r="GC736" s="1320"/>
    </row>
    <row r="737" spans="1:185" ht="13.15" customHeight="1">
      <c r="A737" s="2"/>
      <c r="B737" s="1332" t="s">
        <v>836</v>
      </c>
      <c r="C737" s="1333"/>
      <c r="D737" s="1333"/>
      <c r="E737" s="1333"/>
      <c r="F737" s="1334"/>
      <c r="G737" s="1538">
        <v>7</v>
      </c>
      <c r="H737" s="1539"/>
      <c r="I737" s="1539"/>
      <c r="J737" s="1540"/>
      <c r="K737" s="1545">
        <v>1038</v>
      </c>
      <c r="L737" s="1546"/>
      <c r="M737" s="1546"/>
      <c r="N737" s="1547"/>
      <c r="O737" s="1541">
        <v>2170</v>
      </c>
      <c r="P737" s="1542"/>
      <c r="Q737" s="1542"/>
      <c r="R737" s="1542"/>
      <c r="S737" s="1543"/>
      <c r="T737" s="1541">
        <v>193</v>
      </c>
      <c r="U737" s="1542"/>
      <c r="V737" s="1542"/>
      <c r="W737" s="1543"/>
      <c r="X737" s="1385">
        <f t="shared" si="9"/>
        <v>2363</v>
      </c>
      <c r="Y737" s="1386"/>
      <c r="Z737" s="1386"/>
      <c r="AA737" s="1386"/>
      <c r="AB737" s="1387"/>
      <c r="AC737" s="1548">
        <v>0.6</v>
      </c>
      <c r="AD737" s="1549"/>
      <c r="AE737" s="1549"/>
      <c r="AF737" s="1549"/>
      <c r="AG737" s="1550"/>
      <c r="AH737" s="1372">
        <f t="shared" si="37"/>
        <v>0.60005078720162519</v>
      </c>
      <c r="AI737" s="1373"/>
      <c r="AJ737" s="1374"/>
      <c r="AK737" s="1332" t="s">
        <v>816</v>
      </c>
      <c r="AL737" s="1333"/>
      <c r="AM737" s="1333"/>
      <c r="AN737" s="1333"/>
      <c r="AO737" s="1334"/>
      <c r="AP737" s="2"/>
      <c r="AQ737" s="2"/>
      <c r="AR737" s="2"/>
      <c r="AS737" s="2"/>
      <c r="AY737" s="759"/>
      <c r="AZ737" s="68">
        <f t="shared" si="10"/>
        <v>3938</v>
      </c>
      <c r="BA737" s="2"/>
      <c r="BB737" s="2"/>
      <c r="BC737" s="2"/>
      <c r="BD737" s="2"/>
      <c r="BE737" s="114"/>
      <c r="BF737" s="179">
        <f t="shared" si="11"/>
        <v>7</v>
      </c>
      <c r="BG737" s="182">
        <f t="shared" si="12"/>
        <v>4.6357615894039736E-2</v>
      </c>
      <c r="BH737" s="183">
        <f t="shared" si="13"/>
        <v>2.781456953642384E-2</v>
      </c>
      <c r="BI737" s="2"/>
      <c r="BJ737" s="2"/>
      <c r="BK737" s="2"/>
      <c r="BL737" s="2"/>
      <c r="BM737" s="2"/>
      <c r="BN737" s="2"/>
      <c r="BS737" s="179">
        <f t="shared" si="14"/>
        <v>7</v>
      </c>
      <c r="BT737" s="182">
        <f t="shared" si="15"/>
        <v>4.6357615894039736E-2</v>
      </c>
      <c r="BU737" s="183">
        <f t="shared" si="16"/>
        <v>2.7816923910009117E-2</v>
      </c>
      <c r="BV737" s="2"/>
      <c r="BW737" s="2"/>
      <c r="BX737" s="2"/>
      <c r="BY737" s="2"/>
      <c r="BZ737" s="2"/>
      <c r="CA737" s="2"/>
      <c r="CB737" s="2"/>
      <c r="CC737" s="2"/>
      <c r="CE737" s="2"/>
      <c r="CF737" s="2"/>
      <c r="CG737" s="1318">
        <f t="shared" si="38"/>
        <v>0</v>
      </c>
      <c r="CH737" s="1320"/>
      <c r="CI737" s="1318">
        <f t="shared" si="39"/>
        <v>0</v>
      </c>
      <c r="CJ737" s="1320"/>
      <c r="CK737" s="1318">
        <f t="shared" si="17"/>
        <v>0</v>
      </c>
      <c r="CL737" s="1320"/>
      <c r="CM737" s="1318">
        <f t="shared" si="18"/>
        <v>0</v>
      </c>
      <c r="CN737" s="1320"/>
      <c r="CO737" s="2"/>
      <c r="CP737" s="1315">
        <f t="shared" si="19"/>
        <v>0</v>
      </c>
      <c r="CQ737" s="1316"/>
      <c r="CR737" s="1316"/>
      <c r="CS737" s="1316"/>
      <c r="CT737" s="1317"/>
      <c r="CU737" s="1323">
        <f t="shared" si="20"/>
        <v>0</v>
      </c>
      <c r="CV737" s="1323"/>
      <c r="CW737" s="1323"/>
      <c r="CX737" s="1323"/>
      <c r="CY737" s="1323"/>
      <c r="CZ737" s="1323">
        <f t="shared" si="21"/>
        <v>0</v>
      </c>
      <c r="DA737" s="1323"/>
      <c r="DB737" s="1323"/>
      <c r="DC737" s="1323"/>
      <c r="DD737" s="1323"/>
      <c r="DE737" s="1323">
        <f t="shared" si="22"/>
        <v>7</v>
      </c>
      <c r="DF737" s="1323"/>
      <c r="DG737" s="1323"/>
      <c r="DH737" s="1323"/>
      <c r="DI737" s="1323"/>
      <c r="DJ737" s="1323">
        <f t="shared" si="23"/>
        <v>0</v>
      </c>
      <c r="DK737" s="1323"/>
      <c r="DL737" s="1323"/>
      <c r="DM737" s="1323"/>
      <c r="DN737" s="1323"/>
      <c r="DO737" s="1323">
        <f t="shared" si="24"/>
        <v>0</v>
      </c>
      <c r="DP737" s="1323"/>
      <c r="DQ737" s="1323"/>
      <c r="DR737" s="1323"/>
      <c r="DS737" s="1323"/>
      <c r="DT737" s="1110"/>
      <c r="DU737" s="1335">
        <f t="shared" si="25"/>
        <v>0</v>
      </c>
      <c r="DV737" s="1335"/>
      <c r="DW737" s="1335"/>
      <c r="DX737" s="1335"/>
      <c r="DY737" s="1335"/>
      <c r="DZ737" s="1335">
        <f t="shared" si="26"/>
        <v>0</v>
      </c>
      <c r="EA737" s="1335"/>
      <c r="EB737" s="1335"/>
      <c r="EC737" s="1335"/>
      <c r="ED737" s="1335"/>
      <c r="EE737" s="1335">
        <f t="shared" si="27"/>
        <v>0</v>
      </c>
      <c r="EF737" s="1335"/>
      <c r="EG737" s="1335"/>
      <c r="EH737" s="1335"/>
      <c r="EI737" s="1335"/>
      <c r="EJ737" s="1335">
        <f t="shared" si="28"/>
        <v>0</v>
      </c>
      <c r="EK737" s="1335"/>
      <c r="EL737" s="1335"/>
      <c r="EM737" s="1335"/>
      <c r="EN737" s="1335"/>
      <c r="EO737" s="1335">
        <f t="shared" si="29"/>
        <v>0</v>
      </c>
      <c r="EP737" s="1335"/>
      <c r="EQ737" s="1335"/>
      <c r="ER737" s="1335"/>
      <c r="ES737" s="1335"/>
      <c r="ET737" s="1335">
        <f t="shared" si="30"/>
        <v>0</v>
      </c>
      <c r="EU737" s="1335"/>
      <c r="EV737" s="1335"/>
      <c r="EW737" s="1335"/>
      <c r="EX737" s="1335"/>
      <c r="EZ737" s="1318" t="str">
        <f t="shared" si="31"/>
        <v/>
      </c>
      <c r="FA737" s="1319"/>
      <c r="FB737" s="1319"/>
      <c r="FC737" s="1319"/>
      <c r="FD737" s="1320"/>
      <c r="FE737" s="1318" t="str">
        <f t="shared" si="32"/>
        <v/>
      </c>
      <c r="FF737" s="1319"/>
      <c r="FG737" s="1319"/>
      <c r="FH737" s="1319"/>
      <c r="FI737" s="1320"/>
      <c r="FJ737" s="1318" t="str">
        <f t="shared" si="33"/>
        <v/>
      </c>
      <c r="FK737" s="1319"/>
      <c r="FL737" s="1319"/>
      <c r="FM737" s="1319"/>
      <c r="FN737" s="1320"/>
      <c r="FO737" s="1318">
        <f t="shared" si="34"/>
        <v>2170</v>
      </c>
      <c r="FP737" s="1319"/>
      <c r="FQ737" s="1319"/>
      <c r="FR737" s="1319"/>
      <c r="FS737" s="1320"/>
      <c r="FT737" s="1318" t="str">
        <f t="shared" si="35"/>
        <v/>
      </c>
      <c r="FU737" s="1319"/>
      <c r="FV737" s="1319"/>
      <c r="FW737" s="1319"/>
      <c r="FX737" s="1320"/>
      <c r="FY737" s="1318" t="str">
        <f t="shared" si="36"/>
        <v/>
      </c>
      <c r="FZ737" s="1319"/>
      <c r="GA737" s="1319"/>
      <c r="GB737" s="1319"/>
      <c r="GC737" s="1320"/>
    </row>
    <row r="738" spans="1:185" ht="13.15" customHeight="1">
      <c r="B738" s="1332" t="s">
        <v>836</v>
      </c>
      <c r="C738" s="1333"/>
      <c r="D738" s="1333"/>
      <c r="E738" s="1333"/>
      <c r="F738" s="1334"/>
      <c r="G738" s="1538">
        <v>15</v>
      </c>
      <c r="H738" s="1539"/>
      <c r="I738" s="1539"/>
      <c r="J738" s="1540"/>
      <c r="K738" s="1545">
        <v>1038</v>
      </c>
      <c r="L738" s="1546"/>
      <c r="M738" s="1546"/>
      <c r="N738" s="1547"/>
      <c r="O738" s="1541">
        <v>2564</v>
      </c>
      <c r="P738" s="1542"/>
      <c r="Q738" s="1542"/>
      <c r="R738" s="1542"/>
      <c r="S738" s="1543"/>
      <c r="T738" s="1541">
        <v>193</v>
      </c>
      <c r="U738" s="1542"/>
      <c r="V738" s="1542"/>
      <c r="W738" s="1543"/>
      <c r="X738" s="1385">
        <f t="shared" si="9"/>
        <v>2757</v>
      </c>
      <c r="Y738" s="1386"/>
      <c r="Z738" s="1386"/>
      <c r="AA738" s="1386"/>
      <c r="AB738" s="1387"/>
      <c r="AC738" s="1548">
        <v>0.7</v>
      </c>
      <c r="AD738" s="1549"/>
      <c r="AE738" s="1549"/>
      <c r="AF738" s="1549"/>
      <c r="AG738" s="1550"/>
      <c r="AH738" s="1372">
        <f t="shared" si="37"/>
        <v>0.70010157440325038</v>
      </c>
      <c r="AI738" s="1373"/>
      <c r="AJ738" s="1374"/>
      <c r="AK738" s="1332" t="s">
        <v>816</v>
      </c>
      <c r="AL738" s="1333"/>
      <c r="AM738" s="1333"/>
      <c r="AN738" s="1333"/>
      <c r="AO738" s="1334"/>
      <c r="AP738" s="2"/>
      <c r="AQ738" s="2"/>
      <c r="AR738" s="2"/>
      <c r="AS738" s="2"/>
      <c r="AY738" s="759"/>
      <c r="AZ738" s="68">
        <f t="shared" si="10"/>
        <v>3938</v>
      </c>
      <c r="BA738" s="2"/>
      <c r="BB738" s="2"/>
      <c r="BC738" s="2"/>
      <c r="BD738" s="2"/>
      <c r="BE738" s="114"/>
      <c r="BF738" s="179">
        <f t="shared" si="11"/>
        <v>15</v>
      </c>
      <c r="BG738" s="182">
        <f t="shared" si="12"/>
        <v>9.9337748344370855E-2</v>
      </c>
      <c r="BH738" s="183">
        <f t="shared" si="13"/>
        <v>6.9536423841059597E-2</v>
      </c>
      <c r="BI738" s="2"/>
      <c r="BJ738" s="2"/>
      <c r="BK738" s="2"/>
      <c r="BL738" s="2"/>
      <c r="BM738" s="2"/>
      <c r="BN738" s="2"/>
      <c r="BS738" s="179">
        <f t="shared" si="14"/>
        <v>15</v>
      </c>
      <c r="BT738" s="182">
        <f t="shared" si="15"/>
        <v>9.9337748344370855E-2</v>
      </c>
      <c r="BU738" s="183">
        <f t="shared" si="16"/>
        <v>6.9546514013567914E-2</v>
      </c>
      <c r="BV738" s="2"/>
      <c r="BW738" s="2"/>
      <c r="BX738" s="2"/>
      <c r="BY738" s="2"/>
      <c r="BZ738" s="2"/>
      <c r="CA738" s="2"/>
      <c r="CB738" s="2"/>
      <c r="CC738" s="2"/>
      <c r="CE738" s="2"/>
      <c r="CF738" s="2"/>
      <c r="CG738" s="1318">
        <f t="shared" si="38"/>
        <v>0</v>
      </c>
      <c r="CH738" s="1320"/>
      <c r="CI738" s="1318">
        <f t="shared" si="39"/>
        <v>0</v>
      </c>
      <c r="CJ738" s="1320"/>
      <c r="CK738" s="1318">
        <f t="shared" si="17"/>
        <v>0</v>
      </c>
      <c r="CL738" s="1320"/>
      <c r="CM738" s="1318">
        <f t="shared" si="18"/>
        <v>0</v>
      </c>
      <c r="CN738" s="1320"/>
      <c r="CO738" s="2"/>
      <c r="CP738" s="1315">
        <f t="shared" si="19"/>
        <v>0</v>
      </c>
      <c r="CQ738" s="1316"/>
      <c r="CR738" s="1316"/>
      <c r="CS738" s="1316"/>
      <c r="CT738" s="1317"/>
      <c r="CU738" s="1323">
        <f t="shared" si="20"/>
        <v>0</v>
      </c>
      <c r="CV738" s="1323"/>
      <c r="CW738" s="1323"/>
      <c r="CX738" s="1323"/>
      <c r="CY738" s="1323"/>
      <c r="CZ738" s="1323">
        <f t="shared" si="21"/>
        <v>0</v>
      </c>
      <c r="DA738" s="1323"/>
      <c r="DB738" s="1323"/>
      <c r="DC738" s="1323"/>
      <c r="DD738" s="1323"/>
      <c r="DE738" s="1323">
        <f t="shared" si="22"/>
        <v>15</v>
      </c>
      <c r="DF738" s="1323"/>
      <c r="DG738" s="1323"/>
      <c r="DH738" s="1323"/>
      <c r="DI738" s="1323"/>
      <c r="DJ738" s="1323">
        <f t="shared" si="23"/>
        <v>0</v>
      </c>
      <c r="DK738" s="1323"/>
      <c r="DL738" s="1323"/>
      <c r="DM738" s="1323"/>
      <c r="DN738" s="1323"/>
      <c r="DO738" s="1323">
        <f t="shared" si="24"/>
        <v>0</v>
      </c>
      <c r="DP738" s="1323"/>
      <c r="DQ738" s="1323"/>
      <c r="DR738" s="1323"/>
      <c r="DS738" s="1323"/>
      <c r="DT738" s="1110"/>
      <c r="DU738" s="1335">
        <f t="shared" si="25"/>
        <v>0</v>
      </c>
      <c r="DV738" s="1335"/>
      <c r="DW738" s="1335"/>
      <c r="DX738" s="1335"/>
      <c r="DY738" s="1335"/>
      <c r="DZ738" s="1335">
        <f t="shared" si="26"/>
        <v>0</v>
      </c>
      <c r="EA738" s="1335"/>
      <c r="EB738" s="1335"/>
      <c r="EC738" s="1335"/>
      <c r="ED738" s="1335"/>
      <c r="EE738" s="1335">
        <f t="shared" si="27"/>
        <v>0</v>
      </c>
      <c r="EF738" s="1335"/>
      <c r="EG738" s="1335"/>
      <c r="EH738" s="1335"/>
      <c r="EI738" s="1335"/>
      <c r="EJ738" s="1335">
        <f t="shared" si="28"/>
        <v>0</v>
      </c>
      <c r="EK738" s="1335"/>
      <c r="EL738" s="1335"/>
      <c r="EM738" s="1335"/>
      <c r="EN738" s="1335"/>
      <c r="EO738" s="1335">
        <f t="shared" si="29"/>
        <v>0</v>
      </c>
      <c r="EP738" s="1335"/>
      <c r="EQ738" s="1335"/>
      <c r="ER738" s="1335"/>
      <c r="ES738" s="1335"/>
      <c r="ET738" s="1335">
        <f t="shared" si="30"/>
        <v>0</v>
      </c>
      <c r="EU738" s="1335"/>
      <c r="EV738" s="1335"/>
      <c r="EW738" s="1335"/>
      <c r="EX738" s="1335"/>
      <c r="EZ738" s="1318" t="str">
        <f t="shared" si="31"/>
        <v/>
      </c>
      <c r="FA738" s="1319"/>
      <c r="FB738" s="1319"/>
      <c r="FC738" s="1319"/>
      <c r="FD738" s="1320"/>
      <c r="FE738" s="1318" t="str">
        <f t="shared" si="32"/>
        <v/>
      </c>
      <c r="FF738" s="1319"/>
      <c r="FG738" s="1319"/>
      <c r="FH738" s="1319"/>
      <c r="FI738" s="1320"/>
      <c r="FJ738" s="1318" t="str">
        <f t="shared" si="33"/>
        <v/>
      </c>
      <c r="FK738" s="1319"/>
      <c r="FL738" s="1319"/>
      <c r="FM738" s="1319"/>
      <c r="FN738" s="1320"/>
      <c r="FO738" s="1318">
        <f t="shared" si="34"/>
        <v>2564</v>
      </c>
      <c r="FP738" s="1319"/>
      <c r="FQ738" s="1319"/>
      <c r="FR738" s="1319"/>
      <c r="FS738" s="1320"/>
      <c r="FT738" s="1318" t="str">
        <f t="shared" si="35"/>
        <v/>
      </c>
      <c r="FU738" s="1319"/>
      <c r="FV738" s="1319"/>
      <c r="FW738" s="1319"/>
      <c r="FX738" s="1320"/>
      <c r="FY738" s="1318" t="str">
        <f t="shared" si="36"/>
        <v/>
      </c>
      <c r="FZ738" s="1319"/>
      <c r="GA738" s="1319"/>
      <c r="GB738" s="1319"/>
      <c r="GC738" s="1320"/>
    </row>
    <row r="739" spans="1:185" ht="13.15" customHeight="1">
      <c r="B739" s="1332"/>
      <c r="C739" s="1333"/>
      <c r="D739" s="1333"/>
      <c r="E739" s="1333"/>
      <c r="F739" s="1334"/>
      <c r="G739" s="1538"/>
      <c r="H739" s="1539"/>
      <c r="I739" s="1539"/>
      <c r="J739" s="1540"/>
      <c r="K739" s="1545"/>
      <c r="L739" s="1546"/>
      <c r="M739" s="1546"/>
      <c r="N739" s="1547"/>
      <c r="O739" s="1541"/>
      <c r="P739" s="1542"/>
      <c r="Q739" s="1542"/>
      <c r="R739" s="1542"/>
      <c r="S739" s="1543"/>
      <c r="T739" s="1541"/>
      <c r="U739" s="1542"/>
      <c r="V739" s="1542"/>
      <c r="W739" s="1543"/>
      <c r="X739" s="1385">
        <f t="shared" si="9"/>
        <v>0</v>
      </c>
      <c r="Y739" s="1386"/>
      <c r="Z739" s="1386"/>
      <c r="AA739" s="1386"/>
      <c r="AB739" s="1387"/>
      <c r="AC739" s="1548"/>
      <c r="AD739" s="1549"/>
      <c r="AE739" s="1549"/>
      <c r="AF739" s="1549"/>
      <c r="AG739" s="1550"/>
      <c r="AH739" s="1372" t="str">
        <f t="shared" si="37"/>
        <v/>
      </c>
      <c r="AI739" s="1373"/>
      <c r="AJ739" s="1374"/>
      <c r="AK739" s="1332" t="s">
        <v>816</v>
      </c>
      <c r="AL739" s="1333"/>
      <c r="AM739" s="1333"/>
      <c r="AN739" s="1333"/>
      <c r="AO739" s="1334"/>
      <c r="AP739" s="2"/>
      <c r="AQ739" s="2"/>
      <c r="AR739" s="2"/>
      <c r="AS739" s="2"/>
      <c r="AY739" s="759"/>
      <c r="AZ739" s="68" t="str">
        <f t="shared" si="10"/>
        <v>N/A</v>
      </c>
      <c r="BA739" s="2"/>
      <c r="BB739" s="2"/>
      <c r="BC739" s="2"/>
      <c r="BD739" s="2"/>
      <c r="BE739" s="114"/>
      <c r="BF739" s="179">
        <f t="shared" si="11"/>
        <v>0</v>
      </c>
      <c r="BG739" s="182">
        <f t="shared" si="12"/>
        <v>0</v>
      </c>
      <c r="BH739" s="183" t="str">
        <f t="shared" si="13"/>
        <v/>
      </c>
      <c r="BI739" s="2"/>
      <c r="BJ739" s="2"/>
      <c r="BK739" s="2"/>
      <c r="BL739" s="2"/>
      <c r="BM739" s="2"/>
      <c r="BN739" s="2"/>
      <c r="BS739" s="179">
        <f t="shared" si="14"/>
        <v>0</v>
      </c>
      <c r="BT739" s="182">
        <f t="shared" si="15"/>
        <v>0</v>
      </c>
      <c r="BU739" s="183" t="str">
        <f t="shared" si="16"/>
        <v/>
      </c>
      <c r="BV739" s="2"/>
      <c r="BW739" s="2"/>
      <c r="BX739" s="2"/>
      <c r="BY739" s="2"/>
      <c r="BZ739" s="2"/>
      <c r="CA739" s="2"/>
      <c r="CB739" s="2"/>
      <c r="CC739" s="2"/>
      <c r="CE739" s="2"/>
      <c r="CF739" s="2"/>
      <c r="CG739" s="1318">
        <f t="shared" si="38"/>
        <v>0</v>
      </c>
      <c r="CH739" s="1320"/>
      <c r="CI739" s="1318">
        <f t="shared" si="39"/>
        <v>0</v>
      </c>
      <c r="CJ739" s="1320"/>
      <c r="CK739" s="1318">
        <f t="shared" si="17"/>
        <v>0</v>
      </c>
      <c r="CL739" s="1320"/>
      <c r="CM739" s="1318">
        <f t="shared" si="18"/>
        <v>0</v>
      </c>
      <c r="CN739" s="1320"/>
      <c r="CO739" s="2"/>
      <c r="CP739" s="1315">
        <f t="shared" si="19"/>
        <v>0</v>
      </c>
      <c r="CQ739" s="1316"/>
      <c r="CR739" s="1316"/>
      <c r="CS739" s="1316"/>
      <c r="CT739" s="1317"/>
      <c r="CU739" s="1323">
        <f t="shared" si="20"/>
        <v>0</v>
      </c>
      <c r="CV739" s="1323"/>
      <c r="CW739" s="1323"/>
      <c r="CX739" s="1323"/>
      <c r="CY739" s="1323"/>
      <c r="CZ739" s="1323">
        <f t="shared" si="21"/>
        <v>0</v>
      </c>
      <c r="DA739" s="1323"/>
      <c r="DB739" s="1323"/>
      <c r="DC739" s="1323"/>
      <c r="DD739" s="1323"/>
      <c r="DE739" s="1323">
        <f t="shared" si="22"/>
        <v>0</v>
      </c>
      <c r="DF739" s="1323"/>
      <c r="DG739" s="1323"/>
      <c r="DH739" s="1323"/>
      <c r="DI739" s="1323"/>
      <c r="DJ739" s="1323">
        <f t="shared" si="23"/>
        <v>0</v>
      </c>
      <c r="DK739" s="1323"/>
      <c r="DL739" s="1323"/>
      <c r="DM739" s="1323"/>
      <c r="DN739" s="1323"/>
      <c r="DO739" s="1323">
        <f t="shared" si="24"/>
        <v>0</v>
      </c>
      <c r="DP739" s="1323"/>
      <c r="DQ739" s="1323"/>
      <c r="DR739" s="1323"/>
      <c r="DS739" s="1323"/>
      <c r="DT739" s="1110"/>
      <c r="DU739" s="1335">
        <f t="shared" si="25"/>
        <v>0</v>
      </c>
      <c r="DV739" s="1335"/>
      <c r="DW739" s="1335"/>
      <c r="DX739" s="1335"/>
      <c r="DY739" s="1335"/>
      <c r="DZ739" s="1335">
        <f t="shared" si="26"/>
        <v>0</v>
      </c>
      <c r="EA739" s="1335"/>
      <c r="EB739" s="1335"/>
      <c r="EC739" s="1335"/>
      <c r="ED739" s="1335"/>
      <c r="EE739" s="1335">
        <f t="shared" si="27"/>
        <v>0</v>
      </c>
      <c r="EF739" s="1335"/>
      <c r="EG739" s="1335"/>
      <c r="EH739" s="1335"/>
      <c r="EI739" s="1335"/>
      <c r="EJ739" s="1335">
        <f t="shared" si="28"/>
        <v>0</v>
      </c>
      <c r="EK739" s="1335"/>
      <c r="EL739" s="1335"/>
      <c r="EM739" s="1335"/>
      <c r="EN739" s="1335"/>
      <c r="EO739" s="1335">
        <f t="shared" si="29"/>
        <v>0</v>
      </c>
      <c r="EP739" s="1335"/>
      <c r="EQ739" s="1335"/>
      <c r="ER739" s="1335"/>
      <c r="ES739" s="1335"/>
      <c r="ET739" s="1335">
        <f t="shared" si="30"/>
        <v>0</v>
      </c>
      <c r="EU739" s="1335"/>
      <c r="EV739" s="1335"/>
      <c r="EW739" s="1335"/>
      <c r="EX739" s="1335"/>
      <c r="EZ739" s="1318" t="str">
        <f t="shared" si="31"/>
        <v/>
      </c>
      <c r="FA739" s="1319"/>
      <c r="FB739" s="1319"/>
      <c r="FC739" s="1319"/>
      <c r="FD739" s="1320"/>
      <c r="FE739" s="1318" t="str">
        <f t="shared" si="32"/>
        <v/>
      </c>
      <c r="FF739" s="1319"/>
      <c r="FG739" s="1319"/>
      <c r="FH739" s="1319"/>
      <c r="FI739" s="1320"/>
      <c r="FJ739" s="1318" t="str">
        <f t="shared" si="33"/>
        <v/>
      </c>
      <c r="FK739" s="1319"/>
      <c r="FL739" s="1319"/>
      <c r="FM739" s="1319"/>
      <c r="FN739" s="1320"/>
      <c r="FO739" s="1318" t="str">
        <f t="shared" si="34"/>
        <v/>
      </c>
      <c r="FP739" s="1319"/>
      <c r="FQ739" s="1319"/>
      <c r="FR739" s="1319"/>
      <c r="FS739" s="1320"/>
      <c r="FT739" s="1318" t="str">
        <f t="shared" si="35"/>
        <v/>
      </c>
      <c r="FU739" s="1319"/>
      <c r="FV739" s="1319"/>
      <c r="FW739" s="1319"/>
      <c r="FX739" s="1320"/>
      <c r="FY739" s="1318" t="str">
        <f t="shared" si="36"/>
        <v/>
      </c>
      <c r="FZ739" s="1319"/>
      <c r="GA739" s="1319"/>
      <c r="GB739" s="1319"/>
      <c r="GC739" s="1320"/>
    </row>
    <row r="740" spans="1:185" ht="13.15" customHeight="1">
      <c r="B740" s="1332"/>
      <c r="C740" s="1333"/>
      <c r="D740" s="1333"/>
      <c r="E740" s="1333"/>
      <c r="F740" s="1334"/>
      <c r="G740" s="1538"/>
      <c r="H740" s="1539"/>
      <c r="I740" s="1539"/>
      <c r="J740" s="1540"/>
      <c r="K740" s="1545"/>
      <c r="L740" s="1546"/>
      <c r="M740" s="1546"/>
      <c r="N740" s="1547"/>
      <c r="O740" s="1541"/>
      <c r="P740" s="1542"/>
      <c r="Q740" s="1542"/>
      <c r="R740" s="1542"/>
      <c r="S740" s="1543"/>
      <c r="T740" s="1541"/>
      <c r="U740" s="1542"/>
      <c r="V740" s="1542"/>
      <c r="W740" s="1543"/>
      <c r="X740" s="1385">
        <f t="shared" si="9"/>
        <v>0</v>
      </c>
      <c r="Y740" s="1386"/>
      <c r="Z740" s="1386"/>
      <c r="AA740" s="1386"/>
      <c r="AB740" s="1387"/>
      <c r="AC740" s="1548"/>
      <c r="AD740" s="1549"/>
      <c r="AE740" s="1549"/>
      <c r="AF740" s="1549"/>
      <c r="AG740" s="1550"/>
      <c r="AH740" s="1372" t="str">
        <f t="shared" si="37"/>
        <v/>
      </c>
      <c r="AI740" s="1373"/>
      <c r="AJ740" s="1374"/>
      <c r="AK740" s="1332" t="s">
        <v>816</v>
      </c>
      <c r="AL740" s="1333"/>
      <c r="AM740" s="1333"/>
      <c r="AN740" s="1333"/>
      <c r="AO740" s="1334"/>
      <c r="AP740" s="2"/>
      <c r="AQ740" s="2"/>
      <c r="AR740" s="2"/>
      <c r="AS740" s="2"/>
      <c r="AY740" s="759"/>
      <c r="AZ740" s="68" t="str">
        <f t="shared" si="10"/>
        <v>N/A</v>
      </c>
      <c r="BA740" s="2"/>
      <c r="BB740" s="2"/>
      <c r="BC740" s="2"/>
      <c r="BD740" s="2"/>
      <c r="BE740" s="114"/>
      <c r="BF740" s="179">
        <f t="shared" si="11"/>
        <v>0</v>
      </c>
      <c r="BG740" s="182">
        <f t="shared" si="12"/>
        <v>0</v>
      </c>
      <c r="BH740" s="183" t="str">
        <f t="shared" si="13"/>
        <v/>
      </c>
      <c r="BI740" s="2"/>
      <c r="BJ740" s="2"/>
      <c r="BK740" s="2"/>
      <c r="BL740" s="2"/>
      <c r="BM740" s="2"/>
      <c r="BN740" s="2"/>
      <c r="BS740" s="179">
        <f t="shared" si="14"/>
        <v>0</v>
      </c>
      <c r="BT740" s="182">
        <f t="shared" si="15"/>
        <v>0</v>
      </c>
      <c r="BU740" s="183" t="str">
        <f t="shared" si="16"/>
        <v/>
      </c>
      <c r="BV740" s="2"/>
      <c r="BW740" s="2"/>
      <c r="BX740" s="2"/>
      <c r="BY740" s="2"/>
      <c r="BZ740" s="2"/>
      <c r="CA740" s="2"/>
      <c r="CB740" s="2"/>
      <c r="CC740" s="2"/>
      <c r="CE740" s="2"/>
      <c r="CF740" s="2"/>
      <c r="CG740" s="1318">
        <f t="shared" si="38"/>
        <v>0</v>
      </c>
      <c r="CH740" s="1320"/>
      <c r="CI740" s="1318">
        <f t="shared" si="39"/>
        <v>0</v>
      </c>
      <c r="CJ740" s="1320"/>
      <c r="CK740" s="1318">
        <f t="shared" si="17"/>
        <v>0</v>
      </c>
      <c r="CL740" s="1320"/>
      <c r="CM740" s="1318">
        <f t="shared" si="18"/>
        <v>0</v>
      </c>
      <c r="CN740" s="1320"/>
      <c r="CO740" s="2"/>
      <c r="CP740" s="1315">
        <f t="shared" si="19"/>
        <v>0</v>
      </c>
      <c r="CQ740" s="1316"/>
      <c r="CR740" s="1316"/>
      <c r="CS740" s="1316"/>
      <c r="CT740" s="1317"/>
      <c r="CU740" s="1323">
        <f t="shared" si="20"/>
        <v>0</v>
      </c>
      <c r="CV740" s="1323"/>
      <c r="CW740" s="1323"/>
      <c r="CX740" s="1323"/>
      <c r="CY740" s="1323"/>
      <c r="CZ740" s="1323">
        <f t="shared" si="21"/>
        <v>0</v>
      </c>
      <c r="DA740" s="1323"/>
      <c r="DB740" s="1323"/>
      <c r="DC740" s="1323"/>
      <c r="DD740" s="1323"/>
      <c r="DE740" s="1323">
        <f t="shared" si="22"/>
        <v>0</v>
      </c>
      <c r="DF740" s="1323"/>
      <c r="DG740" s="1323"/>
      <c r="DH740" s="1323"/>
      <c r="DI740" s="1323"/>
      <c r="DJ740" s="1323">
        <f t="shared" si="23"/>
        <v>0</v>
      </c>
      <c r="DK740" s="1323"/>
      <c r="DL740" s="1323"/>
      <c r="DM740" s="1323"/>
      <c r="DN740" s="1323"/>
      <c r="DO740" s="1323">
        <f t="shared" si="24"/>
        <v>0</v>
      </c>
      <c r="DP740" s="1323"/>
      <c r="DQ740" s="1323"/>
      <c r="DR740" s="1323"/>
      <c r="DS740" s="1323"/>
      <c r="DT740" s="1110"/>
      <c r="DU740" s="1335">
        <f t="shared" si="25"/>
        <v>0</v>
      </c>
      <c r="DV740" s="1335"/>
      <c r="DW740" s="1335"/>
      <c r="DX740" s="1335"/>
      <c r="DY740" s="1335"/>
      <c r="DZ740" s="1335">
        <f t="shared" si="26"/>
        <v>0</v>
      </c>
      <c r="EA740" s="1335"/>
      <c r="EB740" s="1335"/>
      <c r="EC740" s="1335"/>
      <c r="ED740" s="1335"/>
      <c r="EE740" s="1335">
        <f t="shared" si="27"/>
        <v>0</v>
      </c>
      <c r="EF740" s="1335"/>
      <c r="EG740" s="1335"/>
      <c r="EH740" s="1335"/>
      <c r="EI740" s="1335"/>
      <c r="EJ740" s="1335">
        <f t="shared" si="28"/>
        <v>0</v>
      </c>
      <c r="EK740" s="1335"/>
      <c r="EL740" s="1335"/>
      <c r="EM740" s="1335"/>
      <c r="EN740" s="1335"/>
      <c r="EO740" s="1335">
        <f t="shared" si="29"/>
        <v>0</v>
      </c>
      <c r="EP740" s="1335"/>
      <c r="EQ740" s="1335"/>
      <c r="ER740" s="1335"/>
      <c r="ES740" s="1335"/>
      <c r="ET740" s="1335">
        <f t="shared" si="30"/>
        <v>0</v>
      </c>
      <c r="EU740" s="1335"/>
      <c r="EV740" s="1335"/>
      <c r="EW740" s="1335"/>
      <c r="EX740" s="1335"/>
      <c r="EZ740" s="1318" t="str">
        <f t="shared" si="31"/>
        <v/>
      </c>
      <c r="FA740" s="1319"/>
      <c r="FB740" s="1319"/>
      <c r="FC740" s="1319"/>
      <c r="FD740" s="1320"/>
      <c r="FE740" s="1318" t="str">
        <f t="shared" si="32"/>
        <v/>
      </c>
      <c r="FF740" s="1319"/>
      <c r="FG740" s="1319"/>
      <c r="FH740" s="1319"/>
      <c r="FI740" s="1320"/>
      <c r="FJ740" s="1318" t="str">
        <f t="shared" si="33"/>
        <v/>
      </c>
      <c r="FK740" s="1319"/>
      <c r="FL740" s="1319"/>
      <c r="FM740" s="1319"/>
      <c r="FN740" s="1320"/>
      <c r="FO740" s="1318" t="str">
        <f t="shared" si="34"/>
        <v/>
      </c>
      <c r="FP740" s="1319"/>
      <c r="FQ740" s="1319"/>
      <c r="FR740" s="1319"/>
      <c r="FS740" s="1320"/>
      <c r="FT740" s="1318" t="str">
        <f t="shared" si="35"/>
        <v/>
      </c>
      <c r="FU740" s="1319"/>
      <c r="FV740" s="1319"/>
      <c r="FW740" s="1319"/>
      <c r="FX740" s="1320"/>
      <c r="FY740" s="1318" t="str">
        <f t="shared" si="36"/>
        <v/>
      </c>
      <c r="FZ740" s="1319"/>
      <c r="GA740" s="1319"/>
      <c r="GB740" s="1319"/>
      <c r="GC740" s="1320"/>
    </row>
    <row r="741" spans="1:185" ht="13.15" customHeight="1">
      <c r="B741" s="1332"/>
      <c r="C741" s="1333"/>
      <c r="D741" s="1333"/>
      <c r="E741" s="1333"/>
      <c r="F741" s="1334"/>
      <c r="G741" s="1538"/>
      <c r="H741" s="1539"/>
      <c r="I741" s="1539"/>
      <c r="J741" s="1540"/>
      <c r="K741" s="1545"/>
      <c r="L741" s="1546"/>
      <c r="M741" s="1546"/>
      <c r="N741" s="1547"/>
      <c r="O741" s="1541"/>
      <c r="P741" s="1542"/>
      <c r="Q741" s="1542"/>
      <c r="R741" s="1542"/>
      <c r="S741" s="1543"/>
      <c r="T741" s="1541"/>
      <c r="U741" s="1542"/>
      <c r="V741" s="1542"/>
      <c r="W741" s="1543"/>
      <c r="X741" s="1385">
        <f t="shared" si="9"/>
        <v>0</v>
      </c>
      <c r="Y741" s="1386"/>
      <c r="Z741" s="1386"/>
      <c r="AA741" s="1386"/>
      <c r="AB741" s="1387"/>
      <c r="AC741" s="1548"/>
      <c r="AD741" s="1549"/>
      <c r="AE741" s="1549"/>
      <c r="AF741" s="1549"/>
      <c r="AG741" s="1550"/>
      <c r="AH741" s="1372" t="str">
        <f t="shared" si="37"/>
        <v/>
      </c>
      <c r="AI741" s="1373"/>
      <c r="AJ741" s="1374"/>
      <c r="AK741" s="1332" t="s">
        <v>816</v>
      </c>
      <c r="AL741" s="1333"/>
      <c r="AM741" s="1333"/>
      <c r="AN741" s="1333"/>
      <c r="AO741" s="1334"/>
      <c r="AP741" s="2"/>
      <c r="AQ741" s="2"/>
      <c r="AR741" s="2"/>
      <c r="AS741" s="2"/>
      <c r="AY741" s="759"/>
      <c r="AZ741" s="68" t="str">
        <f t="shared" si="10"/>
        <v>N/A</v>
      </c>
      <c r="BA741" s="2"/>
      <c r="BB741" s="2"/>
      <c r="BC741" s="2"/>
      <c r="BD741" s="2"/>
      <c r="BE741" s="114"/>
      <c r="BF741" s="179">
        <f t="shared" si="11"/>
        <v>0</v>
      </c>
      <c r="BG741" s="182">
        <f t="shared" si="12"/>
        <v>0</v>
      </c>
      <c r="BH741" s="183" t="str">
        <f t="shared" si="13"/>
        <v/>
      </c>
      <c r="BI741" s="2"/>
      <c r="BJ741" s="2"/>
      <c r="BK741" s="2"/>
      <c r="BL741" s="2"/>
      <c r="BM741" s="2"/>
      <c r="BN741" s="2"/>
      <c r="BS741" s="179">
        <f t="shared" si="14"/>
        <v>0</v>
      </c>
      <c r="BT741" s="182">
        <f t="shared" si="15"/>
        <v>0</v>
      </c>
      <c r="BU741" s="183" t="str">
        <f t="shared" si="16"/>
        <v/>
      </c>
      <c r="BV741" s="2"/>
      <c r="BW741" s="2"/>
      <c r="BX741" s="2"/>
      <c r="BY741" s="2"/>
      <c r="BZ741" s="2"/>
      <c r="CA741" s="2"/>
      <c r="CB741" s="2"/>
      <c r="CC741" s="2"/>
      <c r="CE741" s="2"/>
      <c r="CF741" s="2"/>
      <c r="CG741" s="1318">
        <f t="shared" si="38"/>
        <v>0</v>
      </c>
      <c r="CH741" s="1320"/>
      <c r="CI741" s="1318">
        <f t="shared" si="39"/>
        <v>0</v>
      </c>
      <c r="CJ741" s="1320"/>
      <c r="CK741" s="1318">
        <f t="shared" si="17"/>
        <v>0</v>
      </c>
      <c r="CL741" s="1320"/>
      <c r="CM741" s="1318">
        <f t="shared" si="18"/>
        <v>0</v>
      </c>
      <c r="CN741" s="1320"/>
      <c r="CO741" s="2"/>
      <c r="CP741" s="1315">
        <f t="shared" si="19"/>
        <v>0</v>
      </c>
      <c r="CQ741" s="1316"/>
      <c r="CR741" s="1316"/>
      <c r="CS741" s="1316"/>
      <c r="CT741" s="1317"/>
      <c r="CU741" s="1323">
        <f t="shared" si="20"/>
        <v>0</v>
      </c>
      <c r="CV741" s="1323"/>
      <c r="CW741" s="1323"/>
      <c r="CX741" s="1323"/>
      <c r="CY741" s="1323"/>
      <c r="CZ741" s="1323">
        <f t="shared" si="21"/>
        <v>0</v>
      </c>
      <c r="DA741" s="1323"/>
      <c r="DB741" s="1323"/>
      <c r="DC741" s="1323"/>
      <c r="DD741" s="1323"/>
      <c r="DE741" s="1323">
        <f t="shared" si="22"/>
        <v>0</v>
      </c>
      <c r="DF741" s="1323"/>
      <c r="DG741" s="1323"/>
      <c r="DH741" s="1323"/>
      <c r="DI741" s="1323"/>
      <c r="DJ741" s="1323">
        <f t="shared" si="23"/>
        <v>0</v>
      </c>
      <c r="DK741" s="1323"/>
      <c r="DL741" s="1323"/>
      <c r="DM741" s="1323"/>
      <c r="DN741" s="1323"/>
      <c r="DO741" s="1323">
        <f t="shared" si="24"/>
        <v>0</v>
      </c>
      <c r="DP741" s="1323"/>
      <c r="DQ741" s="1323"/>
      <c r="DR741" s="1323"/>
      <c r="DS741" s="1323"/>
      <c r="DT741" s="1110"/>
      <c r="DU741" s="1335">
        <f t="shared" si="25"/>
        <v>0</v>
      </c>
      <c r="DV741" s="1335"/>
      <c r="DW741" s="1335"/>
      <c r="DX741" s="1335"/>
      <c r="DY741" s="1335"/>
      <c r="DZ741" s="1335">
        <f t="shared" si="26"/>
        <v>0</v>
      </c>
      <c r="EA741" s="1335"/>
      <c r="EB741" s="1335"/>
      <c r="EC741" s="1335"/>
      <c r="ED741" s="1335"/>
      <c r="EE741" s="1335">
        <f t="shared" si="27"/>
        <v>0</v>
      </c>
      <c r="EF741" s="1335"/>
      <c r="EG741" s="1335"/>
      <c r="EH741" s="1335"/>
      <c r="EI741" s="1335"/>
      <c r="EJ741" s="1335">
        <f t="shared" si="28"/>
        <v>0</v>
      </c>
      <c r="EK741" s="1335"/>
      <c r="EL741" s="1335"/>
      <c r="EM741" s="1335"/>
      <c r="EN741" s="1335"/>
      <c r="EO741" s="1335">
        <f t="shared" si="29"/>
        <v>0</v>
      </c>
      <c r="EP741" s="1335"/>
      <c r="EQ741" s="1335"/>
      <c r="ER741" s="1335"/>
      <c r="ES741" s="1335"/>
      <c r="ET741" s="1335">
        <f t="shared" si="30"/>
        <v>0</v>
      </c>
      <c r="EU741" s="1335"/>
      <c r="EV741" s="1335"/>
      <c r="EW741" s="1335"/>
      <c r="EX741" s="1335"/>
      <c r="EZ741" s="1318" t="str">
        <f t="shared" si="31"/>
        <v/>
      </c>
      <c r="FA741" s="1319"/>
      <c r="FB741" s="1319"/>
      <c r="FC741" s="1319"/>
      <c r="FD741" s="1320"/>
      <c r="FE741" s="1318" t="str">
        <f t="shared" si="32"/>
        <v/>
      </c>
      <c r="FF741" s="1319"/>
      <c r="FG741" s="1319"/>
      <c r="FH741" s="1319"/>
      <c r="FI741" s="1320"/>
      <c r="FJ741" s="1318" t="str">
        <f t="shared" si="33"/>
        <v/>
      </c>
      <c r="FK741" s="1319"/>
      <c r="FL741" s="1319"/>
      <c r="FM741" s="1319"/>
      <c r="FN741" s="1320"/>
      <c r="FO741" s="1318" t="str">
        <f t="shared" si="34"/>
        <v/>
      </c>
      <c r="FP741" s="1319"/>
      <c r="FQ741" s="1319"/>
      <c r="FR741" s="1319"/>
      <c r="FS741" s="1320"/>
      <c r="FT741" s="1318" t="str">
        <f t="shared" si="35"/>
        <v/>
      </c>
      <c r="FU741" s="1319"/>
      <c r="FV741" s="1319"/>
      <c r="FW741" s="1319"/>
      <c r="FX741" s="1320"/>
      <c r="FY741" s="1318" t="str">
        <f t="shared" si="36"/>
        <v/>
      </c>
      <c r="FZ741" s="1319"/>
      <c r="GA741" s="1319"/>
      <c r="GB741" s="1319"/>
      <c r="GC741" s="1320"/>
    </row>
    <row r="742" spans="1:185" ht="13.15" customHeight="1">
      <c r="B742" s="1332"/>
      <c r="C742" s="1333"/>
      <c r="D742" s="1333"/>
      <c r="E742" s="1333"/>
      <c r="F742" s="1334"/>
      <c r="G742" s="1538"/>
      <c r="H742" s="1539"/>
      <c r="I742" s="1539"/>
      <c r="J742" s="1540"/>
      <c r="K742" s="1545"/>
      <c r="L742" s="1546"/>
      <c r="M742" s="1546"/>
      <c r="N742" s="1547"/>
      <c r="O742" s="1541"/>
      <c r="P742" s="1542"/>
      <c r="Q742" s="1542"/>
      <c r="R742" s="1542"/>
      <c r="S742" s="1543"/>
      <c r="T742" s="1541"/>
      <c r="U742" s="1542"/>
      <c r="V742" s="1542"/>
      <c r="W742" s="1543"/>
      <c r="X742" s="1385">
        <f t="shared" si="9"/>
        <v>0</v>
      </c>
      <c r="Y742" s="1386"/>
      <c r="Z742" s="1386"/>
      <c r="AA742" s="1386"/>
      <c r="AB742" s="1387"/>
      <c r="AC742" s="1548"/>
      <c r="AD742" s="1549"/>
      <c r="AE742" s="1549"/>
      <c r="AF742" s="1549"/>
      <c r="AG742" s="1550"/>
      <c r="AH742" s="1372" t="str">
        <f t="shared" si="37"/>
        <v/>
      </c>
      <c r="AI742" s="1373"/>
      <c r="AJ742" s="1374"/>
      <c r="AK742" s="1332" t="s">
        <v>816</v>
      </c>
      <c r="AL742" s="1333"/>
      <c r="AM742" s="1333"/>
      <c r="AN742" s="1333"/>
      <c r="AO742" s="1334"/>
      <c r="AP742" s="2"/>
      <c r="AQ742" s="2"/>
      <c r="AR742" s="2"/>
      <c r="AS742" s="2"/>
      <c r="AY742" s="759"/>
      <c r="AZ742" s="68" t="str">
        <f t="shared" si="10"/>
        <v>N/A</v>
      </c>
      <c r="BA742" s="2"/>
      <c r="BB742" s="2"/>
      <c r="BC742" s="2"/>
      <c r="BD742" s="2"/>
      <c r="BE742" s="114"/>
      <c r="BF742" s="179">
        <f t="shared" si="11"/>
        <v>0</v>
      </c>
      <c r="BG742" s="182">
        <f t="shared" si="12"/>
        <v>0</v>
      </c>
      <c r="BH742" s="183" t="str">
        <f t="shared" si="13"/>
        <v/>
      </c>
      <c r="BI742" s="2"/>
      <c r="BJ742" s="2"/>
      <c r="BK742" s="2"/>
      <c r="BL742" s="2"/>
      <c r="BM742" s="2"/>
      <c r="BN742" s="2"/>
      <c r="BS742" s="179">
        <f t="shared" si="14"/>
        <v>0</v>
      </c>
      <c r="BT742" s="182">
        <f t="shared" si="15"/>
        <v>0</v>
      </c>
      <c r="BU742" s="183" t="str">
        <f t="shared" si="16"/>
        <v/>
      </c>
      <c r="BV742" s="2"/>
      <c r="BW742" s="2"/>
      <c r="BX742" s="2"/>
      <c r="BY742" s="2"/>
      <c r="BZ742" s="2"/>
      <c r="CA742" s="2"/>
      <c r="CB742" s="2"/>
      <c r="CC742" s="2"/>
      <c r="CE742" s="2"/>
      <c r="CF742" s="2"/>
      <c r="CG742" s="1318">
        <f t="shared" si="38"/>
        <v>0</v>
      </c>
      <c r="CH742" s="1320"/>
      <c r="CI742" s="1318">
        <f t="shared" si="39"/>
        <v>0</v>
      </c>
      <c r="CJ742" s="1320"/>
      <c r="CK742" s="1318">
        <f t="shared" si="17"/>
        <v>0</v>
      </c>
      <c r="CL742" s="1320"/>
      <c r="CM742" s="1318">
        <f t="shared" si="18"/>
        <v>0</v>
      </c>
      <c r="CN742" s="1320"/>
      <c r="CO742" s="2"/>
      <c r="CP742" s="1315">
        <f t="shared" si="19"/>
        <v>0</v>
      </c>
      <c r="CQ742" s="1316"/>
      <c r="CR742" s="1316"/>
      <c r="CS742" s="1316"/>
      <c r="CT742" s="1317"/>
      <c r="CU742" s="1323">
        <f t="shared" si="20"/>
        <v>0</v>
      </c>
      <c r="CV742" s="1323"/>
      <c r="CW742" s="1323"/>
      <c r="CX742" s="1323"/>
      <c r="CY742" s="1323"/>
      <c r="CZ742" s="1323">
        <f t="shared" si="21"/>
        <v>0</v>
      </c>
      <c r="DA742" s="1323"/>
      <c r="DB742" s="1323"/>
      <c r="DC742" s="1323"/>
      <c r="DD742" s="1323"/>
      <c r="DE742" s="1323">
        <f t="shared" si="22"/>
        <v>0</v>
      </c>
      <c r="DF742" s="1323"/>
      <c r="DG742" s="1323"/>
      <c r="DH742" s="1323"/>
      <c r="DI742" s="1323"/>
      <c r="DJ742" s="1323">
        <f t="shared" si="23"/>
        <v>0</v>
      </c>
      <c r="DK742" s="1323"/>
      <c r="DL742" s="1323"/>
      <c r="DM742" s="1323"/>
      <c r="DN742" s="1323"/>
      <c r="DO742" s="1323">
        <f t="shared" si="24"/>
        <v>0</v>
      </c>
      <c r="DP742" s="1323"/>
      <c r="DQ742" s="1323"/>
      <c r="DR742" s="1323"/>
      <c r="DS742" s="1323"/>
      <c r="DT742" s="1110"/>
      <c r="DU742" s="1335">
        <f t="shared" si="25"/>
        <v>0</v>
      </c>
      <c r="DV742" s="1335"/>
      <c r="DW742" s="1335"/>
      <c r="DX742" s="1335"/>
      <c r="DY742" s="1335"/>
      <c r="DZ742" s="1335">
        <f t="shared" si="26"/>
        <v>0</v>
      </c>
      <c r="EA742" s="1335"/>
      <c r="EB742" s="1335"/>
      <c r="EC742" s="1335"/>
      <c r="ED742" s="1335"/>
      <c r="EE742" s="1335">
        <f t="shared" si="27"/>
        <v>0</v>
      </c>
      <c r="EF742" s="1335"/>
      <c r="EG742" s="1335"/>
      <c r="EH742" s="1335"/>
      <c r="EI742" s="1335"/>
      <c r="EJ742" s="1335">
        <f t="shared" si="28"/>
        <v>0</v>
      </c>
      <c r="EK742" s="1335"/>
      <c r="EL742" s="1335"/>
      <c r="EM742" s="1335"/>
      <c r="EN742" s="1335"/>
      <c r="EO742" s="1335">
        <f t="shared" si="29"/>
        <v>0</v>
      </c>
      <c r="EP742" s="1335"/>
      <c r="EQ742" s="1335"/>
      <c r="ER742" s="1335"/>
      <c r="ES742" s="1335"/>
      <c r="ET742" s="1335">
        <f t="shared" si="30"/>
        <v>0</v>
      </c>
      <c r="EU742" s="1335"/>
      <c r="EV742" s="1335"/>
      <c r="EW742" s="1335"/>
      <c r="EX742" s="1335"/>
      <c r="EZ742" s="1318" t="str">
        <f t="shared" si="31"/>
        <v/>
      </c>
      <c r="FA742" s="1319"/>
      <c r="FB742" s="1319"/>
      <c r="FC742" s="1319"/>
      <c r="FD742" s="1320"/>
      <c r="FE742" s="1318" t="str">
        <f t="shared" si="32"/>
        <v/>
      </c>
      <c r="FF742" s="1319"/>
      <c r="FG742" s="1319"/>
      <c r="FH742" s="1319"/>
      <c r="FI742" s="1320"/>
      <c r="FJ742" s="1318" t="str">
        <f t="shared" si="33"/>
        <v/>
      </c>
      <c r="FK742" s="1319"/>
      <c r="FL742" s="1319"/>
      <c r="FM742" s="1319"/>
      <c r="FN742" s="1320"/>
      <c r="FO742" s="1318" t="str">
        <f t="shared" si="34"/>
        <v/>
      </c>
      <c r="FP742" s="1319"/>
      <c r="FQ742" s="1319"/>
      <c r="FR742" s="1319"/>
      <c r="FS742" s="1320"/>
      <c r="FT742" s="1318" t="str">
        <f t="shared" si="35"/>
        <v/>
      </c>
      <c r="FU742" s="1319"/>
      <c r="FV742" s="1319"/>
      <c r="FW742" s="1319"/>
      <c r="FX742" s="1320"/>
      <c r="FY742" s="1318" t="str">
        <f t="shared" si="36"/>
        <v/>
      </c>
      <c r="FZ742" s="1319"/>
      <c r="GA742" s="1319"/>
      <c r="GB742" s="1319"/>
      <c r="GC742" s="1320"/>
    </row>
    <row r="743" spans="1:185" ht="13.15" customHeight="1">
      <c r="B743" s="1332"/>
      <c r="C743" s="1333"/>
      <c r="D743" s="1333"/>
      <c r="E743" s="1333"/>
      <c r="F743" s="1334"/>
      <c r="G743" s="1538"/>
      <c r="H743" s="1539"/>
      <c r="I743" s="1539"/>
      <c r="J743" s="1540"/>
      <c r="K743" s="1545"/>
      <c r="L743" s="1546"/>
      <c r="M743" s="1546"/>
      <c r="N743" s="1547"/>
      <c r="O743" s="1541"/>
      <c r="P743" s="1542"/>
      <c r="Q743" s="1542"/>
      <c r="R743" s="1542"/>
      <c r="S743" s="1543"/>
      <c r="T743" s="1541"/>
      <c r="U743" s="1542"/>
      <c r="V743" s="1542"/>
      <c r="W743" s="1543"/>
      <c r="X743" s="1385">
        <f t="shared" si="9"/>
        <v>0</v>
      </c>
      <c r="Y743" s="1386"/>
      <c r="Z743" s="1386"/>
      <c r="AA743" s="1386"/>
      <c r="AB743" s="1387"/>
      <c r="AC743" s="1548"/>
      <c r="AD743" s="1549"/>
      <c r="AE743" s="1549"/>
      <c r="AF743" s="1549"/>
      <c r="AG743" s="1550"/>
      <c r="AH743" s="1372" t="str">
        <f t="shared" si="37"/>
        <v/>
      </c>
      <c r="AI743" s="1373"/>
      <c r="AJ743" s="1374"/>
      <c r="AK743" s="1332" t="s">
        <v>816</v>
      </c>
      <c r="AL743" s="1333"/>
      <c r="AM743" s="1333"/>
      <c r="AN743" s="1333"/>
      <c r="AO743" s="1334"/>
      <c r="AP743" s="2"/>
      <c r="AQ743" s="2"/>
      <c r="AR743" s="2"/>
      <c r="AS743" s="2"/>
      <c r="AY743" s="759"/>
      <c r="AZ743" s="68" t="str">
        <f t="shared" si="10"/>
        <v>N/A</v>
      </c>
      <c r="BA743" s="2"/>
      <c r="BB743" s="2"/>
      <c r="BC743" s="2"/>
      <c r="BD743" s="2"/>
      <c r="BE743" s="114"/>
      <c r="BF743" s="179">
        <f t="shared" si="11"/>
        <v>0</v>
      </c>
      <c r="BG743" s="182">
        <f t="shared" si="12"/>
        <v>0</v>
      </c>
      <c r="BH743" s="183" t="str">
        <f t="shared" si="13"/>
        <v/>
      </c>
      <c r="BI743" s="2"/>
      <c r="BJ743" s="2"/>
      <c r="BK743" s="2"/>
      <c r="BL743" s="2"/>
      <c r="BM743" s="2"/>
      <c r="BN743" s="2"/>
      <c r="BS743" s="179">
        <f t="shared" si="14"/>
        <v>0</v>
      </c>
      <c r="BT743" s="182">
        <f t="shared" si="15"/>
        <v>0</v>
      </c>
      <c r="BU743" s="183" t="str">
        <f t="shared" si="16"/>
        <v/>
      </c>
      <c r="BV743" s="2"/>
      <c r="BW743" s="2"/>
      <c r="BX743" s="2"/>
      <c r="BY743" s="2"/>
      <c r="BZ743" s="2"/>
      <c r="CA743" s="2"/>
      <c r="CB743" s="2"/>
      <c r="CC743" s="2"/>
      <c r="CE743" s="2"/>
      <c r="CF743" s="2"/>
      <c r="CG743" s="1318">
        <f t="shared" si="38"/>
        <v>0</v>
      </c>
      <c r="CH743" s="1320"/>
      <c r="CI743" s="1318">
        <f t="shared" si="39"/>
        <v>0</v>
      </c>
      <c r="CJ743" s="1320"/>
      <c r="CK743" s="1318">
        <f t="shared" si="17"/>
        <v>0</v>
      </c>
      <c r="CL743" s="1320"/>
      <c r="CM743" s="1318">
        <f t="shared" si="18"/>
        <v>0</v>
      </c>
      <c r="CN743" s="1320"/>
      <c r="CO743" s="2"/>
      <c r="CP743" s="1315">
        <f t="shared" si="19"/>
        <v>0</v>
      </c>
      <c r="CQ743" s="1316"/>
      <c r="CR743" s="1316"/>
      <c r="CS743" s="1316"/>
      <c r="CT743" s="1317"/>
      <c r="CU743" s="1323">
        <f t="shared" si="20"/>
        <v>0</v>
      </c>
      <c r="CV743" s="1323"/>
      <c r="CW743" s="1323"/>
      <c r="CX743" s="1323"/>
      <c r="CY743" s="1323"/>
      <c r="CZ743" s="1323">
        <f t="shared" si="21"/>
        <v>0</v>
      </c>
      <c r="DA743" s="1323"/>
      <c r="DB743" s="1323"/>
      <c r="DC743" s="1323"/>
      <c r="DD743" s="1323"/>
      <c r="DE743" s="1323">
        <f t="shared" si="22"/>
        <v>0</v>
      </c>
      <c r="DF743" s="1323"/>
      <c r="DG743" s="1323"/>
      <c r="DH743" s="1323"/>
      <c r="DI743" s="1323"/>
      <c r="DJ743" s="1323">
        <f t="shared" si="23"/>
        <v>0</v>
      </c>
      <c r="DK743" s="1323"/>
      <c r="DL743" s="1323"/>
      <c r="DM743" s="1323"/>
      <c r="DN743" s="1323"/>
      <c r="DO743" s="1323">
        <f t="shared" si="24"/>
        <v>0</v>
      </c>
      <c r="DP743" s="1323"/>
      <c r="DQ743" s="1323"/>
      <c r="DR743" s="1323"/>
      <c r="DS743" s="1323"/>
      <c r="DT743" s="1110"/>
      <c r="DU743" s="1335">
        <f t="shared" si="25"/>
        <v>0</v>
      </c>
      <c r="DV743" s="1335"/>
      <c r="DW743" s="1335"/>
      <c r="DX743" s="1335"/>
      <c r="DY743" s="1335"/>
      <c r="DZ743" s="1335">
        <f t="shared" si="26"/>
        <v>0</v>
      </c>
      <c r="EA743" s="1335"/>
      <c r="EB743" s="1335"/>
      <c r="EC743" s="1335"/>
      <c r="ED743" s="1335"/>
      <c r="EE743" s="1335">
        <f t="shared" si="27"/>
        <v>0</v>
      </c>
      <c r="EF743" s="1335"/>
      <c r="EG743" s="1335"/>
      <c r="EH743" s="1335"/>
      <c r="EI743" s="1335"/>
      <c r="EJ743" s="1335">
        <f t="shared" si="28"/>
        <v>0</v>
      </c>
      <c r="EK743" s="1335"/>
      <c r="EL743" s="1335"/>
      <c r="EM743" s="1335"/>
      <c r="EN743" s="1335"/>
      <c r="EO743" s="1335">
        <f t="shared" si="29"/>
        <v>0</v>
      </c>
      <c r="EP743" s="1335"/>
      <c r="EQ743" s="1335"/>
      <c r="ER743" s="1335"/>
      <c r="ES743" s="1335"/>
      <c r="ET743" s="1335">
        <f t="shared" si="30"/>
        <v>0</v>
      </c>
      <c r="EU743" s="1335"/>
      <c r="EV743" s="1335"/>
      <c r="EW743" s="1335"/>
      <c r="EX743" s="1335"/>
      <c r="EZ743" s="1318" t="str">
        <f t="shared" si="31"/>
        <v/>
      </c>
      <c r="FA743" s="1319"/>
      <c r="FB743" s="1319"/>
      <c r="FC743" s="1319"/>
      <c r="FD743" s="1320"/>
      <c r="FE743" s="1318" t="str">
        <f t="shared" si="32"/>
        <v/>
      </c>
      <c r="FF743" s="1319"/>
      <c r="FG743" s="1319"/>
      <c r="FH743" s="1319"/>
      <c r="FI743" s="1320"/>
      <c r="FJ743" s="1318" t="str">
        <f t="shared" si="33"/>
        <v/>
      </c>
      <c r="FK743" s="1319"/>
      <c r="FL743" s="1319"/>
      <c r="FM743" s="1319"/>
      <c r="FN743" s="1320"/>
      <c r="FO743" s="1318" t="str">
        <f t="shared" si="34"/>
        <v/>
      </c>
      <c r="FP743" s="1319"/>
      <c r="FQ743" s="1319"/>
      <c r="FR743" s="1319"/>
      <c r="FS743" s="1320"/>
      <c r="FT743" s="1318" t="str">
        <f t="shared" si="35"/>
        <v/>
      </c>
      <c r="FU743" s="1319"/>
      <c r="FV743" s="1319"/>
      <c r="FW743" s="1319"/>
      <c r="FX743" s="1320"/>
      <c r="FY743" s="1318" t="str">
        <f t="shared" si="36"/>
        <v/>
      </c>
      <c r="FZ743" s="1319"/>
      <c r="GA743" s="1319"/>
      <c r="GB743" s="1319"/>
      <c r="GC743" s="1320"/>
    </row>
    <row r="744" spans="1:185" ht="13.15" customHeight="1">
      <c r="B744" s="1332"/>
      <c r="C744" s="1333"/>
      <c r="D744" s="1333"/>
      <c r="E744" s="1333"/>
      <c r="F744" s="1334"/>
      <c r="G744" s="1538"/>
      <c r="H744" s="1539"/>
      <c r="I744" s="1539"/>
      <c r="J744" s="1540"/>
      <c r="K744" s="1545"/>
      <c r="L744" s="1546"/>
      <c r="M744" s="1546"/>
      <c r="N744" s="1547"/>
      <c r="O744" s="1541"/>
      <c r="P744" s="1542"/>
      <c r="Q744" s="1542"/>
      <c r="R744" s="1542"/>
      <c r="S744" s="1543"/>
      <c r="T744" s="1541"/>
      <c r="U744" s="1542"/>
      <c r="V744" s="1542"/>
      <c r="W744" s="1543"/>
      <c r="X744" s="1385">
        <f t="shared" si="9"/>
        <v>0</v>
      </c>
      <c r="Y744" s="1386"/>
      <c r="Z744" s="1386"/>
      <c r="AA744" s="1386"/>
      <c r="AB744" s="1387"/>
      <c r="AC744" s="1548"/>
      <c r="AD744" s="1549"/>
      <c r="AE744" s="1549"/>
      <c r="AF744" s="1549"/>
      <c r="AG744" s="1550"/>
      <c r="AH744" s="1372" t="str">
        <f t="shared" si="37"/>
        <v/>
      </c>
      <c r="AI744" s="1373"/>
      <c r="AJ744" s="1374"/>
      <c r="AK744" s="1332" t="s">
        <v>816</v>
      </c>
      <c r="AL744" s="1333"/>
      <c r="AM744" s="1333"/>
      <c r="AN744" s="1333"/>
      <c r="AO744" s="1334"/>
      <c r="AP744" s="2"/>
      <c r="AQ744" s="2"/>
      <c r="AR744" s="2"/>
      <c r="AS744" s="2"/>
      <c r="AY744" s="759"/>
      <c r="AZ744" s="68" t="str">
        <f t="shared" si="10"/>
        <v>N/A</v>
      </c>
      <c r="BA744" s="2"/>
      <c r="BB744" s="2"/>
      <c r="BC744" s="2"/>
      <c r="BD744" s="2"/>
      <c r="BE744" s="114"/>
      <c r="BF744" s="179">
        <f t="shared" si="11"/>
        <v>0</v>
      </c>
      <c r="BG744" s="182">
        <f t="shared" si="12"/>
        <v>0</v>
      </c>
      <c r="BH744" s="183" t="str">
        <f t="shared" si="13"/>
        <v/>
      </c>
      <c r="BI744" s="2"/>
      <c r="BJ744" s="2"/>
      <c r="BK744" s="2"/>
      <c r="BL744" s="2"/>
      <c r="BM744" s="2"/>
      <c r="BN744" s="2"/>
      <c r="BS744" s="179">
        <f t="shared" si="14"/>
        <v>0</v>
      </c>
      <c r="BT744" s="182">
        <f t="shared" si="15"/>
        <v>0</v>
      </c>
      <c r="BU744" s="183" t="str">
        <f t="shared" si="16"/>
        <v/>
      </c>
      <c r="BV744" s="2"/>
      <c r="BW744" s="2"/>
      <c r="BX744" s="2"/>
      <c r="BY744" s="2"/>
      <c r="BZ744" s="2"/>
      <c r="CA744" s="2"/>
      <c r="CB744" s="2"/>
      <c r="CC744" s="2"/>
      <c r="CE744" s="2"/>
      <c r="CF744" s="2"/>
      <c r="CG744" s="1318">
        <f t="shared" si="38"/>
        <v>0</v>
      </c>
      <c r="CH744" s="1320"/>
      <c r="CI744" s="1318">
        <f t="shared" si="39"/>
        <v>0</v>
      </c>
      <c r="CJ744" s="1320"/>
      <c r="CK744" s="1318">
        <f t="shared" si="17"/>
        <v>0</v>
      </c>
      <c r="CL744" s="1320"/>
      <c r="CM744" s="1318">
        <f t="shared" si="18"/>
        <v>0</v>
      </c>
      <c r="CN744" s="1320"/>
      <c r="CO744" s="2"/>
      <c r="CP744" s="1315">
        <f t="shared" si="19"/>
        <v>0</v>
      </c>
      <c r="CQ744" s="1316"/>
      <c r="CR744" s="1316"/>
      <c r="CS744" s="1316"/>
      <c r="CT744" s="1317"/>
      <c r="CU744" s="1323">
        <f t="shared" si="20"/>
        <v>0</v>
      </c>
      <c r="CV744" s="1323"/>
      <c r="CW744" s="1323"/>
      <c r="CX744" s="1323"/>
      <c r="CY744" s="1323"/>
      <c r="CZ744" s="1323">
        <f t="shared" si="21"/>
        <v>0</v>
      </c>
      <c r="DA744" s="1323"/>
      <c r="DB744" s="1323"/>
      <c r="DC744" s="1323"/>
      <c r="DD744" s="1323"/>
      <c r="DE744" s="1323">
        <f t="shared" si="22"/>
        <v>0</v>
      </c>
      <c r="DF744" s="1323"/>
      <c r="DG744" s="1323"/>
      <c r="DH744" s="1323"/>
      <c r="DI744" s="1323"/>
      <c r="DJ744" s="1323">
        <f t="shared" si="23"/>
        <v>0</v>
      </c>
      <c r="DK744" s="1323"/>
      <c r="DL744" s="1323"/>
      <c r="DM744" s="1323"/>
      <c r="DN744" s="1323"/>
      <c r="DO744" s="1323">
        <f t="shared" si="24"/>
        <v>0</v>
      </c>
      <c r="DP744" s="1323"/>
      <c r="DQ744" s="1323"/>
      <c r="DR744" s="1323"/>
      <c r="DS744" s="1323"/>
      <c r="DT744" s="1110"/>
      <c r="DU744" s="1335">
        <f t="shared" si="25"/>
        <v>0</v>
      </c>
      <c r="DV744" s="1335"/>
      <c r="DW744" s="1335"/>
      <c r="DX744" s="1335"/>
      <c r="DY744" s="1335"/>
      <c r="DZ744" s="1335">
        <f t="shared" si="26"/>
        <v>0</v>
      </c>
      <c r="EA744" s="1335"/>
      <c r="EB744" s="1335"/>
      <c r="EC744" s="1335"/>
      <c r="ED744" s="1335"/>
      <c r="EE744" s="1335">
        <f t="shared" si="27"/>
        <v>0</v>
      </c>
      <c r="EF744" s="1335"/>
      <c r="EG744" s="1335"/>
      <c r="EH744" s="1335"/>
      <c r="EI744" s="1335"/>
      <c r="EJ744" s="1335">
        <f t="shared" si="28"/>
        <v>0</v>
      </c>
      <c r="EK744" s="1335"/>
      <c r="EL744" s="1335"/>
      <c r="EM744" s="1335"/>
      <c r="EN744" s="1335"/>
      <c r="EO744" s="1335">
        <f t="shared" si="29"/>
        <v>0</v>
      </c>
      <c r="EP744" s="1335"/>
      <c r="EQ744" s="1335"/>
      <c r="ER744" s="1335"/>
      <c r="ES744" s="1335"/>
      <c r="ET744" s="1335">
        <f t="shared" si="30"/>
        <v>0</v>
      </c>
      <c r="EU744" s="1335"/>
      <c r="EV744" s="1335"/>
      <c r="EW744" s="1335"/>
      <c r="EX744" s="1335"/>
      <c r="EZ744" s="1318" t="str">
        <f t="shared" si="31"/>
        <v/>
      </c>
      <c r="FA744" s="1319"/>
      <c r="FB744" s="1319"/>
      <c r="FC744" s="1319"/>
      <c r="FD744" s="1320"/>
      <c r="FE744" s="1318" t="str">
        <f t="shared" si="32"/>
        <v/>
      </c>
      <c r="FF744" s="1319"/>
      <c r="FG744" s="1319"/>
      <c r="FH744" s="1319"/>
      <c r="FI744" s="1320"/>
      <c r="FJ744" s="1318" t="str">
        <f t="shared" si="33"/>
        <v/>
      </c>
      <c r="FK744" s="1319"/>
      <c r="FL744" s="1319"/>
      <c r="FM744" s="1319"/>
      <c r="FN744" s="1320"/>
      <c r="FO744" s="1318" t="str">
        <f t="shared" si="34"/>
        <v/>
      </c>
      <c r="FP744" s="1319"/>
      <c r="FQ744" s="1319"/>
      <c r="FR744" s="1319"/>
      <c r="FS744" s="1320"/>
      <c r="FT744" s="1318" t="str">
        <f t="shared" si="35"/>
        <v/>
      </c>
      <c r="FU744" s="1319"/>
      <c r="FV744" s="1319"/>
      <c r="FW744" s="1319"/>
      <c r="FX744" s="1320"/>
      <c r="FY744" s="1318" t="str">
        <f t="shared" si="36"/>
        <v/>
      </c>
      <c r="FZ744" s="1319"/>
      <c r="GA744" s="1319"/>
      <c r="GB744" s="1319"/>
      <c r="GC744" s="1320"/>
    </row>
    <row r="745" spans="1:185" ht="13.15" customHeight="1">
      <c r="B745" s="1332"/>
      <c r="C745" s="1333"/>
      <c r="D745" s="1333"/>
      <c r="E745" s="1333"/>
      <c r="F745" s="1334"/>
      <c r="G745" s="1538"/>
      <c r="H745" s="1539"/>
      <c r="I745" s="1539"/>
      <c r="J745" s="1540"/>
      <c r="K745" s="1545"/>
      <c r="L745" s="1546"/>
      <c r="M745" s="1546"/>
      <c r="N745" s="1547"/>
      <c r="O745" s="1541"/>
      <c r="P745" s="1542"/>
      <c r="Q745" s="1542"/>
      <c r="R745" s="1542"/>
      <c r="S745" s="1543"/>
      <c r="T745" s="1541"/>
      <c r="U745" s="1542"/>
      <c r="V745" s="1542"/>
      <c r="W745" s="1543"/>
      <c r="X745" s="1385">
        <f t="shared" si="9"/>
        <v>0</v>
      </c>
      <c r="Y745" s="1386"/>
      <c r="Z745" s="1386"/>
      <c r="AA745" s="1386"/>
      <c r="AB745" s="1387"/>
      <c r="AC745" s="1548"/>
      <c r="AD745" s="1549"/>
      <c r="AE745" s="1549"/>
      <c r="AF745" s="1549"/>
      <c r="AG745" s="1550"/>
      <c r="AH745" s="1372" t="str">
        <f t="shared" si="37"/>
        <v/>
      </c>
      <c r="AI745" s="1373"/>
      <c r="AJ745" s="1374"/>
      <c r="AK745" s="1332" t="s">
        <v>816</v>
      </c>
      <c r="AL745" s="1333"/>
      <c r="AM745" s="1333"/>
      <c r="AN745" s="1333"/>
      <c r="AO745" s="1334"/>
      <c r="AP745" s="2"/>
      <c r="AQ745" s="2"/>
      <c r="AR745" s="2"/>
      <c r="AS745" s="2"/>
      <c r="AY745" s="759"/>
      <c r="AZ745" s="68" t="str">
        <f t="shared" si="10"/>
        <v>N/A</v>
      </c>
      <c r="BA745" s="2"/>
      <c r="BB745" s="2"/>
      <c r="BC745" s="2"/>
      <c r="BD745" s="2"/>
      <c r="BE745" s="114"/>
      <c r="BF745" s="179">
        <f t="shared" si="11"/>
        <v>0</v>
      </c>
      <c r="BG745" s="182">
        <f t="shared" si="12"/>
        <v>0</v>
      </c>
      <c r="BH745" s="183" t="str">
        <f t="shared" si="13"/>
        <v/>
      </c>
      <c r="BI745" s="2"/>
      <c r="BJ745" s="2"/>
      <c r="BK745" s="2"/>
      <c r="BL745" s="2"/>
      <c r="BM745" s="2"/>
      <c r="BN745" s="2"/>
      <c r="BS745" s="179">
        <f t="shared" si="14"/>
        <v>0</v>
      </c>
      <c r="BT745" s="182">
        <f t="shared" si="15"/>
        <v>0</v>
      </c>
      <c r="BU745" s="183" t="str">
        <f t="shared" si="16"/>
        <v/>
      </c>
      <c r="BV745" s="2"/>
      <c r="BW745" s="2"/>
      <c r="BX745" s="2"/>
      <c r="BY745" s="2"/>
      <c r="BZ745" s="2"/>
      <c r="CA745" s="2"/>
      <c r="CB745" s="2"/>
      <c r="CC745" s="2"/>
      <c r="CE745" s="2"/>
      <c r="CF745" s="2"/>
      <c r="CG745" s="1318">
        <f t="shared" si="38"/>
        <v>0</v>
      </c>
      <c r="CH745" s="1320"/>
      <c r="CI745" s="1318">
        <f t="shared" si="39"/>
        <v>0</v>
      </c>
      <c r="CJ745" s="1320"/>
      <c r="CK745" s="1318">
        <f t="shared" si="17"/>
        <v>0</v>
      </c>
      <c r="CL745" s="1320"/>
      <c r="CM745" s="1318">
        <f t="shared" si="18"/>
        <v>0</v>
      </c>
      <c r="CN745" s="1320"/>
      <c r="CO745" s="2"/>
      <c r="CP745" s="1315">
        <f t="shared" si="19"/>
        <v>0</v>
      </c>
      <c r="CQ745" s="1316"/>
      <c r="CR745" s="1316"/>
      <c r="CS745" s="1316"/>
      <c r="CT745" s="1317"/>
      <c r="CU745" s="1323">
        <f t="shared" si="20"/>
        <v>0</v>
      </c>
      <c r="CV745" s="1323"/>
      <c r="CW745" s="1323"/>
      <c r="CX745" s="1323"/>
      <c r="CY745" s="1323"/>
      <c r="CZ745" s="1323">
        <f t="shared" si="21"/>
        <v>0</v>
      </c>
      <c r="DA745" s="1323"/>
      <c r="DB745" s="1323"/>
      <c r="DC745" s="1323"/>
      <c r="DD745" s="1323"/>
      <c r="DE745" s="1323">
        <f t="shared" si="22"/>
        <v>0</v>
      </c>
      <c r="DF745" s="1323"/>
      <c r="DG745" s="1323"/>
      <c r="DH745" s="1323"/>
      <c r="DI745" s="1323"/>
      <c r="DJ745" s="1323">
        <f t="shared" si="23"/>
        <v>0</v>
      </c>
      <c r="DK745" s="1323"/>
      <c r="DL745" s="1323"/>
      <c r="DM745" s="1323"/>
      <c r="DN745" s="1323"/>
      <c r="DO745" s="1323">
        <f t="shared" si="24"/>
        <v>0</v>
      </c>
      <c r="DP745" s="1323"/>
      <c r="DQ745" s="1323"/>
      <c r="DR745" s="1323"/>
      <c r="DS745" s="1323"/>
      <c r="DT745" s="1110"/>
      <c r="DU745" s="1335">
        <f t="shared" si="25"/>
        <v>0</v>
      </c>
      <c r="DV745" s="1335"/>
      <c r="DW745" s="1335"/>
      <c r="DX745" s="1335"/>
      <c r="DY745" s="1335"/>
      <c r="DZ745" s="1335">
        <f t="shared" si="26"/>
        <v>0</v>
      </c>
      <c r="EA745" s="1335"/>
      <c r="EB745" s="1335"/>
      <c r="EC745" s="1335"/>
      <c r="ED745" s="1335"/>
      <c r="EE745" s="1335">
        <f t="shared" si="27"/>
        <v>0</v>
      </c>
      <c r="EF745" s="1335"/>
      <c r="EG745" s="1335"/>
      <c r="EH745" s="1335"/>
      <c r="EI745" s="1335"/>
      <c r="EJ745" s="1335">
        <f t="shared" si="28"/>
        <v>0</v>
      </c>
      <c r="EK745" s="1335"/>
      <c r="EL745" s="1335"/>
      <c r="EM745" s="1335"/>
      <c r="EN745" s="1335"/>
      <c r="EO745" s="1335">
        <f t="shared" si="29"/>
        <v>0</v>
      </c>
      <c r="EP745" s="1335"/>
      <c r="EQ745" s="1335"/>
      <c r="ER745" s="1335"/>
      <c r="ES745" s="1335"/>
      <c r="ET745" s="1335">
        <f t="shared" si="30"/>
        <v>0</v>
      </c>
      <c r="EU745" s="1335"/>
      <c r="EV745" s="1335"/>
      <c r="EW745" s="1335"/>
      <c r="EX745" s="1335"/>
      <c r="EZ745" s="1318" t="str">
        <f t="shared" si="31"/>
        <v/>
      </c>
      <c r="FA745" s="1319"/>
      <c r="FB745" s="1319"/>
      <c r="FC745" s="1319"/>
      <c r="FD745" s="1320"/>
      <c r="FE745" s="1318" t="str">
        <f t="shared" si="32"/>
        <v/>
      </c>
      <c r="FF745" s="1319"/>
      <c r="FG745" s="1319"/>
      <c r="FH745" s="1319"/>
      <c r="FI745" s="1320"/>
      <c r="FJ745" s="1318" t="str">
        <f t="shared" si="33"/>
        <v/>
      </c>
      <c r="FK745" s="1319"/>
      <c r="FL745" s="1319"/>
      <c r="FM745" s="1319"/>
      <c r="FN745" s="1320"/>
      <c r="FO745" s="1318" t="str">
        <f t="shared" si="34"/>
        <v/>
      </c>
      <c r="FP745" s="1319"/>
      <c r="FQ745" s="1319"/>
      <c r="FR745" s="1319"/>
      <c r="FS745" s="1320"/>
      <c r="FT745" s="1318" t="str">
        <f t="shared" si="35"/>
        <v/>
      </c>
      <c r="FU745" s="1319"/>
      <c r="FV745" s="1319"/>
      <c r="FW745" s="1319"/>
      <c r="FX745" s="1320"/>
      <c r="FY745" s="1318" t="str">
        <f t="shared" si="36"/>
        <v/>
      </c>
      <c r="FZ745" s="1319"/>
      <c r="GA745" s="1319"/>
      <c r="GB745" s="1319"/>
      <c r="GC745" s="1320"/>
    </row>
    <row r="746" spans="1:185" ht="13.15" customHeight="1">
      <c r="B746" s="1332"/>
      <c r="C746" s="1333"/>
      <c r="D746" s="1333"/>
      <c r="E746" s="1333"/>
      <c r="F746" s="1334"/>
      <c r="G746" s="1538"/>
      <c r="H746" s="1539"/>
      <c r="I746" s="1539"/>
      <c r="J746" s="1540"/>
      <c r="K746" s="1545"/>
      <c r="L746" s="1546"/>
      <c r="M746" s="1546"/>
      <c r="N746" s="1547"/>
      <c r="O746" s="1541"/>
      <c r="P746" s="1542"/>
      <c r="Q746" s="1542"/>
      <c r="R746" s="1542"/>
      <c r="S746" s="1543"/>
      <c r="T746" s="1541"/>
      <c r="U746" s="1542"/>
      <c r="V746" s="1542"/>
      <c r="W746" s="1543"/>
      <c r="X746" s="1385">
        <f t="shared" si="9"/>
        <v>0</v>
      </c>
      <c r="Y746" s="1386"/>
      <c r="Z746" s="1386"/>
      <c r="AA746" s="1386"/>
      <c r="AB746" s="1387"/>
      <c r="AC746" s="1548"/>
      <c r="AD746" s="1549"/>
      <c r="AE746" s="1549"/>
      <c r="AF746" s="1549"/>
      <c r="AG746" s="1550"/>
      <c r="AH746" s="1372" t="str">
        <f t="shared" si="37"/>
        <v/>
      </c>
      <c r="AI746" s="1373"/>
      <c r="AJ746" s="1374"/>
      <c r="AK746" s="1332" t="s">
        <v>816</v>
      </c>
      <c r="AL746" s="1333"/>
      <c r="AM746" s="1333"/>
      <c r="AN746" s="1333"/>
      <c r="AO746" s="1334"/>
      <c r="AP746" s="2"/>
      <c r="AQ746" s="2"/>
      <c r="AR746" s="2"/>
      <c r="AS746" s="2"/>
      <c r="AY746" s="759"/>
      <c r="AZ746" s="68" t="str">
        <f t="shared" si="10"/>
        <v>N/A</v>
      </c>
      <c r="BA746" s="2"/>
      <c r="BE746" s="114"/>
      <c r="BF746" s="179">
        <f t="shared" si="11"/>
        <v>0</v>
      </c>
      <c r="BG746" s="182">
        <f t="shared" si="12"/>
        <v>0</v>
      </c>
      <c r="BH746" s="183" t="str">
        <f t="shared" si="13"/>
        <v/>
      </c>
      <c r="BK746" s="2"/>
      <c r="BL746" s="2"/>
      <c r="BM746" s="2"/>
      <c r="BN746" s="2"/>
      <c r="BS746" s="179">
        <f t="shared" si="14"/>
        <v>0</v>
      </c>
      <c r="BT746" s="182">
        <f t="shared" si="15"/>
        <v>0</v>
      </c>
      <c r="BU746" s="183" t="str">
        <f t="shared" si="16"/>
        <v/>
      </c>
      <c r="BV746" s="2"/>
      <c r="BW746" s="2"/>
      <c r="BX746" s="2"/>
      <c r="BY746" s="2"/>
      <c r="BZ746" s="2"/>
      <c r="CA746" s="2"/>
      <c r="CB746" s="2"/>
      <c r="CC746" s="2"/>
      <c r="CE746" s="2"/>
      <c r="CF746" s="2"/>
      <c r="CG746" s="1318">
        <f t="shared" si="38"/>
        <v>0</v>
      </c>
      <c r="CH746" s="1320"/>
      <c r="CI746" s="1318">
        <f t="shared" si="39"/>
        <v>0</v>
      </c>
      <c r="CJ746" s="1320"/>
      <c r="CK746" s="1318">
        <f t="shared" si="17"/>
        <v>0</v>
      </c>
      <c r="CL746" s="1320"/>
      <c r="CM746" s="1318">
        <f t="shared" si="18"/>
        <v>0</v>
      </c>
      <c r="CN746" s="1320"/>
      <c r="CO746" s="2"/>
      <c r="CP746" s="1315">
        <f t="shared" si="19"/>
        <v>0</v>
      </c>
      <c r="CQ746" s="1316"/>
      <c r="CR746" s="1316"/>
      <c r="CS746" s="1316"/>
      <c r="CT746" s="1317"/>
      <c r="CU746" s="1323">
        <f t="shared" si="20"/>
        <v>0</v>
      </c>
      <c r="CV746" s="1323"/>
      <c r="CW746" s="1323"/>
      <c r="CX746" s="1323"/>
      <c r="CY746" s="1323"/>
      <c r="CZ746" s="1323">
        <f t="shared" si="21"/>
        <v>0</v>
      </c>
      <c r="DA746" s="1323"/>
      <c r="DB746" s="1323"/>
      <c r="DC746" s="1323"/>
      <c r="DD746" s="1323"/>
      <c r="DE746" s="1323">
        <f t="shared" si="22"/>
        <v>0</v>
      </c>
      <c r="DF746" s="1323"/>
      <c r="DG746" s="1323"/>
      <c r="DH746" s="1323"/>
      <c r="DI746" s="1323"/>
      <c r="DJ746" s="1323">
        <f t="shared" si="23"/>
        <v>0</v>
      </c>
      <c r="DK746" s="1323"/>
      <c r="DL746" s="1323"/>
      <c r="DM746" s="1323"/>
      <c r="DN746" s="1323"/>
      <c r="DO746" s="1323">
        <f t="shared" si="24"/>
        <v>0</v>
      </c>
      <c r="DP746" s="1323"/>
      <c r="DQ746" s="1323"/>
      <c r="DR746" s="1323"/>
      <c r="DS746" s="1323"/>
      <c r="DT746" s="1110"/>
      <c r="DU746" s="1335">
        <f t="shared" si="25"/>
        <v>0</v>
      </c>
      <c r="DV746" s="1335"/>
      <c r="DW746" s="1335"/>
      <c r="DX746" s="1335"/>
      <c r="DY746" s="1335"/>
      <c r="DZ746" s="1335">
        <f t="shared" si="26"/>
        <v>0</v>
      </c>
      <c r="EA746" s="1335"/>
      <c r="EB746" s="1335"/>
      <c r="EC746" s="1335"/>
      <c r="ED746" s="1335"/>
      <c r="EE746" s="1335">
        <f t="shared" si="27"/>
        <v>0</v>
      </c>
      <c r="EF746" s="1335"/>
      <c r="EG746" s="1335"/>
      <c r="EH746" s="1335"/>
      <c r="EI746" s="1335"/>
      <c r="EJ746" s="1335">
        <f t="shared" si="28"/>
        <v>0</v>
      </c>
      <c r="EK746" s="1335"/>
      <c r="EL746" s="1335"/>
      <c r="EM746" s="1335"/>
      <c r="EN746" s="1335"/>
      <c r="EO746" s="1335">
        <f t="shared" si="29"/>
        <v>0</v>
      </c>
      <c r="EP746" s="1335"/>
      <c r="EQ746" s="1335"/>
      <c r="ER746" s="1335"/>
      <c r="ES746" s="1335"/>
      <c r="ET746" s="1335">
        <f t="shared" si="30"/>
        <v>0</v>
      </c>
      <c r="EU746" s="1335"/>
      <c r="EV746" s="1335"/>
      <c r="EW746" s="1335"/>
      <c r="EX746" s="1335"/>
      <c r="EZ746" s="1318" t="str">
        <f t="shared" si="31"/>
        <v/>
      </c>
      <c r="FA746" s="1319"/>
      <c r="FB746" s="1319"/>
      <c r="FC746" s="1319"/>
      <c r="FD746" s="1320"/>
      <c r="FE746" s="1318" t="str">
        <f t="shared" si="32"/>
        <v/>
      </c>
      <c r="FF746" s="1319"/>
      <c r="FG746" s="1319"/>
      <c r="FH746" s="1319"/>
      <c r="FI746" s="1320"/>
      <c r="FJ746" s="1318" t="str">
        <f t="shared" si="33"/>
        <v/>
      </c>
      <c r="FK746" s="1319"/>
      <c r="FL746" s="1319"/>
      <c r="FM746" s="1319"/>
      <c r="FN746" s="1320"/>
      <c r="FO746" s="1318" t="str">
        <f t="shared" si="34"/>
        <v/>
      </c>
      <c r="FP746" s="1319"/>
      <c r="FQ746" s="1319"/>
      <c r="FR746" s="1319"/>
      <c r="FS746" s="1320"/>
      <c r="FT746" s="1318" t="str">
        <f t="shared" si="35"/>
        <v/>
      </c>
      <c r="FU746" s="1319"/>
      <c r="FV746" s="1319"/>
      <c r="FW746" s="1319"/>
      <c r="FX746" s="1320"/>
      <c r="FY746" s="1318" t="str">
        <f t="shared" si="36"/>
        <v/>
      </c>
      <c r="FZ746" s="1319"/>
      <c r="GA746" s="1319"/>
      <c r="GB746" s="1319"/>
      <c r="GC746" s="1320"/>
    </row>
    <row r="747" spans="1:185" ht="13.15" customHeight="1">
      <c r="B747" s="1332"/>
      <c r="C747" s="1333"/>
      <c r="D747" s="1333"/>
      <c r="E747" s="1333"/>
      <c r="F747" s="1334"/>
      <c r="G747" s="1538"/>
      <c r="H747" s="1539"/>
      <c r="I747" s="1539"/>
      <c r="J747" s="1540"/>
      <c r="K747" s="1545"/>
      <c r="L747" s="1546"/>
      <c r="M747" s="1546"/>
      <c r="N747" s="1547"/>
      <c r="O747" s="1541"/>
      <c r="P747" s="1542"/>
      <c r="Q747" s="1542"/>
      <c r="R747" s="1542"/>
      <c r="S747" s="1543"/>
      <c r="T747" s="1541"/>
      <c r="U747" s="1542"/>
      <c r="V747" s="1542"/>
      <c r="W747" s="1543"/>
      <c r="X747" s="1385">
        <f t="shared" si="9"/>
        <v>0</v>
      </c>
      <c r="Y747" s="1386"/>
      <c r="Z747" s="1386"/>
      <c r="AA747" s="1386"/>
      <c r="AB747" s="1387"/>
      <c r="AC747" s="1548"/>
      <c r="AD747" s="1549"/>
      <c r="AE747" s="1549"/>
      <c r="AF747" s="1549"/>
      <c r="AG747" s="1550"/>
      <c r="AH747" s="1372" t="str">
        <f t="shared" si="37"/>
        <v/>
      </c>
      <c r="AI747" s="1373"/>
      <c r="AJ747" s="1374"/>
      <c r="AK747" s="1332" t="s">
        <v>816</v>
      </c>
      <c r="AL747" s="1333"/>
      <c r="AM747" s="1333"/>
      <c r="AN747" s="1333"/>
      <c r="AO747" s="1334"/>
      <c r="AP747" s="2"/>
      <c r="AQ747" s="2"/>
      <c r="AR747" s="2"/>
      <c r="AS747" s="2"/>
      <c r="AY747" s="759"/>
      <c r="AZ747" s="68" t="str">
        <f t="shared" si="10"/>
        <v>N/A</v>
      </c>
      <c r="BA747" s="2"/>
      <c r="BE747" s="114"/>
      <c r="BF747" s="179">
        <f t="shared" si="11"/>
        <v>0</v>
      </c>
      <c r="BG747" s="182">
        <f t="shared" si="12"/>
        <v>0</v>
      </c>
      <c r="BH747" s="183" t="str">
        <f t="shared" si="13"/>
        <v/>
      </c>
      <c r="BK747" s="2"/>
      <c r="BL747" s="2"/>
      <c r="BM747" s="2"/>
      <c r="BN747" s="2"/>
      <c r="BS747" s="179">
        <f t="shared" si="14"/>
        <v>0</v>
      </c>
      <c r="BT747" s="182">
        <f t="shared" si="15"/>
        <v>0</v>
      </c>
      <c r="BU747" s="183" t="str">
        <f t="shared" si="16"/>
        <v/>
      </c>
      <c r="BV747" s="2"/>
      <c r="BW747" s="2"/>
      <c r="BX747" s="2"/>
      <c r="BY747" s="2"/>
      <c r="BZ747" s="2"/>
      <c r="CA747" s="2"/>
      <c r="CB747" s="2"/>
      <c r="CC747" s="2"/>
      <c r="CE747" s="2"/>
      <c r="CF747" s="2"/>
      <c r="CG747" s="1318">
        <f t="shared" si="38"/>
        <v>0</v>
      </c>
      <c r="CH747" s="1320"/>
      <c r="CI747" s="1318">
        <f t="shared" si="39"/>
        <v>0</v>
      </c>
      <c r="CJ747" s="1320"/>
      <c r="CK747" s="1318">
        <f t="shared" si="17"/>
        <v>0</v>
      </c>
      <c r="CL747" s="1320"/>
      <c r="CM747" s="1318">
        <f t="shared" si="18"/>
        <v>0</v>
      </c>
      <c r="CN747" s="1320"/>
      <c r="CO747" s="2"/>
      <c r="CP747" s="1315">
        <f t="shared" si="19"/>
        <v>0</v>
      </c>
      <c r="CQ747" s="1316"/>
      <c r="CR747" s="1316"/>
      <c r="CS747" s="1316"/>
      <c r="CT747" s="1317"/>
      <c r="CU747" s="1323">
        <f t="shared" si="20"/>
        <v>0</v>
      </c>
      <c r="CV747" s="1323"/>
      <c r="CW747" s="1323"/>
      <c r="CX747" s="1323"/>
      <c r="CY747" s="1323"/>
      <c r="CZ747" s="1323">
        <f t="shared" si="21"/>
        <v>0</v>
      </c>
      <c r="DA747" s="1323"/>
      <c r="DB747" s="1323"/>
      <c r="DC747" s="1323"/>
      <c r="DD747" s="1323"/>
      <c r="DE747" s="1323">
        <f t="shared" si="22"/>
        <v>0</v>
      </c>
      <c r="DF747" s="1323"/>
      <c r="DG747" s="1323"/>
      <c r="DH747" s="1323"/>
      <c r="DI747" s="1323"/>
      <c r="DJ747" s="1323">
        <f t="shared" si="23"/>
        <v>0</v>
      </c>
      <c r="DK747" s="1323"/>
      <c r="DL747" s="1323"/>
      <c r="DM747" s="1323"/>
      <c r="DN747" s="1323"/>
      <c r="DO747" s="1323">
        <f t="shared" si="24"/>
        <v>0</v>
      </c>
      <c r="DP747" s="1323"/>
      <c r="DQ747" s="1323"/>
      <c r="DR747" s="1323"/>
      <c r="DS747" s="1323"/>
      <c r="DT747" s="1110"/>
      <c r="DU747" s="1335">
        <f t="shared" si="25"/>
        <v>0</v>
      </c>
      <c r="DV747" s="1335"/>
      <c r="DW747" s="1335"/>
      <c r="DX747" s="1335"/>
      <c r="DY747" s="1335"/>
      <c r="DZ747" s="1335">
        <f t="shared" si="26"/>
        <v>0</v>
      </c>
      <c r="EA747" s="1335"/>
      <c r="EB747" s="1335"/>
      <c r="EC747" s="1335"/>
      <c r="ED747" s="1335"/>
      <c r="EE747" s="1335">
        <f t="shared" si="27"/>
        <v>0</v>
      </c>
      <c r="EF747" s="1335"/>
      <c r="EG747" s="1335"/>
      <c r="EH747" s="1335"/>
      <c r="EI747" s="1335"/>
      <c r="EJ747" s="1335">
        <f t="shared" si="28"/>
        <v>0</v>
      </c>
      <c r="EK747" s="1335"/>
      <c r="EL747" s="1335"/>
      <c r="EM747" s="1335"/>
      <c r="EN747" s="1335"/>
      <c r="EO747" s="1335">
        <f t="shared" si="29"/>
        <v>0</v>
      </c>
      <c r="EP747" s="1335"/>
      <c r="EQ747" s="1335"/>
      <c r="ER747" s="1335"/>
      <c r="ES747" s="1335"/>
      <c r="ET747" s="1335">
        <f t="shared" si="30"/>
        <v>0</v>
      </c>
      <c r="EU747" s="1335"/>
      <c r="EV747" s="1335"/>
      <c r="EW747" s="1335"/>
      <c r="EX747" s="1335"/>
      <c r="EZ747" s="1318" t="str">
        <f t="shared" si="31"/>
        <v/>
      </c>
      <c r="FA747" s="1319"/>
      <c r="FB747" s="1319"/>
      <c r="FC747" s="1319"/>
      <c r="FD747" s="1320"/>
      <c r="FE747" s="1318" t="str">
        <f t="shared" si="32"/>
        <v/>
      </c>
      <c r="FF747" s="1319"/>
      <c r="FG747" s="1319"/>
      <c r="FH747" s="1319"/>
      <c r="FI747" s="1320"/>
      <c r="FJ747" s="1318" t="str">
        <f t="shared" si="33"/>
        <v/>
      </c>
      <c r="FK747" s="1319"/>
      <c r="FL747" s="1319"/>
      <c r="FM747" s="1319"/>
      <c r="FN747" s="1320"/>
      <c r="FO747" s="1318" t="str">
        <f t="shared" si="34"/>
        <v/>
      </c>
      <c r="FP747" s="1319"/>
      <c r="FQ747" s="1319"/>
      <c r="FR747" s="1319"/>
      <c r="FS747" s="1320"/>
      <c r="FT747" s="1318" t="str">
        <f t="shared" si="35"/>
        <v/>
      </c>
      <c r="FU747" s="1319"/>
      <c r="FV747" s="1319"/>
      <c r="FW747" s="1319"/>
      <c r="FX747" s="1320"/>
      <c r="FY747" s="1318" t="str">
        <f t="shared" si="36"/>
        <v/>
      </c>
      <c r="FZ747" s="1319"/>
      <c r="GA747" s="1319"/>
      <c r="GB747" s="1319"/>
      <c r="GC747" s="1320"/>
    </row>
    <row r="748" spans="1:185" ht="13.15" customHeight="1">
      <c r="B748" s="1332"/>
      <c r="C748" s="1333"/>
      <c r="D748" s="1333"/>
      <c r="E748" s="1333"/>
      <c r="F748" s="1334"/>
      <c r="G748" s="1538"/>
      <c r="H748" s="1539"/>
      <c r="I748" s="1539"/>
      <c r="J748" s="1540"/>
      <c r="K748" s="1545"/>
      <c r="L748" s="1546"/>
      <c r="M748" s="1546"/>
      <c r="N748" s="1547"/>
      <c r="O748" s="1541"/>
      <c r="P748" s="1542"/>
      <c r="Q748" s="1542"/>
      <c r="R748" s="1542"/>
      <c r="S748" s="1543"/>
      <c r="T748" s="1541"/>
      <c r="U748" s="1542"/>
      <c r="V748" s="1542"/>
      <c r="W748" s="1543"/>
      <c r="X748" s="1385">
        <f t="shared" si="9"/>
        <v>0</v>
      </c>
      <c r="Y748" s="1386"/>
      <c r="Z748" s="1386"/>
      <c r="AA748" s="1386"/>
      <c r="AB748" s="1387"/>
      <c r="AC748" s="1548"/>
      <c r="AD748" s="1549"/>
      <c r="AE748" s="1549"/>
      <c r="AF748" s="1549"/>
      <c r="AG748" s="1550"/>
      <c r="AH748" s="1372" t="str">
        <f t="shared" si="37"/>
        <v/>
      </c>
      <c r="AI748" s="1373"/>
      <c r="AJ748" s="1374"/>
      <c r="AK748" s="1332" t="s">
        <v>816</v>
      </c>
      <c r="AL748" s="1333"/>
      <c r="AM748" s="1333"/>
      <c r="AN748" s="1333"/>
      <c r="AO748" s="1334"/>
      <c r="AP748" s="2"/>
      <c r="AQ748" s="2"/>
      <c r="AR748" s="2"/>
      <c r="AS748" s="2"/>
      <c r="AY748" s="759"/>
      <c r="AZ748" s="68" t="str">
        <f t="shared" si="10"/>
        <v>N/A</v>
      </c>
      <c r="BA748" s="2"/>
      <c r="BE748" s="114"/>
      <c r="BF748" s="179">
        <f t="shared" si="11"/>
        <v>0</v>
      </c>
      <c r="BG748" s="182">
        <f t="shared" si="12"/>
        <v>0</v>
      </c>
      <c r="BH748" s="183" t="str">
        <f t="shared" si="13"/>
        <v/>
      </c>
      <c r="BK748" s="2"/>
      <c r="BL748" s="2"/>
      <c r="BM748" s="2"/>
      <c r="BN748" s="2"/>
      <c r="BS748" s="179">
        <f t="shared" si="14"/>
        <v>0</v>
      </c>
      <c r="BT748" s="182">
        <f t="shared" si="15"/>
        <v>0</v>
      </c>
      <c r="BU748" s="183" t="str">
        <f t="shared" si="16"/>
        <v/>
      </c>
      <c r="BV748" s="2"/>
      <c r="BW748" s="2"/>
      <c r="BX748" s="2"/>
      <c r="BY748" s="2"/>
      <c r="BZ748" s="2"/>
      <c r="CA748" s="2"/>
      <c r="CB748" s="2"/>
      <c r="CC748" s="2"/>
      <c r="CE748" s="2"/>
      <c r="CF748" s="2"/>
      <c r="CG748" s="1318">
        <f t="shared" si="38"/>
        <v>0</v>
      </c>
      <c r="CH748" s="1320"/>
      <c r="CI748" s="1318">
        <f t="shared" si="39"/>
        <v>0</v>
      </c>
      <c r="CJ748" s="1320"/>
      <c r="CK748" s="1318">
        <f t="shared" si="17"/>
        <v>0</v>
      </c>
      <c r="CL748" s="1320"/>
      <c r="CM748" s="1318">
        <f t="shared" si="18"/>
        <v>0</v>
      </c>
      <c r="CN748" s="1320"/>
      <c r="CO748" s="2"/>
      <c r="CP748" s="1315">
        <f t="shared" si="19"/>
        <v>0</v>
      </c>
      <c r="CQ748" s="1316"/>
      <c r="CR748" s="1316"/>
      <c r="CS748" s="1316"/>
      <c r="CT748" s="1317"/>
      <c r="CU748" s="1323">
        <f t="shared" si="20"/>
        <v>0</v>
      </c>
      <c r="CV748" s="1323"/>
      <c r="CW748" s="1323"/>
      <c r="CX748" s="1323"/>
      <c r="CY748" s="1323"/>
      <c r="CZ748" s="1323">
        <f t="shared" si="21"/>
        <v>0</v>
      </c>
      <c r="DA748" s="1323"/>
      <c r="DB748" s="1323"/>
      <c r="DC748" s="1323"/>
      <c r="DD748" s="1323"/>
      <c r="DE748" s="1323">
        <f t="shared" si="22"/>
        <v>0</v>
      </c>
      <c r="DF748" s="1323"/>
      <c r="DG748" s="1323"/>
      <c r="DH748" s="1323"/>
      <c r="DI748" s="1323"/>
      <c r="DJ748" s="1323">
        <f t="shared" si="23"/>
        <v>0</v>
      </c>
      <c r="DK748" s="1323"/>
      <c r="DL748" s="1323"/>
      <c r="DM748" s="1323"/>
      <c r="DN748" s="1323"/>
      <c r="DO748" s="1323">
        <f t="shared" si="24"/>
        <v>0</v>
      </c>
      <c r="DP748" s="1323"/>
      <c r="DQ748" s="1323"/>
      <c r="DR748" s="1323"/>
      <c r="DS748" s="1323"/>
      <c r="DT748" s="1110"/>
      <c r="DU748" s="1335">
        <f t="shared" si="25"/>
        <v>0</v>
      </c>
      <c r="DV748" s="1335"/>
      <c r="DW748" s="1335"/>
      <c r="DX748" s="1335"/>
      <c r="DY748" s="1335"/>
      <c r="DZ748" s="1335">
        <f t="shared" si="26"/>
        <v>0</v>
      </c>
      <c r="EA748" s="1335"/>
      <c r="EB748" s="1335"/>
      <c r="EC748" s="1335"/>
      <c r="ED748" s="1335"/>
      <c r="EE748" s="1335">
        <f t="shared" si="27"/>
        <v>0</v>
      </c>
      <c r="EF748" s="1335"/>
      <c r="EG748" s="1335"/>
      <c r="EH748" s="1335"/>
      <c r="EI748" s="1335"/>
      <c r="EJ748" s="1335">
        <f t="shared" si="28"/>
        <v>0</v>
      </c>
      <c r="EK748" s="1335"/>
      <c r="EL748" s="1335"/>
      <c r="EM748" s="1335"/>
      <c r="EN748" s="1335"/>
      <c r="EO748" s="1335">
        <f t="shared" si="29"/>
        <v>0</v>
      </c>
      <c r="EP748" s="1335"/>
      <c r="EQ748" s="1335"/>
      <c r="ER748" s="1335"/>
      <c r="ES748" s="1335"/>
      <c r="ET748" s="1335">
        <f t="shared" si="30"/>
        <v>0</v>
      </c>
      <c r="EU748" s="1335"/>
      <c r="EV748" s="1335"/>
      <c r="EW748" s="1335"/>
      <c r="EX748" s="1335"/>
      <c r="EZ748" s="1318" t="str">
        <f t="shared" si="31"/>
        <v/>
      </c>
      <c r="FA748" s="1319"/>
      <c r="FB748" s="1319"/>
      <c r="FC748" s="1319"/>
      <c r="FD748" s="1320"/>
      <c r="FE748" s="1318" t="str">
        <f t="shared" si="32"/>
        <v/>
      </c>
      <c r="FF748" s="1319"/>
      <c r="FG748" s="1319"/>
      <c r="FH748" s="1319"/>
      <c r="FI748" s="1320"/>
      <c r="FJ748" s="1318" t="str">
        <f t="shared" si="33"/>
        <v/>
      </c>
      <c r="FK748" s="1319"/>
      <c r="FL748" s="1319"/>
      <c r="FM748" s="1319"/>
      <c r="FN748" s="1320"/>
      <c r="FO748" s="1318" t="str">
        <f t="shared" si="34"/>
        <v/>
      </c>
      <c r="FP748" s="1319"/>
      <c r="FQ748" s="1319"/>
      <c r="FR748" s="1319"/>
      <c r="FS748" s="1320"/>
      <c r="FT748" s="1318" t="str">
        <f t="shared" si="35"/>
        <v/>
      </c>
      <c r="FU748" s="1319"/>
      <c r="FV748" s="1319"/>
      <c r="FW748" s="1319"/>
      <c r="FX748" s="1320"/>
      <c r="FY748" s="1318" t="str">
        <f t="shared" si="36"/>
        <v/>
      </c>
      <c r="FZ748" s="1319"/>
      <c r="GA748" s="1319"/>
      <c r="GB748" s="1319"/>
      <c r="GC748" s="1320"/>
    </row>
    <row r="749" spans="1:185" ht="13.15" customHeight="1">
      <c r="B749" s="1332"/>
      <c r="C749" s="1333"/>
      <c r="D749" s="1333"/>
      <c r="E749" s="1333"/>
      <c r="F749" s="1334"/>
      <c r="G749" s="1538"/>
      <c r="H749" s="1539"/>
      <c r="I749" s="1539"/>
      <c r="J749" s="1540"/>
      <c r="K749" s="1545"/>
      <c r="L749" s="1546"/>
      <c r="M749" s="1546"/>
      <c r="N749" s="1547"/>
      <c r="O749" s="1541"/>
      <c r="P749" s="1542"/>
      <c r="Q749" s="1542"/>
      <c r="R749" s="1542"/>
      <c r="S749" s="1543"/>
      <c r="T749" s="1541"/>
      <c r="U749" s="1542"/>
      <c r="V749" s="1542"/>
      <c r="W749" s="1543"/>
      <c r="X749" s="1385">
        <f t="shared" si="9"/>
        <v>0</v>
      </c>
      <c r="Y749" s="1386"/>
      <c r="Z749" s="1386"/>
      <c r="AA749" s="1386"/>
      <c r="AB749" s="1387"/>
      <c r="AC749" s="1548"/>
      <c r="AD749" s="1549"/>
      <c r="AE749" s="1549"/>
      <c r="AF749" s="1549"/>
      <c r="AG749" s="1550"/>
      <c r="AH749" s="1372" t="str">
        <f t="shared" si="37"/>
        <v/>
      </c>
      <c r="AI749" s="1373"/>
      <c r="AJ749" s="1374"/>
      <c r="AK749" s="1332" t="s">
        <v>816</v>
      </c>
      <c r="AL749" s="1333"/>
      <c r="AM749" s="1333"/>
      <c r="AN749" s="1333"/>
      <c r="AO749" s="1334"/>
      <c r="AP749" s="2"/>
      <c r="AQ749" s="2"/>
      <c r="AR749" s="2"/>
      <c r="AS749" s="2"/>
      <c r="AY749" s="759"/>
      <c r="AZ749" s="68" t="str">
        <f t="shared" si="10"/>
        <v>N/A</v>
      </c>
      <c r="BA749" s="2"/>
      <c r="BE749" s="114"/>
      <c r="BF749" s="179">
        <f t="shared" si="11"/>
        <v>0</v>
      </c>
      <c r="BG749" s="182">
        <f t="shared" si="12"/>
        <v>0</v>
      </c>
      <c r="BH749" s="183" t="str">
        <f t="shared" si="13"/>
        <v/>
      </c>
      <c r="BK749" s="2"/>
      <c r="BL749" s="2"/>
      <c r="BM749" s="2"/>
      <c r="BN749" s="2"/>
      <c r="BS749" s="179">
        <f t="shared" si="14"/>
        <v>0</v>
      </c>
      <c r="BT749" s="182">
        <f t="shared" si="15"/>
        <v>0</v>
      </c>
      <c r="BU749" s="183" t="str">
        <f t="shared" si="16"/>
        <v/>
      </c>
      <c r="BV749" s="2"/>
      <c r="BW749" s="2"/>
      <c r="BX749" s="2"/>
      <c r="BY749" s="2"/>
      <c r="BZ749" s="2"/>
      <c r="CA749" s="2"/>
      <c r="CB749" s="2"/>
      <c r="CC749" s="2"/>
      <c r="CE749" s="2"/>
      <c r="CF749" s="2"/>
      <c r="CG749" s="1318">
        <f t="shared" si="38"/>
        <v>0</v>
      </c>
      <c r="CH749" s="1320"/>
      <c r="CI749" s="1318">
        <f t="shared" si="39"/>
        <v>0</v>
      </c>
      <c r="CJ749" s="1320"/>
      <c r="CK749" s="1318">
        <f t="shared" si="17"/>
        <v>0</v>
      </c>
      <c r="CL749" s="1320"/>
      <c r="CM749" s="1318">
        <f t="shared" si="18"/>
        <v>0</v>
      </c>
      <c r="CN749" s="1320"/>
      <c r="CO749" s="2"/>
      <c r="CP749" s="1315">
        <f t="shared" si="19"/>
        <v>0</v>
      </c>
      <c r="CQ749" s="1316"/>
      <c r="CR749" s="1316"/>
      <c r="CS749" s="1316"/>
      <c r="CT749" s="1317"/>
      <c r="CU749" s="1323">
        <f t="shared" si="20"/>
        <v>0</v>
      </c>
      <c r="CV749" s="1323"/>
      <c r="CW749" s="1323"/>
      <c r="CX749" s="1323"/>
      <c r="CY749" s="1323"/>
      <c r="CZ749" s="1323">
        <f t="shared" si="21"/>
        <v>0</v>
      </c>
      <c r="DA749" s="1323"/>
      <c r="DB749" s="1323"/>
      <c r="DC749" s="1323"/>
      <c r="DD749" s="1323"/>
      <c r="DE749" s="1323">
        <f t="shared" si="22"/>
        <v>0</v>
      </c>
      <c r="DF749" s="1323"/>
      <c r="DG749" s="1323"/>
      <c r="DH749" s="1323"/>
      <c r="DI749" s="1323"/>
      <c r="DJ749" s="1323">
        <f t="shared" si="23"/>
        <v>0</v>
      </c>
      <c r="DK749" s="1323"/>
      <c r="DL749" s="1323"/>
      <c r="DM749" s="1323"/>
      <c r="DN749" s="1323"/>
      <c r="DO749" s="1323">
        <f t="shared" si="24"/>
        <v>0</v>
      </c>
      <c r="DP749" s="1323"/>
      <c r="DQ749" s="1323"/>
      <c r="DR749" s="1323"/>
      <c r="DS749" s="1323"/>
      <c r="DT749" s="1110"/>
      <c r="DU749" s="1335">
        <f t="shared" si="25"/>
        <v>0</v>
      </c>
      <c r="DV749" s="1335"/>
      <c r="DW749" s="1335"/>
      <c r="DX749" s="1335"/>
      <c r="DY749" s="1335"/>
      <c r="DZ749" s="1335">
        <f t="shared" si="26"/>
        <v>0</v>
      </c>
      <c r="EA749" s="1335"/>
      <c r="EB749" s="1335"/>
      <c r="EC749" s="1335"/>
      <c r="ED749" s="1335"/>
      <c r="EE749" s="1335">
        <f t="shared" si="27"/>
        <v>0</v>
      </c>
      <c r="EF749" s="1335"/>
      <c r="EG749" s="1335"/>
      <c r="EH749" s="1335"/>
      <c r="EI749" s="1335"/>
      <c r="EJ749" s="1335">
        <f t="shared" si="28"/>
        <v>0</v>
      </c>
      <c r="EK749" s="1335"/>
      <c r="EL749" s="1335"/>
      <c r="EM749" s="1335"/>
      <c r="EN749" s="1335"/>
      <c r="EO749" s="1335">
        <f t="shared" si="29"/>
        <v>0</v>
      </c>
      <c r="EP749" s="1335"/>
      <c r="EQ749" s="1335"/>
      <c r="ER749" s="1335"/>
      <c r="ES749" s="1335"/>
      <c r="ET749" s="1335">
        <f t="shared" si="30"/>
        <v>0</v>
      </c>
      <c r="EU749" s="1335"/>
      <c r="EV749" s="1335"/>
      <c r="EW749" s="1335"/>
      <c r="EX749" s="1335"/>
      <c r="EZ749" s="1318" t="str">
        <f t="shared" si="31"/>
        <v/>
      </c>
      <c r="FA749" s="1319"/>
      <c r="FB749" s="1319"/>
      <c r="FC749" s="1319"/>
      <c r="FD749" s="1320"/>
      <c r="FE749" s="1318" t="str">
        <f t="shared" si="32"/>
        <v/>
      </c>
      <c r="FF749" s="1319"/>
      <c r="FG749" s="1319"/>
      <c r="FH749" s="1319"/>
      <c r="FI749" s="1320"/>
      <c r="FJ749" s="1318" t="str">
        <f t="shared" si="33"/>
        <v/>
      </c>
      <c r="FK749" s="1319"/>
      <c r="FL749" s="1319"/>
      <c r="FM749" s="1319"/>
      <c r="FN749" s="1320"/>
      <c r="FO749" s="1318" t="str">
        <f t="shared" si="34"/>
        <v/>
      </c>
      <c r="FP749" s="1319"/>
      <c r="FQ749" s="1319"/>
      <c r="FR749" s="1319"/>
      <c r="FS749" s="1320"/>
      <c r="FT749" s="1318" t="str">
        <f t="shared" si="35"/>
        <v/>
      </c>
      <c r="FU749" s="1319"/>
      <c r="FV749" s="1319"/>
      <c r="FW749" s="1319"/>
      <c r="FX749" s="1320"/>
      <c r="FY749" s="1318" t="str">
        <f t="shared" si="36"/>
        <v/>
      </c>
      <c r="FZ749" s="1319"/>
      <c r="GA749" s="1319"/>
      <c r="GB749" s="1319"/>
      <c r="GC749" s="1320"/>
    </row>
    <row r="750" spans="1:185" ht="13.15" customHeight="1">
      <c r="B750" s="1332"/>
      <c r="C750" s="1333"/>
      <c r="D750" s="1333"/>
      <c r="E750" s="1333"/>
      <c r="F750" s="1334"/>
      <c r="G750" s="1538"/>
      <c r="H750" s="1539"/>
      <c r="I750" s="1539"/>
      <c r="J750" s="1540"/>
      <c r="K750" s="1545"/>
      <c r="L750" s="1546"/>
      <c r="M750" s="1546"/>
      <c r="N750" s="1547"/>
      <c r="O750" s="1541"/>
      <c r="P750" s="1542"/>
      <c r="Q750" s="1542"/>
      <c r="R750" s="1542"/>
      <c r="S750" s="1543"/>
      <c r="T750" s="1541"/>
      <c r="U750" s="1542"/>
      <c r="V750" s="1542"/>
      <c r="W750" s="1543"/>
      <c r="X750" s="1385">
        <f t="shared" ref="X750:X759" si="40">O750+T750</f>
        <v>0</v>
      </c>
      <c r="Y750" s="1386"/>
      <c r="Z750" s="1386"/>
      <c r="AA750" s="1386"/>
      <c r="AB750" s="1387"/>
      <c r="AC750" s="1548"/>
      <c r="AD750" s="1549"/>
      <c r="AE750" s="1549"/>
      <c r="AF750" s="1549"/>
      <c r="AG750" s="1550"/>
      <c r="AH750" s="1372" t="str">
        <f t="shared" si="37"/>
        <v/>
      </c>
      <c r="AI750" s="1373"/>
      <c r="AJ750" s="1374"/>
      <c r="AK750" s="1332" t="s">
        <v>816</v>
      </c>
      <c r="AL750" s="1333"/>
      <c r="AM750" s="1333"/>
      <c r="AN750" s="1333"/>
      <c r="AO750" s="1334"/>
      <c r="AP750" s="2"/>
      <c r="AQ750" s="2"/>
      <c r="AR750" s="2"/>
      <c r="AS750" s="2"/>
      <c r="AY750" s="759"/>
      <c r="AZ750" s="68" t="str">
        <f t="shared" si="10"/>
        <v>N/A</v>
      </c>
      <c r="BA750" s="2"/>
      <c r="BB750" s="2"/>
      <c r="BE750" s="114"/>
      <c r="BF750" s="179">
        <f t="shared" si="11"/>
        <v>0</v>
      </c>
      <c r="BG750" s="182">
        <f t="shared" si="12"/>
        <v>0</v>
      </c>
      <c r="BH750" s="183" t="str">
        <f t="shared" si="13"/>
        <v/>
      </c>
      <c r="BL750" s="2"/>
      <c r="BM750" s="2"/>
      <c r="BN750" s="2"/>
      <c r="BS750" s="179">
        <f t="shared" si="14"/>
        <v>0</v>
      </c>
      <c r="BT750" s="182">
        <f t="shared" si="15"/>
        <v>0</v>
      </c>
      <c r="BU750" s="183" t="str">
        <f t="shared" si="16"/>
        <v/>
      </c>
      <c r="BV750" s="2"/>
      <c r="BW750" s="2"/>
      <c r="BX750" s="2"/>
      <c r="BY750" s="2"/>
      <c r="BZ750" s="2"/>
      <c r="CA750" s="2"/>
      <c r="CB750" s="2"/>
      <c r="CC750" s="2"/>
      <c r="CE750" s="2"/>
      <c r="CF750" s="2"/>
      <c r="CG750" s="1318">
        <f t="shared" si="38"/>
        <v>0</v>
      </c>
      <c r="CH750" s="1320"/>
      <c r="CI750" s="1318">
        <f t="shared" si="39"/>
        <v>0</v>
      </c>
      <c r="CJ750" s="1320"/>
      <c r="CK750" s="1318">
        <f t="shared" si="17"/>
        <v>0</v>
      </c>
      <c r="CL750" s="1320"/>
      <c r="CM750" s="1318">
        <f t="shared" si="18"/>
        <v>0</v>
      </c>
      <c r="CN750" s="1320"/>
      <c r="CO750" s="2"/>
      <c r="CP750" s="1315">
        <f t="shared" si="19"/>
        <v>0</v>
      </c>
      <c r="CQ750" s="1316"/>
      <c r="CR750" s="1316"/>
      <c r="CS750" s="1316"/>
      <c r="CT750" s="1317"/>
      <c r="CU750" s="1323">
        <f t="shared" si="20"/>
        <v>0</v>
      </c>
      <c r="CV750" s="1323"/>
      <c r="CW750" s="1323"/>
      <c r="CX750" s="1323"/>
      <c r="CY750" s="1323"/>
      <c r="CZ750" s="1323">
        <f t="shared" si="21"/>
        <v>0</v>
      </c>
      <c r="DA750" s="1323"/>
      <c r="DB750" s="1323"/>
      <c r="DC750" s="1323"/>
      <c r="DD750" s="1323"/>
      <c r="DE750" s="1323">
        <f t="shared" si="22"/>
        <v>0</v>
      </c>
      <c r="DF750" s="1323"/>
      <c r="DG750" s="1323"/>
      <c r="DH750" s="1323"/>
      <c r="DI750" s="1323"/>
      <c r="DJ750" s="1323">
        <f t="shared" si="23"/>
        <v>0</v>
      </c>
      <c r="DK750" s="1323"/>
      <c r="DL750" s="1323"/>
      <c r="DM750" s="1323"/>
      <c r="DN750" s="1323"/>
      <c r="DO750" s="1323">
        <f t="shared" si="24"/>
        <v>0</v>
      </c>
      <c r="DP750" s="1323"/>
      <c r="DQ750" s="1323"/>
      <c r="DR750" s="1323"/>
      <c r="DS750" s="1323"/>
      <c r="DT750" s="1110"/>
      <c r="DU750" s="1335">
        <f t="shared" si="25"/>
        <v>0</v>
      </c>
      <c r="DV750" s="1335"/>
      <c r="DW750" s="1335"/>
      <c r="DX750" s="1335"/>
      <c r="DY750" s="1335"/>
      <c r="DZ750" s="1335">
        <f t="shared" si="26"/>
        <v>0</v>
      </c>
      <c r="EA750" s="1335"/>
      <c r="EB750" s="1335"/>
      <c r="EC750" s="1335"/>
      <c r="ED750" s="1335"/>
      <c r="EE750" s="1335">
        <f t="shared" si="27"/>
        <v>0</v>
      </c>
      <c r="EF750" s="1335"/>
      <c r="EG750" s="1335"/>
      <c r="EH750" s="1335"/>
      <c r="EI750" s="1335"/>
      <c r="EJ750" s="1335">
        <f t="shared" si="28"/>
        <v>0</v>
      </c>
      <c r="EK750" s="1335"/>
      <c r="EL750" s="1335"/>
      <c r="EM750" s="1335"/>
      <c r="EN750" s="1335"/>
      <c r="EO750" s="1335">
        <f t="shared" si="29"/>
        <v>0</v>
      </c>
      <c r="EP750" s="1335"/>
      <c r="EQ750" s="1335"/>
      <c r="ER750" s="1335"/>
      <c r="ES750" s="1335"/>
      <c r="ET750" s="1335">
        <f t="shared" si="30"/>
        <v>0</v>
      </c>
      <c r="EU750" s="1335"/>
      <c r="EV750" s="1335"/>
      <c r="EW750" s="1335"/>
      <c r="EX750" s="1335"/>
      <c r="EZ750" s="1318" t="str">
        <f t="shared" si="31"/>
        <v/>
      </c>
      <c r="FA750" s="1319"/>
      <c r="FB750" s="1319"/>
      <c r="FC750" s="1319"/>
      <c r="FD750" s="1320"/>
      <c r="FE750" s="1318" t="str">
        <f t="shared" si="32"/>
        <v/>
      </c>
      <c r="FF750" s="1319"/>
      <c r="FG750" s="1319"/>
      <c r="FH750" s="1319"/>
      <c r="FI750" s="1320"/>
      <c r="FJ750" s="1318" t="str">
        <f t="shared" si="33"/>
        <v/>
      </c>
      <c r="FK750" s="1319"/>
      <c r="FL750" s="1319"/>
      <c r="FM750" s="1319"/>
      <c r="FN750" s="1320"/>
      <c r="FO750" s="1318" t="str">
        <f t="shared" si="34"/>
        <v/>
      </c>
      <c r="FP750" s="1319"/>
      <c r="FQ750" s="1319"/>
      <c r="FR750" s="1319"/>
      <c r="FS750" s="1320"/>
      <c r="FT750" s="1318" t="str">
        <f t="shared" si="35"/>
        <v/>
      </c>
      <c r="FU750" s="1319"/>
      <c r="FV750" s="1319"/>
      <c r="FW750" s="1319"/>
      <c r="FX750" s="1320"/>
      <c r="FY750" s="1318" t="str">
        <f t="shared" si="36"/>
        <v/>
      </c>
      <c r="FZ750" s="1319"/>
      <c r="GA750" s="1319"/>
      <c r="GB750" s="1319"/>
      <c r="GC750" s="1320"/>
    </row>
    <row r="751" spans="1:185" s="2" customFormat="1" ht="13.15" customHeight="1">
      <c r="A751"/>
      <c r="B751" s="1332"/>
      <c r="C751" s="1333"/>
      <c r="D751" s="1333"/>
      <c r="E751" s="1333"/>
      <c r="F751" s="1334"/>
      <c r="G751" s="1538"/>
      <c r="H751" s="1539"/>
      <c r="I751" s="1539"/>
      <c r="J751" s="1540"/>
      <c r="K751" s="1545"/>
      <c r="L751" s="1546"/>
      <c r="M751" s="1546"/>
      <c r="N751" s="1547"/>
      <c r="O751" s="1541"/>
      <c r="P751" s="1542"/>
      <c r="Q751" s="1542"/>
      <c r="R751" s="1542"/>
      <c r="S751" s="1543"/>
      <c r="T751" s="1541"/>
      <c r="U751" s="1542"/>
      <c r="V751" s="1542"/>
      <c r="W751" s="1543"/>
      <c r="X751" s="1385">
        <f t="shared" si="40"/>
        <v>0</v>
      </c>
      <c r="Y751" s="1386"/>
      <c r="Z751" s="1386"/>
      <c r="AA751" s="1386"/>
      <c r="AB751" s="1387"/>
      <c r="AC751" s="1548"/>
      <c r="AD751" s="1549"/>
      <c r="AE751" s="1549"/>
      <c r="AF751" s="1549"/>
      <c r="AG751" s="1550"/>
      <c r="AH751" s="1372" t="str">
        <f t="shared" si="37"/>
        <v/>
      </c>
      <c r="AI751" s="1373"/>
      <c r="AJ751" s="1374"/>
      <c r="AK751" s="1332" t="s">
        <v>816</v>
      </c>
      <c r="AL751" s="1333"/>
      <c r="AM751" s="1333"/>
      <c r="AN751" s="1333"/>
      <c r="AO751" s="1334"/>
      <c r="AT751"/>
      <c r="AU751"/>
      <c r="AV751"/>
      <c r="AW751"/>
      <c r="AX751"/>
      <c r="AY751" s="759"/>
      <c r="AZ751" s="68" t="str">
        <f t="shared" si="10"/>
        <v>N/A</v>
      </c>
      <c r="BD751"/>
      <c r="BE751"/>
      <c r="BF751" s="179">
        <f t="shared" si="11"/>
        <v>0</v>
      </c>
      <c r="BG751" s="182">
        <f t="shared" si="12"/>
        <v>0</v>
      </c>
      <c r="BH751" s="183" t="str">
        <f t="shared" si="13"/>
        <v/>
      </c>
      <c r="BI751"/>
      <c r="BJ751"/>
      <c r="BK751"/>
      <c r="BL751"/>
      <c r="BM751"/>
      <c r="BN751"/>
      <c r="BO751"/>
      <c r="BP751"/>
      <c r="BQ751"/>
      <c r="BR751"/>
      <c r="BS751" s="179">
        <f t="shared" si="14"/>
        <v>0</v>
      </c>
      <c r="BT751" s="182">
        <f t="shared" si="15"/>
        <v>0</v>
      </c>
      <c r="BU751" s="183" t="str">
        <f t="shared" si="16"/>
        <v/>
      </c>
      <c r="CD751"/>
      <c r="CG751" s="1318">
        <f t="shared" si="38"/>
        <v>0</v>
      </c>
      <c r="CH751" s="1320"/>
      <c r="CI751" s="1318">
        <f t="shared" si="39"/>
        <v>0</v>
      </c>
      <c r="CJ751" s="1320"/>
      <c r="CK751" s="1318">
        <f t="shared" si="17"/>
        <v>0</v>
      </c>
      <c r="CL751" s="1320"/>
      <c r="CM751" s="1318">
        <f t="shared" si="18"/>
        <v>0</v>
      </c>
      <c r="CN751" s="1320"/>
      <c r="CP751" s="1315">
        <f t="shared" si="19"/>
        <v>0</v>
      </c>
      <c r="CQ751" s="1316"/>
      <c r="CR751" s="1316"/>
      <c r="CS751" s="1316"/>
      <c r="CT751" s="1317"/>
      <c r="CU751" s="1323">
        <f t="shared" si="20"/>
        <v>0</v>
      </c>
      <c r="CV751" s="1323"/>
      <c r="CW751" s="1323"/>
      <c r="CX751" s="1323"/>
      <c r="CY751" s="1323"/>
      <c r="CZ751" s="1323">
        <f t="shared" si="21"/>
        <v>0</v>
      </c>
      <c r="DA751" s="1323"/>
      <c r="DB751" s="1323"/>
      <c r="DC751" s="1323"/>
      <c r="DD751" s="1323"/>
      <c r="DE751" s="1323">
        <f t="shared" si="22"/>
        <v>0</v>
      </c>
      <c r="DF751" s="1323"/>
      <c r="DG751" s="1323"/>
      <c r="DH751" s="1323"/>
      <c r="DI751" s="1323"/>
      <c r="DJ751" s="1323">
        <f t="shared" si="23"/>
        <v>0</v>
      </c>
      <c r="DK751" s="1323"/>
      <c r="DL751" s="1323"/>
      <c r="DM751" s="1323"/>
      <c r="DN751" s="1323"/>
      <c r="DO751" s="1323">
        <f t="shared" si="24"/>
        <v>0</v>
      </c>
      <c r="DP751" s="1323"/>
      <c r="DQ751" s="1323"/>
      <c r="DR751" s="1323"/>
      <c r="DS751" s="1323"/>
      <c r="DT751" s="1110"/>
      <c r="DU751" s="1335">
        <f t="shared" si="25"/>
        <v>0</v>
      </c>
      <c r="DV751" s="1335"/>
      <c r="DW751" s="1335"/>
      <c r="DX751" s="1335"/>
      <c r="DY751" s="1335"/>
      <c r="DZ751" s="1335">
        <f t="shared" si="26"/>
        <v>0</v>
      </c>
      <c r="EA751" s="1335"/>
      <c r="EB751" s="1335"/>
      <c r="EC751" s="1335"/>
      <c r="ED751" s="1335"/>
      <c r="EE751" s="1335">
        <f t="shared" si="27"/>
        <v>0</v>
      </c>
      <c r="EF751" s="1335"/>
      <c r="EG751" s="1335"/>
      <c r="EH751" s="1335"/>
      <c r="EI751" s="1335"/>
      <c r="EJ751" s="1335">
        <f t="shared" si="28"/>
        <v>0</v>
      </c>
      <c r="EK751" s="1335"/>
      <c r="EL751" s="1335"/>
      <c r="EM751" s="1335"/>
      <c r="EN751" s="1335"/>
      <c r="EO751" s="1335">
        <f t="shared" si="29"/>
        <v>0</v>
      </c>
      <c r="EP751" s="1335"/>
      <c r="EQ751" s="1335"/>
      <c r="ER751" s="1335"/>
      <c r="ES751" s="1335"/>
      <c r="ET751" s="1335">
        <f t="shared" si="30"/>
        <v>0</v>
      </c>
      <c r="EU751" s="1335"/>
      <c r="EV751" s="1335"/>
      <c r="EW751" s="1335"/>
      <c r="EX751" s="1335"/>
      <c r="EY751"/>
      <c r="EZ751" s="1318" t="str">
        <f t="shared" si="31"/>
        <v/>
      </c>
      <c r="FA751" s="1319"/>
      <c r="FB751" s="1319"/>
      <c r="FC751" s="1319"/>
      <c r="FD751" s="1320"/>
      <c r="FE751" s="1318" t="str">
        <f t="shared" si="32"/>
        <v/>
      </c>
      <c r="FF751" s="1319"/>
      <c r="FG751" s="1319"/>
      <c r="FH751" s="1319"/>
      <c r="FI751" s="1320"/>
      <c r="FJ751" s="1318" t="str">
        <f t="shared" si="33"/>
        <v/>
      </c>
      <c r="FK751" s="1319"/>
      <c r="FL751" s="1319"/>
      <c r="FM751" s="1319"/>
      <c r="FN751" s="1320"/>
      <c r="FO751" s="1318" t="str">
        <f t="shared" si="34"/>
        <v/>
      </c>
      <c r="FP751" s="1319"/>
      <c r="FQ751" s="1319"/>
      <c r="FR751" s="1319"/>
      <c r="FS751" s="1320"/>
      <c r="FT751" s="1318" t="str">
        <f t="shared" si="35"/>
        <v/>
      </c>
      <c r="FU751" s="1319"/>
      <c r="FV751" s="1319"/>
      <c r="FW751" s="1319"/>
      <c r="FX751" s="1320"/>
      <c r="FY751" s="1318" t="str">
        <f t="shared" si="36"/>
        <v/>
      </c>
      <c r="FZ751" s="1319"/>
      <c r="GA751" s="1319"/>
      <c r="GB751" s="1319"/>
      <c r="GC751" s="1320"/>
    </row>
    <row r="752" spans="1:185" ht="13.15" customHeight="1">
      <c r="B752" s="1332"/>
      <c r="C752" s="1333"/>
      <c r="D752" s="1333"/>
      <c r="E752" s="1333"/>
      <c r="F752" s="1334"/>
      <c r="G752" s="1538"/>
      <c r="H752" s="1539"/>
      <c r="I752" s="1539"/>
      <c r="J752" s="1540"/>
      <c r="K752" s="1545"/>
      <c r="L752" s="1546"/>
      <c r="M752" s="1546"/>
      <c r="N752" s="1547"/>
      <c r="O752" s="1541"/>
      <c r="P752" s="1542"/>
      <c r="Q752" s="1542"/>
      <c r="R752" s="1542"/>
      <c r="S752" s="1543"/>
      <c r="T752" s="1541"/>
      <c r="U752" s="1542"/>
      <c r="V752" s="1542"/>
      <c r="W752" s="1543"/>
      <c r="X752" s="1385">
        <f t="shared" si="40"/>
        <v>0</v>
      </c>
      <c r="Y752" s="1386"/>
      <c r="Z752" s="1386"/>
      <c r="AA752" s="1386"/>
      <c r="AB752" s="1387"/>
      <c r="AC752" s="1548"/>
      <c r="AD752" s="1549"/>
      <c r="AE752" s="1549"/>
      <c r="AF752" s="1549"/>
      <c r="AG752" s="1550"/>
      <c r="AH752" s="1372" t="str">
        <f t="shared" si="37"/>
        <v/>
      </c>
      <c r="AI752" s="1373"/>
      <c r="AJ752" s="1374"/>
      <c r="AK752" s="1332" t="s">
        <v>816</v>
      </c>
      <c r="AL752" s="1333"/>
      <c r="AM752" s="1333"/>
      <c r="AN752" s="1333"/>
      <c r="AO752" s="1334"/>
      <c r="AP752" s="2"/>
      <c r="AQ752" s="2"/>
      <c r="AR752" s="2"/>
      <c r="AS752" s="2"/>
      <c r="AY752" s="759"/>
      <c r="AZ752" s="68" t="str">
        <f t="shared" si="10"/>
        <v>N/A</v>
      </c>
      <c r="BA752" s="2"/>
      <c r="BB752" s="2"/>
      <c r="BC752" s="2"/>
      <c r="BD752" s="2"/>
      <c r="BE752" s="2"/>
      <c r="BF752" s="179">
        <f t="shared" si="11"/>
        <v>0</v>
      </c>
      <c r="BG752" s="182">
        <f t="shared" si="12"/>
        <v>0</v>
      </c>
      <c r="BH752" s="183" t="str">
        <f t="shared" si="13"/>
        <v/>
      </c>
      <c r="BI752" s="2"/>
      <c r="BJ752" s="2"/>
      <c r="BK752" s="2"/>
      <c r="BL752" s="2"/>
      <c r="BM752" s="2"/>
      <c r="BN752" s="2"/>
      <c r="BS752" s="179">
        <f t="shared" si="14"/>
        <v>0</v>
      </c>
      <c r="BT752" s="182">
        <f t="shared" si="15"/>
        <v>0</v>
      </c>
      <c r="BU752" s="183" t="str">
        <f t="shared" si="16"/>
        <v/>
      </c>
      <c r="BV752" s="2"/>
      <c r="BW752" s="2"/>
      <c r="BX752" s="2"/>
      <c r="BY752" s="2"/>
      <c r="BZ752" s="2"/>
      <c r="CA752" s="2"/>
      <c r="CB752" s="2"/>
      <c r="CC752" s="2"/>
      <c r="CE752" s="2"/>
      <c r="CF752" s="2"/>
      <c r="CG752" s="1318">
        <f t="shared" si="38"/>
        <v>0</v>
      </c>
      <c r="CH752" s="1320"/>
      <c r="CI752" s="1318">
        <f t="shared" si="39"/>
        <v>0</v>
      </c>
      <c r="CJ752" s="1320"/>
      <c r="CK752" s="1318">
        <f t="shared" si="17"/>
        <v>0</v>
      </c>
      <c r="CL752" s="1320"/>
      <c r="CM752" s="1318">
        <f t="shared" si="18"/>
        <v>0</v>
      </c>
      <c r="CN752" s="1320"/>
      <c r="CO752" s="2"/>
      <c r="CP752" s="1315">
        <f t="shared" si="19"/>
        <v>0</v>
      </c>
      <c r="CQ752" s="1316"/>
      <c r="CR752" s="1316"/>
      <c r="CS752" s="1316"/>
      <c r="CT752" s="1317"/>
      <c r="CU752" s="1323">
        <f t="shared" si="20"/>
        <v>0</v>
      </c>
      <c r="CV752" s="1323"/>
      <c r="CW752" s="1323"/>
      <c r="CX752" s="1323"/>
      <c r="CY752" s="1323"/>
      <c r="CZ752" s="1323">
        <f t="shared" si="21"/>
        <v>0</v>
      </c>
      <c r="DA752" s="1323"/>
      <c r="DB752" s="1323"/>
      <c r="DC752" s="1323"/>
      <c r="DD752" s="1323"/>
      <c r="DE752" s="1323">
        <f t="shared" si="22"/>
        <v>0</v>
      </c>
      <c r="DF752" s="1323"/>
      <c r="DG752" s="1323"/>
      <c r="DH752" s="1323"/>
      <c r="DI752" s="1323"/>
      <c r="DJ752" s="1323">
        <f t="shared" si="23"/>
        <v>0</v>
      </c>
      <c r="DK752" s="1323"/>
      <c r="DL752" s="1323"/>
      <c r="DM752" s="1323"/>
      <c r="DN752" s="1323"/>
      <c r="DO752" s="1323">
        <f t="shared" si="24"/>
        <v>0</v>
      </c>
      <c r="DP752" s="1323"/>
      <c r="DQ752" s="1323"/>
      <c r="DR752" s="1323"/>
      <c r="DS752" s="1323"/>
      <c r="DT752" s="1110"/>
      <c r="DU752" s="1335">
        <f t="shared" si="25"/>
        <v>0</v>
      </c>
      <c r="DV752" s="1335"/>
      <c r="DW752" s="1335"/>
      <c r="DX752" s="1335"/>
      <c r="DY752" s="1335"/>
      <c r="DZ752" s="1335">
        <f t="shared" si="26"/>
        <v>0</v>
      </c>
      <c r="EA752" s="1335"/>
      <c r="EB752" s="1335"/>
      <c r="EC752" s="1335"/>
      <c r="ED752" s="1335"/>
      <c r="EE752" s="1335">
        <f t="shared" si="27"/>
        <v>0</v>
      </c>
      <c r="EF752" s="1335"/>
      <c r="EG752" s="1335"/>
      <c r="EH752" s="1335"/>
      <c r="EI752" s="1335"/>
      <c r="EJ752" s="1335">
        <f t="shared" si="28"/>
        <v>0</v>
      </c>
      <c r="EK752" s="1335"/>
      <c r="EL752" s="1335"/>
      <c r="EM752" s="1335"/>
      <c r="EN752" s="1335"/>
      <c r="EO752" s="1335">
        <f t="shared" si="29"/>
        <v>0</v>
      </c>
      <c r="EP752" s="1335"/>
      <c r="EQ752" s="1335"/>
      <c r="ER752" s="1335"/>
      <c r="ES752" s="1335"/>
      <c r="ET752" s="1335">
        <f t="shared" si="30"/>
        <v>0</v>
      </c>
      <c r="EU752" s="1335"/>
      <c r="EV752" s="1335"/>
      <c r="EW752" s="1335"/>
      <c r="EX752" s="1335"/>
      <c r="EZ752" s="1318" t="str">
        <f t="shared" si="31"/>
        <v/>
      </c>
      <c r="FA752" s="1319"/>
      <c r="FB752" s="1319"/>
      <c r="FC752" s="1319"/>
      <c r="FD752" s="1320"/>
      <c r="FE752" s="1318" t="str">
        <f t="shared" si="32"/>
        <v/>
      </c>
      <c r="FF752" s="1319"/>
      <c r="FG752" s="1319"/>
      <c r="FH752" s="1319"/>
      <c r="FI752" s="1320"/>
      <c r="FJ752" s="1318" t="str">
        <f t="shared" si="33"/>
        <v/>
      </c>
      <c r="FK752" s="1319"/>
      <c r="FL752" s="1319"/>
      <c r="FM752" s="1319"/>
      <c r="FN752" s="1320"/>
      <c r="FO752" s="1318" t="str">
        <f t="shared" si="34"/>
        <v/>
      </c>
      <c r="FP752" s="1319"/>
      <c r="FQ752" s="1319"/>
      <c r="FR752" s="1319"/>
      <c r="FS752" s="1320"/>
      <c r="FT752" s="1318" t="str">
        <f t="shared" si="35"/>
        <v/>
      </c>
      <c r="FU752" s="1319"/>
      <c r="FV752" s="1319"/>
      <c r="FW752" s="1319"/>
      <c r="FX752" s="1320"/>
      <c r="FY752" s="1318" t="str">
        <f t="shared" si="36"/>
        <v/>
      </c>
      <c r="FZ752" s="1319"/>
      <c r="GA752" s="1319"/>
      <c r="GB752" s="1319"/>
      <c r="GC752" s="1320"/>
    </row>
    <row r="753" spans="1:185" ht="13.15" customHeight="1">
      <c r="B753" s="1332"/>
      <c r="C753" s="1333"/>
      <c r="D753" s="1333"/>
      <c r="E753" s="1333"/>
      <c r="F753" s="1334"/>
      <c r="G753" s="1538"/>
      <c r="H753" s="1539"/>
      <c r="I753" s="1539"/>
      <c r="J753" s="1540"/>
      <c r="K753" s="1545"/>
      <c r="L753" s="1546"/>
      <c r="M753" s="1546"/>
      <c r="N753" s="1547"/>
      <c r="O753" s="1541"/>
      <c r="P753" s="1542"/>
      <c r="Q753" s="1542"/>
      <c r="R753" s="1542"/>
      <c r="S753" s="1543"/>
      <c r="T753" s="1541"/>
      <c r="U753" s="1542"/>
      <c r="V753" s="1542"/>
      <c r="W753" s="1543"/>
      <c r="X753" s="1385">
        <f t="shared" si="40"/>
        <v>0</v>
      </c>
      <c r="Y753" s="1386"/>
      <c r="Z753" s="1386"/>
      <c r="AA753" s="1386"/>
      <c r="AB753" s="1387"/>
      <c r="AC753" s="1548"/>
      <c r="AD753" s="1549"/>
      <c r="AE753" s="1549"/>
      <c r="AF753" s="1549"/>
      <c r="AG753" s="1550"/>
      <c r="AH753" s="1372" t="str">
        <f t="shared" si="37"/>
        <v/>
      </c>
      <c r="AI753" s="1373"/>
      <c r="AJ753" s="1374"/>
      <c r="AK753" s="1332" t="s">
        <v>816</v>
      </c>
      <c r="AL753" s="1333"/>
      <c r="AM753" s="1333"/>
      <c r="AN753" s="1333"/>
      <c r="AO753" s="1334"/>
      <c r="AP753" s="2"/>
      <c r="AQ753" s="2"/>
      <c r="AR753" s="2"/>
      <c r="AS753" s="2"/>
      <c r="AY753" s="759"/>
      <c r="AZ753" s="68" t="str">
        <f t="shared" si="10"/>
        <v>N/A</v>
      </c>
      <c r="BA753" s="2"/>
      <c r="BB753" s="2"/>
      <c r="BC753" s="2"/>
      <c r="BD753" s="2"/>
      <c r="BE753" s="2"/>
      <c r="BF753" s="179">
        <f t="shared" si="11"/>
        <v>0</v>
      </c>
      <c r="BG753" s="182">
        <f t="shared" si="12"/>
        <v>0</v>
      </c>
      <c r="BH753" s="183" t="str">
        <f t="shared" si="13"/>
        <v/>
      </c>
      <c r="BI753" s="2"/>
      <c r="BJ753" s="2"/>
      <c r="BK753" s="2"/>
      <c r="BL753" s="2"/>
      <c r="BM753" s="2"/>
      <c r="BN753" s="2"/>
      <c r="BS753" s="179">
        <f t="shared" si="14"/>
        <v>0</v>
      </c>
      <c r="BT753" s="182">
        <f t="shared" si="15"/>
        <v>0</v>
      </c>
      <c r="BU753" s="183" t="str">
        <f t="shared" si="16"/>
        <v/>
      </c>
      <c r="BV753" s="2"/>
      <c r="BW753" s="2"/>
      <c r="BX753" s="2"/>
      <c r="BY753" s="2"/>
      <c r="BZ753" s="2"/>
      <c r="CA753" s="2"/>
      <c r="CB753" s="2"/>
      <c r="CC753" s="2"/>
      <c r="CE753" s="2"/>
      <c r="CF753" s="2"/>
      <c r="CG753" s="1318">
        <f t="shared" si="38"/>
        <v>0</v>
      </c>
      <c r="CH753" s="1320"/>
      <c r="CI753" s="1318">
        <f t="shared" si="39"/>
        <v>0</v>
      </c>
      <c r="CJ753" s="1320"/>
      <c r="CK753" s="1318">
        <f t="shared" si="17"/>
        <v>0</v>
      </c>
      <c r="CL753" s="1320"/>
      <c r="CM753" s="1318">
        <f t="shared" si="18"/>
        <v>0</v>
      </c>
      <c r="CN753" s="1320"/>
      <c r="CO753" s="2"/>
      <c r="CP753" s="1315">
        <f t="shared" si="19"/>
        <v>0</v>
      </c>
      <c r="CQ753" s="1316"/>
      <c r="CR753" s="1316"/>
      <c r="CS753" s="1316"/>
      <c r="CT753" s="1317"/>
      <c r="CU753" s="1323">
        <f t="shared" si="20"/>
        <v>0</v>
      </c>
      <c r="CV753" s="1323"/>
      <c r="CW753" s="1323"/>
      <c r="CX753" s="1323"/>
      <c r="CY753" s="1323"/>
      <c r="CZ753" s="1323">
        <f t="shared" si="21"/>
        <v>0</v>
      </c>
      <c r="DA753" s="1323"/>
      <c r="DB753" s="1323"/>
      <c r="DC753" s="1323"/>
      <c r="DD753" s="1323"/>
      <c r="DE753" s="1323">
        <f t="shared" si="22"/>
        <v>0</v>
      </c>
      <c r="DF753" s="1323"/>
      <c r="DG753" s="1323"/>
      <c r="DH753" s="1323"/>
      <c r="DI753" s="1323"/>
      <c r="DJ753" s="1323">
        <f t="shared" si="23"/>
        <v>0</v>
      </c>
      <c r="DK753" s="1323"/>
      <c r="DL753" s="1323"/>
      <c r="DM753" s="1323"/>
      <c r="DN753" s="1323"/>
      <c r="DO753" s="1323">
        <f t="shared" si="24"/>
        <v>0</v>
      </c>
      <c r="DP753" s="1323"/>
      <c r="DQ753" s="1323"/>
      <c r="DR753" s="1323"/>
      <c r="DS753" s="1323"/>
      <c r="DT753" s="1110"/>
      <c r="DU753" s="1335">
        <f t="shared" si="25"/>
        <v>0</v>
      </c>
      <c r="DV753" s="1335"/>
      <c r="DW753" s="1335"/>
      <c r="DX753" s="1335"/>
      <c r="DY753" s="1335"/>
      <c r="DZ753" s="1335">
        <f t="shared" si="26"/>
        <v>0</v>
      </c>
      <c r="EA753" s="1335"/>
      <c r="EB753" s="1335"/>
      <c r="EC753" s="1335"/>
      <c r="ED753" s="1335"/>
      <c r="EE753" s="1335">
        <f t="shared" si="27"/>
        <v>0</v>
      </c>
      <c r="EF753" s="1335"/>
      <c r="EG753" s="1335"/>
      <c r="EH753" s="1335"/>
      <c r="EI753" s="1335"/>
      <c r="EJ753" s="1335">
        <f t="shared" si="28"/>
        <v>0</v>
      </c>
      <c r="EK753" s="1335"/>
      <c r="EL753" s="1335"/>
      <c r="EM753" s="1335"/>
      <c r="EN753" s="1335"/>
      <c r="EO753" s="1335">
        <f t="shared" si="29"/>
        <v>0</v>
      </c>
      <c r="EP753" s="1335"/>
      <c r="EQ753" s="1335"/>
      <c r="ER753" s="1335"/>
      <c r="ES753" s="1335"/>
      <c r="ET753" s="1335">
        <f t="shared" si="30"/>
        <v>0</v>
      </c>
      <c r="EU753" s="1335"/>
      <c r="EV753" s="1335"/>
      <c r="EW753" s="1335"/>
      <c r="EX753" s="1335"/>
      <c r="EZ753" s="1318" t="str">
        <f t="shared" si="31"/>
        <v/>
      </c>
      <c r="FA753" s="1319"/>
      <c r="FB753" s="1319"/>
      <c r="FC753" s="1319"/>
      <c r="FD753" s="1320"/>
      <c r="FE753" s="1318" t="str">
        <f t="shared" si="32"/>
        <v/>
      </c>
      <c r="FF753" s="1319"/>
      <c r="FG753" s="1319"/>
      <c r="FH753" s="1319"/>
      <c r="FI753" s="1320"/>
      <c r="FJ753" s="1318" t="str">
        <f t="shared" si="33"/>
        <v/>
      </c>
      <c r="FK753" s="1319"/>
      <c r="FL753" s="1319"/>
      <c r="FM753" s="1319"/>
      <c r="FN753" s="1320"/>
      <c r="FO753" s="1318" t="str">
        <f t="shared" si="34"/>
        <v/>
      </c>
      <c r="FP753" s="1319"/>
      <c r="FQ753" s="1319"/>
      <c r="FR753" s="1319"/>
      <c r="FS753" s="1320"/>
      <c r="FT753" s="1318" t="str">
        <f t="shared" si="35"/>
        <v/>
      </c>
      <c r="FU753" s="1319"/>
      <c r="FV753" s="1319"/>
      <c r="FW753" s="1319"/>
      <c r="FX753" s="1320"/>
      <c r="FY753" s="1318" t="str">
        <f t="shared" si="36"/>
        <v/>
      </c>
      <c r="FZ753" s="1319"/>
      <c r="GA753" s="1319"/>
      <c r="GB753" s="1319"/>
      <c r="GC753" s="1320"/>
    </row>
    <row r="754" spans="1:185" ht="13.15" customHeight="1">
      <c r="B754" s="1332"/>
      <c r="C754" s="1333"/>
      <c r="D754" s="1333"/>
      <c r="E754" s="1333"/>
      <c r="F754" s="1334"/>
      <c r="G754" s="1538"/>
      <c r="H754" s="1539"/>
      <c r="I754" s="1539"/>
      <c r="J754" s="1540"/>
      <c r="K754" s="1545"/>
      <c r="L754" s="1546"/>
      <c r="M754" s="1546"/>
      <c r="N754" s="1547"/>
      <c r="O754" s="1541"/>
      <c r="P754" s="1542"/>
      <c r="Q754" s="1542"/>
      <c r="R754" s="1542"/>
      <c r="S754" s="1543"/>
      <c r="T754" s="1541"/>
      <c r="U754" s="1542"/>
      <c r="V754" s="1542"/>
      <c r="W754" s="1543"/>
      <c r="X754" s="1385">
        <f t="shared" si="40"/>
        <v>0</v>
      </c>
      <c r="Y754" s="1386"/>
      <c r="Z754" s="1386"/>
      <c r="AA754" s="1386"/>
      <c r="AB754" s="1387"/>
      <c r="AC754" s="1548"/>
      <c r="AD754" s="1549"/>
      <c r="AE754" s="1549"/>
      <c r="AF754" s="1549"/>
      <c r="AG754" s="1550"/>
      <c r="AH754" s="1372" t="str">
        <f t="shared" si="37"/>
        <v/>
      </c>
      <c r="AI754" s="1373"/>
      <c r="AJ754" s="1374"/>
      <c r="AK754" s="1332" t="s">
        <v>816</v>
      </c>
      <c r="AL754" s="1333"/>
      <c r="AM754" s="1333"/>
      <c r="AN754" s="1333"/>
      <c r="AO754" s="1334"/>
      <c r="AP754" s="2"/>
      <c r="AQ754" s="2"/>
      <c r="AR754" s="2"/>
      <c r="AS754" s="2"/>
      <c r="AY754" s="759"/>
      <c r="AZ754" s="68" t="str">
        <f t="shared" si="10"/>
        <v>N/A</v>
      </c>
      <c r="BA754" s="2"/>
      <c r="BB754" s="2"/>
      <c r="BC754" s="2"/>
      <c r="BD754" s="2"/>
      <c r="BE754" s="2"/>
      <c r="BF754" s="179">
        <f t="shared" si="11"/>
        <v>0</v>
      </c>
      <c r="BG754" s="182">
        <f t="shared" si="12"/>
        <v>0</v>
      </c>
      <c r="BH754" s="183" t="str">
        <f t="shared" si="13"/>
        <v/>
      </c>
      <c r="BI754" s="2"/>
      <c r="BJ754" s="2"/>
      <c r="BK754" s="2"/>
      <c r="BL754" s="2"/>
      <c r="BM754" s="2"/>
      <c r="BN754" s="2"/>
      <c r="BS754" s="179">
        <f t="shared" si="14"/>
        <v>0</v>
      </c>
      <c r="BT754" s="182">
        <f t="shared" si="15"/>
        <v>0</v>
      </c>
      <c r="BU754" s="183" t="str">
        <f t="shared" si="16"/>
        <v/>
      </c>
      <c r="BV754" s="2"/>
      <c r="BW754" s="2"/>
      <c r="BX754" s="2"/>
      <c r="BY754" s="2"/>
      <c r="BZ754" s="2"/>
      <c r="CA754" s="2"/>
      <c r="CB754" s="2"/>
      <c r="CC754" s="2"/>
      <c r="CE754" s="2"/>
      <c r="CF754" s="2"/>
      <c r="CG754" s="1318">
        <f t="shared" si="38"/>
        <v>0</v>
      </c>
      <c r="CH754" s="1320"/>
      <c r="CI754" s="1318">
        <f t="shared" si="39"/>
        <v>0</v>
      </c>
      <c r="CJ754" s="1320"/>
      <c r="CK754" s="1318">
        <f t="shared" si="17"/>
        <v>0</v>
      </c>
      <c r="CL754" s="1320"/>
      <c r="CM754" s="1318">
        <f t="shared" si="18"/>
        <v>0</v>
      </c>
      <c r="CN754" s="1320"/>
      <c r="CO754" s="2"/>
      <c r="CP754" s="1315">
        <f t="shared" si="19"/>
        <v>0</v>
      </c>
      <c r="CQ754" s="1316"/>
      <c r="CR754" s="1316"/>
      <c r="CS754" s="1316"/>
      <c r="CT754" s="1317"/>
      <c r="CU754" s="1323">
        <f t="shared" si="20"/>
        <v>0</v>
      </c>
      <c r="CV754" s="1323"/>
      <c r="CW754" s="1323"/>
      <c r="CX754" s="1323"/>
      <c r="CY754" s="1323"/>
      <c r="CZ754" s="1323">
        <f t="shared" si="21"/>
        <v>0</v>
      </c>
      <c r="DA754" s="1323"/>
      <c r="DB754" s="1323"/>
      <c r="DC754" s="1323"/>
      <c r="DD754" s="1323"/>
      <c r="DE754" s="1323">
        <f t="shared" si="22"/>
        <v>0</v>
      </c>
      <c r="DF754" s="1323"/>
      <c r="DG754" s="1323"/>
      <c r="DH754" s="1323"/>
      <c r="DI754" s="1323"/>
      <c r="DJ754" s="1323">
        <f t="shared" si="23"/>
        <v>0</v>
      </c>
      <c r="DK754" s="1323"/>
      <c r="DL754" s="1323"/>
      <c r="DM754" s="1323"/>
      <c r="DN754" s="1323"/>
      <c r="DO754" s="1323">
        <f t="shared" si="24"/>
        <v>0</v>
      </c>
      <c r="DP754" s="1323"/>
      <c r="DQ754" s="1323"/>
      <c r="DR754" s="1323"/>
      <c r="DS754" s="1323"/>
      <c r="DT754" s="1110"/>
      <c r="DU754" s="1335">
        <f t="shared" si="25"/>
        <v>0</v>
      </c>
      <c r="DV754" s="1335"/>
      <c r="DW754" s="1335"/>
      <c r="DX754" s="1335"/>
      <c r="DY754" s="1335"/>
      <c r="DZ754" s="1335">
        <f t="shared" si="26"/>
        <v>0</v>
      </c>
      <c r="EA754" s="1335"/>
      <c r="EB754" s="1335"/>
      <c r="EC754" s="1335"/>
      <c r="ED754" s="1335"/>
      <c r="EE754" s="1335">
        <f t="shared" si="27"/>
        <v>0</v>
      </c>
      <c r="EF754" s="1335"/>
      <c r="EG754" s="1335"/>
      <c r="EH754" s="1335"/>
      <c r="EI754" s="1335"/>
      <c r="EJ754" s="1335">
        <f t="shared" si="28"/>
        <v>0</v>
      </c>
      <c r="EK754" s="1335"/>
      <c r="EL754" s="1335"/>
      <c r="EM754" s="1335"/>
      <c r="EN754" s="1335"/>
      <c r="EO754" s="1335">
        <f t="shared" si="29"/>
        <v>0</v>
      </c>
      <c r="EP754" s="1335"/>
      <c r="EQ754" s="1335"/>
      <c r="ER754" s="1335"/>
      <c r="ES754" s="1335"/>
      <c r="ET754" s="1335">
        <f t="shared" si="30"/>
        <v>0</v>
      </c>
      <c r="EU754" s="1335"/>
      <c r="EV754" s="1335"/>
      <c r="EW754" s="1335"/>
      <c r="EX754" s="1335"/>
      <c r="EZ754" s="1318" t="str">
        <f t="shared" si="31"/>
        <v/>
      </c>
      <c r="FA754" s="1319"/>
      <c r="FB754" s="1319"/>
      <c r="FC754" s="1319"/>
      <c r="FD754" s="1320"/>
      <c r="FE754" s="1318" t="str">
        <f t="shared" si="32"/>
        <v/>
      </c>
      <c r="FF754" s="1319"/>
      <c r="FG754" s="1319"/>
      <c r="FH754" s="1319"/>
      <c r="FI754" s="1320"/>
      <c r="FJ754" s="1318" t="str">
        <f t="shared" si="33"/>
        <v/>
      </c>
      <c r="FK754" s="1319"/>
      <c r="FL754" s="1319"/>
      <c r="FM754" s="1319"/>
      <c r="FN754" s="1320"/>
      <c r="FO754" s="1318" t="str">
        <f t="shared" si="34"/>
        <v/>
      </c>
      <c r="FP754" s="1319"/>
      <c r="FQ754" s="1319"/>
      <c r="FR754" s="1319"/>
      <c r="FS754" s="1320"/>
      <c r="FT754" s="1318" t="str">
        <f t="shared" si="35"/>
        <v/>
      </c>
      <c r="FU754" s="1319"/>
      <c r="FV754" s="1319"/>
      <c r="FW754" s="1319"/>
      <c r="FX754" s="1320"/>
      <c r="FY754" s="1318" t="str">
        <f t="shared" si="36"/>
        <v/>
      </c>
      <c r="FZ754" s="1319"/>
      <c r="GA754" s="1319"/>
      <c r="GB754" s="1319"/>
      <c r="GC754" s="1320"/>
    </row>
    <row r="755" spans="1:185" ht="13.15" customHeight="1">
      <c r="B755" s="1332"/>
      <c r="C755" s="1333"/>
      <c r="D755" s="1333"/>
      <c r="E755" s="1333"/>
      <c r="F755" s="1334"/>
      <c r="G755" s="1538"/>
      <c r="H755" s="1539"/>
      <c r="I755" s="1539"/>
      <c r="J755" s="1540"/>
      <c r="K755" s="1545"/>
      <c r="L755" s="1546"/>
      <c r="M755" s="1546"/>
      <c r="N755" s="1547"/>
      <c r="O755" s="1541"/>
      <c r="P755" s="1542"/>
      <c r="Q755" s="1542"/>
      <c r="R755" s="1542"/>
      <c r="S755" s="1543"/>
      <c r="T755" s="1541"/>
      <c r="U755" s="1542"/>
      <c r="V755" s="1542"/>
      <c r="W755" s="1543"/>
      <c r="X755" s="1385">
        <f t="shared" si="40"/>
        <v>0</v>
      </c>
      <c r="Y755" s="1386"/>
      <c r="Z755" s="1386"/>
      <c r="AA755" s="1386"/>
      <c r="AB755" s="1387"/>
      <c r="AC755" s="1548"/>
      <c r="AD755" s="1549"/>
      <c r="AE755" s="1549"/>
      <c r="AF755" s="1549"/>
      <c r="AG755" s="1550"/>
      <c r="AH755" s="1372" t="str">
        <f t="shared" si="37"/>
        <v/>
      </c>
      <c r="AI755" s="1373"/>
      <c r="AJ755" s="1374"/>
      <c r="AK755" s="1332" t="s">
        <v>816</v>
      </c>
      <c r="AL755" s="1333"/>
      <c r="AM755" s="1333"/>
      <c r="AN755" s="1333"/>
      <c r="AO755" s="1334"/>
      <c r="AP755" s="2"/>
      <c r="AQ755" s="2"/>
      <c r="AR755" s="2"/>
      <c r="AS755" s="2"/>
      <c r="AY755" s="759"/>
      <c r="AZ755" s="68" t="str">
        <f t="shared" si="10"/>
        <v>N/A</v>
      </c>
      <c r="BA755" s="2"/>
      <c r="BB755" s="2"/>
      <c r="BC755" s="2"/>
      <c r="BD755" s="2"/>
      <c r="BE755" s="2"/>
      <c r="BF755" s="179">
        <f t="shared" si="11"/>
        <v>0</v>
      </c>
      <c r="BG755" s="182">
        <f t="shared" si="12"/>
        <v>0</v>
      </c>
      <c r="BH755" s="183" t="str">
        <f t="shared" si="13"/>
        <v/>
      </c>
      <c r="BI755" s="2"/>
      <c r="BJ755" s="2"/>
      <c r="BK755" s="2"/>
      <c r="BL755" s="2"/>
      <c r="BM755" s="2"/>
      <c r="BN755" s="2"/>
      <c r="BS755" s="179">
        <f t="shared" si="14"/>
        <v>0</v>
      </c>
      <c r="BT755" s="182">
        <f t="shared" si="15"/>
        <v>0</v>
      </c>
      <c r="BU755" s="183" t="str">
        <f t="shared" si="16"/>
        <v/>
      </c>
      <c r="BV755" s="2"/>
      <c r="BW755" s="2"/>
      <c r="BX755" s="2"/>
      <c r="BY755" s="2"/>
      <c r="BZ755" s="2"/>
      <c r="CA755" s="2"/>
      <c r="CB755" s="2"/>
      <c r="CC755" s="2"/>
      <c r="CE755" s="2"/>
      <c r="CF755" s="2"/>
      <c r="CG755" s="1318">
        <f t="shared" si="38"/>
        <v>0</v>
      </c>
      <c r="CH755" s="1320"/>
      <c r="CI755" s="1318">
        <f t="shared" si="39"/>
        <v>0</v>
      </c>
      <c r="CJ755" s="1320"/>
      <c r="CK755" s="1318">
        <f t="shared" si="17"/>
        <v>0</v>
      </c>
      <c r="CL755" s="1320"/>
      <c r="CM755" s="1318">
        <f t="shared" si="18"/>
        <v>0</v>
      </c>
      <c r="CN755" s="1320"/>
      <c r="CO755" s="2"/>
      <c r="CP755" s="1315">
        <f t="shared" si="19"/>
        <v>0</v>
      </c>
      <c r="CQ755" s="1316"/>
      <c r="CR755" s="1316"/>
      <c r="CS755" s="1316"/>
      <c r="CT755" s="1317"/>
      <c r="CU755" s="1323">
        <f t="shared" si="20"/>
        <v>0</v>
      </c>
      <c r="CV755" s="1323"/>
      <c r="CW755" s="1323"/>
      <c r="CX755" s="1323"/>
      <c r="CY755" s="1323"/>
      <c r="CZ755" s="1323">
        <f t="shared" si="21"/>
        <v>0</v>
      </c>
      <c r="DA755" s="1323"/>
      <c r="DB755" s="1323"/>
      <c r="DC755" s="1323"/>
      <c r="DD755" s="1323"/>
      <c r="DE755" s="1323">
        <f t="shared" si="22"/>
        <v>0</v>
      </c>
      <c r="DF755" s="1323"/>
      <c r="DG755" s="1323"/>
      <c r="DH755" s="1323"/>
      <c r="DI755" s="1323"/>
      <c r="DJ755" s="1323">
        <f t="shared" si="23"/>
        <v>0</v>
      </c>
      <c r="DK755" s="1323"/>
      <c r="DL755" s="1323"/>
      <c r="DM755" s="1323"/>
      <c r="DN755" s="1323"/>
      <c r="DO755" s="1323">
        <f t="shared" si="24"/>
        <v>0</v>
      </c>
      <c r="DP755" s="1323"/>
      <c r="DQ755" s="1323"/>
      <c r="DR755" s="1323"/>
      <c r="DS755" s="1323"/>
      <c r="DT755" s="1110"/>
      <c r="DU755" s="1335">
        <f t="shared" si="25"/>
        <v>0</v>
      </c>
      <c r="DV755" s="1335"/>
      <c r="DW755" s="1335"/>
      <c r="DX755" s="1335"/>
      <c r="DY755" s="1335"/>
      <c r="DZ755" s="1335">
        <f t="shared" si="26"/>
        <v>0</v>
      </c>
      <c r="EA755" s="1335"/>
      <c r="EB755" s="1335"/>
      <c r="EC755" s="1335"/>
      <c r="ED755" s="1335"/>
      <c r="EE755" s="1335">
        <f t="shared" si="27"/>
        <v>0</v>
      </c>
      <c r="EF755" s="1335"/>
      <c r="EG755" s="1335"/>
      <c r="EH755" s="1335"/>
      <c r="EI755" s="1335"/>
      <c r="EJ755" s="1335">
        <f t="shared" si="28"/>
        <v>0</v>
      </c>
      <c r="EK755" s="1335"/>
      <c r="EL755" s="1335"/>
      <c r="EM755" s="1335"/>
      <c r="EN755" s="1335"/>
      <c r="EO755" s="1335">
        <f t="shared" si="29"/>
        <v>0</v>
      </c>
      <c r="EP755" s="1335"/>
      <c r="EQ755" s="1335"/>
      <c r="ER755" s="1335"/>
      <c r="ES755" s="1335"/>
      <c r="ET755" s="1335">
        <f t="shared" si="30"/>
        <v>0</v>
      </c>
      <c r="EU755" s="1335"/>
      <c r="EV755" s="1335"/>
      <c r="EW755" s="1335"/>
      <c r="EX755" s="1335"/>
      <c r="EZ755" s="1318" t="str">
        <f t="shared" si="31"/>
        <v/>
      </c>
      <c r="FA755" s="1319"/>
      <c r="FB755" s="1319"/>
      <c r="FC755" s="1319"/>
      <c r="FD755" s="1320"/>
      <c r="FE755" s="1318" t="str">
        <f t="shared" si="32"/>
        <v/>
      </c>
      <c r="FF755" s="1319"/>
      <c r="FG755" s="1319"/>
      <c r="FH755" s="1319"/>
      <c r="FI755" s="1320"/>
      <c r="FJ755" s="1318" t="str">
        <f t="shared" si="33"/>
        <v/>
      </c>
      <c r="FK755" s="1319"/>
      <c r="FL755" s="1319"/>
      <c r="FM755" s="1319"/>
      <c r="FN755" s="1320"/>
      <c r="FO755" s="1318" t="str">
        <f t="shared" si="34"/>
        <v/>
      </c>
      <c r="FP755" s="1319"/>
      <c r="FQ755" s="1319"/>
      <c r="FR755" s="1319"/>
      <c r="FS755" s="1320"/>
      <c r="FT755" s="1318" t="str">
        <f t="shared" si="35"/>
        <v/>
      </c>
      <c r="FU755" s="1319"/>
      <c r="FV755" s="1319"/>
      <c r="FW755" s="1319"/>
      <c r="FX755" s="1320"/>
      <c r="FY755" s="1318" t="str">
        <f t="shared" si="36"/>
        <v/>
      </c>
      <c r="FZ755" s="1319"/>
      <c r="GA755" s="1319"/>
      <c r="GB755" s="1319"/>
      <c r="GC755" s="1320"/>
    </row>
    <row r="756" spans="1:185" s="2" customFormat="1" ht="13.15" customHeight="1">
      <c r="A756"/>
      <c r="B756" s="1332"/>
      <c r="C756" s="1333"/>
      <c r="D756" s="1333"/>
      <c r="E756" s="1333"/>
      <c r="F756" s="1334"/>
      <c r="G756" s="1538"/>
      <c r="H756" s="1539"/>
      <c r="I756" s="1539"/>
      <c r="J756" s="1540"/>
      <c r="K756" s="1545"/>
      <c r="L756" s="1546"/>
      <c r="M756" s="1546"/>
      <c r="N756" s="1547"/>
      <c r="O756" s="1541"/>
      <c r="P756" s="1542"/>
      <c r="Q756" s="1542"/>
      <c r="R756" s="1542"/>
      <c r="S756" s="1543"/>
      <c r="T756" s="1541"/>
      <c r="U756" s="1542"/>
      <c r="V756" s="1542"/>
      <c r="W756" s="1543"/>
      <c r="X756" s="1385">
        <f t="shared" si="40"/>
        <v>0</v>
      </c>
      <c r="Y756" s="1386"/>
      <c r="Z756" s="1386"/>
      <c r="AA756" s="1386"/>
      <c r="AB756" s="1387"/>
      <c r="AC756" s="1548"/>
      <c r="AD756" s="1549"/>
      <c r="AE756" s="1549"/>
      <c r="AF756" s="1549"/>
      <c r="AG756" s="1550"/>
      <c r="AH756" s="1372" t="str">
        <f t="shared" si="37"/>
        <v/>
      </c>
      <c r="AI756" s="1373"/>
      <c r="AJ756" s="1374"/>
      <c r="AK756" s="1332" t="s">
        <v>816</v>
      </c>
      <c r="AL756" s="1333"/>
      <c r="AM756" s="1333"/>
      <c r="AN756" s="1333"/>
      <c r="AO756" s="1334"/>
      <c r="AT756"/>
      <c r="AU756"/>
      <c r="AV756"/>
      <c r="AW756"/>
      <c r="AX756"/>
      <c r="AY756" s="759"/>
      <c r="AZ756" s="68" t="str">
        <f t="shared" si="10"/>
        <v>N/A</v>
      </c>
      <c r="BF756" s="179">
        <f t="shared" si="11"/>
        <v>0</v>
      </c>
      <c r="BG756" s="182">
        <f t="shared" si="12"/>
        <v>0</v>
      </c>
      <c r="BH756" s="183" t="str">
        <f t="shared" si="13"/>
        <v/>
      </c>
      <c r="BO756"/>
      <c r="BP756"/>
      <c r="BQ756"/>
      <c r="BR756"/>
      <c r="BS756" s="179">
        <f t="shared" si="14"/>
        <v>0</v>
      </c>
      <c r="BT756" s="182">
        <f t="shared" si="15"/>
        <v>0</v>
      </c>
      <c r="BU756" s="183" t="str">
        <f t="shared" si="16"/>
        <v/>
      </c>
      <c r="CD756"/>
      <c r="CG756" s="1318">
        <f t="shared" si="38"/>
        <v>0</v>
      </c>
      <c r="CH756" s="1320"/>
      <c r="CI756" s="1318">
        <f t="shared" si="39"/>
        <v>0</v>
      </c>
      <c r="CJ756" s="1320"/>
      <c r="CK756" s="1318">
        <f t="shared" si="17"/>
        <v>0</v>
      </c>
      <c r="CL756" s="1320"/>
      <c r="CM756" s="1318">
        <f t="shared" si="18"/>
        <v>0</v>
      </c>
      <c r="CN756" s="1320"/>
      <c r="CP756" s="1315">
        <f t="shared" si="19"/>
        <v>0</v>
      </c>
      <c r="CQ756" s="1316"/>
      <c r="CR756" s="1316"/>
      <c r="CS756" s="1316"/>
      <c r="CT756" s="1317"/>
      <c r="CU756" s="1323">
        <f t="shared" si="20"/>
        <v>0</v>
      </c>
      <c r="CV756" s="1323"/>
      <c r="CW756" s="1323"/>
      <c r="CX756" s="1323"/>
      <c r="CY756" s="1323"/>
      <c r="CZ756" s="1323">
        <f t="shared" si="21"/>
        <v>0</v>
      </c>
      <c r="DA756" s="1323"/>
      <c r="DB756" s="1323"/>
      <c r="DC756" s="1323"/>
      <c r="DD756" s="1323"/>
      <c r="DE756" s="1323">
        <f t="shared" si="22"/>
        <v>0</v>
      </c>
      <c r="DF756" s="1323"/>
      <c r="DG756" s="1323"/>
      <c r="DH756" s="1323"/>
      <c r="DI756" s="1323"/>
      <c r="DJ756" s="1323">
        <f t="shared" si="23"/>
        <v>0</v>
      </c>
      <c r="DK756" s="1323"/>
      <c r="DL756" s="1323"/>
      <c r="DM756" s="1323"/>
      <c r="DN756" s="1323"/>
      <c r="DO756" s="1323">
        <f t="shared" si="24"/>
        <v>0</v>
      </c>
      <c r="DP756" s="1323"/>
      <c r="DQ756" s="1323"/>
      <c r="DR756" s="1323"/>
      <c r="DS756" s="1323"/>
      <c r="DT756" s="1110"/>
      <c r="DU756" s="1335">
        <f t="shared" si="25"/>
        <v>0</v>
      </c>
      <c r="DV756" s="1335"/>
      <c r="DW756" s="1335"/>
      <c r="DX756" s="1335"/>
      <c r="DY756" s="1335"/>
      <c r="DZ756" s="1335">
        <f t="shared" si="26"/>
        <v>0</v>
      </c>
      <c r="EA756" s="1335"/>
      <c r="EB756" s="1335"/>
      <c r="EC756" s="1335"/>
      <c r="ED756" s="1335"/>
      <c r="EE756" s="1335">
        <f t="shared" si="27"/>
        <v>0</v>
      </c>
      <c r="EF756" s="1335"/>
      <c r="EG756" s="1335"/>
      <c r="EH756" s="1335"/>
      <c r="EI756" s="1335"/>
      <c r="EJ756" s="1335">
        <f t="shared" si="28"/>
        <v>0</v>
      </c>
      <c r="EK756" s="1335"/>
      <c r="EL756" s="1335"/>
      <c r="EM756" s="1335"/>
      <c r="EN756" s="1335"/>
      <c r="EO756" s="1335">
        <f t="shared" si="29"/>
        <v>0</v>
      </c>
      <c r="EP756" s="1335"/>
      <c r="EQ756" s="1335"/>
      <c r="ER756" s="1335"/>
      <c r="ES756" s="1335"/>
      <c r="ET756" s="1335">
        <f t="shared" si="30"/>
        <v>0</v>
      </c>
      <c r="EU756" s="1335"/>
      <c r="EV756" s="1335"/>
      <c r="EW756" s="1335"/>
      <c r="EX756" s="1335"/>
      <c r="EY756"/>
      <c r="EZ756" s="1318" t="str">
        <f t="shared" si="31"/>
        <v/>
      </c>
      <c r="FA756" s="1319"/>
      <c r="FB756" s="1319"/>
      <c r="FC756" s="1319"/>
      <c r="FD756" s="1320"/>
      <c r="FE756" s="1318" t="str">
        <f t="shared" si="32"/>
        <v/>
      </c>
      <c r="FF756" s="1319"/>
      <c r="FG756" s="1319"/>
      <c r="FH756" s="1319"/>
      <c r="FI756" s="1320"/>
      <c r="FJ756" s="1318" t="str">
        <f t="shared" si="33"/>
        <v/>
      </c>
      <c r="FK756" s="1319"/>
      <c r="FL756" s="1319"/>
      <c r="FM756" s="1319"/>
      <c r="FN756" s="1320"/>
      <c r="FO756" s="1318" t="str">
        <f t="shared" si="34"/>
        <v/>
      </c>
      <c r="FP756" s="1319"/>
      <c r="FQ756" s="1319"/>
      <c r="FR756" s="1319"/>
      <c r="FS756" s="1320"/>
      <c r="FT756" s="1318" t="str">
        <f t="shared" si="35"/>
        <v/>
      </c>
      <c r="FU756" s="1319"/>
      <c r="FV756" s="1319"/>
      <c r="FW756" s="1319"/>
      <c r="FX756" s="1320"/>
      <c r="FY756" s="1318" t="str">
        <f t="shared" si="36"/>
        <v/>
      </c>
      <c r="FZ756" s="1319"/>
      <c r="GA756" s="1319"/>
      <c r="GB756" s="1319"/>
      <c r="GC756" s="1320"/>
    </row>
    <row r="757" spans="1:185" s="2" customFormat="1" ht="13.15" customHeight="1">
      <c r="A757"/>
      <c r="B757" s="1332"/>
      <c r="C757" s="1333"/>
      <c r="D757" s="1333"/>
      <c r="E757" s="1333"/>
      <c r="F757" s="1334"/>
      <c r="G757" s="1538"/>
      <c r="H757" s="1539"/>
      <c r="I757" s="1539"/>
      <c r="J757" s="1540"/>
      <c r="K757" s="1545"/>
      <c r="L757" s="1546"/>
      <c r="M757" s="1546"/>
      <c r="N757" s="1547"/>
      <c r="O757" s="1541"/>
      <c r="P757" s="1542"/>
      <c r="Q757" s="1542"/>
      <c r="R757" s="1542"/>
      <c r="S757" s="1543"/>
      <c r="T757" s="1541"/>
      <c r="U757" s="1542"/>
      <c r="V757" s="1542"/>
      <c r="W757" s="1543"/>
      <c r="X757" s="1385">
        <f t="shared" si="40"/>
        <v>0</v>
      </c>
      <c r="Y757" s="1386"/>
      <c r="Z757" s="1386"/>
      <c r="AA757" s="1386"/>
      <c r="AB757" s="1387"/>
      <c r="AC757" s="1548"/>
      <c r="AD757" s="1549"/>
      <c r="AE757" s="1549"/>
      <c r="AF757" s="1549"/>
      <c r="AG757" s="1550"/>
      <c r="AH757" s="1372" t="str">
        <f t="shared" si="37"/>
        <v/>
      </c>
      <c r="AI757" s="1373"/>
      <c r="AJ757" s="1374"/>
      <c r="AK757" s="1332" t="s">
        <v>816</v>
      </c>
      <c r="AL757" s="1333"/>
      <c r="AM757" s="1333"/>
      <c r="AN757" s="1333"/>
      <c r="AO757" s="1334"/>
      <c r="AT757"/>
      <c r="AU757"/>
      <c r="AV757"/>
      <c r="AW757"/>
      <c r="AX757"/>
      <c r="AY757" s="759"/>
      <c r="AZ757" s="68" t="str">
        <f t="shared" si="10"/>
        <v>N/A</v>
      </c>
      <c r="BF757" s="179">
        <f t="shared" si="11"/>
        <v>0</v>
      </c>
      <c r="BG757" s="182">
        <f t="shared" si="12"/>
        <v>0</v>
      </c>
      <c r="BH757" s="183" t="str">
        <f t="shared" si="13"/>
        <v/>
      </c>
      <c r="BO757"/>
      <c r="BP757"/>
      <c r="BQ757"/>
      <c r="BR757"/>
      <c r="BS757" s="179">
        <f t="shared" si="14"/>
        <v>0</v>
      </c>
      <c r="BT757" s="182">
        <f t="shared" si="15"/>
        <v>0</v>
      </c>
      <c r="BU757" s="183" t="str">
        <f t="shared" si="16"/>
        <v/>
      </c>
      <c r="CD757"/>
      <c r="CG757" s="1318">
        <f t="shared" si="38"/>
        <v>0</v>
      </c>
      <c r="CH757" s="1320"/>
      <c r="CI757" s="1318">
        <f t="shared" si="39"/>
        <v>0</v>
      </c>
      <c r="CJ757" s="1320"/>
      <c r="CK757" s="1318">
        <f t="shared" si="17"/>
        <v>0</v>
      </c>
      <c r="CL757" s="1320"/>
      <c r="CM757" s="1318">
        <f t="shared" si="18"/>
        <v>0</v>
      </c>
      <c r="CN757" s="1320"/>
      <c r="CP757" s="1315">
        <f t="shared" si="19"/>
        <v>0</v>
      </c>
      <c r="CQ757" s="1316"/>
      <c r="CR757" s="1316"/>
      <c r="CS757" s="1316"/>
      <c r="CT757" s="1317"/>
      <c r="CU757" s="1323">
        <f t="shared" si="20"/>
        <v>0</v>
      </c>
      <c r="CV757" s="1323"/>
      <c r="CW757" s="1323"/>
      <c r="CX757" s="1323"/>
      <c r="CY757" s="1323"/>
      <c r="CZ757" s="1323">
        <f t="shared" si="21"/>
        <v>0</v>
      </c>
      <c r="DA757" s="1323"/>
      <c r="DB757" s="1323"/>
      <c r="DC757" s="1323"/>
      <c r="DD757" s="1323"/>
      <c r="DE757" s="1323">
        <f t="shared" si="22"/>
        <v>0</v>
      </c>
      <c r="DF757" s="1323"/>
      <c r="DG757" s="1323"/>
      <c r="DH757" s="1323"/>
      <c r="DI757" s="1323"/>
      <c r="DJ757" s="1323">
        <f t="shared" si="23"/>
        <v>0</v>
      </c>
      <c r="DK757" s="1323"/>
      <c r="DL757" s="1323"/>
      <c r="DM757" s="1323"/>
      <c r="DN757" s="1323"/>
      <c r="DO757" s="1323">
        <f t="shared" si="24"/>
        <v>0</v>
      </c>
      <c r="DP757" s="1323"/>
      <c r="DQ757" s="1323"/>
      <c r="DR757" s="1323"/>
      <c r="DS757" s="1323"/>
      <c r="DT757" s="1110"/>
      <c r="DU757" s="1335">
        <f t="shared" si="25"/>
        <v>0</v>
      </c>
      <c r="DV757" s="1335"/>
      <c r="DW757" s="1335"/>
      <c r="DX757" s="1335"/>
      <c r="DY757" s="1335"/>
      <c r="DZ757" s="1335">
        <f t="shared" si="26"/>
        <v>0</v>
      </c>
      <c r="EA757" s="1335"/>
      <c r="EB757" s="1335"/>
      <c r="EC757" s="1335"/>
      <c r="ED757" s="1335"/>
      <c r="EE757" s="1335">
        <f t="shared" si="27"/>
        <v>0</v>
      </c>
      <c r="EF757" s="1335"/>
      <c r="EG757" s="1335"/>
      <c r="EH757" s="1335"/>
      <c r="EI757" s="1335"/>
      <c r="EJ757" s="1335">
        <f t="shared" si="28"/>
        <v>0</v>
      </c>
      <c r="EK757" s="1335"/>
      <c r="EL757" s="1335"/>
      <c r="EM757" s="1335"/>
      <c r="EN757" s="1335"/>
      <c r="EO757" s="1335">
        <f t="shared" si="29"/>
        <v>0</v>
      </c>
      <c r="EP757" s="1335"/>
      <c r="EQ757" s="1335"/>
      <c r="ER757" s="1335"/>
      <c r="ES757" s="1335"/>
      <c r="ET757" s="1335">
        <f t="shared" si="30"/>
        <v>0</v>
      </c>
      <c r="EU757" s="1335"/>
      <c r="EV757" s="1335"/>
      <c r="EW757" s="1335"/>
      <c r="EX757" s="1335"/>
      <c r="EY757"/>
      <c r="EZ757" s="1318" t="str">
        <f t="shared" si="31"/>
        <v/>
      </c>
      <c r="FA757" s="1319"/>
      <c r="FB757" s="1319"/>
      <c r="FC757" s="1319"/>
      <c r="FD757" s="1320"/>
      <c r="FE757" s="1318" t="str">
        <f t="shared" si="32"/>
        <v/>
      </c>
      <c r="FF757" s="1319"/>
      <c r="FG757" s="1319"/>
      <c r="FH757" s="1319"/>
      <c r="FI757" s="1320"/>
      <c r="FJ757" s="1318" t="str">
        <f t="shared" si="33"/>
        <v/>
      </c>
      <c r="FK757" s="1319"/>
      <c r="FL757" s="1319"/>
      <c r="FM757" s="1319"/>
      <c r="FN757" s="1320"/>
      <c r="FO757" s="1318" t="str">
        <f t="shared" si="34"/>
        <v/>
      </c>
      <c r="FP757" s="1319"/>
      <c r="FQ757" s="1319"/>
      <c r="FR757" s="1319"/>
      <c r="FS757" s="1320"/>
      <c r="FT757" s="1318" t="str">
        <f t="shared" si="35"/>
        <v/>
      </c>
      <c r="FU757" s="1319"/>
      <c r="FV757" s="1319"/>
      <c r="FW757" s="1319"/>
      <c r="FX757" s="1320"/>
      <c r="FY757" s="1318" t="str">
        <f t="shared" si="36"/>
        <v/>
      </c>
      <c r="FZ757" s="1319"/>
      <c r="GA757" s="1319"/>
      <c r="GB757" s="1319"/>
      <c r="GC757" s="1320"/>
    </row>
    <row r="758" spans="1:185" s="2" customFormat="1" ht="13.15" customHeight="1">
      <c r="A758"/>
      <c r="B758" s="1332"/>
      <c r="C758" s="1333"/>
      <c r="D758" s="1333"/>
      <c r="E758" s="1333"/>
      <c r="F758" s="1334"/>
      <c r="G758" s="1538"/>
      <c r="H758" s="1539"/>
      <c r="I758" s="1539"/>
      <c r="J758" s="1540"/>
      <c r="K758" s="1545"/>
      <c r="L758" s="1546"/>
      <c r="M758" s="1546"/>
      <c r="N758" s="1547"/>
      <c r="O758" s="1541"/>
      <c r="P758" s="1542"/>
      <c r="Q758" s="1542"/>
      <c r="R758" s="1542"/>
      <c r="S758" s="1543"/>
      <c r="T758" s="1541"/>
      <c r="U758" s="1542"/>
      <c r="V758" s="1542"/>
      <c r="W758" s="1543"/>
      <c r="X758" s="1385">
        <f t="shared" si="40"/>
        <v>0</v>
      </c>
      <c r="Y758" s="1386"/>
      <c r="Z758" s="1386"/>
      <c r="AA758" s="1386"/>
      <c r="AB758" s="1387"/>
      <c r="AC758" s="1548"/>
      <c r="AD758" s="1549"/>
      <c r="AE758" s="1549"/>
      <c r="AF758" s="1549"/>
      <c r="AG758" s="1550"/>
      <c r="AH758" s="1372" t="str">
        <f t="shared" si="37"/>
        <v/>
      </c>
      <c r="AI758" s="1373"/>
      <c r="AJ758" s="1374"/>
      <c r="AK758" s="1332" t="s">
        <v>816</v>
      </c>
      <c r="AL758" s="1333"/>
      <c r="AM758" s="1333"/>
      <c r="AN758" s="1333"/>
      <c r="AO758" s="1334"/>
      <c r="AT758"/>
      <c r="AU758"/>
      <c r="AV758"/>
      <c r="AW758"/>
      <c r="AX758"/>
      <c r="AY758"/>
      <c r="AZ758" s="68" t="str">
        <f t="shared" si="10"/>
        <v>N/A</v>
      </c>
      <c r="BF758" s="179">
        <f t="shared" si="11"/>
        <v>0</v>
      </c>
      <c r="BG758" s="182">
        <f t="shared" si="12"/>
        <v>0</v>
      </c>
      <c r="BH758" s="183" t="str">
        <f t="shared" si="13"/>
        <v/>
      </c>
      <c r="BO758"/>
      <c r="BP758"/>
      <c r="BQ758"/>
      <c r="BR758"/>
      <c r="BS758" s="179">
        <f t="shared" si="14"/>
        <v>0</v>
      </c>
      <c r="BT758" s="182">
        <f t="shared" si="15"/>
        <v>0</v>
      </c>
      <c r="BU758" s="183" t="str">
        <f t="shared" si="16"/>
        <v/>
      </c>
      <c r="CD758"/>
      <c r="CG758" s="1318">
        <f t="shared" si="38"/>
        <v>0</v>
      </c>
      <c r="CH758" s="1320"/>
      <c r="CI758" s="1318">
        <f t="shared" si="39"/>
        <v>0</v>
      </c>
      <c r="CJ758" s="1320"/>
      <c r="CK758" s="1318">
        <f t="shared" si="17"/>
        <v>0</v>
      </c>
      <c r="CL758" s="1320"/>
      <c r="CM758" s="1318">
        <f t="shared" si="18"/>
        <v>0</v>
      </c>
      <c r="CN758" s="1320"/>
      <c r="CP758" s="1315">
        <f t="shared" si="19"/>
        <v>0</v>
      </c>
      <c r="CQ758" s="1316"/>
      <c r="CR758" s="1316"/>
      <c r="CS758" s="1316"/>
      <c r="CT758" s="1317"/>
      <c r="CU758" s="1323">
        <f t="shared" si="20"/>
        <v>0</v>
      </c>
      <c r="CV758" s="1323"/>
      <c r="CW758" s="1323"/>
      <c r="CX758" s="1323"/>
      <c r="CY758" s="1323"/>
      <c r="CZ758" s="1323">
        <f t="shared" si="21"/>
        <v>0</v>
      </c>
      <c r="DA758" s="1323"/>
      <c r="DB758" s="1323"/>
      <c r="DC758" s="1323"/>
      <c r="DD758" s="1323"/>
      <c r="DE758" s="1323">
        <f t="shared" si="22"/>
        <v>0</v>
      </c>
      <c r="DF758" s="1323"/>
      <c r="DG758" s="1323"/>
      <c r="DH758" s="1323"/>
      <c r="DI758" s="1323"/>
      <c r="DJ758" s="1323">
        <f t="shared" si="23"/>
        <v>0</v>
      </c>
      <c r="DK758" s="1323"/>
      <c r="DL758" s="1323"/>
      <c r="DM758" s="1323"/>
      <c r="DN758" s="1323"/>
      <c r="DO758" s="1323">
        <f t="shared" si="24"/>
        <v>0</v>
      </c>
      <c r="DP758" s="1323"/>
      <c r="DQ758" s="1323"/>
      <c r="DR758" s="1323"/>
      <c r="DS758" s="1323"/>
      <c r="DT758" s="1110"/>
      <c r="DU758" s="1335">
        <f t="shared" si="25"/>
        <v>0</v>
      </c>
      <c r="DV758" s="1335"/>
      <c r="DW758" s="1335"/>
      <c r="DX758" s="1335"/>
      <c r="DY758" s="1335"/>
      <c r="DZ758" s="1335">
        <f t="shared" si="26"/>
        <v>0</v>
      </c>
      <c r="EA758" s="1335"/>
      <c r="EB758" s="1335"/>
      <c r="EC758" s="1335"/>
      <c r="ED758" s="1335"/>
      <c r="EE758" s="1335">
        <f t="shared" si="27"/>
        <v>0</v>
      </c>
      <c r="EF758" s="1335"/>
      <c r="EG758" s="1335"/>
      <c r="EH758" s="1335"/>
      <c r="EI758" s="1335"/>
      <c r="EJ758" s="1335">
        <f t="shared" si="28"/>
        <v>0</v>
      </c>
      <c r="EK758" s="1335"/>
      <c r="EL758" s="1335"/>
      <c r="EM758" s="1335"/>
      <c r="EN758" s="1335"/>
      <c r="EO758" s="1335">
        <f t="shared" si="29"/>
        <v>0</v>
      </c>
      <c r="EP758" s="1335"/>
      <c r="EQ758" s="1335"/>
      <c r="ER758" s="1335"/>
      <c r="ES758" s="1335"/>
      <c r="ET758" s="1335">
        <f t="shared" si="30"/>
        <v>0</v>
      </c>
      <c r="EU758" s="1335"/>
      <c r="EV758" s="1335"/>
      <c r="EW758" s="1335"/>
      <c r="EX758" s="1335"/>
      <c r="EY758"/>
      <c r="EZ758" s="1318" t="str">
        <f t="shared" si="31"/>
        <v/>
      </c>
      <c r="FA758" s="1319"/>
      <c r="FB758" s="1319"/>
      <c r="FC758" s="1319"/>
      <c r="FD758" s="1320"/>
      <c r="FE758" s="1318" t="str">
        <f t="shared" si="32"/>
        <v/>
      </c>
      <c r="FF758" s="1319"/>
      <c r="FG758" s="1319"/>
      <c r="FH758" s="1319"/>
      <c r="FI758" s="1320"/>
      <c r="FJ758" s="1318" t="str">
        <f t="shared" si="33"/>
        <v/>
      </c>
      <c r="FK758" s="1319"/>
      <c r="FL758" s="1319"/>
      <c r="FM758" s="1319"/>
      <c r="FN758" s="1320"/>
      <c r="FO758" s="1318" t="str">
        <f t="shared" si="34"/>
        <v/>
      </c>
      <c r="FP758" s="1319"/>
      <c r="FQ758" s="1319"/>
      <c r="FR758" s="1319"/>
      <c r="FS758" s="1320"/>
      <c r="FT758" s="1318" t="str">
        <f t="shared" si="35"/>
        <v/>
      </c>
      <c r="FU758" s="1319"/>
      <c r="FV758" s="1319"/>
      <c r="FW758" s="1319"/>
      <c r="FX758" s="1320"/>
      <c r="FY758" s="1318" t="str">
        <f t="shared" si="36"/>
        <v/>
      </c>
      <c r="FZ758" s="1319"/>
      <c r="GA758" s="1319"/>
      <c r="GB758" s="1319"/>
      <c r="GC758" s="1320"/>
    </row>
    <row r="759" spans="1:185" s="2" customFormat="1" ht="13.15" customHeight="1">
      <c r="A759"/>
      <c r="B759" s="1332"/>
      <c r="C759" s="1333"/>
      <c r="D759" s="1333"/>
      <c r="E759" s="1333"/>
      <c r="F759" s="1334"/>
      <c r="G759" s="1538"/>
      <c r="H759" s="1539"/>
      <c r="I759" s="1539"/>
      <c r="J759" s="1540"/>
      <c r="K759" s="1545"/>
      <c r="L759" s="1546"/>
      <c r="M759" s="1546"/>
      <c r="N759" s="1547"/>
      <c r="O759" s="1541"/>
      <c r="P759" s="1542"/>
      <c r="Q759" s="1542"/>
      <c r="R759" s="1542"/>
      <c r="S759" s="1543"/>
      <c r="T759" s="1541"/>
      <c r="U759" s="1542"/>
      <c r="V759" s="1542"/>
      <c r="W759" s="1543"/>
      <c r="X759" s="1385">
        <f t="shared" si="40"/>
        <v>0</v>
      </c>
      <c r="Y759" s="1386"/>
      <c r="Z759" s="1386"/>
      <c r="AA759" s="1386"/>
      <c r="AB759" s="1387"/>
      <c r="AC759" s="1548"/>
      <c r="AD759" s="1549"/>
      <c r="AE759" s="1549"/>
      <c r="AF759" s="1549"/>
      <c r="AG759" s="1550"/>
      <c r="AH759" s="1372" t="str">
        <f t="shared" si="37"/>
        <v/>
      </c>
      <c r="AI759" s="1373"/>
      <c r="AJ759" s="1374"/>
      <c r="AK759" s="1332" t="s">
        <v>816</v>
      </c>
      <c r="AL759" s="1333"/>
      <c r="AM759" s="1333"/>
      <c r="AN759" s="1333"/>
      <c r="AO759" s="1334"/>
      <c r="AT759"/>
      <c r="AU759"/>
      <c r="AV759"/>
      <c r="AW759"/>
      <c r="AX759"/>
      <c r="AY759"/>
      <c r="AZ759" s="68" t="str">
        <f t="shared" si="10"/>
        <v>N/A</v>
      </c>
      <c r="BF759" s="179">
        <f t="shared" si="11"/>
        <v>0</v>
      </c>
      <c r="BG759" s="182">
        <f t="shared" si="12"/>
        <v>0</v>
      </c>
      <c r="BH759" s="183" t="str">
        <f t="shared" si="13"/>
        <v/>
      </c>
      <c r="BO759"/>
      <c r="BP759"/>
      <c r="BQ759"/>
      <c r="BR759"/>
      <c r="BS759" s="179">
        <f t="shared" si="14"/>
        <v>0</v>
      </c>
      <c r="BT759" s="182">
        <f t="shared" si="15"/>
        <v>0</v>
      </c>
      <c r="BU759" s="183" t="str">
        <f t="shared" si="16"/>
        <v/>
      </c>
      <c r="CD759"/>
      <c r="CG759" s="1318">
        <f t="shared" si="38"/>
        <v>0</v>
      </c>
      <c r="CH759" s="1320"/>
      <c r="CI759" s="1318">
        <f t="shared" si="39"/>
        <v>0</v>
      </c>
      <c r="CJ759" s="1320"/>
      <c r="CK759" s="1318">
        <f t="shared" si="17"/>
        <v>0</v>
      </c>
      <c r="CL759" s="1320"/>
      <c r="CM759" s="1318">
        <f t="shared" si="18"/>
        <v>0</v>
      </c>
      <c r="CN759" s="1320"/>
      <c r="CP759" s="1315">
        <f t="shared" si="19"/>
        <v>0</v>
      </c>
      <c r="CQ759" s="1316"/>
      <c r="CR759" s="1316"/>
      <c r="CS759" s="1316"/>
      <c r="CT759" s="1317"/>
      <c r="CU759" s="1323">
        <f t="shared" si="20"/>
        <v>0</v>
      </c>
      <c r="CV759" s="1323"/>
      <c r="CW759" s="1323"/>
      <c r="CX759" s="1323"/>
      <c r="CY759" s="1323"/>
      <c r="CZ759" s="1323">
        <f t="shared" si="21"/>
        <v>0</v>
      </c>
      <c r="DA759" s="1323"/>
      <c r="DB759" s="1323"/>
      <c r="DC759" s="1323"/>
      <c r="DD759" s="1323"/>
      <c r="DE759" s="1323">
        <f t="shared" si="22"/>
        <v>0</v>
      </c>
      <c r="DF759" s="1323"/>
      <c r="DG759" s="1323"/>
      <c r="DH759" s="1323"/>
      <c r="DI759" s="1323"/>
      <c r="DJ759" s="1323">
        <f t="shared" si="23"/>
        <v>0</v>
      </c>
      <c r="DK759" s="1323"/>
      <c r="DL759" s="1323"/>
      <c r="DM759" s="1323"/>
      <c r="DN759" s="1323"/>
      <c r="DO759" s="1323">
        <f t="shared" si="24"/>
        <v>0</v>
      </c>
      <c r="DP759" s="1323"/>
      <c r="DQ759" s="1323"/>
      <c r="DR759" s="1323"/>
      <c r="DS759" s="1323"/>
      <c r="DT759" s="1110"/>
      <c r="DU759" s="1335">
        <f t="shared" si="25"/>
        <v>0</v>
      </c>
      <c r="DV759" s="1335"/>
      <c r="DW759" s="1335"/>
      <c r="DX759" s="1335"/>
      <c r="DY759" s="1335"/>
      <c r="DZ759" s="1335">
        <f t="shared" si="26"/>
        <v>0</v>
      </c>
      <c r="EA759" s="1335"/>
      <c r="EB759" s="1335"/>
      <c r="EC759" s="1335"/>
      <c r="ED759" s="1335"/>
      <c r="EE759" s="1335">
        <f t="shared" si="27"/>
        <v>0</v>
      </c>
      <c r="EF759" s="1335"/>
      <c r="EG759" s="1335"/>
      <c r="EH759" s="1335"/>
      <c r="EI759" s="1335"/>
      <c r="EJ759" s="1335">
        <f t="shared" si="28"/>
        <v>0</v>
      </c>
      <c r="EK759" s="1335"/>
      <c r="EL759" s="1335"/>
      <c r="EM759" s="1335"/>
      <c r="EN759" s="1335"/>
      <c r="EO759" s="1335">
        <f t="shared" si="29"/>
        <v>0</v>
      </c>
      <c r="EP759" s="1335"/>
      <c r="EQ759" s="1335"/>
      <c r="ER759" s="1335"/>
      <c r="ES759" s="1335"/>
      <c r="ET759" s="1335">
        <f t="shared" si="30"/>
        <v>0</v>
      </c>
      <c r="EU759" s="1335"/>
      <c r="EV759" s="1335"/>
      <c r="EW759" s="1335"/>
      <c r="EX759" s="1335"/>
      <c r="EY759"/>
      <c r="EZ759" s="1318" t="str">
        <f t="shared" si="31"/>
        <v/>
      </c>
      <c r="FA759" s="1319"/>
      <c r="FB759" s="1319"/>
      <c r="FC759" s="1319"/>
      <c r="FD759" s="1320"/>
      <c r="FE759" s="1318" t="str">
        <f t="shared" si="32"/>
        <v/>
      </c>
      <c r="FF759" s="1319"/>
      <c r="FG759" s="1319"/>
      <c r="FH759" s="1319"/>
      <c r="FI759" s="1320"/>
      <c r="FJ759" s="1318" t="str">
        <f t="shared" si="33"/>
        <v/>
      </c>
      <c r="FK759" s="1319"/>
      <c r="FL759" s="1319"/>
      <c r="FM759" s="1319"/>
      <c r="FN759" s="1320"/>
      <c r="FO759" s="1318" t="str">
        <f t="shared" si="34"/>
        <v/>
      </c>
      <c r="FP759" s="1319"/>
      <c r="FQ759" s="1319"/>
      <c r="FR759" s="1319"/>
      <c r="FS759" s="1320"/>
      <c r="FT759" s="1318" t="str">
        <f t="shared" si="35"/>
        <v/>
      </c>
      <c r="FU759" s="1319"/>
      <c r="FV759" s="1319"/>
      <c r="FW759" s="1319"/>
      <c r="FX759" s="1320"/>
      <c r="FY759" s="1318" t="str">
        <f t="shared" si="36"/>
        <v/>
      </c>
      <c r="FZ759" s="1319"/>
      <c r="GA759" s="1319"/>
      <c r="GB759" s="1319"/>
      <c r="GC759" s="1320"/>
    </row>
    <row r="760" spans="1:185" s="2" customFormat="1" ht="13.15" customHeight="1">
      <c r="A760"/>
      <c r="B760" s="1332"/>
      <c r="C760" s="1333"/>
      <c r="D760" s="1333"/>
      <c r="E760" s="1333"/>
      <c r="F760" s="1334"/>
      <c r="G760" s="1538"/>
      <c r="H760" s="1539"/>
      <c r="I760" s="1539"/>
      <c r="J760" s="1540"/>
      <c r="K760" s="1545"/>
      <c r="L760" s="1546"/>
      <c r="M760" s="1546"/>
      <c r="N760" s="1547"/>
      <c r="O760" s="1541"/>
      <c r="P760" s="1542"/>
      <c r="Q760" s="1542"/>
      <c r="R760" s="1542"/>
      <c r="S760" s="1543"/>
      <c r="T760" s="1541"/>
      <c r="U760" s="1542"/>
      <c r="V760" s="1542"/>
      <c r="W760" s="1543"/>
      <c r="X760" s="1385">
        <f>O760+T760</f>
        <v>0</v>
      </c>
      <c r="Y760" s="1386"/>
      <c r="Z760" s="1386"/>
      <c r="AA760" s="1386"/>
      <c r="AB760" s="1387"/>
      <c r="AC760" s="1548"/>
      <c r="AD760" s="1549"/>
      <c r="AE760" s="1549"/>
      <c r="AF760" s="1549"/>
      <c r="AG760" s="1550"/>
      <c r="AH760" s="1372" t="str">
        <f t="shared" si="37"/>
        <v/>
      </c>
      <c r="AI760" s="1373"/>
      <c r="AJ760" s="1374"/>
      <c r="AK760" s="1332" t="s">
        <v>816</v>
      </c>
      <c r="AL760" s="1333"/>
      <c r="AM760" s="1333"/>
      <c r="AN760" s="1333"/>
      <c r="AO760" s="1334"/>
      <c r="AT760"/>
      <c r="AU760"/>
      <c r="AV760"/>
      <c r="AW760"/>
      <c r="AX760"/>
      <c r="AY760"/>
      <c r="AZ760" s="68" t="str">
        <f t="shared" si="10"/>
        <v>N/A</v>
      </c>
      <c r="BE760"/>
      <c r="BF760" s="179">
        <f t="shared" si="11"/>
        <v>0</v>
      </c>
      <c r="BG760" s="182">
        <f t="shared" si="12"/>
        <v>0</v>
      </c>
      <c r="BH760" s="183" t="str">
        <f t="shared" si="13"/>
        <v/>
      </c>
      <c r="BO760"/>
      <c r="BP760"/>
      <c r="BQ760"/>
      <c r="BR760"/>
      <c r="BS760" s="678">
        <f t="shared" si="14"/>
        <v>0</v>
      </c>
      <c r="BT760" s="182">
        <f t="shared" si="15"/>
        <v>0</v>
      </c>
      <c r="BU760" s="183" t="str">
        <f t="shared" si="16"/>
        <v/>
      </c>
      <c r="CD760"/>
      <c r="CG760" s="1318">
        <f t="shared" si="38"/>
        <v>0</v>
      </c>
      <c r="CH760" s="1320"/>
      <c r="CI760" s="1318">
        <f t="shared" si="39"/>
        <v>0</v>
      </c>
      <c r="CJ760" s="1320"/>
      <c r="CK760" s="1318">
        <f t="shared" si="17"/>
        <v>0</v>
      </c>
      <c r="CL760" s="1320"/>
      <c r="CM760" s="1318">
        <f t="shared" si="18"/>
        <v>0</v>
      </c>
      <c r="CN760" s="1320"/>
      <c r="CP760" s="1315">
        <f t="shared" si="19"/>
        <v>0</v>
      </c>
      <c r="CQ760" s="1316"/>
      <c r="CR760" s="1316"/>
      <c r="CS760" s="1316"/>
      <c r="CT760" s="1317"/>
      <c r="CU760" s="1323">
        <f t="shared" si="20"/>
        <v>0</v>
      </c>
      <c r="CV760" s="1323"/>
      <c r="CW760" s="1323"/>
      <c r="CX760" s="1323"/>
      <c r="CY760" s="1323"/>
      <c r="CZ760" s="1323">
        <f t="shared" si="21"/>
        <v>0</v>
      </c>
      <c r="DA760" s="1323"/>
      <c r="DB760" s="1323"/>
      <c r="DC760" s="1323"/>
      <c r="DD760" s="1323"/>
      <c r="DE760" s="1323">
        <f t="shared" si="22"/>
        <v>0</v>
      </c>
      <c r="DF760" s="1323"/>
      <c r="DG760" s="1323"/>
      <c r="DH760" s="1323"/>
      <c r="DI760" s="1323"/>
      <c r="DJ760" s="1323">
        <f t="shared" si="23"/>
        <v>0</v>
      </c>
      <c r="DK760" s="1323"/>
      <c r="DL760" s="1323"/>
      <c r="DM760" s="1323"/>
      <c r="DN760" s="1323"/>
      <c r="DO760" s="1323">
        <f t="shared" si="24"/>
        <v>0</v>
      </c>
      <c r="DP760" s="1323"/>
      <c r="DQ760" s="1323"/>
      <c r="DR760" s="1323"/>
      <c r="DS760" s="1323"/>
      <c r="DT760" s="1110"/>
      <c r="DU760" s="1335">
        <f t="shared" si="25"/>
        <v>0</v>
      </c>
      <c r="DV760" s="1335"/>
      <c r="DW760" s="1335"/>
      <c r="DX760" s="1335"/>
      <c r="DY760" s="1335"/>
      <c r="DZ760" s="1335">
        <f t="shared" si="26"/>
        <v>0</v>
      </c>
      <c r="EA760" s="1335"/>
      <c r="EB760" s="1335"/>
      <c r="EC760" s="1335"/>
      <c r="ED760" s="1335"/>
      <c r="EE760" s="1335">
        <f t="shared" si="27"/>
        <v>0</v>
      </c>
      <c r="EF760" s="1335"/>
      <c r="EG760" s="1335"/>
      <c r="EH760" s="1335"/>
      <c r="EI760" s="1335"/>
      <c r="EJ760" s="1335">
        <f t="shared" si="28"/>
        <v>0</v>
      </c>
      <c r="EK760" s="1335"/>
      <c r="EL760" s="1335"/>
      <c r="EM760" s="1335"/>
      <c r="EN760" s="1335"/>
      <c r="EO760" s="1335">
        <f t="shared" si="29"/>
        <v>0</v>
      </c>
      <c r="EP760" s="1335"/>
      <c r="EQ760" s="1335"/>
      <c r="ER760" s="1335"/>
      <c r="ES760" s="1335"/>
      <c r="ET760" s="1335">
        <f t="shared" si="30"/>
        <v>0</v>
      </c>
      <c r="EU760" s="1335"/>
      <c r="EV760" s="1335"/>
      <c r="EW760" s="1335"/>
      <c r="EX760" s="1335"/>
      <c r="EY760"/>
      <c r="EZ760" s="1318" t="str">
        <f t="shared" si="31"/>
        <v/>
      </c>
      <c r="FA760" s="1319"/>
      <c r="FB760" s="1319"/>
      <c r="FC760" s="1319"/>
      <c r="FD760" s="1320"/>
      <c r="FE760" s="1318" t="str">
        <f t="shared" si="32"/>
        <v/>
      </c>
      <c r="FF760" s="1319"/>
      <c r="FG760" s="1319"/>
      <c r="FH760" s="1319"/>
      <c r="FI760" s="1320"/>
      <c r="FJ760" s="1318" t="str">
        <f t="shared" si="33"/>
        <v/>
      </c>
      <c r="FK760" s="1319"/>
      <c r="FL760" s="1319"/>
      <c r="FM760" s="1319"/>
      <c r="FN760" s="1320"/>
      <c r="FO760" s="1318" t="str">
        <f t="shared" si="34"/>
        <v/>
      </c>
      <c r="FP760" s="1319"/>
      <c r="FQ760" s="1319"/>
      <c r="FR760" s="1319"/>
      <c r="FS760" s="1320"/>
      <c r="FT760" s="1318" t="str">
        <f t="shared" si="35"/>
        <v/>
      </c>
      <c r="FU760" s="1319"/>
      <c r="FV760" s="1319"/>
      <c r="FW760" s="1319"/>
      <c r="FX760" s="1320"/>
      <c r="FY760" s="1318" t="str">
        <f t="shared" si="36"/>
        <v/>
      </c>
      <c r="FZ760" s="1319"/>
      <c r="GA760" s="1319"/>
      <c r="GB760" s="1319"/>
      <c r="GC760" s="1320"/>
    </row>
    <row r="761" spans="1:185" s="2" customFormat="1" ht="13.15" customHeight="1">
      <c r="A761"/>
      <c r="B761" s="1400" t="s">
        <v>1373</v>
      </c>
      <c r="C761" s="1401"/>
      <c r="D761" s="1401"/>
      <c r="E761" s="1401"/>
      <c r="F761" s="1403"/>
      <c r="G761" s="1662">
        <f>SUM(G726:G760)</f>
        <v>151</v>
      </c>
      <c r="H761" s="1663"/>
      <c r="I761" s="1663"/>
      <c r="J761" s="1664"/>
      <c r="K761" s="707" t="s">
        <v>1374</v>
      </c>
      <c r="L761" s="4"/>
      <c r="M761" s="4"/>
      <c r="N761" s="1096"/>
      <c r="O761" s="1385">
        <f>SUMPRODUCT(G726:G760,O726:O760)</f>
        <v>226273</v>
      </c>
      <c r="P761" s="1386"/>
      <c r="Q761" s="1386"/>
      <c r="R761" s="1386"/>
      <c r="S761" s="1387"/>
      <c r="T761"/>
      <c r="U761"/>
      <c r="V761"/>
      <c r="W761"/>
      <c r="X761" s="709" t="s">
        <v>1375</v>
      </c>
      <c r="Y761" s="708"/>
      <c r="Z761" s="708"/>
      <c r="AA761" s="708"/>
      <c r="AB761" s="710"/>
      <c r="AC761" s="1564">
        <f>BH761</f>
        <v>0.49735099337748356</v>
      </c>
      <c r="AD761" s="1565"/>
      <c r="AE761" s="1565"/>
      <c r="AF761" s="1565"/>
      <c r="AG761" s="1566"/>
      <c r="AH761" s="1564">
        <f>IFERROR(BU761,"")</f>
        <v>0.4973737165091715</v>
      </c>
      <c r="AI761" s="1565"/>
      <c r="AJ761" s="1566"/>
      <c r="AK761"/>
      <c r="AL761"/>
      <c r="AM761"/>
      <c r="AN761"/>
      <c r="AO761"/>
      <c r="AP761" s="115"/>
      <c r="AQ761" s="115"/>
      <c r="AR761" s="115"/>
      <c r="AS761" s="115"/>
      <c r="AT761"/>
      <c r="AU761"/>
      <c r="AV761"/>
      <c r="AW761"/>
      <c r="AX761"/>
      <c r="AY761"/>
      <c r="BE761" s="176" t="s">
        <v>1376</v>
      </c>
      <c r="BF761" s="184">
        <f>SUM(BF726:BF760)</f>
        <v>151</v>
      </c>
      <c r="BG761" s="185">
        <f>SUM(BG726:BG760)</f>
        <v>1</v>
      </c>
      <c r="BH761" s="185">
        <f>SUM(BH726:BH760)</f>
        <v>0.49735099337748356</v>
      </c>
      <c r="BI761"/>
      <c r="BJ761"/>
      <c r="BK761"/>
      <c r="BL761"/>
      <c r="BO761"/>
      <c r="BP761"/>
      <c r="BQ761"/>
      <c r="BR761"/>
      <c r="BS761" s="677">
        <f>SUM(BS726:BS760)</f>
        <v>151</v>
      </c>
      <c r="BT761" s="185">
        <f>SUM(BT726:BT760)</f>
        <v>1</v>
      </c>
      <c r="BU761" s="185">
        <f>SUM(BU726:BU760)</f>
        <v>0.4973737165091715</v>
      </c>
      <c r="CI761" s="1318">
        <f>SUM(CI726:CJ760)</f>
        <v>46</v>
      </c>
      <c r="CJ761" s="1320"/>
      <c r="CM761" s="1318">
        <f>SUM(CM726:CN760)</f>
        <v>47</v>
      </c>
      <c r="CN761" s="1320"/>
      <c r="CP761" s="1318">
        <f>SUM(CP726:CT760)</f>
        <v>0</v>
      </c>
      <c r="CQ761" s="1319"/>
      <c r="CR761" s="1319"/>
      <c r="CS761" s="1319"/>
      <c r="CT761" s="1320"/>
      <c r="CU761" s="1336">
        <f>SUM(CU726:CY760)</f>
        <v>74</v>
      </c>
      <c r="CV761" s="1336"/>
      <c r="CW761" s="1336"/>
      <c r="CX761" s="1336"/>
      <c r="CY761" s="1336"/>
      <c r="CZ761" s="1336">
        <f>SUM(CZ726:DD760)</f>
        <v>38</v>
      </c>
      <c r="DA761" s="1336"/>
      <c r="DB761" s="1336"/>
      <c r="DC761" s="1336"/>
      <c r="DD761" s="1336"/>
      <c r="DE761" s="1336">
        <f>SUM(DE726:DI760)</f>
        <v>39</v>
      </c>
      <c r="DF761" s="1336"/>
      <c r="DG761" s="1336"/>
      <c r="DH761" s="1336"/>
      <c r="DI761" s="1336"/>
      <c r="DJ761" s="1336">
        <f>SUM(DJ726:DN760)</f>
        <v>0</v>
      </c>
      <c r="DK761" s="1336"/>
      <c r="DL761" s="1336"/>
      <c r="DM761" s="1336"/>
      <c r="DN761" s="1336"/>
      <c r="DO761" s="1336">
        <f>SUM(DO726:DS760)</f>
        <v>0</v>
      </c>
      <c r="DP761" s="1336"/>
      <c r="DQ761" s="1336"/>
      <c r="DR761" s="1336"/>
      <c r="DS761" s="1336"/>
      <c r="DT761" s="1110"/>
      <c r="DU761" s="1336">
        <f>SUM(DU726:DY760)</f>
        <v>0</v>
      </c>
      <c r="DV761" s="1336"/>
      <c r="DW761" s="1336"/>
      <c r="DX761" s="1336"/>
      <c r="DY761" s="1336"/>
      <c r="DZ761" s="1336">
        <f>SUM(DZ726:ED760)</f>
        <v>30</v>
      </c>
      <c r="EA761" s="1336"/>
      <c r="EB761" s="1336"/>
      <c r="EC761" s="1336"/>
      <c r="ED761" s="1336"/>
      <c r="EE761" s="1336">
        <f>SUM(EE726:EI760)</f>
        <v>8</v>
      </c>
      <c r="EF761" s="1336"/>
      <c r="EG761" s="1336"/>
      <c r="EH761" s="1336"/>
      <c r="EI761" s="1336"/>
      <c r="EJ761" s="1336">
        <f>SUM(EJ726:EN760)</f>
        <v>9</v>
      </c>
      <c r="EK761" s="1336"/>
      <c r="EL761" s="1336"/>
      <c r="EM761" s="1336"/>
      <c r="EN761" s="1336"/>
      <c r="EO761" s="1336">
        <f>SUM(EO726:ES760)</f>
        <v>0</v>
      </c>
      <c r="EP761" s="1336"/>
      <c r="EQ761" s="1336"/>
      <c r="ER761" s="1336"/>
      <c r="ES761" s="1336"/>
      <c r="ET761" s="1336">
        <f>SUM(ET726:EX760)</f>
        <v>0</v>
      </c>
      <c r="EU761" s="1336"/>
      <c r="EV761" s="1336"/>
      <c r="EW761" s="1336"/>
      <c r="EX761" s="1336"/>
      <c r="EY761"/>
      <c r="EZ761" s="1336">
        <f>SUM(EZ726:FD760)</f>
        <v>0</v>
      </c>
      <c r="FA761" s="1336"/>
      <c r="FB761" s="1336"/>
      <c r="FC761" s="1336"/>
      <c r="FD761" s="1336"/>
      <c r="FE761" s="1336">
        <f>SUM(FE726:FI760)</f>
        <v>6271</v>
      </c>
      <c r="FF761" s="1336"/>
      <c r="FG761" s="1336"/>
      <c r="FH761" s="1336"/>
      <c r="FI761" s="1336"/>
      <c r="FJ761" s="1336">
        <f>SUM(FJ726:FN760)</f>
        <v>6550</v>
      </c>
      <c r="FK761" s="1336"/>
      <c r="FL761" s="1336"/>
      <c r="FM761" s="1336"/>
      <c r="FN761" s="1336"/>
      <c r="FO761" s="1336">
        <f>SUM(FO726:FS760)</f>
        <v>7498</v>
      </c>
      <c r="FP761" s="1336"/>
      <c r="FQ761" s="1336"/>
      <c r="FR761" s="1336"/>
      <c r="FS761" s="1336"/>
      <c r="FT761" s="1336">
        <f>SUM(FT726:FX760)</f>
        <v>0</v>
      </c>
      <c r="FU761" s="1336"/>
      <c r="FV761" s="1336"/>
      <c r="FW761" s="1336"/>
      <c r="FX761" s="1336"/>
      <c r="FY761" s="1336">
        <f>SUM(FY726:GC760)</f>
        <v>0</v>
      </c>
      <c r="FZ761" s="1336"/>
      <c r="GA761" s="1336"/>
      <c r="GB761" s="1336"/>
      <c r="GC761" s="1336"/>
    </row>
    <row r="762" spans="1:185" s="2" customFormat="1" ht="13.15" customHeight="1">
      <c r="A762"/>
      <c r="B762" s="1573" t="s">
        <v>1377</v>
      </c>
      <c r="C762" s="1573"/>
      <c r="D762" s="1573"/>
      <c r="E762" s="1573"/>
      <c r="F762" s="1573"/>
      <c r="G762" s="1573"/>
      <c r="H762" s="1573"/>
      <c r="I762" s="1573"/>
      <c r="J762" s="1573"/>
      <c r="K762" s="1573"/>
      <c r="L762" s="1573"/>
      <c r="M762" s="1573"/>
      <c r="N762" s="1573"/>
      <c r="O762" s="1573"/>
      <c r="P762" s="1573"/>
      <c r="Q762" s="1573"/>
      <c r="R762" s="1573"/>
      <c r="S762" s="1573"/>
      <c r="T762" s="1573"/>
      <c r="U762" s="1573"/>
      <c r="V762" s="1573"/>
      <c r="W762" s="1573"/>
      <c r="X762" s="1573"/>
      <c r="Y762" s="1573"/>
      <c r="Z762" s="1573"/>
      <c r="AA762" s="1573"/>
      <c r="AB762" s="1573"/>
      <c r="AC762" s="1573"/>
      <c r="AD762" s="1573"/>
      <c r="AE762" s="1573"/>
      <c r="AF762" s="1573"/>
      <c r="AG762" s="1573"/>
      <c r="AH762" s="1573"/>
      <c r="AI762"/>
      <c r="AJ762"/>
      <c r="AK762"/>
      <c r="AT762"/>
      <c r="AU762"/>
      <c r="AV762"/>
      <c r="AW762"/>
      <c r="AX762"/>
      <c r="AY762"/>
      <c r="CD762"/>
      <c r="DN762" s="37" t="s">
        <v>1378</v>
      </c>
      <c r="DO762" s="1318">
        <f>CP761+CU761+CZ761+DE761+DJ761+DO761</f>
        <v>151</v>
      </c>
      <c r="DP762" s="1319"/>
      <c r="DQ762" s="1319"/>
      <c r="DR762" s="1319"/>
      <c r="DS762" s="1320"/>
      <c r="DT762" s="1110"/>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15" customHeight="1">
      <c r="B763" s="1573"/>
      <c r="C763" s="1573"/>
      <c r="D763" s="1573"/>
      <c r="E763" s="1573"/>
      <c r="F763" s="1573"/>
      <c r="G763" s="1573"/>
      <c r="H763" s="1573"/>
      <c r="I763" s="1573"/>
      <c r="J763" s="1573"/>
      <c r="K763" s="1573"/>
      <c r="L763" s="1573"/>
      <c r="M763" s="1573"/>
      <c r="N763" s="1573"/>
      <c r="O763" s="1573"/>
      <c r="P763" s="1573"/>
      <c r="Q763" s="1573"/>
      <c r="R763" s="1573"/>
      <c r="S763" s="1573"/>
      <c r="T763" s="1573"/>
      <c r="U763" s="1573"/>
      <c r="V763" s="1573"/>
      <c r="W763" s="1573"/>
      <c r="X763" s="1573"/>
      <c r="Y763" s="1573"/>
      <c r="Z763" s="1573"/>
      <c r="AA763" s="1573"/>
      <c r="AB763" s="1573"/>
      <c r="AC763" s="1573"/>
      <c r="AD763" s="1573"/>
      <c r="AE763" s="1573"/>
      <c r="AF763" s="1573"/>
      <c r="AG763" s="1573"/>
      <c r="AH763" s="1573"/>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74</v>
      </c>
      <c r="CZ763" s="2"/>
      <c r="DA763" s="2"/>
      <c r="DB763" s="2"/>
      <c r="DC763" s="2"/>
      <c r="DD763" s="679">
        <f>CZ761*2</f>
        <v>76</v>
      </c>
      <c r="DE763" s="2"/>
      <c r="DF763" s="2"/>
      <c r="DG763" s="2"/>
      <c r="DH763" s="2"/>
      <c r="DI763" s="679">
        <f>DE761*3</f>
        <v>117</v>
      </c>
      <c r="DJ763" s="2"/>
      <c r="DK763" s="2"/>
      <c r="DL763" s="2"/>
      <c r="DM763" s="2"/>
      <c r="DN763" s="679">
        <f>DJ761*4</f>
        <v>0</v>
      </c>
      <c r="DO763" s="2"/>
      <c r="DP763" s="2"/>
      <c r="DQ763" s="2"/>
      <c r="DR763" s="2"/>
      <c r="DS763" s="679">
        <f>DO761*5</f>
        <v>0</v>
      </c>
      <c r="DU763" s="679">
        <f>CT763+CY763+DD763+DI763+DN763+DS763</f>
        <v>267</v>
      </c>
      <c r="DV763" s="38" t="s">
        <v>1379</v>
      </c>
      <c r="DW763" s="2"/>
      <c r="DX763" s="2"/>
      <c r="DY763" s="2"/>
      <c r="DZ763" s="2"/>
      <c r="EA763" s="2"/>
      <c r="EB763" s="2"/>
      <c r="EC763" s="2"/>
      <c r="ED763" s="2"/>
      <c r="EE763" s="2"/>
      <c r="EF763" s="2"/>
      <c r="EG763" s="2"/>
      <c r="EH763" s="2"/>
    </row>
    <row r="764" spans="1:185" ht="13.15" customHeight="1">
      <c r="A764" s="2"/>
      <c r="B764" s="2"/>
      <c r="C764" s="68" t="s">
        <v>1380</v>
      </c>
      <c r="D764" s="813"/>
      <c r="E764" s="813"/>
      <c r="F764" s="813"/>
      <c r="G764" s="814"/>
      <c r="H764" s="814"/>
      <c r="I764" s="814"/>
      <c r="J764" s="814"/>
      <c r="K764" s="813"/>
      <c r="L764" s="813"/>
      <c r="M764" s="813"/>
      <c r="N764" s="813"/>
      <c r="O764" s="1336">
        <f>DU763</f>
        <v>267</v>
      </c>
      <c r="P764" s="1336"/>
      <c r="Q764" s="1336"/>
      <c r="R764" s="1336"/>
      <c r="S764" s="766"/>
      <c r="T764" s="766"/>
      <c r="U764" s="68" t="s">
        <v>1381</v>
      </c>
      <c r="V764" s="813"/>
      <c r="W764" s="813"/>
      <c r="X764" s="813"/>
      <c r="Y764" s="814"/>
      <c r="Z764" s="814"/>
      <c r="AA764" s="814"/>
      <c r="AB764" s="814"/>
      <c r="AC764" s="813"/>
      <c r="AD764" s="813"/>
      <c r="AE764" s="813"/>
      <c r="AF764" s="813"/>
      <c r="AG764" s="1785">
        <v>10</v>
      </c>
      <c r="AH764" s="1785"/>
      <c r="AI764" s="1785"/>
      <c r="AJ764" s="1785"/>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3.15" customHeight="1">
      <c r="B765" s="38"/>
      <c r="C765" s="1803" t="str">
        <f>IF(G761&lt;&gt;AG449,"! Total Low-Income Units in the Unit Mix Table above does not match the number of Total Low-Income Units on row #"&amp;TEXT(ROW(D449),"#"),"")</f>
        <v/>
      </c>
      <c r="D765" s="1803"/>
      <c r="E765" s="1803"/>
      <c r="F765" s="1803"/>
      <c r="G765" s="1803"/>
      <c r="H765" s="1803"/>
      <c r="I765" s="1803"/>
      <c r="J765" s="1803"/>
      <c r="K765" s="1803"/>
      <c r="L765" s="1803"/>
      <c r="M765" s="1803"/>
      <c r="N765" s="1803"/>
      <c r="O765" s="1803"/>
      <c r="P765" s="1803"/>
      <c r="Q765" s="1803"/>
      <c r="R765" s="1803"/>
      <c r="S765" s="1803"/>
      <c r="T765" s="1803"/>
      <c r="U765" s="1803"/>
      <c r="V765" s="1803"/>
      <c r="W765" s="1803"/>
      <c r="X765" s="1803"/>
      <c r="Y765" s="1803"/>
      <c r="Z765" s="1803"/>
      <c r="AA765" s="1803"/>
      <c r="AB765" s="1803"/>
      <c r="AC765" s="1803"/>
      <c r="AD765" s="1803"/>
      <c r="AE765" s="1803"/>
      <c r="AF765" s="1803"/>
      <c r="AG765" s="1803"/>
      <c r="AH765" s="1803"/>
      <c r="AI765" s="1803"/>
      <c r="AJ765" s="1803"/>
      <c r="AK765" s="1803"/>
      <c r="AL765" s="1803"/>
      <c r="AM765" s="1803"/>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3.15" customHeight="1">
      <c r="B766" s="38"/>
      <c r="C766" s="1803"/>
      <c r="D766" s="1803"/>
      <c r="E766" s="1803"/>
      <c r="F766" s="1803"/>
      <c r="G766" s="1803"/>
      <c r="H766" s="1803"/>
      <c r="I766" s="1803"/>
      <c r="J766" s="1803"/>
      <c r="K766" s="1803"/>
      <c r="L766" s="1803"/>
      <c r="M766" s="1803"/>
      <c r="N766" s="1803"/>
      <c r="O766" s="1803"/>
      <c r="P766" s="1803"/>
      <c r="Q766" s="1803"/>
      <c r="R766" s="1803"/>
      <c r="S766" s="1803"/>
      <c r="T766" s="1803"/>
      <c r="U766" s="1803"/>
      <c r="V766" s="1803"/>
      <c r="W766" s="1803"/>
      <c r="X766" s="1803"/>
      <c r="Y766" s="1803"/>
      <c r="Z766" s="1803"/>
      <c r="AA766" s="1803"/>
      <c r="AB766" s="1803"/>
      <c r="AC766" s="1803"/>
      <c r="AD766" s="1803"/>
      <c r="AE766" s="1803"/>
      <c r="AF766" s="1803"/>
      <c r="AG766" s="1803"/>
      <c r="AH766" s="1803"/>
      <c r="AI766" s="1803"/>
      <c r="AJ766" s="1803"/>
      <c r="AK766" s="1803"/>
      <c r="AL766" s="1803"/>
      <c r="AM766" s="1803"/>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3.15" customHeight="1">
      <c r="B767" s="2"/>
      <c r="C767" s="68" t="s">
        <v>1382</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685" t="s">
        <v>816</v>
      </c>
      <c r="AE767" s="1685"/>
      <c r="AF767" s="1685"/>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3.15" customHeight="1">
      <c r="C768" s="816" t="s">
        <v>1383</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3.15" customHeight="1">
      <c r="A769" s="1" t="s">
        <v>913</v>
      </c>
      <c r="B769" s="37"/>
      <c r="C769" s="38" t="s">
        <v>1384</v>
      </c>
      <c r="D769" s="37"/>
      <c r="E769" s="37"/>
      <c r="F769" s="37"/>
      <c r="G769" s="1110"/>
      <c r="H769" s="1110"/>
      <c r="I769" s="1110"/>
      <c r="J769" s="1110"/>
      <c r="K769" s="1110"/>
      <c r="L769" s="37"/>
      <c r="M769" s="37"/>
      <c r="N769" s="37"/>
      <c r="O769" s="37"/>
      <c r="P769" s="37"/>
      <c r="Q769" s="1110"/>
      <c r="R769" s="1110"/>
      <c r="S769" s="1110"/>
      <c r="T769" s="1110"/>
      <c r="U769" s="111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3.15" customHeight="1">
      <c r="A770" s="2"/>
      <c r="B770" s="813"/>
      <c r="C770" s="68" t="s">
        <v>1385</v>
      </c>
      <c r="D770" s="813"/>
      <c r="E770" s="813"/>
      <c r="F770" s="813"/>
      <c r="G770" s="1110"/>
      <c r="H770" s="1110"/>
      <c r="I770" s="1110"/>
      <c r="J770" s="1110"/>
      <c r="K770" s="1110"/>
      <c r="L770" s="813"/>
      <c r="M770" s="813"/>
      <c r="N770" s="813"/>
      <c r="O770" s="813"/>
      <c r="P770" s="813"/>
      <c r="Q770" s="1110"/>
      <c r="R770" s="1110"/>
      <c r="S770" s="1110"/>
      <c r="T770" s="1110"/>
      <c r="U770" s="1110"/>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3.15" customHeight="1">
      <c r="A771" s="2"/>
      <c r="B771" s="813"/>
      <c r="C771" s="1249" t="s">
        <v>1386</v>
      </c>
      <c r="D771" s="1249"/>
      <c r="E771" s="1249"/>
      <c r="F771" s="1249"/>
      <c r="G771" s="1249"/>
      <c r="H771" s="1249"/>
      <c r="I771" s="1249"/>
      <c r="J771" s="1249"/>
      <c r="K771" s="1249"/>
      <c r="L771" s="1249"/>
      <c r="M771" s="1249"/>
      <c r="N771" s="1249"/>
      <c r="O771" s="1249"/>
      <c r="P771" s="1249"/>
      <c r="Q771" s="1249"/>
      <c r="R771" s="1249"/>
      <c r="S771" s="1249"/>
      <c r="T771" s="1249"/>
      <c r="U771" s="1249"/>
      <c r="V771" s="1249"/>
      <c r="W771" s="1249"/>
      <c r="X771" s="1249"/>
      <c r="Y771" s="1249"/>
      <c r="Z771" s="1249"/>
      <c r="AA771" s="1249"/>
      <c r="AB771" s="1249"/>
      <c r="AC771" s="1249"/>
      <c r="AD771" s="1249"/>
      <c r="AE771" s="1249"/>
      <c r="AF771" s="1249"/>
      <c r="AG771" s="1249"/>
      <c r="AH771" s="1249"/>
      <c r="AI771" s="1249"/>
      <c r="AJ771" s="1249"/>
      <c r="AK771" s="1249"/>
      <c r="AL771" s="1249"/>
      <c r="AM771" s="1249"/>
      <c r="AN771" s="1249"/>
      <c r="AO771" s="1249"/>
      <c r="AP771" s="1249"/>
      <c r="AQ771" s="1249"/>
      <c r="AR771" s="1249"/>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3.15" customHeight="1">
      <c r="A772" s="2"/>
      <c r="B772" s="813"/>
      <c r="C772" s="1249"/>
      <c r="D772" s="1249"/>
      <c r="E772" s="1249"/>
      <c r="F772" s="1249"/>
      <c r="G772" s="1249"/>
      <c r="H772" s="1249"/>
      <c r="I772" s="1249"/>
      <c r="J772" s="1249"/>
      <c r="K772" s="1249"/>
      <c r="L772" s="1249"/>
      <c r="M772" s="1249"/>
      <c r="N772" s="1249"/>
      <c r="O772" s="1249"/>
      <c r="P772" s="1249"/>
      <c r="Q772" s="1249"/>
      <c r="R772" s="1249"/>
      <c r="S772" s="1249"/>
      <c r="T772" s="1249"/>
      <c r="U772" s="1249"/>
      <c r="V772" s="1249"/>
      <c r="W772" s="1249"/>
      <c r="X772" s="1249"/>
      <c r="Y772" s="1249"/>
      <c r="Z772" s="1249"/>
      <c r="AA772" s="1249"/>
      <c r="AB772" s="1249"/>
      <c r="AC772" s="1249"/>
      <c r="AD772" s="1249"/>
      <c r="AE772" s="1249"/>
      <c r="AF772" s="1249"/>
      <c r="AG772" s="1249"/>
      <c r="AH772" s="1249"/>
      <c r="AI772" s="1249"/>
      <c r="AJ772" s="1249"/>
      <c r="AK772" s="1249"/>
      <c r="AL772" s="1249"/>
      <c r="AM772" s="1249"/>
      <c r="AN772" s="1249"/>
      <c r="AO772" s="1249"/>
      <c r="AP772" s="1249"/>
      <c r="AQ772" s="1249"/>
      <c r="AR772" s="1249"/>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3.15" customHeight="1">
      <c r="A773" s="2"/>
      <c r="B773" s="813"/>
      <c r="C773" s="1249"/>
      <c r="D773" s="1249"/>
      <c r="E773" s="1249"/>
      <c r="F773" s="1249"/>
      <c r="G773" s="1249"/>
      <c r="H773" s="1249"/>
      <c r="I773" s="1249"/>
      <c r="J773" s="1249"/>
      <c r="K773" s="1249"/>
      <c r="L773" s="1249"/>
      <c r="M773" s="1249"/>
      <c r="N773" s="1249"/>
      <c r="O773" s="1249"/>
      <c r="P773" s="1249"/>
      <c r="Q773" s="1249"/>
      <c r="R773" s="1249"/>
      <c r="S773" s="1249"/>
      <c r="T773" s="1249"/>
      <c r="U773" s="1249"/>
      <c r="V773" s="1249"/>
      <c r="W773" s="1249"/>
      <c r="X773" s="1249"/>
      <c r="Y773" s="1249"/>
      <c r="Z773" s="1249"/>
      <c r="AA773" s="1249"/>
      <c r="AB773" s="1249"/>
      <c r="AC773" s="1249"/>
      <c r="AD773" s="1249"/>
      <c r="AE773" s="1249"/>
      <c r="AF773" s="1249"/>
      <c r="AG773" s="1249"/>
      <c r="AH773" s="1249"/>
      <c r="AI773" s="1249"/>
      <c r="AJ773" s="1249"/>
      <c r="AK773" s="1249"/>
      <c r="AL773" s="1249"/>
      <c r="AM773" s="1249"/>
      <c r="AN773" s="1249"/>
      <c r="AO773" s="1249"/>
      <c r="AP773" s="1249"/>
      <c r="AQ773" s="1249"/>
      <c r="AR773" s="1249"/>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3.15" customHeight="1">
      <c r="A774" s="2"/>
      <c r="B774" s="813"/>
      <c r="C774" s="1249" t="s">
        <v>1387</v>
      </c>
      <c r="D774" s="1249"/>
      <c r="E774" s="1249"/>
      <c r="F774" s="1249"/>
      <c r="G774" s="1249"/>
      <c r="H774" s="1249"/>
      <c r="I774" s="1249"/>
      <c r="J774" s="1249"/>
      <c r="K774" s="1249"/>
      <c r="L774" s="1249"/>
      <c r="M774" s="1249"/>
      <c r="N774" s="1249"/>
      <c r="O774" s="1249"/>
      <c r="P774" s="1249"/>
      <c r="Q774" s="1249"/>
      <c r="R774" s="1249"/>
      <c r="S774" s="1249"/>
      <c r="T774" s="1249"/>
      <c r="U774" s="1249"/>
      <c r="V774" s="1249"/>
      <c r="W774" s="1249"/>
      <c r="X774" s="1249"/>
      <c r="Y774" s="1249"/>
      <c r="Z774" s="1249"/>
      <c r="AA774" s="1249"/>
      <c r="AB774" s="1249"/>
      <c r="AC774" s="1249"/>
      <c r="AD774" s="1249"/>
      <c r="AE774" s="1249"/>
      <c r="AF774" s="1249"/>
      <c r="AG774" s="1249"/>
      <c r="AH774" s="1249"/>
      <c r="AI774" s="1249"/>
      <c r="AJ774" s="1249"/>
      <c r="AK774" s="1249"/>
      <c r="AL774" s="1249"/>
      <c r="AM774" s="1249"/>
      <c r="AN774" s="1249"/>
      <c r="AO774" s="1249"/>
      <c r="AP774" s="1249"/>
      <c r="AQ774" s="1249"/>
      <c r="AR774" s="1249"/>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3.15" customHeight="1">
      <c r="A775" s="2"/>
      <c r="B775" s="813"/>
      <c r="C775" s="1249"/>
      <c r="D775" s="1249"/>
      <c r="E775" s="1249"/>
      <c r="F775" s="1249"/>
      <c r="G775" s="1249"/>
      <c r="H775" s="1249"/>
      <c r="I775" s="1249"/>
      <c r="J775" s="1249"/>
      <c r="K775" s="1249"/>
      <c r="L775" s="1249"/>
      <c r="M775" s="1249"/>
      <c r="N775" s="1249"/>
      <c r="O775" s="1249"/>
      <c r="P775" s="1249"/>
      <c r="Q775" s="1249"/>
      <c r="R775" s="1249"/>
      <c r="S775" s="1249"/>
      <c r="T775" s="1249"/>
      <c r="U775" s="1249"/>
      <c r="V775" s="1249"/>
      <c r="W775" s="1249"/>
      <c r="X775" s="1249"/>
      <c r="Y775" s="1249"/>
      <c r="Z775" s="1249"/>
      <c r="AA775" s="1249"/>
      <c r="AB775" s="1249"/>
      <c r="AC775" s="1249"/>
      <c r="AD775" s="1249"/>
      <c r="AE775" s="1249"/>
      <c r="AF775" s="1249"/>
      <c r="AG775" s="1249"/>
      <c r="AH775" s="1249"/>
      <c r="AI775" s="1249"/>
      <c r="AJ775" s="1249"/>
      <c r="AK775" s="1249"/>
      <c r="AL775" s="1249"/>
      <c r="AM775" s="1249"/>
      <c r="AN775" s="1249"/>
      <c r="AO775" s="1249"/>
      <c r="AP775" s="1249"/>
      <c r="AQ775" s="1249"/>
      <c r="AR775" s="1249"/>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3.15" customHeight="1">
      <c r="A776" s="2"/>
      <c r="B776" s="813"/>
      <c r="C776" s="1249"/>
      <c r="D776" s="1249"/>
      <c r="E776" s="1249"/>
      <c r="F776" s="1249"/>
      <c r="G776" s="1249"/>
      <c r="H776" s="1249"/>
      <c r="I776" s="1249"/>
      <c r="J776" s="1249"/>
      <c r="K776" s="1249"/>
      <c r="L776" s="1249"/>
      <c r="M776" s="1249"/>
      <c r="N776" s="1249"/>
      <c r="O776" s="1249"/>
      <c r="P776" s="1249"/>
      <c r="Q776" s="1249"/>
      <c r="R776" s="1249"/>
      <c r="S776" s="1249"/>
      <c r="T776" s="1249"/>
      <c r="U776" s="1249"/>
      <c r="V776" s="1249"/>
      <c r="W776" s="1249"/>
      <c r="X776" s="1249"/>
      <c r="Y776" s="1249"/>
      <c r="Z776" s="1249"/>
      <c r="AA776" s="1249"/>
      <c r="AB776" s="1249"/>
      <c r="AC776" s="1249"/>
      <c r="AD776" s="1249"/>
      <c r="AE776" s="1249"/>
      <c r="AF776" s="1249"/>
      <c r="AG776" s="1249"/>
      <c r="AH776" s="1249"/>
      <c r="AI776" s="1249"/>
      <c r="AJ776" s="1249"/>
      <c r="AK776" s="1249"/>
      <c r="AL776" s="1249"/>
      <c r="AM776" s="1249"/>
      <c r="AN776" s="1249"/>
      <c r="AO776" s="1249"/>
      <c r="AP776" s="1249"/>
      <c r="AQ776" s="1249"/>
      <c r="AR776" s="1249"/>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3.15" customHeight="1">
      <c r="J777" s="1347" t="s">
        <v>1353</v>
      </c>
      <c r="K777" s="1348"/>
      <c r="L777" s="1348"/>
      <c r="M777" s="1348"/>
      <c r="N777" s="1349"/>
      <c r="O777" s="1570" t="s">
        <v>1354</v>
      </c>
      <c r="P777" s="1570"/>
      <c r="Q777" s="1570"/>
      <c r="R777" s="1570"/>
      <c r="S777" s="1570"/>
      <c r="T777" s="1552" t="s">
        <v>1355</v>
      </c>
      <c r="U777" s="1553"/>
      <c r="V777" s="1553"/>
      <c r="W777" s="1554"/>
      <c r="X777" s="1347" t="s">
        <v>1356</v>
      </c>
      <c r="Y777" s="1348"/>
      <c r="Z777" s="1348"/>
      <c r="AA777" s="1348"/>
      <c r="AB777" s="1349"/>
      <c r="AC777" s="1347" t="s">
        <v>1388</v>
      </c>
      <c r="AD777" s="1348"/>
      <c r="AE777" s="1348"/>
      <c r="AF777" s="1348"/>
      <c r="AG777" s="1349"/>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3.15" customHeight="1">
      <c r="J778" s="1350"/>
      <c r="K778" s="1351"/>
      <c r="L778" s="1351"/>
      <c r="M778" s="1351"/>
      <c r="N778" s="1352"/>
      <c r="O778" s="1570"/>
      <c r="P778" s="1570"/>
      <c r="Q778" s="1570"/>
      <c r="R778" s="1570"/>
      <c r="S778" s="1570"/>
      <c r="T778" s="1555"/>
      <c r="U778" s="1556"/>
      <c r="V778" s="1556"/>
      <c r="W778" s="1557"/>
      <c r="X778" s="1350"/>
      <c r="Y778" s="1351"/>
      <c r="Z778" s="1351"/>
      <c r="AA778" s="1351"/>
      <c r="AB778" s="1352"/>
      <c r="AC778" s="1350"/>
      <c r="AD778" s="1351"/>
      <c r="AE778" s="1351"/>
      <c r="AF778" s="1351"/>
      <c r="AG778" s="1352"/>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3.15" customHeight="1">
      <c r="J779" s="1350"/>
      <c r="K779" s="1351"/>
      <c r="L779" s="1351"/>
      <c r="M779" s="1351"/>
      <c r="N779" s="1352"/>
      <c r="O779" s="1570"/>
      <c r="P779" s="1570"/>
      <c r="Q779" s="1570"/>
      <c r="R779" s="1570"/>
      <c r="S779" s="1570"/>
      <c r="T779" s="1555"/>
      <c r="U779" s="1556"/>
      <c r="V779" s="1556"/>
      <c r="W779" s="1557"/>
      <c r="X779" s="1350"/>
      <c r="Y779" s="1351"/>
      <c r="Z779" s="1351"/>
      <c r="AA779" s="1351"/>
      <c r="AB779" s="1352"/>
      <c r="AC779" s="1350"/>
      <c r="AD779" s="1351"/>
      <c r="AE779" s="1351"/>
      <c r="AF779" s="1351"/>
      <c r="AG779" s="1352"/>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3.15" customHeight="1">
      <c r="J780" s="1353"/>
      <c r="K780" s="1354"/>
      <c r="L780" s="1354"/>
      <c r="M780" s="1354"/>
      <c r="N780" s="1355"/>
      <c r="O780" s="1570"/>
      <c r="P780" s="1570"/>
      <c r="Q780" s="1570"/>
      <c r="R780" s="1570"/>
      <c r="S780" s="1570"/>
      <c r="T780" s="1558"/>
      <c r="U780" s="1559"/>
      <c r="V780" s="1559"/>
      <c r="W780" s="1560"/>
      <c r="X780" s="1353"/>
      <c r="Y780" s="1354"/>
      <c r="Z780" s="1354"/>
      <c r="AA780" s="1354"/>
      <c r="AB780" s="1355"/>
      <c r="AC780" s="1353"/>
      <c r="AD780" s="1354"/>
      <c r="AE780" s="1354"/>
      <c r="AF780" s="1354"/>
      <c r="AG780" s="1355"/>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1389</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10"/>
      <c r="DU780" s="2"/>
      <c r="DV780" s="2"/>
    </row>
    <row r="781" spans="1:159" ht="13.15" customHeight="1">
      <c r="J781" s="1332" t="s">
        <v>835</v>
      </c>
      <c r="K781" s="1333"/>
      <c r="L781" s="1333"/>
      <c r="M781" s="1333"/>
      <c r="N781" s="1334"/>
      <c r="O781" s="1470">
        <v>2</v>
      </c>
      <c r="P781" s="1470"/>
      <c r="Q781" s="1470"/>
      <c r="R781" s="1470"/>
      <c r="S781" s="1470"/>
      <c r="T781" s="1545">
        <v>806</v>
      </c>
      <c r="U781" s="1546"/>
      <c r="V781" s="1546"/>
      <c r="W781" s="1547"/>
      <c r="X781" s="1541"/>
      <c r="Y781" s="1542"/>
      <c r="Z781" s="1542"/>
      <c r="AA781" s="1542"/>
      <c r="AB781" s="1543"/>
      <c r="AC781" s="1385">
        <f>X781*O781</f>
        <v>0</v>
      </c>
      <c r="AD781" s="1386"/>
      <c r="AE781" s="1386"/>
      <c r="AF781" s="1386"/>
      <c r="AG781" s="1387"/>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315">
        <f>IF(J781="SRO/Studio",O781,0)</f>
        <v>0</v>
      </c>
      <c r="CQ781" s="1316"/>
      <c r="CR781" s="1316"/>
      <c r="CS781" s="1316"/>
      <c r="CT781" s="1317"/>
      <c r="CU781" s="1323">
        <f>IF(J781="1 Bedroom",O781,0)</f>
        <v>0</v>
      </c>
      <c r="CV781" s="1323"/>
      <c r="CW781" s="1323"/>
      <c r="CX781" s="1323"/>
      <c r="CY781" s="1323"/>
      <c r="CZ781" s="1323">
        <f>IF(J781="2 Bedrooms",O781,0)</f>
        <v>2</v>
      </c>
      <c r="DA781" s="1323"/>
      <c r="DB781" s="1323"/>
      <c r="DC781" s="1323"/>
      <c r="DD781" s="1323"/>
      <c r="DE781" s="1323">
        <f>IF(J781="3 Bedrooms",O781,0)</f>
        <v>0</v>
      </c>
      <c r="DF781" s="1323"/>
      <c r="DG781" s="1323"/>
      <c r="DH781" s="1323"/>
      <c r="DI781" s="1323"/>
      <c r="DJ781" s="1323">
        <f>IF(J781="4 Bedrooms",O781,0)</f>
        <v>0</v>
      </c>
      <c r="DK781" s="1323"/>
      <c r="DL781" s="1323"/>
      <c r="DM781" s="1323"/>
      <c r="DN781" s="1323"/>
      <c r="DO781" s="1323">
        <f>IF(J781="5 Bedrooms",O781,0)</f>
        <v>0</v>
      </c>
      <c r="DP781" s="1323"/>
      <c r="DQ781" s="1323"/>
      <c r="DR781" s="1323"/>
      <c r="DS781" s="1323"/>
      <c r="DT781" s="1110"/>
      <c r="DU781" s="2"/>
      <c r="DV781" s="2"/>
    </row>
    <row r="782" spans="1:159" ht="13.15" customHeight="1">
      <c r="J782" s="1332"/>
      <c r="K782" s="1333"/>
      <c r="L782" s="1333"/>
      <c r="M782" s="1333"/>
      <c r="N782" s="1334"/>
      <c r="O782" s="1470"/>
      <c r="P782" s="1470"/>
      <c r="Q782" s="1470"/>
      <c r="R782" s="1470"/>
      <c r="S782" s="1470"/>
      <c r="T782" s="1545"/>
      <c r="U782" s="1546"/>
      <c r="V782" s="1546"/>
      <c r="W782" s="1547"/>
      <c r="X782" s="1541"/>
      <c r="Y782" s="1542"/>
      <c r="Z782" s="1542"/>
      <c r="AA782" s="1542"/>
      <c r="AB782" s="1543"/>
      <c r="AC782" s="1385">
        <f>X782*O782</f>
        <v>0</v>
      </c>
      <c r="AD782" s="1386"/>
      <c r="AE782" s="1386"/>
      <c r="AF782" s="1386"/>
      <c r="AG782" s="1387"/>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315">
        <f>IF(J782="SRO/Studio",O782,0)</f>
        <v>0</v>
      </c>
      <c r="CQ782" s="1316"/>
      <c r="CR782" s="1316"/>
      <c r="CS782" s="1316"/>
      <c r="CT782" s="1317"/>
      <c r="CU782" s="1323">
        <f>IF(J782="1 Bedroom",O782,0)</f>
        <v>0</v>
      </c>
      <c r="CV782" s="1323"/>
      <c r="CW782" s="1323"/>
      <c r="CX782" s="1323"/>
      <c r="CY782" s="1323"/>
      <c r="CZ782" s="1323">
        <f>IF(J782="2 Bedrooms",O782,0)</f>
        <v>0</v>
      </c>
      <c r="DA782" s="1323"/>
      <c r="DB782" s="1323"/>
      <c r="DC782" s="1323"/>
      <c r="DD782" s="1323"/>
      <c r="DE782" s="1323">
        <f>IF(J782="3 Bedrooms",O782,0)</f>
        <v>0</v>
      </c>
      <c r="DF782" s="1323"/>
      <c r="DG782" s="1323"/>
      <c r="DH782" s="1323"/>
      <c r="DI782" s="1323"/>
      <c r="DJ782" s="1323">
        <f>IF(J782="4 Bedrooms",O782,0)</f>
        <v>0</v>
      </c>
      <c r="DK782" s="1323"/>
      <c r="DL782" s="1323"/>
      <c r="DM782" s="1323"/>
      <c r="DN782" s="1323"/>
      <c r="DO782" s="1323">
        <f>IF(J782="5 Bedrooms",O782,0)</f>
        <v>0</v>
      </c>
      <c r="DP782" s="1323"/>
      <c r="DQ782" s="1323"/>
      <c r="DR782" s="1323"/>
      <c r="DS782" s="1323"/>
      <c r="DT782" s="1110"/>
      <c r="DU782" s="2"/>
      <c r="DV782" s="2"/>
    </row>
    <row r="783" spans="1:159" ht="13.15" customHeight="1">
      <c r="J783" s="1332"/>
      <c r="K783" s="1333"/>
      <c r="L783" s="1333"/>
      <c r="M783" s="1333"/>
      <c r="N783" s="1334"/>
      <c r="O783" s="1470"/>
      <c r="P783" s="1470"/>
      <c r="Q783" s="1470"/>
      <c r="R783" s="1470"/>
      <c r="S783" s="1470"/>
      <c r="T783" s="1545"/>
      <c r="U783" s="1546"/>
      <c r="V783" s="1546"/>
      <c r="W783" s="1547"/>
      <c r="X783" s="1541"/>
      <c r="Y783" s="1542"/>
      <c r="Z783" s="1542"/>
      <c r="AA783" s="1542"/>
      <c r="AB783" s="1543"/>
      <c r="AC783" s="1385">
        <f>X783*O783</f>
        <v>0</v>
      </c>
      <c r="AD783" s="1386"/>
      <c r="AE783" s="1386"/>
      <c r="AF783" s="1386"/>
      <c r="AG783" s="1387"/>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315">
        <f>IF(J783="SRO/Studio",O783,0)</f>
        <v>0</v>
      </c>
      <c r="CQ783" s="1316"/>
      <c r="CR783" s="1316"/>
      <c r="CS783" s="1316"/>
      <c r="CT783" s="1317"/>
      <c r="CU783" s="1323">
        <f>IF(J783="1 Bedroom",O783,0)</f>
        <v>0</v>
      </c>
      <c r="CV783" s="1323"/>
      <c r="CW783" s="1323"/>
      <c r="CX783" s="1323"/>
      <c r="CY783" s="1323"/>
      <c r="CZ783" s="1323">
        <f>IF(J783="2 Bedrooms",O783,0)</f>
        <v>0</v>
      </c>
      <c r="DA783" s="1323"/>
      <c r="DB783" s="1323"/>
      <c r="DC783" s="1323"/>
      <c r="DD783" s="1323"/>
      <c r="DE783" s="1323">
        <f>IF(J783="3 Bedrooms",O783,0)</f>
        <v>0</v>
      </c>
      <c r="DF783" s="1323"/>
      <c r="DG783" s="1323"/>
      <c r="DH783" s="1323"/>
      <c r="DI783" s="1323"/>
      <c r="DJ783" s="1323">
        <f>IF(J783="4 Bedrooms",O783,0)</f>
        <v>0</v>
      </c>
      <c r="DK783" s="1323"/>
      <c r="DL783" s="1323"/>
      <c r="DM783" s="1323"/>
      <c r="DN783" s="1323"/>
      <c r="DO783" s="1323">
        <f>IF(J783="5 Bedrooms",O783,0)</f>
        <v>0</v>
      </c>
      <c r="DP783" s="1323"/>
      <c r="DQ783" s="1323"/>
      <c r="DR783" s="1323"/>
      <c r="DS783" s="1323"/>
      <c r="DT783" s="1110"/>
    </row>
    <row r="784" spans="1:159" ht="13.15" customHeight="1">
      <c r="J784" s="1332"/>
      <c r="K784" s="1333"/>
      <c r="L784" s="1333"/>
      <c r="M784" s="1333"/>
      <c r="N784" s="1334"/>
      <c r="O784" s="1470"/>
      <c r="P784" s="1470"/>
      <c r="Q784" s="1470"/>
      <c r="R784" s="1470"/>
      <c r="S784" s="1470"/>
      <c r="T784" s="1545"/>
      <c r="U784" s="1546"/>
      <c r="V784" s="1546"/>
      <c r="W784" s="1547"/>
      <c r="X784" s="1541"/>
      <c r="Y784" s="1542"/>
      <c r="Z784" s="1542"/>
      <c r="AA784" s="1542"/>
      <c r="AB784" s="1543"/>
      <c r="AC784" s="1385">
        <f>X784*O784</f>
        <v>0</v>
      </c>
      <c r="AD784" s="1386"/>
      <c r="AE784" s="1386"/>
      <c r="AF784" s="1386"/>
      <c r="AG784" s="1387"/>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315">
        <f>IF(J784="SRO/Studio",O784,0)</f>
        <v>0</v>
      </c>
      <c r="CQ784" s="1316"/>
      <c r="CR784" s="1316"/>
      <c r="CS784" s="1316"/>
      <c r="CT784" s="1317"/>
      <c r="CU784" s="1323">
        <f>IF(J784="1 Bedroom",O784,0)</f>
        <v>0</v>
      </c>
      <c r="CV784" s="1323"/>
      <c r="CW784" s="1323"/>
      <c r="CX784" s="1323"/>
      <c r="CY784" s="1323"/>
      <c r="CZ784" s="1323">
        <f>IF(J784="2 Bedrooms",O784,0)</f>
        <v>0</v>
      </c>
      <c r="DA784" s="1323"/>
      <c r="DB784" s="1323"/>
      <c r="DC784" s="1323"/>
      <c r="DD784" s="1323"/>
      <c r="DE784" s="1323">
        <f>IF(J784="3 Bedrooms",O784,0)</f>
        <v>0</v>
      </c>
      <c r="DF784" s="1323"/>
      <c r="DG784" s="1323"/>
      <c r="DH784" s="1323"/>
      <c r="DI784" s="1323"/>
      <c r="DJ784" s="1323">
        <f>IF(J784="4 Bedrooms",O784,0)</f>
        <v>0</v>
      </c>
      <c r="DK784" s="1323"/>
      <c r="DL784" s="1323"/>
      <c r="DM784" s="1323"/>
      <c r="DN784" s="1323"/>
      <c r="DO784" s="1323">
        <f>IF(J784="5 Bedrooms",O784,0)</f>
        <v>0</v>
      </c>
      <c r="DP784" s="1323"/>
      <c r="DQ784" s="1323"/>
      <c r="DR784" s="1323"/>
      <c r="DS784" s="1323"/>
    </row>
    <row r="785" spans="1:154" ht="13.15" customHeight="1">
      <c r="J785" s="1400" t="s">
        <v>1373</v>
      </c>
      <c r="K785" s="1401"/>
      <c r="L785" s="1401"/>
      <c r="M785" s="1401"/>
      <c r="N785" s="1403"/>
      <c r="O785" s="1318">
        <f>SUM(O781:S784)</f>
        <v>2</v>
      </c>
      <c r="P785" s="1319"/>
      <c r="Q785" s="1319"/>
      <c r="R785" s="1319"/>
      <c r="S785" s="1320"/>
      <c r="X785" s="1400" t="s">
        <v>1374</v>
      </c>
      <c r="Y785" s="1401"/>
      <c r="Z785" s="1401"/>
      <c r="AA785" s="1401"/>
      <c r="AB785" s="1403"/>
      <c r="AC785" s="1385">
        <f>SUM(AC781:AG784)</f>
        <v>0</v>
      </c>
      <c r="AD785" s="1386"/>
      <c r="AE785" s="1386"/>
      <c r="AF785" s="1386"/>
      <c r="AG785" s="1387"/>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318">
        <f>SUM(CP781:CT784)</f>
        <v>0</v>
      </c>
      <c r="CQ785" s="1319"/>
      <c r="CR785" s="1319"/>
      <c r="CS785" s="1319"/>
      <c r="CT785" s="1320"/>
      <c r="CU785" s="1318">
        <f>SUM(CU781:CY784)</f>
        <v>0</v>
      </c>
      <c r="CV785" s="1319"/>
      <c r="CW785" s="1319"/>
      <c r="CX785" s="1319"/>
      <c r="CY785" s="1320"/>
      <c r="CZ785" s="1318">
        <f>SUM(CZ781:DD784)</f>
        <v>2</v>
      </c>
      <c r="DA785" s="1319"/>
      <c r="DB785" s="1319"/>
      <c r="DC785" s="1319"/>
      <c r="DD785" s="1320"/>
      <c r="DE785" s="1318">
        <f>SUM(DE781:DI784)</f>
        <v>0</v>
      </c>
      <c r="DF785" s="1319"/>
      <c r="DG785" s="1319"/>
      <c r="DH785" s="1319"/>
      <c r="DI785" s="1320"/>
      <c r="DJ785" s="1318">
        <f>SUM(DJ781:DN784)</f>
        <v>0</v>
      </c>
      <c r="DK785" s="1319"/>
      <c r="DL785" s="1319"/>
      <c r="DM785" s="1319"/>
      <c r="DN785" s="1320"/>
      <c r="DO785" s="1318">
        <f>SUM(DO781:DS784)</f>
        <v>0</v>
      </c>
      <c r="DP785" s="1319"/>
      <c r="DQ785" s="1319"/>
      <c r="DR785" s="1319"/>
      <c r="DS785" s="1320"/>
      <c r="DU785" s="679">
        <f>CP785+CU785+CZ785+DE785+DJ785+DO785</f>
        <v>2</v>
      </c>
      <c r="DV785" s="38" t="s">
        <v>1390</v>
      </c>
    </row>
    <row r="786" spans="1:154" ht="13.15" customHeight="1">
      <c r="J786" s="37"/>
      <c r="K786" s="37"/>
      <c r="L786" s="37"/>
      <c r="M786" s="37"/>
      <c r="N786" s="37"/>
      <c r="O786" s="1110"/>
      <c r="P786" s="1110"/>
      <c r="Q786" s="1110"/>
      <c r="R786" s="1110"/>
      <c r="S786" s="1110"/>
      <c r="T786" s="37"/>
      <c r="U786" s="37"/>
      <c r="V786" s="37"/>
      <c r="W786" s="37"/>
      <c r="X786" s="37"/>
      <c r="Y786" s="766"/>
      <c r="Z786" s="1080"/>
      <c r="AA786" s="1080"/>
      <c r="AB786" s="1080"/>
      <c r="AC786" s="1080"/>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4</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4</v>
      </c>
      <c r="DV786" s="38" t="s">
        <v>1391</v>
      </c>
    </row>
    <row r="787" spans="1:154" ht="13.15" customHeight="1">
      <c r="B787" s="37"/>
      <c r="C787" s="37"/>
      <c r="D787" s="37"/>
      <c r="E787" s="37"/>
      <c r="F787" s="37"/>
      <c r="G787" s="1110"/>
      <c r="H787" s="1110"/>
      <c r="I787" s="1110"/>
      <c r="J787" s="1368" t="s">
        <v>696</v>
      </c>
      <c r="K787" s="1368"/>
      <c r="L787" s="37"/>
      <c r="M787" s="68" t="s">
        <v>1392</v>
      </c>
      <c r="N787" s="37"/>
      <c r="O787" s="37"/>
      <c r="P787" s="37"/>
      <c r="Q787" s="1110"/>
      <c r="R787" s="1110"/>
      <c r="S787" s="1110"/>
      <c r="T787" s="1110"/>
      <c r="U787" s="1110"/>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3.15" customHeight="1">
      <c r="B788" s="37"/>
      <c r="C788" s="37"/>
      <c r="D788" s="37"/>
      <c r="E788" s="37"/>
      <c r="F788" s="37"/>
      <c r="G788" s="1110"/>
      <c r="H788" s="1110"/>
      <c r="I788" s="1110"/>
      <c r="J788" s="1110"/>
      <c r="K788" s="1110"/>
      <c r="L788" s="37"/>
      <c r="M788" s="68" t="s">
        <v>1393</v>
      </c>
      <c r="N788" s="37"/>
      <c r="O788" s="37"/>
      <c r="P788" s="37"/>
      <c r="Q788" s="1110"/>
      <c r="R788" s="1110"/>
      <c r="S788" s="1110"/>
      <c r="T788" s="1110"/>
      <c r="U788" s="1110"/>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3.15" customHeight="1">
      <c r="A789" s="1" t="s">
        <v>989</v>
      </c>
      <c r="B789" s="38"/>
      <c r="C789" s="38" t="s">
        <v>209</v>
      </c>
      <c r="D789" s="37"/>
      <c r="E789" s="37"/>
      <c r="F789" s="37"/>
      <c r="G789" s="1110"/>
      <c r="H789" s="1110"/>
      <c r="I789" s="1110"/>
      <c r="J789" s="1110"/>
      <c r="K789" s="1110"/>
      <c r="L789" s="37"/>
      <c r="M789" s="37"/>
      <c r="N789" s="37"/>
      <c r="O789" s="37"/>
      <c r="P789" s="37"/>
      <c r="Q789" s="1110"/>
      <c r="R789" s="1110"/>
      <c r="S789" s="1110"/>
      <c r="T789" s="1110"/>
      <c r="U789" s="1110"/>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3.15" customHeight="1">
      <c r="B790" s="37"/>
      <c r="C790" s="37"/>
      <c r="D790" s="37"/>
      <c r="E790" s="37"/>
      <c r="F790" s="37"/>
      <c r="G790" s="1110"/>
      <c r="H790" s="1110"/>
      <c r="I790" s="1110"/>
      <c r="J790" s="364"/>
      <c r="K790" s="1110"/>
      <c r="L790" s="37"/>
      <c r="M790" s="37"/>
      <c r="N790" s="37"/>
      <c r="O790" s="37"/>
      <c r="P790" s="37"/>
      <c r="Q790" s="1110"/>
      <c r="R790" s="1110"/>
      <c r="S790" s="1110"/>
      <c r="T790" s="1110"/>
      <c r="U790" s="111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3.15" customHeight="1">
      <c r="J791" s="1347" t="s">
        <v>1353</v>
      </c>
      <c r="K791" s="1348"/>
      <c r="L791" s="1348"/>
      <c r="M791" s="1348"/>
      <c r="N791" s="1349"/>
      <c r="O791" s="1570" t="s">
        <v>1354</v>
      </c>
      <c r="P791" s="1570"/>
      <c r="Q791" s="1570"/>
      <c r="R791" s="1570"/>
      <c r="S791" s="1570"/>
      <c r="T791" s="1552" t="s">
        <v>1355</v>
      </c>
      <c r="U791" s="1553"/>
      <c r="V791" s="1553"/>
      <c r="W791" s="1554"/>
      <c r="X791" s="1347" t="s">
        <v>1356</v>
      </c>
      <c r="Y791" s="1348"/>
      <c r="Z791" s="1348"/>
      <c r="AA791" s="1348"/>
      <c r="AB791" s="1349"/>
      <c r="AC791" s="1347" t="s">
        <v>1388</v>
      </c>
      <c r="AD791" s="1348"/>
      <c r="AE791" s="1348"/>
      <c r="AF791" s="1348"/>
      <c r="AG791" s="1349"/>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3.15" customHeight="1">
      <c r="J792" s="1350"/>
      <c r="K792" s="1351"/>
      <c r="L792" s="1351"/>
      <c r="M792" s="1351"/>
      <c r="N792" s="1352"/>
      <c r="O792" s="1570"/>
      <c r="P792" s="1570"/>
      <c r="Q792" s="1570"/>
      <c r="R792" s="1570"/>
      <c r="S792" s="1570"/>
      <c r="T792" s="1555"/>
      <c r="U792" s="1556"/>
      <c r="V792" s="1556"/>
      <c r="W792" s="1557"/>
      <c r="X792" s="1350"/>
      <c r="Y792" s="1351"/>
      <c r="Z792" s="1351"/>
      <c r="AA792" s="1351"/>
      <c r="AB792" s="1352"/>
      <c r="AC792" s="1350"/>
      <c r="AD792" s="1351"/>
      <c r="AE792" s="1351"/>
      <c r="AF792" s="1351"/>
      <c r="AG792" s="135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3.15" customHeight="1">
      <c r="J793" s="1350"/>
      <c r="K793" s="1351"/>
      <c r="L793" s="1351"/>
      <c r="M793" s="1351"/>
      <c r="N793" s="1352"/>
      <c r="O793" s="1570"/>
      <c r="P793" s="1570"/>
      <c r="Q793" s="1570"/>
      <c r="R793" s="1570"/>
      <c r="S793" s="1570"/>
      <c r="T793" s="1555"/>
      <c r="U793" s="1556"/>
      <c r="V793" s="1556"/>
      <c r="W793" s="1557"/>
      <c r="X793" s="1350"/>
      <c r="Y793" s="1351"/>
      <c r="Z793" s="1351"/>
      <c r="AA793" s="1351"/>
      <c r="AB793" s="1352"/>
      <c r="AC793" s="1350"/>
      <c r="AD793" s="1351"/>
      <c r="AE793" s="1351"/>
      <c r="AF793" s="1351"/>
      <c r="AG793" s="135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3.15" customHeight="1">
      <c r="J794" s="1353"/>
      <c r="K794" s="1354"/>
      <c r="L794" s="1354"/>
      <c r="M794" s="1354"/>
      <c r="N794" s="1355"/>
      <c r="O794" s="1570"/>
      <c r="P794" s="1570"/>
      <c r="Q794" s="1570"/>
      <c r="R794" s="1570"/>
      <c r="S794" s="1570"/>
      <c r="T794" s="1558"/>
      <c r="U794" s="1559"/>
      <c r="V794" s="1559"/>
      <c r="W794" s="1560"/>
      <c r="X794" s="1353"/>
      <c r="Y794" s="1354"/>
      <c r="Z794" s="1354"/>
      <c r="AA794" s="1354"/>
      <c r="AB794" s="1355"/>
      <c r="AC794" s="1353"/>
      <c r="AD794" s="1354"/>
      <c r="AE794" s="1354"/>
      <c r="AF794" s="1354"/>
      <c r="AG794" s="1355"/>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1394</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1395</v>
      </c>
      <c r="DV794" s="2"/>
      <c r="DW794" s="2"/>
      <c r="DX794" s="2"/>
      <c r="DY794" s="2"/>
      <c r="DZ794" s="2"/>
      <c r="EA794" s="2"/>
      <c r="EB794" s="2"/>
      <c r="EC794" s="2"/>
      <c r="ED794" s="2"/>
      <c r="EE794" s="2"/>
      <c r="EF794" s="2"/>
      <c r="EG794" s="2"/>
      <c r="EH794" s="2"/>
    </row>
    <row r="795" spans="1:154" ht="13.15" customHeight="1">
      <c r="J795" s="1332"/>
      <c r="K795" s="1333"/>
      <c r="L795" s="1333"/>
      <c r="M795" s="1333"/>
      <c r="N795" s="1334"/>
      <c r="O795" s="1470"/>
      <c r="P795" s="1470"/>
      <c r="Q795" s="1470"/>
      <c r="R795" s="1470"/>
      <c r="S795" s="1470"/>
      <c r="T795" s="1545"/>
      <c r="U795" s="1546"/>
      <c r="V795" s="1546"/>
      <c r="W795" s="1547"/>
      <c r="X795" s="1541"/>
      <c r="Y795" s="1542"/>
      <c r="Z795" s="1542"/>
      <c r="AA795" s="1542"/>
      <c r="AB795" s="1543"/>
      <c r="AC795" s="1385">
        <f t="shared" ref="AC795:AC804" si="41">X795*O795</f>
        <v>0</v>
      </c>
      <c r="AD795" s="1386"/>
      <c r="AE795" s="1386"/>
      <c r="AF795" s="1386"/>
      <c r="AG795" s="1387"/>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315">
        <f t="shared" ref="CP795:CP804" si="42">IF(J795="SRO/Studio",O795,0)</f>
        <v>0</v>
      </c>
      <c r="CQ795" s="1316"/>
      <c r="CR795" s="1316"/>
      <c r="CS795" s="1316"/>
      <c r="CT795" s="1317"/>
      <c r="CU795" s="1315">
        <f t="shared" ref="CU795:CU804" si="43">IF(J795="1 Bedroom",O795,0)</f>
        <v>0</v>
      </c>
      <c r="CV795" s="1316"/>
      <c r="CW795" s="1316"/>
      <c r="CX795" s="1316"/>
      <c r="CY795" s="1317"/>
      <c r="CZ795" s="1315">
        <f t="shared" ref="CZ795:CZ804" si="44">IF(J795="2 Bedrooms",O795,0)</f>
        <v>0</v>
      </c>
      <c r="DA795" s="1316"/>
      <c r="DB795" s="1316"/>
      <c r="DC795" s="1316"/>
      <c r="DD795" s="1317"/>
      <c r="DE795" s="1315">
        <f t="shared" ref="DE795:DE804" si="45">IF(J795="3 Bedrooms",O795,0)</f>
        <v>0</v>
      </c>
      <c r="DF795" s="1316"/>
      <c r="DG795" s="1316"/>
      <c r="DH795" s="1316"/>
      <c r="DI795" s="1317"/>
      <c r="DJ795" s="1315">
        <f t="shared" ref="DJ795:DJ804" si="46">IF(J795="4 Bedrooms",O795,0)</f>
        <v>0</v>
      </c>
      <c r="DK795" s="1316"/>
      <c r="DL795" s="1316"/>
      <c r="DM795" s="1316"/>
      <c r="DN795" s="1317"/>
      <c r="DO795" s="1315">
        <f t="shared" ref="DO795:DO804" si="47">IF(J795="5 Bedrooms",O795,0)</f>
        <v>0</v>
      </c>
      <c r="DP795" s="1316"/>
      <c r="DQ795" s="1316"/>
      <c r="DR795" s="1316"/>
      <c r="DS795" s="1317"/>
      <c r="DT795" s="1110"/>
      <c r="DU795" s="1315">
        <f t="shared" ref="DU795:DU804" si="48">IF(AND(CP795&gt;=1,AH795&gt;=0.1,AH795&lt;=1),O795,0)</f>
        <v>0</v>
      </c>
      <c r="DV795" s="1316"/>
      <c r="DW795" s="1316"/>
      <c r="DX795" s="1316"/>
      <c r="DY795" s="1317"/>
      <c r="DZ795" s="1315">
        <f t="shared" ref="DZ795:DZ804" si="49">IF(AND(CU795&gt;=1,AH795&gt;=0.1,AH795&lt;=1),O795,0)</f>
        <v>0</v>
      </c>
      <c r="EA795" s="1316"/>
      <c r="EB795" s="1316"/>
      <c r="EC795" s="1316"/>
      <c r="ED795" s="1317"/>
      <c r="EE795" s="1315">
        <f t="shared" ref="EE795:EE804" si="50">IF(AND(CZ795&gt;=1,AH795&gt;=0.1,AH795&lt;=1),O795,0)</f>
        <v>0</v>
      </c>
      <c r="EF795" s="1316"/>
      <c r="EG795" s="1316"/>
      <c r="EH795" s="1316"/>
      <c r="EI795" s="1317"/>
      <c r="EJ795" s="1315">
        <f t="shared" ref="EJ795:EJ804" si="51">IF(AND(DE795&gt;=1,AH795&gt;=0.1,AH795&lt;=1),O795,0)</f>
        <v>0</v>
      </c>
      <c r="EK795" s="1316"/>
      <c r="EL795" s="1316"/>
      <c r="EM795" s="1316"/>
      <c r="EN795" s="1317"/>
      <c r="EO795" s="1315">
        <f t="shared" ref="EO795:EO804" si="52">IF(AND(DJ795&gt;=1,AH795&gt;=0.1,AH795&lt;=1),O795,0)</f>
        <v>0</v>
      </c>
      <c r="EP795" s="1316"/>
      <c r="EQ795" s="1316"/>
      <c r="ER795" s="1316"/>
      <c r="ES795" s="1317"/>
      <c r="ET795" s="1315">
        <f t="shared" ref="ET795:ET804" si="53">IF(AND(DO795&gt;=1,AH795&gt;=0.1,AH795&lt;=1),O795,0)</f>
        <v>0</v>
      </c>
      <c r="EU795" s="1316"/>
      <c r="EV795" s="1316"/>
      <c r="EW795" s="1316"/>
      <c r="EX795" s="1317"/>
    </row>
    <row r="796" spans="1:154" s="11" customFormat="1" ht="13.15" customHeight="1">
      <c r="A796"/>
      <c r="B796"/>
      <c r="C796"/>
      <c r="D796"/>
      <c r="E796"/>
      <c r="F796"/>
      <c r="G796"/>
      <c r="H796"/>
      <c r="I796"/>
      <c r="J796" s="1332"/>
      <c r="K796" s="1333"/>
      <c r="L796" s="1333"/>
      <c r="M796" s="1333"/>
      <c r="N796" s="1334"/>
      <c r="O796" s="1470"/>
      <c r="P796" s="1470"/>
      <c r="Q796" s="1470"/>
      <c r="R796" s="1470"/>
      <c r="S796" s="1470"/>
      <c r="T796" s="1545"/>
      <c r="U796" s="1546"/>
      <c r="V796" s="1546"/>
      <c r="W796" s="1547"/>
      <c r="X796" s="1541"/>
      <c r="Y796" s="1542"/>
      <c r="Z796" s="1542"/>
      <c r="AA796" s="1542"/>
      <c r="AB796" s="1543"/>
      <c r="AC796" s="1385">
        <f t="shared" si="41"/>
        <v>0</v>
      </c>
      <c r="AD796" s="1386"/>
      <c r="AE796" s="1386"/>
      <c r="AF796" s="1386"/>
      <c r="AG796" s="1387"/>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315">
        <f t="shared" si="42"/>
        <v>0</v>
      </c>
      <c r="CQ796" s="1316"/>
      <c r="CR796" s="1316"/>
      <c r="CS796" s="1316"/>
      <c r="CT796" s="1317"/>
      <c r="CU796" s="1315">
        <f t="shared" si="43"/>
        <v>0</v>
      </c>
      <c r="CV796" s="1316"/>
      <c r="CW796" s="1316"/>
      <c r="CX796" s="1316"/>
      <c r="CY796" s="1317"/>
      <c r="CZ796" s="1315">
        <f t="shared" si="44"/>
        <v>0</v>
      </c>
      <c r="DA796" s="1316"/>
      <c r="DB796" s="1316"/>
      <c r="DC796" s="1316"/>
      <c r="DD796" s="1317"/>
      <c r="DE796" s="1315">
        <f t="shared" si="45"/>
        <v>0</v>
      </c>
      <c r="DF796" s="1316"/>
      <c r="DG796" s="1316"/>
      <c r="DH796" s="1316"/>
      <c r="DI796" s="1317"/>
      <c r="DJ796" s="1315">
        <f t="shared" si="46"/>
        <v>0</v>
      </c>
      <c r="DK796" s="1316"/>
      <c r="DL796" s="1316"/>
      <c r="DM796" s="1316"/>
      <c r="DN796" s="1317"/>
      <c r="DO796" s="1315">
        <f t="shared" si="47"/>
        <v>0</v>
      </c>
      <c r="DP796" s="1316"/>
      <c r="DQ796" s="1316"/>
      <c r="DR796" s="1316"/>
      <c r="DS796" s="1317"/>
      <c r="DT796" s="1110"/>
      <c r="DU796" s="1315">
        <f t="shared" si="48"/>
        <v>0</v>
      </c>
      <c r="DV796" s="1316"/>
      <c r="DW796" s="1316"/>
      <c r="DX796" s="1316"/>
      <c r="DY796" s="1317"/>
      <c r="DZ796" s="1315">
        <f t="shared" si="49"/>
        <v>0</v>
      </c>
      <c r="EA796" s="1316"/>
      <c r="EB796" s="1316"/>
      <c r="EC796" s="1316"/>
      <c r="ED796" s="1317"/>
      <c r="EE796" s="1315">
        <f t="shared" si="50"/>
        <v>0</v>
      </c>
      <c r="EF796" s="1316"/>
      <c r="EG796" s="1316"/>
      <c r="EH796" s="1316"/>
      <c r="EI796" s="1317"/>
      <c r="EJ796" s="1315">
        <f t="shared" si="51"/>
        <v>0</v>
      </c>
      <c r="EK796" s="1316"/>
      <c r="EL796" s="1316"/>
      <c r="EM796" s="1316"/>
      <c r="EN796" s="1317"/>
      <c r="EO796" s="1315">
        <f t="shared" si="52"/>
        <v>0</v>
      </c>
      <c r="EP796" s="1316"/>
      <c r="EQ796" s="1316"/>
      <c r="ER796" s="1316"/>
      <c r="ES796" s="1317"/>
      <c r="ET796" s="1315">
        <f t="shared" si="53"/>
        <v>0</v>
      </c>
      <c r="EU796" s="1316"/>
      <c r="EV796" s="1316"/>
      <c r="EW796" s="1316"/>
      <c r="EX796" s="1317"/>
    </row>
    <row r="797" spans="1:154" s="11" customFormat="1" ht="13.15" customHeight="1">
      <c r="A797"/>
      <c r="B797"/>
      <c r="C797"/>
      <c r="D797"/>
      <c r="E797"/>
      <c r="F797"/>
      <c r="G797"/>
      <c r="H797"/>
      <c r="I797"/>
      <c r="J797" s="1332"/>
      <c r="K797" s="1333"/>
      <c r="L797" s="1333"/>
      <c r="M797" s="1333"/>
      <c r="N797" s="1334"/>
      <c r="O797" s="1470"/>
      <c r="P797" s="1470"/>
      <c r="Q797" s="1470"/>
      <c r="R797" s="1470"/>
      <c r="S797" s="1470"/>
      <c r="T797" s="1545"/>
      <c r="U797" s="1546"/>
      <c r="V797" s="1546"/>
      <c r="W797" s="1547"/>
      <c r="X797" s="1541"/>
      <c r="Y797" s="1542"/>
      <c r="Z797" s="1542"/>
      <c r="AA797" s="1542"/>
      <c r="AB797" s="1543"/>
      <c r="AC797" s="1385">
        <f t="shared" si="41"/>
        <v>0</v>
      </c>
      <c r="AD797" s="1386"/>
      <c r="AE797" s="1386"/>
      <c r="AF797" s="1386"/>
      <c r="AG797" s="1387"/>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315">
        <f t="shared" si="42"/>
        <v>0</v>
      </c>
      <c r="CQ797" s="1316"/>
      <c r="CR797" s="1316"/>
      <c r="CS797" s="1316"/>
      <c r="CT797" s="1317"/>
      <c r="CU797" s="1315">
        <f t="shared" si="43"/>
        <v>0</v>
      </c>
      <c r="CV797" s="1316"/>
      <c r="CW797" s="1316"/>
      <c r="CX797" s="1316"/>
      <c r="CY797" s="1317"/>
      <c r="CZ797" s="1315">
        <f t="shared" si="44"/>
        <v>0</v>
      </c>
      <c r="DA797" s="1316"/>
      <c r="DB797" s="1316"/>
      <c r="DC797" s="1316"/>
      <c r="DD797" s="1317"/>
      <c r="DE797" s="1315">
        <f t="shared" si="45"/>
        <v>0</v>
      </c>
      <c r="DF797" s="1316"/>
      <c r="DG797" s="1316"/>
      <c r="DH797" s="1316"/>
      <c r="DI797" s="1317"/>
      <c r="DJ797" s="1315">
        <f t="shared" si="46"/>
        <v>0</v>
      </c>
      <c r="DK797" s="1316"/>
      <c r="DL797" s="1316"/>
      <c r="DM797" s="1316"/>
      <c r="DN797" s="1317"/>
      <c r="DO797" s="1315">
        <f t="shared" si="47"/>
        <v>0</v>
      </c>
      <c r="DP797" s="1316"/>
      <c r="DQ797" s="1316"/>
      <c r="DR797" s="1316"/>
      <c r="DS797" s="1317"/>
      <c r="DT797" s="1110"/>
      <c r="DU797" s="1315">
        <f t="shared" si="48"/>
        <v>0</v>
      </c>
      <c r="DV797" s="1316"/>
      <c r="DW797" s="1316"/>
      <c r="DX797" s="1316"/>
      <c r="DY797" s="1317"/>
      <c r="DZ797" s="1315">
        <f t="shared" si="49"/>
        <v>0</v>
      </c>
      <c r="EA797" s="1316"/>
      <c r="EB797" s="1316"/>
      <c r="EC797" s="1316"/>
      <c r="ED797" s="1317"/>
      <c r="EE797" s="1315">
        <f t="shared" si="50"/>
        <v>0</v>
      </c>
      <c r="EF797" s="1316"/>
      <c r="EG797" s="1316"/>
      <c r="EH797" s="1316"/>
      <c r="EI797" s="1317"/>
      <c r="EJ797" s="1315">
        <f t="shared" si="51"/>
        <v>0</v>
      </c>
      <c r="EK797" s="1316"/>
      <c r="EL797" s="1316"/>
      <c r="EM797" s="1316"/>
      <c r="EN797" s="1317"/>
      <c r="EO797" s="1315">
        <f t="shared" si="52"/>
        <v>0</v>
      </c>
      <c r="EP797" s="1316"/>
      <c r="EQ797" s="1316"/>
      <c r="ER797" s="1316"/>
      <c r="ES797" s="1317"/>
      <c r="ET797" s="1315">
        <f t="shared" si="53"/>
        <v>0</v>
      </c>
      <c r="EU797" s="1316"/>
      <c r="EV797" s="1316"/>
      <c r="EW797" s="1316"/>
      <c r="EX797" s="1317"/>
    </row>
    <row r="798" spans="1:154" s="11" customFormat="1" ht="13.15" customHeight="1">
      <c r="A798"/>
      <c r="B798"/>
      <c r="C798"/>
      <c r="D798"/>
      <c r="E798"/>
      <c r="F798"/>
      <c r="G798"/>
      <c r="H798"/>
      <c r="I798"/>
      <c r="J798" s="1332"/>
      <c r="K798" s="1333"/>
      <c r="L798" s="1333"/>
      <c r="M798" s="1333"/>
      <c r="N798" s="1334"/>
      <c r="O798" s="1470"/>
      <c r="P798" s="1470"/>
      <c r="Q798" s="1470"/>
      <c r="R798" s="1470"/>
      <c r="S798" s="1470"/>
      <c r="T798" s="1545"/>
      <c r="U798" s="1546"/>
      <c r="V798" s="1546"/>
      <c r="W798" s="1547"/>
      <c r="X798" s="1541"/>
      <c r="Y798" s="1542"/>
      <c r="Z798" s="1542"/>
      <c r="AA798" s="1542"/>
      <c r="AB798" s="1543"/>
      <c r="AC798" s="1385">
        <f t="shared" si="41"/>
        <v>0</v>
      </c>
      <c r="AD798" s="1386"/>
      <c r="AE798" s="1386"/>
      <c r="AF798" s="1386"/>
      <c r="AG798" s="1387"/>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315">
        <f t="shared" si="42"/>
        <v>0</v>
      </c>
      <c r="CQ798" s="1316"/>
      <c r="CR798" s="1316"/>
      <c r="CS798" s="1316"/>
      <c r="CT798" s="1317"/>
      <c r="CU798" s="1315">
        <f t="shared" si="43"/>
        <v>0</v>
      </c>
      <c r="CV798" s="1316"/>
      <c r="CW798" s="1316"/>
      <c r="CX798" s="1316"/>
      <c r="CY798" s="1317"/>
      <c r="CZ798" s="1315">
        <f t="shared" si="44"/>
        <v>0</v>
      </c>
      <c r="DA798" s="1316"/>
      <c r="DB798" s="1316"/>
      <c r="DC798" s="1316"/>
      <c r="DD798" s="1317"/>
      <c r="DE798" s="1315">
        <f t="shared" si="45"/>
        <v>0</v>
      </c>
      <c r="DF798" s="1316"/>
      <c r="DG798" s="1316"/>
      <c r="DH798" s="1316"/>
      <c r="DI798" s="1317"/>
      <c r="DJ798" s="1315">
        <f t="shared" si="46"/>
        <v>0</v>
      </c>
      <c r="DK798" s="1316"/>
      <c r="DL798" s="1316"/>
      <c r="DM798" s="1316"/>
      <c r="DN798" s="1317"/>
      <c r="DO798" s="1315">
        <f t="shared" si="47"/>
        <v>0</v>
      </c>
      <c r="DP798" s="1316"/>
      <c r="DQ798" s="1316"/>
      <c r="DR798" s="1316"/>
      <c r="DS798" s="1317"/>
      <c r="DT798" s="1110"/>
      <c r="DU798" s="1315">
        <f t="shared" si="48"/>
        <v>0</v>
      </c>
      <c r="DV798" s="1316"/>
      <c r="DW798" s="1316"/>
      <c r="DX798" s="1316"/>
      <c r="DY798" s="1317"/>
      <c r="DZ798" s="1315">
        <f t="shared" si="49"/>
        <v>0</v>
      </c>
      <c r="EA798" s="1316"/>
      <c r="EB798" s="1316"/>
      <c r="EC798" s="1316"/>
      <c r="ED798" s="1317"/>
      <c r="EE798" s="1315">
        <f t="shared" si="50"/>
        <v>0</v>
      </c>
      <c r="EF798" s="1316"/>
      <c r="EG798" s="1316"/>
      <c r="EH798" s="1316"/>
      <c r="EI798" s="1317"/>
      <c r="EJ798" s="1315">
        <f t="shared" si="51"/>
        <v>0</v>
      </c>
      <c r="EK798" s="1316"/>
      <c r="EL798" s="1316"/>
      <c r="EM798" s="1316"/>
      <c r="EN798" s="1317"/>
      <c r="EO798" s="1315">
        <f t="shared" si="52"/>
        <v>0</v>
      </c>
      <c r="EP798" s="1316"/>
      <c r="EQ798" s="1316"/>
      <c r="ER798" s="1316"/>
      <c r="ES798" s="1317"/>
      <c r="ET798" s="1315">
        <f t="shared" si="53"/>
        <v>0</v>
      </c>
      <c r="EU798" s="1316"/>
      <c r="EV798" s="1316"/>
      <c r="EW798" s="1316"/>
      <c r="EX798" s="1317"/>
    </row>
    <row r="799" spans="1:154" s="11" customFormat="1" ht="13.15" customHeight="1">
      <c r="A799"/>
      <c r="B799"/>
      <c r="C799"/>
      <c r="D799"/>
      <c r="E799"/>
      <c r="F799"/>
      <c r="G799"/>
      <c r="H799"/>
      <c r="I799"/>
      <c r="J799" s="1332"/>
      <c r="K799" s="1333"/>
      <c r="L799" s="1333"/>
      <c r="M799" s="1333"/>
      <c r="N799" s="1334"/>
      <c r="O799" s="1470"/>
      <c r="P799" s="1470"/>
      <c r="Q799" s="1470"/>
      <c r="R799" s="1470"/>
      <c r="S799" s="1470"/>
      <c r="T799" s="1545"/>
      <c r="U799" s="1546"/>
      <c r="V799" s="1546"/>
      <c r="W799" s="1547"/>
      <c r="X799" s="1541"/>
      <c r="Y799" s="1542"/>
      <c r="Z799" s="1542"/>
      <c r="AA799" s="1542"/>
      <c r="AB799" s="1543"/>
      <c r="AC799" s="1385">
        <f t="shared" si="41"/>
        <v>0</v>
      </c>
      <c r="AD799" s="1386"/>
      <c r="AE799" s="1386"/>
      <c r="AF799" s="1386"/>
      <c r="AG799" s="1387"/>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315">
        <f t="shared" si="42"/>
        <v>0</v>
      </c>
      <c r="CQ799" s="1316"/>
      <c r="CR799" s="1316"/>
      <c r="CS799" s="1316"/>
      <c r="CT799" s="1317"/>
      <c r="CU799" s="1315">
        <f t="shared" si="43"/>
        <v>0</v>
      </c>
      <c r="CV799" s="1316"/>
      <c r="CW799" s="1316"/>
      <c r="CX799" s="1316"/>
      <c r="CY799" s="1317"/>
      <c r="CZ799" s="1315">
        <f t="shared" si="44"/>
        <v>0</v>
      </c>
      <c r="DA799" s="1316"/>
      <c r="DB799" s="1316"/>
      <c r="DC799" s="1316"/>
      <c r="DD799" s="1317"/>
      <c r="DE799" s="1315">
        <f t="shared" si="45"/>
        <v>0</v>
      </c>
      <c r="DF799" s="1316"/>
      <c r="DG799" s="1316"/>
      <c r="DH799" s="1316"/>
      <c r="DI799" s="1317"/>
      <c r="DJ799" s="1315">
        <f t="shared" si="46"/>
        <v>0</v>
      </c>
      <c r="DK799" s="1316"/>
      <c r="DL799" s="1316"/>
      <c r="DM799" s="1316"/>
      <c r="DN799" s="1317"/>
      <c r="DO799" s="1315">
        <f t="shared" si="47"/>
        <v>0</v>
      </c>
      <c r="DP799" s="1316"/>
      <c r="DQ799" s="1316"/>
      <c r="DR799" s="1316"/>
      <c r="DS799" s="1317"/>
      <c r="DT799" s="1110"/>
      <c r="DU799" s="1315">
        <f t="shared" si="48"/>
        <v>0</v>
      </c>
      <c r="DV799" s="1316"/>
      <c r="DW799" s="1316"/>
      <c r="DX799" s="1316"/>
      <c r="DY799" s="1317"/>
      <c r="DZ799" s="1315">
        <f t="shared" si="49"/>
        <v>0</v>
      </c>
      <c r="EA799" s="1316"/>
      <c r="EB799" s="1316"/>
      <c r="EC799" s="1316"/>
      <c r="ED799" s="1317"/>
      <c r="EE799" s="1315">
        <f t="shared" si="50"/>
        <v>0</v>
      </c>
      <c r="EF799" s="1316"/>
      <c r="EG799" s="1316"/>
      <c r="EH799" s="1316"/>
      <c r="EI799" s="1317"/>
      <c r="EJ799" s="1315">
        <f t="shared" si="51"/>
        <v>0</v>
      </c>
      <c r="EK799" s="1316"/>
      <c r="EL799" s="1316"/>
      <c r="EM799" s="1316"/>
      <c r="EN799" s="1317"/>
      <c r="EO799" s="1315">
        <f t="shared" si="52"/>
        <v>0</v>
      </c>
      <c r="EP799" s="1316"/>
      <c r="EQ799" s="1316"/>
      <c r="ER799" s="1316"/>
      <c r="ES799" s="1317"/>
      <c r="ET799" s="1315">
        <f t="shared" si="53"/>
        <v>0</v>
      </c>
      <c r="EU799" s="1316"/>
      <c r="EV799" s="1316"/>
      <c r="EW799" s="1316"/>
      <c r="EX799" s="1317"/>
    </row>
    <row r="800" spans="1:154" s="11" customFormat="1" ht="13.15" customHeight="1">
      <c r="A800"/>
      <c r="B800"/>
      <c r="C800"/>
      <c r="D800"/>
      <c r="E800"/>
      <c r="F800"/>
      <c r="G800"/>
      <c r="H800"/>
      <c r="I800"/>
      <c r="J800" s="1332"/>
      <c r="K800" s="1333"/>
      <c r="L800" s="1333"/>
      <c r="M800" s="1333"/>
      <c r="N800" s="1334"/>
      <c r="O800" s="1470"/>
      <c r="P800" s="1470"/>
      <c r="Q800" s="1470"/>
      <c r="R800" s="1470"/>
      <c r="S800" s="1470"/>
      <c r="T800" s="1545"/>
      <c r="U800" s="1546"/>
      <c r="V800" s="1546"/>
      <c r="W800" s="1547"/>
      <c r="X800" s="1541"/>
      <c r="Y800" s="1542"/>
      <c r="Z800" s="1542"/>
      <c r="AA800" s="1542"/>
      <c r="AB800" s="1543"/>
      <c r="AC800" s="1385">
        <f t="shared" si="41"/>
        <v>0</v>
      </c>
      <c r="AD800" s="1386"/>
      <c r="AE800" s="1386"/>
      <c r="AF800" s="1386"/>
      <c r="AG800" s="1387"/>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315">
        <f t="shared" si="42"/>
        <v>0</v>
      </c>
      <c r="CQ800" s="1316"/>
      <c r="CR800" s="1316"/>
      <c r="CS800" s="1316"/>
      <c r="CT800" s="1317"/>
      <c r="CU800" s="1315">
        <f t="shared" si="43"/>
        <v>0</v>
      </c>
      <c r="CV800" s="1316"/>
      <c r="CW800" s="1316"/>
      <c r="CX800" s="1316"/>
      <c r="CY800" s="1317"/>
      <c r="CZ800" s="1315">
        <f t="shared" si="44"/>
        <v>0</v>
      </c>
      <c r="DA800" s="1316"/>
      <c r="DB800" s="1316"/>
      <c r="DC800" s="1316"/>
      <c r="DD800" s="1317"/>
      <c r="DE800" s="1315">
        <f t="shared" si="45"/>
        <v>0</v>
      </c>
      <c r="DF800" s="1316"/>
      <c r="DG800" s="1316"/>
      <c r="DH800" s="1316"/>
      <c r="DI800" s="1317"/>
      <c r="DJ800" s="1315">
        <f t="shared" si="46"/>
        <v>0</v>
      </c>
      <c r="DK800" s="1316"/>
      <c r="DL800" s="1316"/>
      <c r="DM800" s="1316"/>
      <c r="DN800" s="1317"/>
      <c r="DO800" s="1315">
        <f t="shared" si="47"/>
        <v>0</v>
      </c>
      <c r="DP800" s="1316"/>
      <c r="DQ800" s="1316"/>
      <c r="DR800" s="1316"/>
      <c r="DS800" s="1317"/>
      <c r="DT800" s="1110"/>
      <c r="DU800" s="1315">
        <f t="shared" si="48"/>
        <v>0</v>
      </c>
      <c r="DV800" s="1316"/>
      <c r="DW800" s="1316"/>
      <c r="DX800" s="1316"/>
      <c r="DY800" s="1317"/>
      <c r="DZ800" s="1315">
        <f t="shared" si="49"/>
        <v>0</v>
      </c>
      <c r="EA800" s="1316"/>
      <c r="EB800" s="1316"/>
      <c r="EC800" s="1316"/>
      <c r="ED800" s="1317"/>
      <c r="EE800" s="1315">
        <f t="shared" si="50"/>
        <v>0</v>
      </c>
      <c r="EF800" s="1316"/>
      <c r="EG800" s="1316"/>
      <c r="EH800" s="1316"/>
      <c r="EI800" s="1317"/>
      <c r="EJ800" s="1315">
        <f t="shared" si="51"/>
        <v>0</v>
      </c>
      <c r="EK800" s="1316"/>
      <c r="EL800" s="1316"/>
      <c r="EM800" s="1316"/>
      <c r="EN800" s="1317"/>
      <c r="EO800" s="1315">
        <f t="shared" si="52"/>
        <v>0</v>
      </c>
      <c r="EP800" s="1316"/>
      <c r="EQ800" s="1316"/>
      <c r="ER800" s="1316"/>
      <c r="ES800" s="1317"/>
      <c r="ET800" s="1315">
        <f t="shared" si="53"/>
        <v>0</v>
      </c>
      <c r="EU800" s="1316"/>
      <c r="EV800" s="1316"/>
      <c r="EW800" s="1316"/>
      <c r="EX800" s="1317"/>
    </row>
    <row r="801" spans="1:154" s="11" customFormat="1" ht="13.15" customHeight="1">
      <c r="A801"/>
      <c r="B801"/>
      <c r="C801"/>
      <c r="D801"/>
      <c r="E801"/>
      <c r="F801"/>
      <c r="G801"/>
      <c r="H801"/>
      <c r="I801"/>
      <c r="J801" s="1332"/>
      <c r="K801" s="1333"/>
      <c r="L801" s="1333"/>
      <c r="M801" s="1333"/>
      <c r="N801" s="1334"/>
      <c r="O801" s="1470"/>
      <c r="P801" s="1470"/>
      <c r="Q801" s="1470"/>
      <c r="R801" s="1470"/>
      <c r="S801" s="1470"/>
      <c r="T801" s="1545"/>
      <c r="U801" s="1546"/>
      <c r="V801" s="1546"/>
      <c r="W801" s="1547"/>
      <c r="X801" s="1541"/>
      <c r="Y801" s="1542"/>
      <c r="Z801" s="1542"/>
      <c r="AA801" s="1542"/>
      <c r="AB801" s="1543"/>
      <c r="AC801" s="1385">
        <f t="shared" si="41"/>
        <v>0</v>
      </c>
      <c r="AD801" s="1386"/>
      <c r="AE801" s="1386"/>
      <c r="AF801" s="1386"/>
      <c r="AG801" s="1387"/>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315">
        <f t="shared" si="42"/>
        <v>0</v>
      </c>
      <c r="CQ801" s="1316"/>
      <c r="CR801" s="1316"/>
      <c r="CS801" s="1316"/>
      <c r="CT801" s="1317"/>
      <c r="CU801" s="1315">
        <f t="shared" si="43"/>
        <v>0</v>
      </c>
      <c r="CV801" s="1316"/>
      <c r="CW801" s="1316"/>
      <c r="CX801" s="1316"/>
      <c r="CY801" s="1317"/>
      <c r="CZ801" s="1315">
        <f t="shared" si="44"/>
        <v>0</v>
      </c>
      <c r="DA801" s="1316"/>
      <c r="DB801" s="1316"/>
      <c r="DC801" s="1316"/>
      <c r="DD801" s="1317"/>
      <c r="DE801" s="1315">
        <f t="shared" si="45"/>
        <v>0</v>
      </c>
      <c r="DF801" s="1316"/>
      <c r="DG801" s="1316"/>
      <c r="DH801" s="1316"/>
      <c r="DI801" s="1317"/>
      <c r="DJ801" s="1315">
        <f t="shared" si="46"/>
        <v>0</v>
      </c>
      <c r="DK801" s="1316"/>
      <c r="DL801" s="1316"/>
      <c r="DM801" s="1316"/>
      <c r="DN801" s="1317"/>
      <c r="DO801" s="1315">
        <f t="shared" si="47"/>
        <v>0</v>
      </c>
      <c r="DP801" s="1316"/>
      <c r="DQ801" s="1316"/>
      <c r="DR801" s="1316"/>
      <c r="DS801" s="1317"/>
      <c r="DT801" s="1110"/>
      <c r="DU801" s="1315">
        <f t="shared" si="48"/>
        <v>0</v>
      </c>
      <c r="DV801" s="1316"/>
      <c r="DW801" s="1316"/>
      <c r="DX801" s="1316"/>
      <c r="DY801" s="1317"/>
      <c r="DZ801" s="1315">
        <f t="shared" si="49"/>
        <v>0</v>
      </c>
      <c r="EA801" s="1316"/>
      <c r="EB801" s="1316"/>
      <c r="EC801" s="1316"/>
      <c r="ED801" s="1317"/>
      <c r="EE801" s="1315">
        <f t="shared" si="50"/>
        <v>0</v>
      </c>
      <c r="EF801" s="1316"/>
      <c r="EG801" s="1316"/>
      <c r="EH801" s="1316"/>
      <c r="EI801" s="1317"/>
      <c r="EJ801" s="1315">
        <f t="shared" si="51"/>
        <v>0</v>
      </c>
      <c r="EK801" s="1316"/>
      <c r="EL801" s="1316"/>
      <c r="EM801" s="1316"/>
      <c r="EN801" s="1317"/>
      <c r="EO801" s="1315">
        <f t="shared" si="52"/>
        <v>0</v>
      </c>
      <c r="EP801" s="1316"/>
      <c r="EQ801" s="1316"/>
      <c r="ER801" s="1316"/>
      <c r="ES801" s="1317"/>
      <c r="ET801" s="1315">
        <f t="shared" si="53"/>
        <v>0</v>
      </c>
      <c r="EU801" s="1316"/>
      <c r="EV801" s="1316"/>
      <c r="EW801" s="1316"/>
      <c r="EX801" s="1317"/>
    </row>
    <row r="802" spans="1:154" s="11" customFormat="1" ht="13.15" customHeight="1">
      <c r="A802"/>
      <c r="B802"/>
      <c r="C802"/>
      <c r="D802"/>
      <c r="E802"/>
      <c r="F802"/>
      <c r="G802"/>
      <c r="H802"/>
      <c r="I802"/>
      <c r="J802" s="1332"/>
      <c r="K802" s="1333"/>
      <c r="L802" s="1333"/>
      <c r="M802" s="1333"/>
      <c r="N802" s="1334"/>
      <c r="O802" s="1470"/>
      <c r="P802" s="1470"/>
      <c r="Q802" s="1470"/>
      <c r="R802" s="1470"/>
      <c r="S802" s="1470"/>
      <c r="T802" s="1545"/>
      <c r="U802" s="1546"/>
      <c r="V802" s="1546"/>
      <c r="W802" s="1547"/>
      <c r="X802" s="1541"/>
      <c r="Y802" s="1542"/>
      <c r="Z802" s="1542"/>
      <c r="AA802" s="1542"/>
      <c r="AB802" s="1543"/>
      <c r="AC802" s="1385">
        <f t="shared" si="41"/>
        <v>0</v>
      </c>
      <c r="AD802" s="1386"/>
      <c r="AE802" s="1386"/>
      <c r="AF802" s="1386"/>
      <c r="AG802" s="1387"/>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315">
        <f t="shared" si="42"/>
        <v>0</v>
      </c>
      <c r="CQ802" s="1316"/>
      <c r="CR802" s="1316"/>
      <c r="CS802" s="1316"/>
      <c r="CT802" s="1317"/>
      <c r="CU802" s="1315">
        <f t="shared" si="43"/>
        <v>0</v>
      </c>
      <c r="CV802" s="1316"/>
      <c r="CW802" s="1316"/>
      <c r="CX802" s="1316"/>
      <c r="CY802" s="1317"/>
      <c r="CZ802" s="1315">
        <f t="shared" si="44"/>
        <v>0</v>
      </c>
      <c r="DA802" s="1316"/>
      <c r="DB802" s="1316"/>
      <c r="DC802" s="1316"/>
      <c r="DD802" s="1317"/>
      <c r="DE802" s="1315">
        <f t="shared" si="45"/>
        <v>0</v>
      </c>
      <c r="DF802" s="1316"/>
      <c r="DG802" s="1316"/>
      <c r="DH802" s="1316"/>
      <c r="DI802" s="1317"/>
      <c r="DJ802" s="1315">
        <f t="shared" si="46"/>
        <v>0</v>
      </c>
      <c r="DK802" s="1316"/>
      <c r="DL802" s="1316"/>
      <c r="DM802" s="1316"/>
      <c r="DN802" s="1317"/>
      <c r="DO802" s="1315">
        <f t="shared" si="47"/>
        <v>0</v>
      </c>
      <c r="DP802" s="1316"/>
      <c r="DQ802" s="1316"/>
      <c r="DR802" s="1316"/>
      <c r="DS802" s="1317"/>
      <c r="DT802" s="1110"/>
      <c r="DU802" s="1315">
        <f t="shared" si="48"/>
        <v>0</v>
      </c>
      <c r="DV802" s="1316"/>
      <c r="DW802" s="1316"/>
      <c r="DX802" s="1316"/>
      <c r="DY802" s="1317"/>
      <c r="DZ802" s="1315">
        <f t="shared" si="49"/>
        <v>0</v>
      </c>
      <c r="EA802" s="1316"/>
      <c r="EB802" s="1316"/>
      <c r="EC802" s="1316"/>
      <c r="ED802" s="1317"/>
      <c r="EE802" s="1315">
        <f t="shared" si="50"/>
        <v>0</v>
      </c>
      <c r="EF802" s="1316"/>
      <c r="EG802" s="1316"/>
      <c r="EH802" s="1316"/>
      <c r="EI802" s="1317"/>
      <c r="EJ802" s="1315">
        <f t="shared" si="51"/>
        <v>0</v>
      </c>
      <c r="EK802" s="1316"/>
      <c r="EL802" s="1316"/>
      <c r="EM802" s="1316"/>
      <c r="EN802" s="1317"/>
      <c r="EO802" s="1315">
        <f t="shared" si="52"/>
        <v>0</v>
      </c>
      <c r="EP802" s="1316"/>
      <c r="EQ802" s="1316"/>
      <c r="ER802" s="1316"/>
      <c r="ES802" s="1317"/>
      <c r="ET802" s="1315">
        <f t="shared" si="53"/>
        <v>0</v>
      </c>
      <c r="EU802" s="1316"/>
      <c r="EV802" s="1316"/>
      <c r="EW802" s="1316"/>
      <c r="EX802" s="1317"/>
    </row>
    <row r="803" spans="1:154" s="11" customFormat="1" ht="13.15" customHeight="1">
      <c r="A803"/>
      <c r="B803"/>
      <c r="C803"/>
      <c r="D803"/>
      <c r="E803"/>
      <c r="F803"/>
      <c r="G803"/>
      <c r="H803"/>
      <c r="I803"/>
      <c r="J803" s="1332"/>
      <c r="K803" s="1333"/>
      <c r="L803" s="1333"/>
      <c r="M803" s="1333"/>
      <c r="N803" s="1334"/>
      <c r="O803" s="1470"/>
      <c r="P803" s="1470"/>
      <c r="Q803" s="1470"/>
      <c r="R803" s="1470"/>
      <c r="S803" s="1470"/>
      <c r="T803" s="1545"/>
      <c r="U803" s="1546"/>
      <c r="V803" s="1546"/>
      <c r="W803" s="1547"/>
      <c r="X803" s="1541"/>
      <c r="Y803" s="1542"/>
      <c r="Z803" s="1542"/>
      <c r="AA803" s="1542"/>
      <c r="AB803" s="1543"/>
      <c r="AC803" s="1385">
        <f t="shared" si="41"/>
        <v>0</v>
      </c>
      <c r="AD803" s="1386"/>
      <c r="AE803" s="1386"/>
      <c r="AF803" s="1386"/>
      <c r="AG803" s="1387"/>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315">
        <f t="shared" si="42"/>
        <v>0</v>
      </c>
      <c r="CQ803" s="1316"/>
      <c r="CR803" s="1316"/>
      <c r="CS803" s="1316"/>
      <c r="CT803" s="1317"/>
      <c r="CU803" s="1315">
        <f t="shared" si="43"/>
        <v>0</v>
      </c>
      <c r="CV803" s="1316"/>
      <c r="CW803" s="1316"/>
      <c r="CX803" s="1316"/>
      <c r="CY803" s="1317"/>
      <c r="CZ803" s="1315">
        <f t="shared" si="44"/>
        <v>0</v>
      </c>
      <c r="DA803" s="1316"/>
      <c r="DB803" s="1316"/>
      <c r="DC803" s="1316"/>
      <c r="DD803" s="1317"/>
      <c r="DE803" s="1315">
        <f t="shared" si="45"/>
        <v>0</v>
      </c>
      <c r="DF803" s="1316"/>
      <c r="DG803" s="1316"/>
      <c r="DH803" s="1316"/>
      <c r="DI803" s="1317"/>
      <c r="DJ803" s="1315">
        <f t="shared" si="46"/>
        <v>0</v>
      </c>
      <c r="DK803" s="1316"/>
      <c r="DL803" s="1316"/>
      <c r="DM803" s="1316"/>
      <c r="DN803" s="1317"/>
      <c r="DO803" s="1315">
        <f t="shared" si="47"/>
        <v>0</v>
      </c>
      <c r="DP803" s="1316"/>
      <c r="DQ803" s="1316"/>
      <c r="DR803" s="1316"/>
      <c r="DS803" s="1317"/>
      <c r="DT803" s="1110"/>
      <c r="DU803" s="1315">
        <f t="shared" si="48"/>
        <v>0</v>
      </c>
      <c r="DV803" s="1316"/>
      <c r="DW803" s="1316"/>
      <c r="DX803" s="1316"/>
      <c r="DY803" s="1317"/>
      <c r="DZ803" s="1315">
        <f t="shared" si="49"/>
        <v>0</v>
      </c>
      <c r="EA803" s="1316"/>
      <c r="EB803" s="1316"/>
      <c r="EC803" s="1316"/>
      <c r="ED803" s="1317"/>
      <c r="EE803" s="1315">
        <f t="shared" si="50"/>
        <v>0</v>
      </c>
      <c r="EF803" s="1316"/>
      <c r="EG803" s="1316"/>
      <c r="EH803" s="1316"/>
      <c r="EI803" s="1317"/>
      <c r="EJ803" s="1315">
        <f t="shared" si="51"/>
        <v>0</v>
      </c>
      <c r="EK803" s="1316"/>
      <c r="EL803" s="1316"/>
      <c r="EM803" s="1316"/>
      <c r="EN803" s="1317"/>
      <c r="EO803" s="1315">
        <f t="shared" si="52"/>
        <v>0</v>
      </c>
      <c r="EP803" s="1316"/>
      <c r="EQ803" s="1316"/>
      <c r="ER803" s="1316"/>
      <c r="ES803" s="1317"/>
      <c r="ET803" s="1315">
        <f t="shared" si="53"/>
        <v>0</v>
      </c>
      <c r="EU803" s="1316"/>
      <c r="EV803" s="1316"/>
      <c r="EW803" s="1316"/>
      <c r="EX803" s="1317"/>
    </row>
    <row r="804" spans="1:154" s="3" customFormat="1" ht="13.15" customHeight="1">
      <c r="A804"/>
      <c r="B804"/>
      <c r="C804"/>
      <c r="D804"/>
      <c r="E804"/>
      <c r="F804"/>
      <c r="G804"/>
      <c r="H804"/>
      <c r="I804"/>
      <c r="J804" s="1332"/>
      <c r="K804" s="1333"/>
      <c r="L804" s="1333"/>
      <c r="M804" s="1333"/>
      <c r="N804" s="1334"/>
      <c r="O804" s="1470"/>
      <c r="P804" s="1470"/>
      <c r="Q804" s="1470"/>
      <c r="R804" s="1470"/>
      <c r="S804" s="1470"/>
      <c r="T804" s="1545"/>
      <c r="U804" s="1546"/>
      <c r="V804" s="1546"/>
      <c r="W804" s="1547"/>
      <c r="X804" s="1541"/>
      <c r="Y804" s="1542"/>
      <c r="Z804" s="1542"/>
      <c r="AA804" s="1542"/>
      <c r="AB804" s="1543"/>
      <c r="AC804" s="1385">
        <f t="shared" si="41"/>
        <v>0</v>
      </c>
      <c r="AD804" s="1386"/>
      <c r="AE804" s="1386"/>
      <c r="AF804" s="1386"/>
      <c r="AG804" s="1387"/>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315">
        <f t="shared" si="42"/>
        <v>0</v>
      </c>
      <c r="CQ804" s="1316"/>
      <c r="CR804" s="1316"/>
      <c r="CS804" s="1316"/>
      <c r="CT804" s="1317"/>
      <c r="CU804" s="1315">
        <f t="shared" si="43"/>
        <v>0</v>
      </c>
      <c r="CV804" s="1316"/>
      <c r="CW804" s="1316"/>
      <c r="CX804" s="1316"/>
      <c r="CY804" s="1317"/>
      <c r="CZ804" s="1315">
        <f t="shared" si="44"/>
        <v>0</v>
      </c>
      <c r="DA804" s="1316"/>
      <c r="DB804" s="1316"/>
      <c r="DC804" s="1316"/>
      <c r="DD804" s="1317"/>
      <c r="DE804" s="1315">
        <f t="shared" si="45"/>
        <v>0</v>
      </c>
      <c r="DF804" s="1316"/>
      <c r="DG804" s="1316"/>
      <c r="DH804" s="1316"/>
      <c r="DI804" s="1317"/>
      <c r="DJ804" s="1315">
        <f t="shared" si="46"/>
        <v>0</v>
      </c>
      <c r="DK804" s="1316"/>
      <c r="DL804" s="1316"/>
      <c r="DM804" s="1316"/>
      <c r="DN804" s="1317"/>
      <c r="DO804" s="1315">
        <f t="shared" si="47"/>
        <v>0</v>
      </c>
      <c r="DP804" s="1316"/>
      <c r="DQ804" s="1316"/>
      <c r="DR804" s="1316"/>
      <c r="DS804" s="1317"/>
      <c r="DT804" s="1110"/>
      <c r="DU804" s="1315">
        <f t="shared" si="48"/>
        <v>0</v>
      </c>
      <c r="DV804" s="1316"/>
      <c r="DW804" s="1316"/>
      <c r="DX804" s="1316"/>
      <c r="DY804" s="1317"/>
      <c r="DZ804" s="1315">
        <f t="shared" si="49"/>
        <v>0</v>
      </c>
      <c r="EA804" s="1316"/>
      <c r="EB804" s="1316"/>
      <c r="EC804" s="1316"/>
      <c r="ED804" s="1317"/>
      <c r="EE804" s="1315">
        <f t="shared" si="50"/>
        <v>0</v>
      </c>
      <c r="EF804" s="1316"/>
      <c r="EG804" s="1316"/>
      <c r="EH804" s="1316"/>
      <c r="EI804" s="1317"/>
      <c r="EJ804" s="1315">
        <f t="shared" si="51"/>
        <v>0</v>
      </c>
      <c r="EK804" s="1316"/>
      <c r="EL804" s="1316"/>
      <c r="EM804" s="1316"/>
      <c r="EN804" s="1317"/>
      <c r="EO804" s="1315">
        <f t="shared" si="52"/>
        <v>0</v>
      </c>
      <c r="EP804" s="1316"/>
      <c r="EQ804" s="1316"/>
      <c r="ER804" s="1316"/>
      <c r="ES804" s="1317"/>
      <c r="ET804" s="1315">
        <f t="shared" si="53"/>
        <v>0</v>
      </c>
      <c r="EU804" s="1316"/>
      <c r="EV804" s="1316"/>
      <c r="EW804" s="1316"/>
      <c r="EX804" s="1317"/>
    </row>
    <row r="805" spans="1:154" s="3" customFormat="1" ht="13.15" customHeight="1">
      <c r="A805"/>
      <c r="B805"/>
      <c r="C805"/>
      <c r="D805"/>
      <c r="E805"/>
      <c r="F805"/>
      <c r="G805"/>
      <c r="H805"/>
      <c r="I805"/>
      <c r="J805" s="1400" t="s">
        <v>1373</v>
      </c>
      <c r="K805" s="1401"/>
      <c r="L805" s="1401"/>
      <c r="M805" s="1401"/>
      <c r="N805" s="1403"/>
      <c r="O805" s="1336">
        <f>SUM(O795:S804)</f>
        <v>0</v>
      </c>
      <c r="P805" s="1336"/>
      <c r="Q805" s="1336"/>
      <c r="R805" s="1336"/>
      <c r="S805" s="1336"/>
      <c r="T805"/>
      <c r="U805"/>
      <c r="V805"/>
      <c r="W805"/>
      <c r="X805" s="707" t="s">
        <v>1374</v>
      </c>
      <c r="Y805" s="9"/>
      <c r="Z805" s="9"/>
      <c r="AA805" s="9"/>
      <c r="AB805" s="711"/>
      <c r="AC805" s="1385">
        <f>SUM(AC795:AG804)</f>
        <v>0</v>
      </c>
      <c r="AD805" s="1386"/>
      <c r="AE805" s="1386"/>
      <c r="AF805" s="1386"/>
      <c r="AG805" s="1387"/>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318">
        <f>SUM(CP795:CT804)</f>
        <v>0</v>
      </c>
      <c r="CQ805" s="1319"/>
      <c r="CR805" s="1319"/>
      <c r="CS805" s="1319"/>
      <c r="CT805" s="1320"/>
      <c r="CU805" s="1318">
        <f>SUM(CU795:CY804)</f>
        <v>0</v>
      </c>
      <c r="CV805" s="1319"/>
      <c r="CW805" s="1319"/>
      <c r="CX805" s="1319"/>
      <c r="CY805" s="1320"/>
      <c r="CZ805" s="1318">
        <f>SUM(CZ795:DD804)</f>
        <v>0</v>
      </c>
      <c r="DA805" s="1319"/>
      <c r="DB805" s="1319"/>
      <c r="DC805" s="1319"/>
      <c r="DD805" s="1320"/>
      <c r="DE805" s="1318">
        <f>SUM(DE795:DI804)</f>
        <v>0</v>
      </c>
      <c r="DF805" s="1319"/>
      <c r="DG805" s="1319"/>
      <c r="DH805" s="1319"/>
      <c r="DI805" s="1320"/>
      <c r="DJ805" s="1318">
        <f>SUM(DJ795:DN804)</f>
        <v>0</v>
      </c>
      <c r="DK805" s="1319"/>
      <c r="DL805" s="1319"/>
      <c r="DM805" s="1319"/>
      <c r="DN805" s="1320"/>
      <c r="DO805" s="1318">
        <f>SUM(DO795:DS804)</f>
        <v>0</v>
      </c>
      <c r="DP805" s="1319"/>
      <c r="DQ805" s="1319"/>
      <c r="DR805" s="1319"/>
      <c r="DS805" s="1320"/>
      <c r="DT805" s="1110"/>
      <c r="DU805" s="1318">
        <f>SUM(DU795:DY804)</f>
        <v>0</v>
      </c>
      <c r="DV805" s="1319"/>
      <c r="DW805" s="1319"/>
      <c r="DX805" s="1319"/>
      <c r="DY805" s="1320"/>
      <c r="DZ805" s="1318">
        <f>SUM(DZ795:ED804)</f>
        <v>0</v>
      </c>
      <c r="EA805" s="1319"/>
      <c r="EB805" s="1319"/>
      <c r="EC805" s="1319"/>
      <c r="ED805" s="1320"/>
      <c r="EE805" s="1318">
        <f>SUM(EE795:EI804)</f>
        <v>0</v>
      </c>
      <c r="EF805" s="1319"/>
      <c r="EG805" s="1319"/>
      <c r="EH805" s="1319"/>
      <c r="EI805" s="1320"/>
      <c r="EJ805" s="1318">
        <f>SUM(EJ795:EN804)</f>
        <v>0</v>
      </c>
      <c r="EK805" s="1319"/>
      <c r="EL805" s="1319"/>
      <c r="EM805" s="1319"/>
      <c r="EN805" s="1320"/>
      <c r="EO805" s="1318">
        <f>SUM(EO795:ES804)</f>
        <v>0</v>
      </c>
      <c r="EP805" s="1319"/>
      <c r="EQ805" s="1319"/>
      <c r="ER805" s="1319"/>
      <c r="ES805" s="1320"/>
      <c r="ET805" s="1318">
        <f>SUM(ET795:EX804)</f>
        <v>0</v>
      </c>
      <c r="EU805" s="1319"/>
      <c r="EV805" s="1319"/>
      <c r="EW805" s="1319"/>
      <c r="EX805" s="1320"/>
    </row>
    <row r="806" spans="1:154" s="3" customFormat="1" ht="13.15" customHeight="1">
      <c r="A806"/>
      <c r="B806"/>
      <c r="C806" s="1609" t="str">
        <f>IF(O805&lt;&gt;AG447,"! Total market rate units in the Unit Mix Table above does not match the number of  market rate units on row #"&amp;TEXT(ROW(D447),"#"),"")</f>
        <v/>
      </c>
      <c r="D806" s="1609"/>
      <c r="E806" s="1609"/>
      <c r="F806" s="1609"/>
      <c r="G806" s="1609"/>
      <c r="H806" s="1609"/>
      <c r="I806" s="1609"/>
      <c r="J806" s="1609"/>
      <c r="K806" s="1609"/>
      <c r="L806" s="1609"/>
      <c r="M806" s="1609"/>
      <c r="N806" s="1609"/>
      <c r="O806" s="1609"/>
      <c r="P806" s="1609"/>
      <c r="Q806" s="1609"/>
      <c r="R806" s="1609"/>
      <c r="S806" s="1609"/>
      <c r="T806" s="1609"/>
      <c r="U806" s="1609"/>
      <c r="V806" s="1609"/>
      <c r="W806" s="1609"/>
      <c r="X806" s="1609"/>
      <c r="Y806" s="1609"/>
      <c r="Z806" s="1609"/>
      <c r="AA806" s="1609"/>
      <c r="AB806" s="1609"/>
      <c r="AC806" s="1609"/>
      <c r="AD806" s="1609"/>
      <c r="AE806" s="1609"/>
      <c r="AF806" s="1609"/>
      <c r="AG806" s="1609"/>
      <c r="AH806" s="1609"/>
      <c r="AI806" s="1609"/>
      <c r="AJ806" s="1609"/>
      <c r="AK806" s="1609"/>
      <c r="AL806" s="1609"/>
      <c r="AM806" s="1609"/>
      <c r="AN806" s="1609"/>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3.15" customHeight="1">
      <c r="A807"/>
      <c r="B807"/>
      <c r="C807" s="1609"/>
      <c r="D807" s="1609"/>
      <c r="E807" s="1609"/>
      <c r="F807" s="1609"/>
      <c r="G807" s="1609"/>
      <c r="H807" s="1609"/>
      <c r="I807" s="1609"/>
      <c r="J807" s="1609"/>
      <c r="K807" s="1609"/>
      <c r="L807" s="1609"/>
      <c r="M807" s="1609"/>
      <c r="N807" s="1609"/>
      <c r="O807" s="1609"/>
      <c r="P807" s="1609"/>
      <c r="Q807" s="1609"/>
      <c r="R807" s="1609"/>
      <c r="S807" s="1609"/>
      <c r="T807" s="1609"/>
      <c r="U807" s="1609"/>
      <c r="V807" s="1609"/>
      <c r="W807" s="1609"/>
      <c r="X807" s="1609"/>
      <c r="Y807" s="1609"/>
      <c r="Z807" s="1609"/>
      <c r="AA807" s="1609"/>
      <c r="AB807" s="1609"/>
      <c r="AC807" s="1609"/>
      <c r="AD807" s="1609"/>
      <c r="AE807" s="1609"/>
      <c r="AF807" s="1609"/>
      <c r="AG807" s="1609"/>
      <c r="AH807" s="1609"/>
      <c r="AI807" s="1609"/>
      <c r="AJ807" s="1609"/>
      <c r="AK807" s="1609"/>
      <c r="AL807" s="1609"/>
      <c r="AM807" s="1609"/>
      <c r="AN807" s="1609"/>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1396</v>
      </c>
      <c r="DW807" s="2"/>
      <c r="DX807" s="2"/>
      <c r="DY807" s="2"/>
      <c r="DZ807" s="2"/>
      <c r="EA807" s="2"/>
      <c r="EB807" s="2"/>
      <c r="EC807" s="2"/>
      <c r="ED807" s="2"/>
      <c r="EE807" s="2"/>
      <c r="EF807" s="2"/>
      <c r="EG807" s="2"/>
      <c r="EH807" s="2"/>
      <c r="EI807"/>
      <c r="EJ807"/>
      <c r="EK807"/>
      <c r="EL807"/>
      <c r="EM807"/>
      <c r="EN807"/>
      <c r="EO807"/>
      <c r="EP807"/>
      <c r="EQ807"/>
      <c r="ER807"/>
      <c r="ES807" s="37" t="s">
        <v>1397</v>
      </c>
      <c r="ET807" s="1329">
        <f>SUM(DU805:EX805)</f>
        <v>0</v>
      </c>
      <c r="EU807" s="1330"/>
      <c r="EV807" s="1330"/>
      <c r="EW807" s="1330"/>
      <c r="EX807" s="1331"/>
    </row>
    <row r="808" spans="1:154" s="3" customFormat="1" ht="13.15" customHeight="1">
      <c r="A808"/>
      <c r="B808"/>
      <c r="C808"/>
      <c r="D808"/>
      <c r="E808"/>
      <c r="F808"/>
      <c r="G808"/>
      <c r="H808"/>
      <c r="I808"/>
      <c r="J808" s="1095"/>
      <c r="K808" s="4"/>
      <c r="L808" s="4"/>
      <c r="M808" s="4"/>
      <c r="N808" s="4"/>
      <c r="O808" s="4"/>
      <c r="P808" s="4"/>
      <c r="Q808" s="4"/>
      <c r="R808" s="4"/>
      <c r="S808" s="4"/>
      <c r="T808" s="4"/>
      <c r="U808" s="4"/>
      <c r="V808" s="4"/>
      <c r="W808" s="4"/>
      <c r="X808" s="1084" t="s">
        <v>1398</v>
      </c>
      <c r="Y808" s="1551">
        <f>O761+AC785+AC805</f>
        <v>226273</v>
      </c>
      <c r="Z808" s="1551"/>
      <c r="AA808" s="1551"/>
      <c r="AB808" s="1551"/>
      <c r="AC808" s="1551"/>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1399</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3.15" customHeight="1">
      <c r="A809"/>
      <c r="B809"/>
      <c r="C809"/>
      <c r="D809"/>
      <c r="E809"/>
      <c r="F809"/>
      <c r="G809"/>
      <c r="H809"/>
      <c r="I809"/>
      <c r="J809" s="31"/>
      <c r="K809" s="32"/>
      <c r="L809" s="32"/>
      <c r="M809" s="32"/>
      <c r="N809" s="32"/>
      <c r="O809" s="32"/>
      <c r="P809" s="32"/>
      <c r="Q809" s="32"/>
      <c r="R809" s="32"/>
      <c r="S809" s="32"/>
      <c r="T809" s="32"/>
      <c r="U809" s="32"/>
      <c r="V809" s="32"/>
      <c r="W809" s="32"/>
      <c r="X809" s="1083" t="s">
        <v>1400</v>
      </c>
      <c r="Y809" s="1551">
        <f>(O761+AC785+AC805)*12</f>
        <v>2715276</v>
      </c>
      <c r="Z809" s="1551"/>
      <c r="AA809" s="1551"/>
      <c r="AB809" s="1551"/>
      <c r="AC809" s="1551"/>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1401</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3.1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318">
        <f>CP761+CP785+CP805</f>
        <v>0</v>
      </c>
      <c r="CQ810" s="1319"/>
      <c r="CR810" s="1319"/>
      <c r="CS810" s="1319"/>
      <c r="CT810" s="1320"/>
      <c r="CU810" s="1318">
        <f>CU761+CU785+CU805</f>
        <v>74</v>
      </c>
      <c r="CV810" s="1319"/>
      <c r="CW810" s="1319"/>
      <c r="CX810" s="1319"/>
      <c r="CY810" s="1320"/>
      <c r="CZ810" s="1318">
        <f>CZ761+CZ785+CZ805</f>
        <v>40</v>
      </c>
      <c r="DA810" s="1319"/>
      <c r="DB810" s="1319"/>
      <c r="DC810" s="1319"/>
      <c r="DD810" s="1320"/>
      <c r="DE810" s="1318">
        <f>DE761+DE785+DE805</f>
        <v>39</v>
      </c>
      <c r="DF810" s="1319"/>
      <c r="DG810" s="1319"/>
      <c r="DH810" s="1319"/>
      <c r="DI810" s="1320"/>
      <c r="DJ810" s="1318">
        <f>DJ761+DJ785+DJ805</f>
        <v>0</v>
      </c>
      <c r="DK810" s="1319"/>
      <c r="DL810" s="1319"/>
      <c r="DM810" s="1319"/>
      <c r="DN810" s="1320"/>
      <c r="DO810" s="1318">
        <f>DO805+DO785+DO761</f>
        <v>0</v>
      </c>
      <c r="DP810" s="1319"/>
      <c r="DQ810" s="1319"/>
      <c r="DR810" s="1319"/>
      <c r="DS810" s="1320"/>
      <c r="DT810" s="2"/>
      <c r="DU810" s="679">
        <f>DU763+DU808</f>
        <v>267</v>
      </c>
      <c r="DV810" s="38" t="s">
        <v>1402</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3.15"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3.15" customHeight="1">
      <c r="A812" s="1"/>
      <c r="B812" s="1"/>
      <c r="C812" s="1" t="s">
        <v>1403</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3.1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3.15" customHeight="1">
      <c r="A814"/>
      <c r="B814"/>
      <c r="C814"/>
      <c r="D814"/>
      <c r="E814"/>
      <c r="F814"/>
      <c r="G814"/>
      <c r="H814" s="1095" t="s">
        <v>1404</v>
      </c>
      <c r="I814" s="4"/>
      <c r="J814" s="4"/>
      <c r="K814" s="4"/>
      <c r="L814" s="4"/>
      <c r="M814" s="4"/>
      <c r="N814" s="4"/>
      <c r="O814" s="4"/>
      <c r="P814" s="4"/>
      <c r="Q814" s="4"/>
      <c r="R814" s="4"/>
      <c r="S814" s="4"/>
      <c r="T814" s="4"/>
      <c r="U814" s="4"/>
      <c r="V814" s="4"/>
      <c r="W814" s="4"/>
      <c r="X814" s="4"/>
      <c r="Y814" s="4"/>
      <c r="Z814" s="1589">
        <v>47</v>
      </c>
      <c r="AA814" s="1587"/>
      <c r="AB814" s="1587"/>
      <c r="AC814" s="1587"/>
      <c r="AD814" s="1587"/>
      <c r="AE814" s="1588"/>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3.15" customHeight="1">
      <c r="A815"/>
      <c r="B815"/>
      <c r="C815"/>
      <c r="D815"/>
      <c r="E815"/>
      <c r="F815"/>
      <c r="G815"/>
      <c r="H815" s="1095" t="s">
        <v>1405</v>
      </c>
      <c r="I815" s="4"/>
      <c r="J815" s="4"/>
      <c r="K815" s="4"/>
      <c r="L815" s="4"/>
      <c r="M815" s="4"/>
      <c r="N815" s="4"/>
      <c r="O815" s="4"/>
      <c r="P815" s="4"/>
      <c r="Q815" s="4"/>
      <c r="R815" s="4"/>
      <c r="S815" s="4"/>
      <c r="T815" s="4"/>
      <c r="U815" s="4"/>
      <c r="V815" s="4"/>
      <c r="W815" s="4"/>
      <c r="X815" s="4"/>
      <c r="Y815" s="4"/>
      <c r="Z815" s="1586">
        <v>15</v>
      </c>
      <c r="AA815" s="1587"/>
      <c r="AB815" s="1587"/>
      <c r="AC815" s="1587"/>
      <c r="AD815" s="1587"/>
      <c r="AE815" s="1588"/>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3.15" customHeight="1">
      <c r="A816"/>
      <c r="B816"/>
      <c r="C816"/>
      <c r="D816"/>
      <c r="E816"/>
      <c r="F816"/>
      <c r="G816"/>
      <c r="H816" s="1095" t="s">
        <v>1406</v>
      </c>
      <c r="I816" s="4"/>
      <c r="J816" s="4"/>
      <c r="K816" s="4"/>
      <c r="L816" s="4"/>
      <c r="M816" s="4"/>
      <c r="N816" s="4"/>
      <c r="O816" s="4"/>
      <c r="P816" s="4"/>
      <c r="Q816" s="4"/>
      <c r="R816" s="4"/>
      <c r="S816" s="4"/>
      <c r="T816" s="4"/>
      <c r="U816" s="4"/>
      <c r="V816" s="4"/>
      <c r="W816" s="4"/>
      <c r="X816" s="4"/>
      <c r="Y816" s="4"/>
      <c r="Z816" s="1575">
        <v>53236</v>
      </c>
      <c r="AA816" s="1475"/>
      <c r="AB816" s="1475"/>
      <c r="AC816" s="1475"/>
      <c r="AD816" s="1475"/>
      <c r="AE816" s="1576"/>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3.15" customHeight="1">
      <c r="A817"/>
      <c r="B817"/>
      <c r="C817"/>
      <c r="D817"/>
      <c r="E817"/>
      <c r="F817"/>
      <c r="G817"/>
      <c r="H817" s="1095"/>
      <c r="I817" s="4"/>
      <c r="J817" s="4"/>
      <c r="K817" s="4"/>
      <c r="L817" s="4"/>
      <c r="M817" s="4"/>
      <c r="N817" s="4"/>
      <c r="O817" s="4"/>
      <c r="P817" s="4"/>
      <c r="Q817" s="4"/>
      <c r="R817" s="4"/>
      <c r="S817" s="4"/>
      <c r="T817" s="4"/>
      <c r="U817" s="4"/>
      <c r="V817" s="4"/>
      <c r="W817" s="4"/>
      <c r="X817" s="4"/>
      <c r="Y817" s="1082" t="s">
        <v>1407</v>
      </c>
      <c r="Z817" s="1441">
        <f>'Subsidy Contract Calculation'!J40</f>
        <v>640620</v>
      </c>
      <c r="AA817" s="1442"/>
      <c r="AB817" s="1442"/>
      <c r="AC817" s="1442"/>
      <c r="AD817" s="1442"/>
      <c r="AE817" s="1443"/>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1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15"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1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15" customHeight="1">
      <c r="A821"/>
      <c r="B821"/>
      <c r="C821"/>
      <c r="D821"/>
      <c r="E821"/>
      <c r="F821"/>
      <c r="G821"/>
      <c r="H821" s="1095" t="s">
        <v>1408</v>
      </c>
      <c r="I821" s="4"/>
      <c r="J821" s="4"/>
      <c r="K821" s="4"/>
      <c r="L821" s="4"/>
      <c r="M821" s="4"/>
      <c r="N821" s="4"/>
      <c r="O821" s="4"/>
      <c r="P821" s="4"/>
      <c r="Q821" s="4"/>
      <c r="R821" s="4"/>
      <c r="S821" s="4"/>
      <c r="T821" s="4"/>
      <c r="U821" s="4"/>
      <c r="V821" s="4"/>
      <c r="W821" s="4"/>
      <c r="X821" s="4"/>
      <c r="Y821" s="4"/>
      <c r="Z821" s="1444"/>
      <c r="AA821" s="1321"/>
      <c r="AB821" s="1321"/>
      <c r="AC821" s="1321"/>
      <c r="AD821" s="1321"/>
      <c r="AE821" s="1322"/>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15" customHeight="1">
      <c r="A822"/>
      <c r="B822"/>
      <c r="C822"/>
      <c r="D822"/>
      <c r="E822"/>
      <c r="F822"/>
      <c r="G822"/>
      <c r="H822" s="1095" t="s">
        <v>1409</v>
      </c>
      <c r="I822" s="4"/>
      <c r="J822" s="4"/>
      <c r="K822" s="4"/>
      <c r="L822" s="4"/>
      <c r="M822" s="4"/>
      <c r="N822" s="4"/>
      <c r="O822" s="4"/>
      <c r="P822" s="4"/>
      <c r="Q822" s="4"/>
      <c r="R822" s="4"/>
      <c r="S822" s="4"/>
      <c r="T822" s="4"/>
      <c r="U822" s="4"/>
      <c r="V822" s="4"/>
      <c r="W822" s="4"/>
      <c r="X822" s="4"/>
      <c r="Y822" s="4"/>
      <c r="Z822" s="1444"/>
      <c r="AA822" s="1321"/>
      <c r="AB822" s="1321"/>
      <c r="AC822" s="1321"/>
      <c r="AD822" s="1321"/>
      <c r="AE822" s="1322"/>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3.15" customHeight="1">
      <c r="A823"/>
      <c r="B823"/>
      <c r="C823"/>
      <c r="D823"/>
      <c r="E823"/>
      <c r="F823"/>
      <c r="G823"/>
      <c r="H823" s="1095" t="s">
        <v>1410</v>
      </c>
      <c r="I823" s="4"/>
      <c r="J823" s="4"/>
      <c r="K823" s="4"/>
      <c r="L823" s="4"/>
      <c r="M823" s="4"/>
      <c r="N823" s="4"/>
      <c r="O823" s="4"/>
      <c r="P823" s="4"/>
      <c r="Q823" s="4"/>
      <c r="R823" s="4"/>
      <c r="S823" s="4"/>
      <c r="T823" s="4"/>
      <c r="U823" s="4"/>
      <c r="V823" s="4"/>
      <c r="W823" s="4"/>
      <c r="X823" s="4"/>
      <c r="Y823" s="4"/>
      <c r="Z823" s="1444"/>
      <c r="AA823" s="1321"/>
      <c r="AB823" s="1321"/>
      <c r="AC823" s="1321"/>
      <c r="AD823" s="1321"/>
      <c r="AE823" s="1322"/>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3.15" customHeight="1">
      <c r="A824"/>
      <c r="B824"/>
      <c r="C824"/>
      <c r="D824"/>
      <c r="E824"/>
      <c r="F824"/>
      <c r="G824"/>
      <c r="H824" s="1095" t="s">
        <v>1411</v>
      </c>
      <c r="I824" s="4"/>
      <c r="J824" s="4"/>
      <c r="K824" s="4"/>
      <c r="L824" s="4"/>
      <c r="M824" s="4"/>
      <c r="N824" s="4"/>
      <c r="O824" s="4"/>
      <c r="P824" s="1582" t="s">
        <v>215</v>
      </c>
      <c r="Q824" s="1583"/>
      <c r="R824" s="1583"/>
      <c r="S824" s="1583"/>
      <c r="T824" s="1583"/>
      <c r="U824" s="1583"/>
      <c r="V824" s="1583"/>
      <c r="W824" s="1583"/>
      <c r="X824" s="1583"/>
      <c r="Y824" s="1584"/>
      <c r="Z824" s="1444">
        <v>31365</v>
      </c>
      <c r="AA824" s="1321"/>
      <c r="AB824" s="1321"/>
      <c r="AC824" s="1321"/>
      <c r="AD824" s="1321"/>
      <c r="AE824" s="1322"/>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3.15" customHeight="1">
      <c r="A825"/>
      <c r="B825"/>
      <c r="C825"/>
      <c r="D825"/>
      <c r="E825"/>
      <c r="F825"/>
      <c r="G825"/>
      <c r="H825" s="1095"/>
      <c r="I825" s="4"/>
      <c r="J825" s="4"/>
      <c r="K825" s="4"/>
      <c r="L825" s="4"/>
      <c r="M825" s="4"/>
      <c r="N825" s="4"/>
      <c r="O825" s="4"/>
      <c r="P825" s="4"/>
      <c r="Q825" s="4"/>
      <c r="R825" s="4"/>
      <c r="S825" s="4"/>
      <c r="T825" s="4"/>
      <c r="U825" s="4"/>
      <c r="V825" s="4"/>
      <c r="W825" s="4"/>
      <c r="X825" s="4"/>
      <c r="Y825" s="1082" t="s">
        <v>1412</v>
      </c>
      <c r="Z825" s="1441">
        <f>SUM(Z821:AE824)</f>
        <v>31365</v>
      </c>
      <c r="AA825" s="1442"/>
      <c r="AB825" s="1442"/>
      <c r="AC825" s="1442"/>
      <c r="AD825" s="1442"/>
      <c r="AE825" s="1443"/>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3.15" customHeight="1">
      <c r="A826"/>
      <c r="B826"/>
      <c r="C826"/>
      <c r="D826"/>
      <c r="E826"/>
      <c r="F826"/>
      <c r="G826"/>
      <c r="H826" s="1095"/>
      <c r="I826" s="4"/>
      <c r="J826" s="4"/>
      <c r="K826" s="4"/>
      <c r="L826" s="4"/>
      <c r="M826" s="4"/>
      <c r="N826" s="4"/>
      <c r="O826" s="4"/>
      <c r="P826" s="4"/>
      <c r="Q826" s="4"/>
      <c r="R826" s="4"/>
      <c r="S826" s="4"/>
      <c r="T826" s="4"/>
      <c r="U826" s="4"/>
      <c r="V826" s="4"/>
      <c r="W826" s="4"/>
      <c r="X826" s="4"/>
      <c r="Y826" s="1082" t="s">
        <v>1413</v>
      </c>
      <c r="Z826" s="1441">
        <f>Z825+Y809+Z817</f>
        <v>3387261</v>
      </c>
      <c r="AA826" s="1442"/>
      <c r="AB826" s="1442"/>
      <c r="AC826" s="1442"/>
      <c r="AD826" s="1442"/>
      <c r="AE826" s="1443"/>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3.1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3.15"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3.15" customHeight="1">
      <c r="A829"/>
      <c r="B829"/>
      <c r="C829" s="17" t="s">
        <v>1414</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3.1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3.15" customHeight="1">
      <c r="A831"/>
      <c r="B831"/>
      <c r="C831" s="29"/>
      <c r="D831" s="30"/>
      <c r="E831" s="30"/>
      <c r="F831" s="30"/>
      <c r="G831" s="30"/>
      <c r="H831" s="30"/>
      <c r="I831" s="30"/>
      <c r="J831" s="30"/>
      <c r="K831" s="30"/>
      <c r="L831" s="39"/>
      <c r="M831" s="1649" t="s">
        <v>1415</v>
      </c>
      <c r="N831" s="1649"/>
      <c r="O831" s="1649"/>
      <c r="P831" s="1650"/>
      <c r="Q831" s="1572" t="s">
        <v>1416</v>
      </c>
      <c r="R831" s="1572"/>
      <c r="S831" s="1572"/>
      <c r="T831" s="1572"/>
      <c r="U831" s="1572" t="s">
        <v>1417</v>
      </c>
      <c r="V831" s="1572"/>
      <c r="W831" s="1572"/>
      <c r="X831" s="1572"/>
      <c r="Y831" s="1572" t="s">
        <v>1418</v>
      </c>
      <c r="Z831" s="1572"/>
      <c r="AA831" s="1572"/>
      <c r="AB831" s="1572"/>
      <c r="AC831" s="1572" t="s">
        <v>1419</v>
      </c>
      <c r="AD831" s="1572"/>
      <c r="AE831" s="1572"/>
      <c r="AF831" s="1572"/>
      <c r="AG831" s="1563" t="s">
        <v>1420</v>
      </c>
      <c r="AH831" s="1563"/>
      <c r="AI831" s="1563"/>
      <c r="AJ831" s="1563"/>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3.15" customHeight="1">
      <c r="A832"/>
      <c r="B832"/>
      <c r="C832" s="31"/>
      <c r="D832" s="32"/>
      <c r="E832" s="32"/>
      <c r="F832" s="32"/>
      <c r="G832" s="32"/>
      <c r="H832" s="32"/>
      <c r="I832" s="32"/>
      <c r="J832" s="32"/>
      <c r="K832" s="32"/>
      <c r="L832" s="33"/>
      <c r="M832" s="1651"/>
      <c r="N832" s="1651"/>
      <c r="O832" s="1651"/>
      <c r="P832" s="1652"/>
      <c r="Q832" s="1572"/>
      <c r="R832" s="1572"/>
      <c r="S832" s="1572"/>
      <c r="T832" s="1572"/>
      <c r="U832" s="1572"/>
      <c r="V832" s="1572"/>
      <c r="W832" s="1572"/>
      <c r="X832" s="1572"/>
      <c r="Y832" s="1572"/>
      <c r="Z832" s="1572"/>
      <c r="AA832" s="1572"/>
      <c r="AB832" s="1572"/>
      <c r="AC832" s="1572"/>
      <c r="AD832" s="1572"/>
      <c r="AE832" s="1572"/>
      <c r="AF832" s="1572"/>
      <c r="AG832" s="1563"/>
      <c r="AH832" s="1563"/>
      <c r="AI832" s="1563"/>
      <c r="AJ832" s="1563"/>
      <c r="AK832"/>
      <c r="AL832" s="2"/>
      <c r="AM832" s="2"/>
      <c r="AN832" s="2"/>
      <c r="AO832" s="2"/>
      <c r="AP832" s="2"/>
      <c r="AQ832" s="2"/>
      <c r="AR832" s="2"/>
      <c r="AS832" s="2"/>
      <c r="AT832" s="2"/>
      <c r="AU832"/>
      <c r="AV832" s="2"/>
      <c r="AW832" s="2"/>
      <c r="AX832" s="2"/>
      <c r="AY832" s="2"/>
      <c r="AZ832" s="23"/>
      <c r="BA832" s="23"/>
    </row>
    <row r="833" spans="1:53" s="11" customFormat="1" ht="13.15" customHeight="1">
      <c r="A833"/>
      <c r="B833"/>
      <c r="C833" s="1574" t="s">
        <v>1421</v>
      </c>
      <c r="D833" s="1346"/>
      <c r="E833" s="1346"/>
      <c r="F833" s="1346"/>
      <c r="G833" s="1346"/>
      <c r="H833" s="1346"/>
      <c r="I833" s="32"/>
      <c r="J833" s="32"/>
      <c r="K833" s="32"/>
      <c r="L833" s="33"/>
      <c r="M833" s="1571"/>
      <c r="N833" s="1571"/>
      <c r="O833" s="1571"/>
      <c r="P833" s="1571"/>
      <c r="Q833" s="1571">
        <v>25</v>
      </c>
      <c r="R833" s="1571"/>
      <c r="S833" s="1571"/>
      <c r="T833" s="1571"/>
      <c r="U833" s="1571">
        <v>30</v>
      </c>
      <c r="V833" s="1571"/>
      <c r="W833" s="1571"/>
      <c r="X833" s="1571"/>
      <c r="Y833" s="1571">
        <v>35</v>
      </c>
      <c r="Z833" s="1571"/>
      <c r="AA833" s="1571"/>
      <c r="AB833" s="1571"/>
      <c r="AC833" s="1451"/>
      <c r="AD833" s="1452"/>
      <c r="AE833" s="1452"/>
      <c r="AF833" s="1453"/>
      <c r="AG833" s="1451"/>
      <c r="AH833" s="1452"/>
      <c r="AI833" s="1452"/>
      <c r="AJ833" s="1453"/>
      <c r="AK833"/>
      <c r="AL833" s="2"/>
      <c r="AM833" s="2"/>
      <c r="AN833" s="2"/>
      <c r="AO833" s="2"/>
      <c r="AP833" s="2"/>
      <c r="AQ833" s="2"/>
      <c r="AR833" s="2"/>
      <c r="AS833" s="2"/>
      <c r="AT833" s="2"/>
      <c r="AU833"/>
      <c r="AV833" s="2"/>
      <c r="AW833" s="2"/>
      <c r="AX833" s="2"/>
      <c r="AY833" s="2"/>
      <c r="AZ833" s="23"/>
      <c r="BA833" s="23"/>
    </row>
    <row r="834" spans="1:53" s="11" customFormat="1" ht="13.15" customHeight="1">
      <c r="A834"/>
      <c r="B834"/>
      <c r="C834" s="1379" t="s">
        <v>1422</v>
      </c>
      <c r="D834" s="1380"/>
      <c r="E834" s="1380"/>
      <c r="F834" s="1380"/>
      <c r="G834" s="1380"/>
      <c r="H834" s="1380"/>
      <c r="I834" s="4"/>
      <c r="J834" s="4"/>
      <c r="K834" s="4"/>
      <c r="L834" s="1096"/>
      <c r="M834" s="1571"/>
      <c r="N834" s="1571"/>
      <c r="O834" s="1571"/>
      <c r="P834" s="1571"/>
      <c r="Q834" s="1571"/>
      <c r="R834" s="1571"/>
      <c r="S834" s="1571"/>
      <c r="T834" s="1571"/>
      <c r="U834" s="1571"/>
      <c r="V834" s="1571"/>
      <c r="W834" s="1571"/>
      <c r="X834" s="1571"/>
      <c r="Y834" s="1571"/>
      <c r="Z834" s="1571"/>
      <c r="AA834" s="1571"/>
      <c r="AB834" s="1571"/>
      <c r="AC834" s="1451"/>
      <c r="AD834" s="1452"/>
      <c r="AE834" s="1452"/>
      <c r="AF834" s="1453"/>
      <c r="AG834" s="1451"/>
      <c r="AH834" s="1452"/>
      <c r="AI834" s="1452"/>
      <c r="AJ834" s="1453"/>
      <c r="AK834"/>
      <c r="AL834" s="2"/>
      <c r="AM834" s="2"/>
      <c r="AN834" s="2"/>
      <c r="AO834" s="2"/>
      <c r="AP834" s="2"/>
      <c r="AQ834" s="2"/>
      <c r="AR834" s="2"/>
      <c r="AS834" s="2"/>
      <c r="AT834" s="2"/>
      <c r="AU834"/>
      <c r="AV834" s="2"/>
      <c r="AW834" s="2"/>
      <c r="AX834" s="2"/>
      <c r="AY834" s="2"/>
      <c r="AZ834" s="23"/>
      <c r="BA834" s="23"/>
    </row>
    <row r="835" spans="1:53" s="11" customFormat="1" ht="13.15" customHeight="1">
      <c r="A835"/>
      <c r="B835"/>
      <c r="C835" s="1379" t="s">
        <v>1423</v>
      </c>
      <c r="D835" s="1380"/>
      <c r="E835" s="1380"/>
      <c r="F835" s="1380"/>
      <c r="G835" s="1380"/>
      <c r="H835" s="1380"/>
      <c r="I835" s="1087"/>
      <c r="J835" s="1087"/>
      <c r="K835" s="1087"/>
      <c r="L835" s="1088"/>
      <c r="M835" s="1571"/>
      <c r="N835" s="1571"/>
      <c r="O835" s="1571"/>
      <c r="P835" s="1571"/>
      <c r="Q835" s="1571">
        <v>16</v>
      </c>
      <c r="R835" s="1571"/>
      <c r="S835" s="1571"/>
      <c r="T835" s="1571"/>
      <c r="U835" s="1571">
        <v>23</v>
      </c>
      <c r="V835" s="1571"/>
      <c r="W835" s="1571"/>
      <c r="X835" s="1571"/>
      <c r="Y835" s="1571">
        <v>30</v>
      </c>
      <c r="Z835" s="1571"/>
      <c r="AA835" s="1571"/>
      <c r="AB835" s="1571"/>
      <c r="AC835" s="1451"/>
      <c r="AD835" s="1452"/>
      <c r="AE835" s="1452"/>
      <c r="AF835" s="1453"/>
      <c r="AG835" s="1451"/>
      <c r="AH835" s="1452"/>
      <c r="AI835" s="1452"/>
      <c r="AJ835" s="1453"/>
      <c r="AK835"/>
      <c r="AL835" s="2"/>
      <c r="AM835" s="2"/>
      <c r="AN835" s="2"/>
      <c r="AO835" s="2"/>
      <c r="AP835" s="2"/>
      <c r="AQ835" s="2"/>
      <c r="AR835" s="2"/>
      <c r="AS835" s="2"/>
      <c r="AT835" s="2"/>
      <c r="AU835"/>
      <c r="AV835" s="2"/>
      <c r="AW835" s="2"/>
      <c r="AX835" s="2"/>
      <c r="AY835" s="2"/>
      <c r="AZ835" s="23"/>
      <c r="BA835" s="23"/>
    </row>
    <row r="836" spans="1:53" s="11" customFormat="1" ht="13.15" customHeight="1">
      <c r="A836"/>
      <c r="B836"/>
      <c r="C836" s="1379" t="s">
        <v>1424</v>
      </c>
      <c r="D836" s="1380"/>
      <c r="E836" s="1380"/>
      <c r="F836" s="1380"/>
      <c r="G836" s="1380"/>
      <c r="H836" s="1380"/>
      <c r="I836" s="1087"/>
      <c r="J836" s="1087"/>
      <c r="K836" s="1087"/>
      <c r="L836" s="1088"/>
      <c r="M836" s="1571"/>
      <c r="N836" s="1571"/>
      <c r="O836" s="1571"/>
      <c r="P836" s="1571"/>
      <c r="Q836" s="1571"/>
      <c r="R836" s="1571"/>
      <c r="S836" s="1571"/>
      <c r="T836" s="1571"/>
      <c r="U836" s="1571"/>
      <c r="V836" s="1571"/>
      <c r="W836" s="1571"/>
      <c r="X836" s="1571"/>
      <c r="Y836" s="1571"/>
      <c r="Z836" s="1571"/>
      <c r="AA836" s="1571"/>
      <c r="AB836" s="1571"/>
      <c r="AC836" s="1451"/>
      <c r="AD836" s="1452"/>
      <c r="AE836" s="1452"/>
      <c r="AF836" s="1453"/>
      <c r="AG836" s="1451"/>
      <c r="AH836" s="1452"/>
      <c r="AI836" s="1452"/>
      <c r="AJ836" s="1453"/>
      <c r="AK836"/>
      <c r="AL836" s="2"/>
      <c r="AM836" s="2"/>
      <c r="AN836" s="2"/>
      <c r="AO836" s="2"/>
      <c r="AP836" s="2"/>
      <c r="AQ836" s="2"/>
      <c r="AR836" s="2"/>
      <c r="AS836" s="2"/>
      <c r="AT836" s="2"/>
      <c r="AU836"/>
      <c r="AV836" s="2"/>
      <c r="AW836" s="2"/>
      <c r="AX836" s="2"/>
      <c r="AY836" s="2"/>
      <c r="AZ836" s="23"/>
      <c r="BA836" s="23"/>
    </row>
    <row r="837" spans="1:53" s="11" customFormat="1" ht="13.15" customHeight="1">
      <c r="A837"/>
      <c r="B837"/>
      <c r="C837" s="1379" t="s">
        <v>1425</v>
      </c>
      <c r="D837" s="1380"/>
      <c r="E837" s="1380"/>
      <c r="F837" s="1380"/>
      <c r="G837" s="1380"/>
      <c r="H837" s="1380"/>
      <c r="I837" s="1087"/>
      <c r="J837" s="1087"/>
      <c r="K837" s="1087"/>
      <c r="L837" s="1088"/>
      <c r="M837" s="1571"/>
      <c r="N837" s="1571"/>
      <c r="O837" s="1571"/>
      <c r="P837" s="1571"/>
      <c r="Q837" s="1571">
        <v>51</v>
      </c>
      <c r="R837" s="1571"/>
      <c r="S837" s="1571"/>
      <c r="T837" s="1571"/>
      <c r="U837" s="1571">
        <v>74</v>
      </c>
      <c r="V837" s="1571"/>
      <c r="W837" s="1571"/>
      <c r="X837" s="1571"/>
      <c r="Y837" s="1571">
        <v>97</v>
      </c>
      <c r="Z837" s="1571"/>
      <c r="AA837" s="1571"/>
      <c r="AB837" s="1571"/>
      <c r="AC837" s="1451"/>
      <c r="AD837" s="1452"/>
      <c r="AE837" s="1452"/>
      <c r="AF837" s="1453"/>
      <c r="AG837" s="1451"/>
      <c r="AH837" s="1452"/>
      <c r="AI837" s="1452"/>
      <c r="AJ837" s="1453"/>
      <c r="AK837"/>
      <c r="AL837" s="2"/>
      <c r="AM837" s="2"/>
      <c r="AN837" s="2"/>
      <c r="AO837" s="2"/>
      <c r="AP837" s="2"/>
      <c r="AQ837" s="2"/>
      <c r="AR837" s="2"/>
      <c r="AS837" s="2"/>
      <c r="AT837" s="2"/>
      <c r="AU837"/>
      <c r="AV837" s="2"/>
      <c r="AW837" s="2"/>
      <c r="AX837" s="2"/>
      <c r="AY837" s="2"/>
      <c r="AZ837" s="23"/>
      <c r="BA837" s="23"/>
    </row>
    <row r="838" spans="1:53" s="11" customFormat="1" ht="13.15" customHeight="1">
      <c r="A838"/>
      <c r="B838"/>
      <c r="C838" s="1461" t="s">
        <v>1426</v>
      </c>
      <c r="D838" s="1380"/>
      <c r="E838" s="1380"/>
      <c r="F838" s="1380"/>
      <c r="G838" s="1380"/>
      <c r="H838" s="1380"/>
      <c r="I838" s="1087"/>
      <c r="J838" s="1087"/>
      <c r="K838" s="1087"/>
      <c r="L838" s="1088"/>
      <c r="M838" s="1571"/>
      <c r="N838" s="1571"/>
      <c r="O838" s="1571"/>
      <c r="P838" s="1571"/>
      <c r="Q838" s="1571"/>
      <c r="R838" s="1571"/>
      <c r="S838" s="1571"/>
      <c r="T838" s="1571"/>
      <c r="U838" s="1571"/>
      <c r="V838" s="1571"/>
      <c r="W838" s="1571"/>
      <c r="X838" s="1571"/>
      <c r="Y838" s="1571"/>
      <c r="Z838" s="1571"/>
      <c r="AA838" s="1571"/>
      <c r="AB838" s="1571"/>
      <c r="AC838" s="1451"/>
      <c r="AD838" s="1452"/>
      <c r="AE838" s="1452"/>
      <c r="AF838" s="1453"/>
      <c r="AG838" s="1451"/>
      <c r="AH838" s="1452"/>
      <c r="AI838" s="1452"/>
      <c r="AJ838" s="1453"/>
      <c r="AK838"/>
      <c r="AL838" s="2"/>
      <c r="AM838" s="2"/>
      <c r="AN838" s="2"/>
      <c r="AO838" s="2"/>
      <c r="AP838" s="2"/>
      <c r="AQ838" s="2"/>
      <c r="AR838" s="2"/>
      <c r="AS838" s="2"/>
      <c r="AT838" s="2"/>
      <c r="AU838"/>
      <c r="AV838" s="2"/>
      <c r="AW838" s="2"/>
      <c r="AX838" s="2"/>
      <c r="AY838" s="2"/>
      <c r="AZ838" s="23"/>
      <c r="BA838" s="23"/>
    </row>
    <row r="839" spans="1:53" s="11" customFormat="1" ht="13.15" customHeight="1">
      <c r="A839"/>
      <c r="B839"/>
      <c r="C839" s="1091" t="s">
        <v>1427</v>
      </c>
      <c r="D839" s="1087"/>
      <c r="E839" s="1087"/>
      <c r="F839" s="1582" t="s">
        <v>2750</v>
      </c>
      <c r="G839" s="1583"/>
      <c r="H839" s="1583"/>
      <c r="I839" s="1583"/>
      <c r="J839" s="1583"/>
      <c r="K839" s="1583"/>
      <c r="L839" s="1583"/>
      <c r="M839" s="1571"/>
      <c r="N839" s="1571"/>
      <c r="O839" s="1571"/>
      <c r="P839" s="1571"/>
      <c r="Q839" s="1571">
        <v>17</v>
      </c>
      <c r="R839" s="1571"/>
      <c r="S839" s="1571"/>
      <c r="T839" s="1571"/>
      <c r="U839" s="1571">
        <v>24</v>
      </c>
      <c r="V839" s="1571"/>
      <c r="W839" s="1571"/>
      <c r="X839" s="1571"/>
      <c r="Y839" s="1571">
        <v>31</v>
      </c>
      <c r="Z839" s="1571"/>
      <c r="AA839" s="1571"/>
      <c r="AB839" s="1571"/>
      <c r="AC839" s="1451"/>
      <c r="AD839" s="1452"/>
      <c r="AE839" s="1452"/>
      <c r="AF839" s="1453"/>
      <c r="AG839" s="1451"/>
      <c r="AH839" s="1452"/>
      <c r="AI839" s="1452"/>
      <c r="AJ839" s="1453"/>
      <c r="AK839"/>
      <c r="AL839" s="2"/>
      <c r="AM839" s="2"/>
      <c r="AN839" s="2"/>
      <c r="AO839" s="2"/>
      <c r="AP839" s="2"/>
      <c r="AQ839" s="2"/>
      <c r="AR839" s="2"/>
      <c r="AS839" s="2"/>
      <c r="AT839" s="2"/>
      <c r="AU839"/>
      <c r="AV839" s="2"/>
      <c r="AW839" s="2"/>
      <c r="AX839" s="2"/>
      <c r="AY839" s="2"/>
      <c r="AZ839" s="23"/>
      <c r="BA839" s="23"/>
    </row>
    <row r="840" spans="1:53" s="11" customFormat="1" ht="13.15" customHeight="1">
      <c r="A840"/>
      <c r="B840"/>
      <c r="C840" s="1400" t="s">
        <v>1374</v>
      </c>
      <c r="D840" s="1401"/>
      <c r="E840" s="1401"/>
      <c r="F840" s="1401"/>
      <c r="G840" s="1401"/>
      <c r="H840" s="1401"/>
      <c r="I840" s="1401"/>
      <c r="J840" s="1401"/>
      <c r="K840" s="1401"/>
      <c r="L840" s="1403"/>
      <c r="M840" s="1628">
        <f>SUM(M833:P839)</f>
        <v>0</v>
      </c>
      <c r="N840" s="1628"/>
      <c r="O840" s="1628"/>
      <c r="P840" s="1628"/>
      <c r="Q840" s="1628">
        <f>SUM(Q833:T839)</f>
        <v>109</v>
      </c>
      <c r="R840" s="1628"/>
      <c r="S840" s="1628"/>
      <c r="T840" s="1628"/>
      <c r="U840" s="1628">
        <f>SUM(U833:X839)</f>
        <v>151</v>
      </c>
      <c r="V840" s="1628"/>
      <c r="W840" s="1628"/>
      <c r="X840" s="1628"/>
      <c r="Y840" s="1628">
        <f>SUM(Y833:AB839)</f>
        <v>193</v>
      </c>
      <c r="Z840" s="1628"/>
      <c r="AA840" s="1628"/>
      <c r="AB840" s="1628"/>
      <c r="AC840" s="1628">
        <f>SUM(AC833:AF839)</f>
        <v>0</v>
      </c>
      <c r="AD840" s="1628"/>
      <c r="AE840" s="1628"/>
      <c r="AF840" s="1628"/>
      <c r="AG840" s="1628">
        <f>SUM(AG833:AJ839)</f>
        <v>0</v>
      </c>
      <c r="AH840" s="1628"/>
      <c r="AI840" s="1628"/>
      <c r="AJ840" s="1628"/>
      <c r="AK840"/>
      <c r="AL840" s="2"/>
      <c r="AM840" s="2"/>
      <c r="AN840" s="2"/>
      <c r="AO840" s="2"/>
      <c r="AP840" s="2"/>
      <c r="AQ840" s="2"/>
      <c r="AR840" s="2"/>
      <c r="AS840" s="2"/>
      <c r="AT840" s="2"/>
      <c r="AU840"/>
      <c r="AV840" s="2"/>
      <c r="AW840" s="2"/>
      <c r="AX840" s="2"/>
      <c r="AY840" s="2"/>
      <c r="AZ840" s="23"/>
      <c r="BA840" s="23"/>
    </row>
    <row r="841" spans="1:53" s="11" customFormat="1" ht="13.15" customHeight="1">
      <c r="A841"/>
      <c r="B841"/>
      <c r="C841" s="38" t="s">
        <v>1428</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3.15" customHeight="1">
      <c r="A842"/>
      <c r="B842"/>
      <c r="C842" s="38" t="s">
        <v>1429</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3.1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3.15" customHeight="1">
      <c r="A844"/>
      <c r="B844"/>
      <c r="C844" s="1" t="s">
        <v>1430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3.15" customHeight="1">
      <c r="A845"/>
      <c r="B845"/>
      <c r="C845" s="1605" t="s">
        <v>2751</v>
      </c>
      <c r="D845" s="1606"/>
      <c r="E845" s="1606"/>
      <c r="F845" s="1606"/>
      <c r="G845" s="1606"/>
      <c r="H845" s="1606"/>
      <c r="I845" s="1606"/>
      <c r="J845" s="1606"/>
      <c r="K845" s="1606"/>
      <c r="L845" s="1606"/>
      <c r="M845" s="1606"/>
      <c r="N845" s="1606"/>
      <c r="O845" s="1606"/>
      <c r="P845" s="1606"/>
      <c r="Q845" s="1606"/>
      <c r="R845" s="1606"/>
      <c r="S845" s="1606"/>
      <c r="T845" s="1606"/>
      <c r="U845" s="1606"/>
      <c r="V845" s="1606"/>
      <c r="W845" s="1606"/>
      <c r="X845" s="1606"/>
      <c r="Y845" s="1606"/>
      <c r="Z845" s="1606"/>
      <c r="AA845" s="1606"/>
      <c r="AB845" s="1606"/>
      <c r="AC845" s="1606"/>
      <c r="AD845" s="1606"/>
      <c r="AE845" s="1606"/>
      <c r="AF845" s="1606"/>
      <c r="AG845" s="1606"/>
      <c r="AH845" s="1606"/>
      <c r="AI845" s="1606"/>
      <c r="AJ845" s="1607"/>
      <c r="AK845"/>
      <c r="AL845" s="2"/>
      <c r="AM845" s="2"/>
      <c r="AN845" s="2"/>
      <c r="AO845" s="2"/>
      <c r="AP845" s="2"/>
      <c r="AQ845" s="2"/>
      <c r="AR845" s="2"/>
      <c r="AS845" s="2"/>
      <c r="AT845" s="2"/>
      <c r="AU845"/>
      <c r="AV845"/>
      <c r="AW845"/>
      <c r="AX845"/>
      <c r="AY845"/>
      <c r="AZ845" s="23"/>
      <c r="BA845" s="23"/>
    </row>
    <row r="846" spans="1:53" s="11" customFormat="1" ht="13.15" customHeight="1">
      <c r="A846"/>
      <c r="B846" s="2"/>
      <c r="C846" s="2" t="s">
        <v>1431</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3.1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3.15" customHeight="1">
      <c r="A848" s="1" t="s">
        <v>1095</v>
      </c>
      <c r="B848"/>
      <c r="C848" s="1" t="s">
        <v>1432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3.1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8"/>
      <c r="BJ849" s="1598"/>
      <c r="BK849" s="1598"/>
      <c r="BL849" s="1598"/>
    </row>
    <row r="850" spans="1:64" s="11" customFormat="1" ht="13.15" customHeight="1">
      <c r="A850"/>
      <c r="B850"/>
      <c r="C850" s="1" t="s">
        <v>1433</v>
      </c>
      <c r="D850"/>
      <c r="E850"/>
      <c r="F850"/>
      <c r="G850"/>
      <c r="H850"/>
      <c r="I850"/>
      <c r="J850" s="1095" t="s">
        <v>1434</v>
      </c>
      <c r="K850" s="4"/>
      <c r="L850" s="4"/>
      <c r="M850" s="4"/>
      <c r="N850" s="4"/>
      <c r="O850" s="4"/>
      <c r="P850" s="4"/>
      <c r="Q850" s="4"/>
      <c r="R850" s="4"/>
      <c r="S850" s="4"/>
      <c r="T850" s="4"/>
      <c r="U850" s="4"/>
      <c r="V850" s="1096"/>
      <c r="W850" s="1569">
        <v>700</v>
      </c>
      <c r="X850" s="1569"/>
      <c r="Y850" s="1569"/>
      <c r="Z850" s="1569"/>
      <c r="AA850" s="1569"/>
      <c r="AB850" s="1569"/>
      <c r="AC850" s="1569"/>
      <c r="AD850"/>
      <c r="AE850"/>
      <c r="AF850"/>
      <c r="AG850"/>
      <c r="AH850"/>
      <c r="AI850"/>
      <c r="AJ850"/>
      <c r="AK850"/>
      <c r="AL850"/>
      <c r="AM850"/>
      <c r="AN850"/>
      <c r="AO850"/>
      <c r="AP850"/>
      <c r="AQ850"/>
      <c r="AR850"/>
      <c r="AS850"/>
      <c r="AT850"/>
      <c r="AU850"/>
      <c r="AV850"/>
      <c r="AW850"/>
      <c r="AX850"/>
      <c r="AY850"/>
      <c r="AZ850" s="23"/>
      <c r="BA850" s="23"/>
    </row>
    <row r="851" spans="1:64" s="11" customFormat="1" ht="13.15" customHeight="1">
      <c r="A851"/>
      <c r="B851"/>
      <c r="C851"/>
      <c r="D851"/>
      <c r="E851"/>
      <c r="F851"/>
      <c r="G851"/>
      <c r="H851"/>
      <c r="I851"/>
      <c r="J851" s="1095" t="s">
        <v>1435</v>
      </c>
      <c r="K851" s="4"/>
      <c r="L851" s="4"/>
      <c r="M851" s="4"/>
      <c r="N851" s="4"/>
      <c r="O851" s="4"/>
      <c r="P851" s="4"/>
      <c r="Q851" s="4"/>
      <c r="R851" s="4"/>
      <c r="S851" s="4"/>
      <c r="T851" s="4"/>
      <c r="U851" s="4"/>
      <c r="V851" s="1096"/>
      <c r="W851" s="1569">
        <v>10500</v>
      </c>
      <c r="X851" s="1569"/>
      <c r="Y851" s="1569"/>
      <c r="Z851" s="1569"/>
      <c r="AA851" s="1569"/>
      <c r="AB851" s="1569"/>
      <c r="AC851" s="1569"/>
      <c r="AD851"/>
      <c r="AE851"/>
      <c r="AF851"/>
      <c r="AG851"/>
      <c r="AH851"/>
      <c r="AI851"/>
      <c r="AJ851"/>
      <c r="AK851"/>
      <c r="AL851"/>
      <c r="AM851"/>
      <c r="AN851"/>
      <c r="AO851"/>
      <c r="AP851"/>
      <c r="AQ851"/>
      <c r="AR851"/>
      <c r="AS851"/>
      <c r="AT851"/>
      <c r="AU851"/>
      <c r="AV851"/>
      <c r="AW851"/>
      <c r="AX851"/>
      <c r="AY851"/>
      <c r="AZ851" s="23"/>
      <c r="BA851" s="23"/>
    </row>
    <row r="852" spans="1:64" ht="13.15" customHeight="1">
      <c r="J852" s="1095" t="s">
        <v>1436</v>
      </c>
      <c r="K852" s="4"/>
      <c r="L852" s="4"/>
      <c r="M852" s="4"/>
      <c r="N852" s="4"/>
      <c r="O852" s="4"/>
      <c r="P852" s="4"/>
      <c r="Q852" s="4"/>
      <c r="R852" s="4"/>
      <c r="S852" s="4"/>
      <c r="T852" s="4"/>
      <c r="U852" s="4"/>
      <c r="V852" s="1096"/>
      <c r="W852" s="1569">
        <v>13000</v>
      </c>
      <c r="X852" s="1569"/>
      <c r="Y852" s="1569"/>
      <c r="Z852" s="1569"/>
      <c r="AA852" s="1569"/>
      <c r="AB852" s="1569"/>
      <c r="AC852" s="1569"/>
      <c r="AZ852" s="23"/>
      <c r="BA852" s="23"/>
      <c r="BB852" s="11"/>
      <c r="BC852" s="11"/>
      <c r="BD852" s="11"/>
      <c r="BE852" s="11"/>
      <c r="BF852" s="11"/>
      <c r="BG852" s="11"/>
      <c r="BH852" s="11"/>
      <c r="BI852" s="11"/>
      <c r="BJ852" s="11"/>
      <c r="BK852" s="11"/>
      <c r="BL852" s="11"/>
    </row>
    <row r="853" spans="1:64" ht="13.15" customHeight="1">
      <c r="J853" s="1095" t="s">
        <v>1437</v>
      </c>
      <c r="K853" s="4"/>
      <c r="L853" s="4"/>
      <c r="M853" s="4"/>
      <c r="N853" s="4"/>
      <c r="O853" s="4"/>
      <c r="P853" s="4"/>
      <c r="Q853" s="4"/>
      <c r="R853" s="4"/>
      <c r="S853" s="4"/>
      <c r="T853" s="4"/>
      <c r="U853" s="4"/>
      <c r="V853" s="1096"/>
      <c r="W853" s="1569">
        <f>29520+11848</f>
        <v>41368</v>
      </c>
      <c r="X853" s="1569"/>
      <c r="Y853" s="1569"/>
      <c r="Z853" s="1569"/>
      <c r="AA853" s="1569"/>
      <c r="AB853" s="1569"/>
      <c r="AC853" s="1569"/>
      <c r="AZ853" s="23"/>
      <c r="BA853" s="23"/>
      <c r="BB853" s="11"/>
      <c r="BC853" s="11"/>
      <c r="BD853" s="11"/>
      <c r="BE853" s="11"/>
      <c r="BF853" s="11"/>
      <c r="BG853" s="11"/>
      <c r="BH853" s="11"/>
      <c r="BI853" s="11"/>
      <c r="BJ853" s="11"/>
      <c r="BK853" s="11"/>
      <c r="BL853" s="11"/>
    </row>
    <row r="854" spans="1:64" ht="13.15" customHeight="1">
      <c r="J854" s="1095" t="s">
        <v>233</v>
      </c>
      <c r="K854" s="4"/>
      <c r="L854" s="4"/>
      <c r="M854" s="1582" t="s">
        <v>2780</v>
      </c>
      <c r="N854" s="1583"/>
      <c r="O854" s="1583"/>
      <c r="P854" s="1583"/>
      <c r="Q854" s="1583"/>
      <c r="R854" s="1583"/>
      <c r="S854" s="1583"/>
      <c r="T854" s="1583"/>
      <c r="U854" s="1583"/>
      <c r="V854" s="1584"/>
      <c r="W854" s="1569">
        <v>31040</v>
      </c>
      <c r="X854" s="1569"/>
      <c r="Y854" s="1569"/>
      <c r="Z854" s="1569"/>
      <c r="AA854" s="1569"/>
      <c r="AB854" s="1569"/>
      <c r="AC854" s="1569"/>
      <c r="AZ854" s="23"/>
      <c r="BA854" s="23"/>
      <c r="BB854" s="11"/>
      <c r="BC854" s="11"/>
      <c r="BD854" s="11"/>
      <c r="BE854" s="11"/>
      <c r="BF854" s="11"/>
      <c r="BG854" s="11"/>
      <c r="BH854" s="11"/>
      <c r="BI854" s="11"/>
      <c r="BJ854" s="11"/>
      <c r="BK854" s="11"/>
      <c r="BL854" s="11"/>
    </row>
    <row r="855" spans="1:64" ht="13.15" customHeight="1">
      <c r="J855" s="1095"/>
      <c r="K855" s="4"/>
      <c r="L855" s="4"/>
      <c r="M855" s="4"/>
      <c r="N855" s="4"/>
      <c r="O855" s="4"/>
      <c r="P855" s="4"/>
      <c r="Q855" s="4"/>
      <c r="R855" s="4"/>
      <c r="S855" s="4"/>
      <c r="T855" s="4"/>
      <c r="U855" s="4"/>
      <c r="V855" s="1084" t="s">
        <v>1438</v>
      </c>
      <c r="W855" s="1441">
        <f>SUM(W850:W854)</f>
        <v>96608</v>
      </c>
      <c r="X855" s="1442"/>
      <c r="Y855" s="1442"/>
      <c r="Z855" s="1442"/>
      <c r="AA855" s="1442"/>
      <c r="AB855" s="1442"/>
      <c r="AC855" s="1443"/>
      <c r="AZ855" s="23"/>
      <c r="BA855" s="23"/>
      <c r="BB855" s="11"/>
      <c r="BC855" s="11"/>
      <c r="BD855" s="11"/>
      <c r="BE855" s="11"/>
      <c r="BF855" s="11"/>
      <c r="BG855" s="11"/>
      <c r="BH855" s="11"/>
      <c r="BI855" s="11"/>
      <c r="BJ855" s="11"/>
      <c r="BK855" s="11"/>
      <c r="BL855" s="11"/>
    </row>
    <row r="856" spans="1:64" ht="13.15" customHeight="1">
      <c r="AZ856" s="23"/>
      <c r="BA856" s="23"/>
      <c r="BB856" s="11"/>
      <c r="BC856" s="11"/>
      <c r="BD856" s="11"/>
      <c r="BE856" s="11"/>
      <c r="BF856" s="11"/>
      <c r="BG856" s="1597"/>
      <c r="BH856" s="1597"/>
      <c r="BI856" s="1597"/>
      <c r="BJ856" s="1597"/>
      <c r="BK856" s="1597"/>
      <c r="BL856" s="1597"/>
    </row>
    <row r="857" spans="1:64" ht="13.15" customHeight="1">
      <c r="C857" s="1" t="s">
        <v>1439</v>
      </c>
      <c r="J857" s="1400" t="s">
        <v>1440</v>
      </c>
      <c r="K857" s="1401"/>
      <c r="L857" s="1401"/>
      <c r="M857" s="1401"/>
      <c r="N857" s="1401"/>
      <c r="O857" s="1401"/>
      <c r="P857" s="1401"/>
      <c r="Q857" s="1401"/>
      <c r="R857" s="1401"/>
      <c r="S857" s="1401"/>
      <c r="T857" s="1401"/>
      <c r="U857" s="1401"/>
      <c r="V857" s="1403"/>
      <c r="W857" s="1444">
        <v>128520</v>
      </c>
      <c r="X857" s="1321"/>
      <c r="Y857" s="1321"/>
      <c r="Z857" s="1321"/>
      <c r="AA857" s="1321"/>
      <c r="AB857" s="1321"/>
      <c r="AC857" s="1322"/>
      <c r="AD857" s="383"/>
      <c r="AZ857" s="23"/>
      <c r="BA857" s="23"/>
      <c r="BB857" s="11"/>
      <c r="BC857" s="11"/>
    </row>
    <row r="858" spans="1:64" ht="13.15" customHeight="1">
      <c r="AD858" s="383"/>
      <c r="AZ858" s="23"/>
      <c r="BA858" s="23"/>
      <c r="BB858" s="11"/>
      <c r="BC858" s="11"/>
    </row>
    <row r="859" spans="1:64" ht="13.15" customHeight="1">
      <c r="C859" s="1" t="s">
        <v>230</v>
      </c>
      <c r="J859" s="1095" t="s">
        <v>1441</v>
      </c>
      <c r="K859" s="4"/>
      <c r="L859" s="4"/>
      <c r="M859" s="4"/>
      <c r="N859" s="4"/>
      <c r="O859" s="4"/>
      <c r="P859" s="4"/>
      <c r="Q859" s="4"/>
      <c r="R859" s="4"/>
      <c r="S859" s="4"/>
      <c r="T859" s="4"/>
      <c r="U859" s="4"/>
      <c r="V859" s="1096"/>
      <c r="W859" s="1595"/>
      <c r="X859" s="1595"/>
      <c r="Y859" s="1595"/>
      <c r="Z859" s="1595"/>
      <c r="AA859" s="1595"/>
      <c r="AB859" s="1595"/>
      <c r="AC859" s="1595"/>
      <c r="AZ859" s="1602"/>
      <c r="BA859" s="1602"/>
      <c r="BB859" s="11"/>
      <c r="BC859" s="11"/>
    </row>
    <row r="860" spans="1:64" ht="13.15" customHeight="1">
      <c r="J860" s="1095" t="s">
        <v>1442</v>
      </c>
      <c r="K860" s="4"/>
      <c r="L860" s="4"/>
      <c r="M860" s="4"/>
      <c r="N860" s="4"/>
      <c r="O860" s="4"/>
      <c r="P860" s="4"/>
      <c r="Q860" s="4"/>
      <c r="R860" s="4"/>
      <c r="S860" s="4"/>
      <c r="T860" s="4"/>
      <c r="U860" s="4"/>
      <c r="V860" s="1096"/>
      <c r="W860" s="1595"/>
      <c r="X860" s="1595"/>
      <c r="Y860" s="1595"/>
      <c r="Z860" s="1595"/>
      <c r="AA860" s="1595"/>
      <c r="AB860" s="1595"/>
      <c r="AC860" s="1595"/>
      <c r="AZ860" s="23"/>
      <c r="BA860" s="23"/>
      <c r="BB860" s="11"/>
      <c r="BC860" s="11"/>
    </row>
    <row r="861" spans="1:64" ht="13.15" customHeight="1">
      <c r="J861" s="1095" t="s">
        <v>1425</v>
      </c>
      <c r="K861" s="4"/>
      <c r="L861" s="4"/>
      <c r="M861" s="4"/>
      <c r="N861" s="4"/>
      <c r="O861" s="4"/>
      <c r="P861" s="4"/>
      <c r="Q861" s="4"/>
      <c r="R861" s="4"/>
      <c r="S861" s="4"/>
      <c r="T861" s="4"/>
      <c r="U861" s="4"/>
      <c r="V861" s="1096"/>
      <c r="W861" s="1595">
        <v>81686</v>
      </c>
      <c r="X861" s="1595"/>
      <c r="Y861" s="1595"/>
      <c r="Z861" s="1595"/>
      <c r="AA861" s="1595"/>
      <c r="AB861" s="1595"/>
      <c r="AC861" s="1595"/>
      <c r="AZ861" s="23"/>
      <c r="BA861" s="23"/>
      <c r="BB861" s="11"/>
      <c r="BC861" s="11"/>
    </row>
    <row r="862" spans="1:64" ht="13.15" customHeight="1">
      <c r="J862" s="1178" t="s">
        <v>1443</v>
      </c>
      <c r="K862" s="4"/>
      <c r="L862" s="4"/>
      <c r="M862" s="4"/>
      <c r="N862" s="4"/>
      <c r="O862" s="4"/>
      <c r="P862" s="4"/>
      <c r="Q862" s="4"/>
      <c r="R862" s="4"/>
      <c r="S862" s="4"/>
      <c r="T862" s="4"/>
      <c r="U862" s="4"/>
      <c r="V862" s="1096"/>
      <c r="W862" s="1595">
        <v>39716</v>
      </c>
      <c r="X862" s="1595"/>
      <c r="Y862" s="1595"/>
      <c r="Z862" s="1595"/>
      <c r="AA862" s="1595"/>
      <c r="AB862" s="1595"/>
      <c r="AC862" s="1595"/>
      <c r="AZ862" s="2"/>
      <c r="BA862" s="2"/>
      <c r="BB862" s="2"/>
      <c r="BC862" s="2"/>
    </row>
    <row r="863" spans="1:64" ht="13.15" customHeight="1">
      <c r="J863" s="40"/>
      <c r="K863" s="32"/>
      <c r="L863" s="32"/>
      <c r="M863" s="32"/>
      <c r="N863" s="32"/>
      <c r="O863" s="32"/>
      <c r="P863" s="32"/>
      <c r="Q863" s="32"/>
      <c r="R863" s="32"/>
      <c r="S863" s="32"/>
      <c r="T863" s="32"/>
      <c r="U863" s="32"/>
      <c r="V863" s="1084" t="s">
        <v>1444</v>
      </c>
      <c r="W863" s="1608">
        <f>SUM(W859:W862)</f>
        <v>121402</v>
      </c>
      <c r="X863" s="1608"/>
      <c r="Y863" s="1608"/>
      <c r="Z863" s="1608"/>
      <c r="AA863" s="1608"/>
      <c r="AB863" s="1608"/>
      <c r="AC863" s="1608"/>
      <c r="AZ863" s="2"/>
      <c r="BA863" s="2"/>
      <c r="BB863" s="2"/>
      <c r="BC863" s="2"/>
    </row>
    <row r="864" spans="1:64" ht="13.15" customHeight="1">
      <c r="AZ864" s="2"/>
      <c r="BA864" s="2"/>
      <c r="BB864" s="2"/>
      <c r="BC864" s="2"/>
    </row>
    <row r="865" spans="3:55" ht="13.15" customHeight="1">
      <c r="C865" s="1" t="s">
        <v>1445</v>
      </c>
      <c r="J865" s="1095" t="s">
        <v>1446</v>
      </c>
      <c r="K865" s="4"/>
      <c r="L865" s="4"/>
      <c r="M865" s="4"/>
      <c r="N865" s="4"/>
      <c r="O865" s="4"/>
      <c r="P865" s="4"/>
      <c r="Q865" s="4"/>
      <c r="R865" s="4"/>
      <c r="S865" s="4"/>
      <c r="T865" s="4"/>
      <c r="U865" s="4"/>
      <c r="V865" s="1096"/>
      <c r="W865" s="1579">
        <v>183052</v>
      </c>
      <c r="X865" s="1580"/>
      <c r="Y865" s="1580"/>
      <c r="Z865" s="1580"/>
      <c r="AA865" s="1580"/>
      <c r="AB865" s="1580"/>
      <c r="AC865" s="1581"/>
      <c r="AD865" s="378"/>
      <c r="AZ865" s="2"/>
      <c r="BA865" s="2"/>
      <c r="BB865" s="2"/>
      <c r="BC865" s="2"/>
    </row>
    <row r="866" spans="3:55" ht="13.15" customHeight="1">
      <c r="C866" s="1" t="s">
        <v>1447</v>
      </c>
      <c r="J866" s="1100" t="s">
        <v>1448</v>
      </c>
      <c r="K866" s="4"/>
      <c r="L866" s="4"/>
      <c r="M866" s="4"/>
      <c r="N866" s="4"/>
      <c r="O866" s="4"/>
      <c r="P866" s="4"/>
      <c r="Q866" s="4"/>
      <c r="R866" s="4"/>
      <c r="S866" s="4"/>
      <c r="T866" s="1590">
        <v>2</v>
      </c>
      <c r="U866" s="1536"/>
      <c r="V866" s="1591"/>
      <c r="W866" s="1097"/>
      <c r="X866" s="1098"/>
      <c r="Y866" s="1098"/>
      <c r="Z866" s="1098"/>
      <c r="AA866" s="1098"/>
      <c r="AB866" s="1098"/>
      <c r="AC866" s="1099"/>
      <c r="AD866" s="378"/>
      <c r="AZ866" s="2"/>
      <c r="BA866" s="2"/>
      <c r="BB866" s="2"/>
      <c r="BC866" s="2"/>
    </row>
    <row r="867" spans="3:55" ht="13.15" customHeight="1">
      <c r="C867" s="1"/>
      <c r="J867" s="1095" t="s">
        <v>1449</v>
      </c>
      <c r="K867" s="4"/>
      <c r="L867" s="4"/>
      <c r="M867" s="4"/>
      <c r="N867" s="4"/>
      <c r="O867" s="4"/>
      <c r="P867" s="4"/>
      <c r="Q867" s="4"/>
      <c r="R867" s="4"/>
      <c r="S867" s="4"/>
      <c r="T867" s="4"/>
      <c r="U867" s="4"/>
      <c r="V867" s="1096"/>
      <c r="W867" s="1579">
        <v>183052</v>
      </c>
      <c r="X867" s="1580"/>
      <c r="Y867" s="1580"/>
      <c r="Z867" s="1580"/>
      <c r="AA867" s="1580"/>
      <c r="AB867" s="1580"/>
      <c r="AC867" s="1581"/>
      <c r="AD867" s="383"/>
      <c r="AZ867" s="2"/>
      <c r="BA867" s="2"/>
      <c r="BB867" s="2"/>
      <c r="BC867" s="2"/>
    </row>
    <row r="868" spans="3:55" ht="13.15" customHeight="1">
      <c r="C868" s="1"/>
      <c r="J868" s="1100" t="s">
        <v>1450</v>
      </c>
      <c r="K868" s="4"/>
      <c r="L868" s="4"/>
      <c r="M868" s="4"/>
      <c r="N868" s="4"/>
      <c r="O868" s="4"/>
      <c r="P868" s="4"/>
      <c r="Q868" s="4"/>
      <c r="R868" s="4"/>
      <c r="S868" s="4"/>
      <c r="T868" s="1590">
        <v>2</v>
      </c>
      <c r="U868" s="1536"/>
      <c r="V868" s="1591"/>
      <c r="W868" s="1097"/>
      <c r="X868" s="1098"/>
      <c r="Y868" s="1098"/>
      <c r="Z868" s="1098"/>
      <c r="AA868" s="1098"/>
      <c r="AB868" s="1098"/>
      <c r="AC868" s="1099"/>
      <c r="AD868" s="383"/>
      <c r="AZ868" s="2"/>
      <c r="BA868" s="2"/>
      <c r="BB868" s="2"/>
      <c r="BC868" s="2"/>
    </row>
    <row r="869" spans="3:55" ht="13.15" customHeight="1">
      <c r="J869" s="1095" t="s">
        <v>233</v>
      </c>
      <c r="K869" s="4"/>
      <c r="L869" s="4"/>
      <c r="M869" s="1582" t="s">
        <v>1183</v>
      </c>
      <c r="N869" s="1583"/>
      <c r="O869" s="1583"/>
      <c r="P869" s="1583"/>
      <c r="Q869" s="1583"/>
      <c r="R869" s="1583"/>
      <c r="S869" s="1583"/>
      <c r="T869" s="1583"/>
      <c r="U869" s="1583"/>
      <c r="V869" s="1584"/>
      <c r="W869" s="1579"/>
      <c r="X869" s="1580"/>
      <c r="Y869" s="1580"/>
      <c r="Z869" s="1580"/>
      <c r="AA869" s="1580"/>
      <c r="AB869" s="1580"/>
      <c r="AC869" s="1581"/>
      <c r="AD869" s="378"/>
      <c r="AU869" s="11"/>
      <c r="AZ869" s="2"/>
      <c r="BA869" s="2"/>
      <c r="BB869" s="2"/>
      <c r="BC869" s="2"/>
    </row>
    <row r="870" spans="3:55" ht="13.15" customHeight="1">
      <c r="J870" s="1095"/>
      <c r="K870" s="4"/>
      <c r="L870" s="4"/>
      <c r="M870" s="4"/>
      <c r="N870" s="4"/>
      <c r="O870" s="4"/>
      <c r="P870" s="4"/>
      <c r="Q870" s="4"/>
      <c r="R870" s="4"/>
      <c r="S870" s="4"/>
      <c r="T870" s="4"/>
      <c r="U870" s="4"/>
      <c r="V870" s="1084" t="s">
        <v>1451</v>
      </c>
      <c r="W870" s="1592">
        <f>SUM(W865:W869)</f>
        <v>366104</v>
      </c>
      <c r="X870" s="1593"/>
      <c r="Y870" s="1593"/>
      <c r="Z870" s="1593"/>
      <c r="AA870" s="1593"/>
      <c r="AB870" s="1593"/>
      <c r="AC870" s="1594"/>
      <c r="AD870" s="383"/>
      <c r="AU870" s="11"/>
      <c r="AZ870" s="2"/>
      <c r="BA870" s="2"/>
      <c r="BB870" s="2"/>
      <c r="BC870" s="2"/>
    </row>
    <row r="871" spans="3:55" ht="13.15" customHeight="1">
      <c r="AU871" s="11"/>
      <c r="AZ871" s="2"/>
      <c r="BA871" s="2"/>
      <c r="BB871" s="2"/>
      <c r="BC871" s="2"/>
    </row>
    <row r="872" spans="3:55" ht="13.15" customHeight="1">
      <c r="C872" s="1" t="s">
        <v>1452</v>
      </c>
      <c r="J872" s="1095"/>
      <c r="K872" s="4"/>
      <c r="L872" s="4"/>
      <c r="M872" s="4"/>
      <c r="N872" s="4"/>
      <c r="O872" s="4"/>
      <c r="P872" s="4"/>
      <c r="Q872" s="4"/>
      <c r="R872" s="4"/>
      <c r="S872" s="4"/>
      <c r="T872" s="4"/>
      <c r="U872" s="4"/>
      <c r="V872" s="1084" t="s">
        <v>1453</v>
      </c>
      <c r="W872" s="1579">
        <v>185000</v>
      </c>
      <c r="X872" s="1580"/>
      <c r="Y872" s="1580"/>
      <c r="Z872" s="1580"/>
      <c r="AA872" s="1580"/>
      <c r="AB872" s="1580"/>
      <c r="AC872" s="1581"/>
      <c r="AU872" s="11"/>
      <c r="AZ872" s="2"/>
      <c r="BA872" s="2"/>
      <c r="BB872" s="2"/>
      <c r="BC872" s="2"/>
    </row>
    <row r="873" spans="3:55" ht="13.15" customHeight="1">
      <c r="J873" s="364"/>
      <c r="AU873" s="11"/>
      <c r="AZ873" s="2"/>
      <c r="BA873" s="2"/>
      <c r="BB873" s="2"/>
      <c r="BC873" s="2"/>
    </row>
    <row r="874" spans="3:55" ht="13.15" customHeight="1">
      <c r="C874" s="1" t="s">
        <v>232</v>
      </c>
      <c r="J874" s="1095" t="s">
        <v>1454</v>
      </c>
      <c r="K874" s="4"/>
      <c r="L874" s="4"/>
      <c r="M874" s="4"/>
      <c r="N874" s="4"/>
      <c r="O874" s="4"/>
      <c r="P874" s="4"/>
      <c r="Q874" s="4"/>
      <c r="R874" s="4"/>
      <c r="S874" s="4"/>
      <c r="T874" s="4"/>
      <c r="U874" s="4"/>
      <c r="V874" s="1096"/>
      <c r="W874" s="1569">
        <v>24000</v>
      </c>
      <c r="X874" s="1569"/>
      <c r="Y874" s="1569"/>
      <c r="Z874" s="1569"/>
      <c r="AA874" s="1569"/>
      <c r="AB874" s="1569"/>
      <c r="AC874" s="1569"/>
      <c r="AU874" s="11"/>
      <c r="AZ874" s="2"/>
      <c r="BA874" s="2"/>
      <c r="BB874" s="2"/>
      <c r="BC874" s="2"/>
    </row>
    <row r="875" spans="3:55" ht="13.15" customHeight="1">
      <c r="J875" s="1095" t="s">
        <v>1455</v>
      </c>
      <c r="K875" s="4"/>
      <c r="L875" s="4"/>
      <c r="M875" s="4"/>
      <c r="N875" s="4"/>
      <c r="O875" s="4"/>
      <c r="P875" s="4"/>
      <c r="Q875" s="4"/>
      <c r="R875" s="4"/>
      <c r="S875" s="4"/>
      <c r="T875" s="4"/>
      <c r="U875" s="4"/>
      <c r="V875" s="1096"/>
      <c r="W875" s="1569">
        <v>42211</v>
      </c>
      <c r="X875" s="1569"/>
      <c r="Y875" s="1569"/>
      <c r="Z875" s="1569"/>
      <c r="AA875" s="1569"/>
      <c r="AB875" s="1569"/>
      <c r="AC875" s="1569"/>
      <c r="AU875" s="2"/>
      <c r="AZ875" s="2"/>
      <c r="BA875" s="2"/>
      <c r="BB875" s="2"/>
      <c r="BC875" s="2"/>
    </row>
    <row r="876" spans="3:55" ht="13.15" customHeight="1">
      <c r="J876" s="1095" t="s">
        <v>1456</v>
      </c>
      <c r="K876" s="4"/>
      <c r="L876" s="4"/>
      <c r="M876" s="4"/>
      <c r="N876" s="4"/>
      <c r="O876" s="4"/>
      <c r="P876" s="4"/>
      <c r="Q876" s="4"/>
      <c r="R876" s="4"/>
      <c r="S876" s="4"/>
      <c r="T876" s="4"/>
      <c r="U876" s="4"/>
      <c r="V876" s="1096"/>
      <c r="W876" s="1569">
        <f>53293-18293</f>
        <v>35000</v>
      </c>
      <c r="X876" s="1569"/>
      <c r="Y876" s="1569"/>
      <c r="Z876" s="1569"/>
      <c r="AA876" s="1569"/>
      <c r="AB876" s="1569"/>
      <c r="AC876" s="1569"/>
      <c r="AU876" s="2"/>
      <c r="AZ876" s="2"/>
      <c r="BA876" s="2"/>
      <c r="BB876" s="2"/>
      <c r="BC876" s="2"/>
    </row>
    <row r="877" spans="3:55" ht="13.15" customHeight="1">
      <c r="J877" s="1095" t="s">
        <v>1457</v>
      </c>
      <c r="K877" s="4"/>
      <c r="L877" s="4"/>
      <c r="M877" s="4"/>
      <c r="N877" s="4"/>
      <c r="O877" s="4"/>
      <c r="P877" s="4"/>
      <c r="Q877" s="4"/>
      <c r="R877" s="4"/>
      <c r="S877" s="4"/>
      <c r="T877" s="4"/>
      <c r="U877" s="4"/>
      <c r="V877" s="1096"/>
      <c r="W877" s="1569">
        <v>15147</v>
      </c>
      <c r="X877" s="1569"/>
      <c r="Y877" s="1569"/>
      <c r="Z877" s="1569"/>
      <c r="AA877" s="1569"/>
      <c r="AB877" s="1569"/>
      <c r="AC877" s="1569"/>
      <c r="AU877" s="2"/>
      <c r="AZ877" s="2"/>
      <c r="BA877" s="2"/>
      <c r="BB877" s="2"/>
      <c r="BC877" s="2"/>
    </row>
    <row r="878" spans="3:55" ht="13.15" customHeight="1">
      <c r="J878" s="1095" t="s">
        <v>1458</v>
      </c>
      <c r="K878" s="4"/>
      <c r="L878" s="4"/>
      <c r="M878" s="4"/>
      <c r="N878" s="4"/>
      <c r="O878" s="4"/>
      <c r="P878" s="4"/>
      <c r="Q878" s="4"/>
      <c r="R878" s="4"/>
      <c r="S878" s="4"/>
      <c r="T878" s="4"/>
      <c r="U878" s="4"/>
      <c r="V878" s="1096"/>
      <c r="W878" s="1569">
        <v>0</v>
      </c>
      <c r="X878" s="1569"/>
      <c r="Y878" s="1569"/>
      <c r="Z878" s="1569"/>
      <c r="AA878" s="1569"/>
      <c r="AB878" s="1569"/>
      <c r="AC878" s="1569"/>
      <c r="AU878" s="2"/>
      <c r="AZ878" s="2"/>
      <c r="BA878" s="2"/>
      <c r="BB878" s="2"/>
      <c r="BC878" s="2"/>
    </row>
    <row r="879" spans="3:55" ht="13.15" customHeight="1">
      <c r="J879" s="1095" t="s">
        <v>1459</v>
      </c>
      <c r="K879" s="4"/>
      <c r="L879" s="4"/>
      <c r="M879" s="4"/>
      <c r="N879" s="4"/>
      <c r="O879" s="4"/>
      <c r="P879" s="4"/>
      <c r="Q879" s="4"/>
      <c r="R879" s="4"/>
      <c r="S879" s="4"/>
      <c r="T879" s="4"/>
      <c r="U879" s="4"/>
      <c r="V879" s="1096"/>
      <c r="W879" s="1569">
        <v>3825</v>
      </c>
      <c r="X879" s="1569"/>
      <c r="Y879" s="1569"/>
      <c r="Z879" s="1569"/>
      <c r="AA879" s="1569"/>
      <c r="AB879" s="1569"/>
      <c r="AC879" s="1569"/>
      <c r="AU879" s="2"/>
      <c r="AZ879" s="2"/>
      <c r="BA879" s="2"/>
      <c r="BB879" s="2"/>
      <c r="BC879" s="2"/>
    </row>
    <row r="880" spans="3:55" ht="13.15" customHeight="1">
      <c r="J880" s="1095" t="s">
        <v>233</v>
      </c>
      <c r="K880" s="4"/>
      <c r="L880" s="4"/>
      <c r="M880" s="1582" t="s">
        <v>2788</v>
      </c>
      <c r="N880" s="1583"/>
      <c r="O880" s="1583"/>
      <c r="P880" s="1583"/>
      <c r="Q880" s="1583"/>
      <c r="R880" s="1583"/>
      <c r="S880" s="1583"/>
      <c r="T880" s="1583"/>
      <c r="U880" s="1583"/>
      <c r="V880" s="1584"/>
      <c r="W880" s="1569">
        <v>13617</v>
      </c>
      <c r="X880" s="1569"/>
      <c r="Y880" s="1569"/>
      <c r="Z880" s="1569"/>
      <c r="AA880" s="1569"/>
      <c r="AB880" s="1569"/>
      <c r="AC880" s="1569"/>
      <c r="AD880" s="383"/>
      <c r="AU880" s="2"/>
      <c r="AV880" s="11"/>
      <c r="AW880" s="11"/>
      <c r="AX880" s="11"/>
      <c r="AY880" s="11"/>
      <c r="AZ880" s="2"/>
      <c r="BA880" s="2"/>
      <c r="BB880" s="2"/>
      <c r="BC880" s="2"/>
    </row>
    <row r="881" spans="3:55" ht="13.15" customHeight="1">
      <c r="J881" s="1095"/>
      <c r="K881" s="4"/>
      <c r="L881" s="4"/>
      <c r="M881" s="4"/>
      <c r="N881" s="4"/>
      <c r="O881" s="4"/>
      <c r="P881" s="4"/>
      <c r="Q881" s="4"/>
      <c r="R881" s="4"/>
      <c r="S881" s="4"/>
      <c r="T881" s="4"/>
      <c r="U881" s="4"/>
      <c r="V881" s="1084" t="s">
        <v>1460</v>
      </c>
      <c r="W881" s="1551">
        <f>SUM(W874:W880)</f>
        <v>133800</v>
      </c>
      <c r="X881" s="1551"/>
      <c r="Y881" s="1551"/>
      <c r="Z881" s="1551"/>
      <c r="AA881" s="1551"/>
      <c r="AB881" s="1551"/>
      <c r="AC881" s="1551"/>
      <c r="AU881" s="2"/>
      <c r="AV881" s="11"/>
      <c r="AW881" s="11"/>
      <c r="AX881" s="11"/>
      <c r="AY881" s="11"/>
      <c r="AZ881" s="2"/>
      <c r="BA881" s="2"/>
      <c r="BB881" s="2"/>
      <c r="BC881" s="2"/>
    </row>
    <row r="882" spans="3:55" ht="13.15" customHeight="1">
      <c r="AU882" s="2"/>
      <c r="AV882" s="11"/>
      <c r="AW882" s="11"/>
      <c r="AX882" s="11"/>
      <c r="AY882" s="11"/>
      <c r="AZ882" s="2"/>
      <c r="BA882" s="2"/>
      <c r="BB882" s="2"/>
      <c r="BC882" s="2"/>
    </row>
    <row r="883" spans="3:55" ht="13.15" customHeight="1">
      <c r="C883" s="1" t="s">
        <v>1461</v>
      </c>
      <c r="J883" s="1095" t="s">
        <v>233</v>
      </c>
      <c r="K883" s="4"/>
      <c r="L883" s="4"/>
      <c r="M883" s="1582" t="s">
        <v>2781</v>
      </c>
      <c r="N883" s="1583"/>
      <c r="O883" s="1583"/>
      <c r="P883" s="1583"/>
      <c r="Q883" s="1583"/>
      <c r="R883" s="1583"/>
      <c r="S883" s="1583"/>
      <c r="T883" s="1583"/>
      <c r="U883" s="1583"/>
      <c r="V883" s="1584"/>
      <c r="W883" s="1444">
        <v>22500</v>
      </c>
      <c r="X883" s="1321"/>
      <c r="Y883" s="1321"/>
      <c r="Z883" s="1321"/>
      <c r="AA883" s="1321"/>
      <c r="AB883" s="1321"/>
      <c r="AC883" s="1322"/>
      <c r="AD883" s="383"/>
      <c r="AV883" s="11"/>
      <c r="AW883" s="11"/>
      <c r="AX883" s="11"/>
      <c r="AY883" s="11"/>
      <c r="AZ883" s="2"/>
      <c r="BA883" s="2"/>
      <c r="BB883" s="2"/>
      <c r="BC883" s="2"/>
    </row>
    <row r="884" spans="3:55" ht="13.15" customHeight="1">
      <c r="C884" s="1" t="s">
        <v>1462</v>
      </c>
      <c r="J884" s="1095" t="s">
        <v>233</v>
      </c>
      <c r="K884" s="4"/>
      <c r="L884" s="4"/>
      <c r="M884" s="1582" t="s">
        <v>2782</v>
      </c>
      <c r="N884" s="1583"/>
      <c r="O884" s="1583"/>
      <c r="P884" s="1583"/>
      <c r="Q884" s="1583"/>
      <c r="R884" s="1583"/>
      <c r="S884" s="1583"/>
      <c r="T884" s="1583"/>
      <c r="U884" s="1583"/>
      <c r="V884" s="1584"/>
      <c r="W884" s="1444">
        <v>28152</v>
      </c>
      <c r="X884" s="1321"/>
      <c r="Y884" s="1321"/>
      <c r="Z884" s="1321"/>
      <c r="AA884" s="1321"/>
      <c r="AB884" s="1321"/>
      <c r="AC884" s="1322"/>
      <c r="AD884" s="383"/>
      <c r="AV884" s="11"/>
      <c r="AW884" s="11"/>
      <c r="AX884" s="11"/>
      <c r="AY884" s="11"/>
      <c r="AZ884" s="2"/>
      <c r="BA884" s="2"/>
      <c r="BB884" s="2"/>
      <c r="BC884" s="2"/>
    </row>
    <row r="885" spans="3:55" ht="13.15" customHeight="1">
      <c r="J885" s="1095" t="s">
        <v>233</v>
      </c>
      <c r="K885" s="4"/>
      <c r="L885" s="4"/>
      <c r="M885" s="1582" t="s">
        <v>2784</v>
      </c>
      <c r="N885" s="1583"/>
      <c r="O885" s="1583"/>
      <c r="P885" s="1583"/>
      <c r="Q885" s="1583"/>
      <c r="R885" s="1583"/>
      <c r="S885" s="1583"/>
      <c r="T885" s="1583"/>
      <c r="U885" s="1583"/>
      <c r="V885" s="1584"/>
      <c r="W885" s="1444"/>
      <c r="X885" s="1321"/>
      <c r="Y885" s="1321"/>
      <c r="Z885" s="1321"/>
      <c r="AA885" s="1321"/>
      <c r="AB885" s="1321"/>
      <c r="AC885" s="1322"/>
      <c r="AL885" s="11"/>
      <c r="AM885" s="11"/>
      <c r="AN885" s="11"/>
      <c r="AO885" s="11"/>
      <c r="AP885" s="11"/>
      <c r="AQ885" s="11"/>
      <c r="AR885" s="11"/>
      <c r="AS885" s="11"/>
      <c r="AT885" s="11"/>
      <c r="AV885" s="2"/>
      <c r="AW885" s="2"/>
      <c r="AX885" s="2"/>
      <c r="AY885" s="2"/>
      <c r="AZ885" s="2"/>
      <c r="BA885" s="2"/>
      <c r="BB885" s="2"/>
      <c r="BC885" s="2"/>
    </row>
    <row r="886" spans="3:55" ht="13.15" customHeight="1">
      <c r="J886" s="1095" t="s">
        <v>233</v>
      </c>
      <c r="K886" s="4"/>
      <c r="L886" s="4"/>
      <c r="M886" s="1582" t="s">
        <v>1183</v>
      </c>
      <c r="N886" s="1583"/>
      <c r="O886" s="1583"/>
      <c r="P886" s="1583"/>
      <c r="Q886" s="1583"/>
      <c r="R886" s="1583"/>
      <c r="S886" s="1583"/>
      <c r="T886" s="1583"/>
      <c r="U886" s="1583"/>
      <c r="V886" s="1584"/>
      <c r="W886" s="1444"/>
      <c r="X886" s="1321"/>
      <c r="Y886" s="1321"/>
      <c r="Z886" s="1321"/>
      <c r="AA886" s="1321"/>
      <c r="AB886" s="1321"/>
      <c r="AC886" s="1322"/>
      <c r="AL886" s="11"/>
      <c r="AM886" s="11"/>
      <c r="AN886" s="11"/>
      <c r="AO886" s="11"/>
      <c r="AP886" s="11"/>
      <c r="AQ886" s="11"/>
      <c r="AR886" s="11"/>
      <c r="AS886" s="11"/>
      <c r="AT886" s="11"/>
      <c r="AV886" s="2"/>
      <c r="AW886" s="2"/>
      <c r="AX886" s="2"/>
      <c r="AY886" s="2"/>
      <c r="AZ886" s="2"/>
      <c r="BA886" s="2"/>
      <c r="BB886" s="2"/>
      <c r="BC886" s="2"/>
    </row>
    <row r="887" spans="3:55" ht="13.15" customHeight="1">
      <c r="J887" s="1095" t="s">
        <v>233</v>
      </c>
      <c r="K887" s="4"/>
      <c r="L887" s="4"/>
      <c r="M887" s="1582" t="s">
        <v>1183</v>
      </c>
      <c r="N887" s="1583"/>
      <c r="O887" s="1583"/>
      <c r="P887" s="1583"/>
      <c r="Q887" s="1583"/>
      <c r="R887" s="1583"/>
      <c r="S887" s="1583"/>
      <c r="T887" s="1583"/>
      <c r="U887" s="1583"/>
      <c r="V887" s="1584"/>
      <c r="W887" s="1444"/>
      <c r="X887" s="1321"/>
      <c r="Y887" s="1321"/>
      <c r="Z887" s="1321"/>
      <c r="AA887" s="1321"/>
      <c r="AB887" s="1321"/>
      <c r="AC887" s="1322"/>
      <c r="AL887" s="11"/>
      <c r="AM887" s="11"/>
      <c r="AN887" s="11"/>
      <c r="AO887" s="11"/>
      <c r="AP887" s="11"/>
      <c r="AQ887" s="11"/>
      <c r="AR887" s="11"/>
      <c r="AS887" s="11"/>
      <c r="AT887" s="11"/>
      <c r="AV887" s="2"/>
      <c r="AW887" s="2"/>
      <c r="AX887" s="2"/>
      <c r="AY887" s="2"/>
      <c r="AZ887" s="2"/>
      <c r="BA887" s="2"/>
      <c r="BB887" s="2"/>
      <c r="BC887" s="2"/>
    </row>
    <row r="888" spans="3:55" ht="13.15" customHeight="1">
      <c r="J888" s="1095"/>
      <c r="K888" s="4"/>
      <c r="L888" s="4"/>
      <c r="M888" s="4"/>
      <c r="N888" s="4"/>
      <c r="O888" s="4"/>
      <c r="P888" s="4"/>
      <c r="Q888" s="4"/>
      <c r="R888" s="4"/>
      <c r="S888" s="4"/>
      <c r="T888" s="4"/>
      <c r="U888" s="4"/>
      <c r="V888" s="1084" t="s">
        <v>1463</v>
      </c>
      <c r="W888" s="1441">
        <f>SUM(W883:W887)</f>
        <v>50652</v>
      </c>
      <c r="X888" s="1442"/>
      <c r="Y888" s="1442"/>
      <c r="Z888" s="1442"/>
      <c r="AA888" s="1442"/>
      <c r="AB888" s="1442"/>
      <c r="AC888" s="1443"/>
      <c r="AL888" s="11"/>
      <c r="AM888" s="11"/>
      <c r="AN888" s="11"/>
      <c r="AO888" s="11"/>
      <c r="AP888" s="11"/>
      <c r="AQ888" s="11"/>
      <c r="AR888" s="11"/>
      <c r="AS888" s="11"/>
      <c r="AT888" s="11"/>
      <c r="AV888" s="2"/>
      <c r="AW888" s="2"/>
      <c r="AX888" s="2"/>
      <c r="AY888" s="2"/>
      <c r="AZ888" s="2"/>
      <c r="BA888" s="2"/>
      <c r="BB888" s="2"/>
      <c r="BC888" s="2"/>
    </row>
    <row r="889" spans="3:55" ht="13.1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3.15" customHeight="1">
      <c r="C890" s="1" t="s">
        <v>1464</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3.1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3.1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03" t="s">
        <v>1465</v>
      </c>
      <c r="AC892" s="1442">
        <f>W855+W863+W870+W872+W881+W888+W857</f>
        <v>1082086</v>
      </c>
      <c r="AD892" s="1442"/>
      <c r="AE892" s="1442"/>
      <c r="AF892" s="1442"/>
      <c r="AG892" s="1442"/>
      <c r="AH892" s="1443"/>
      <c r="AL892" s="2"/>
      <c r="AM892" s="2"/>
      <c r="AN892" s="2"/>
      <c r="AO892" s="2"/>
      <c r="AP892" s="2"/>
      <c r="AQ892" s="2"/>
      <c r="AR892" s="2"/>
      <c r="AS892" s="2"/>
      <c r="AT892" s="2"/>
      <c r="AV892" s="2"/>
      <c r="AW892" s="2"/>
      <c r="AX892" s="2"/>
      <c r="AY892" s="2"/>
      <c r="AZ892" s="2"/>
      <c r="BA892" s="2"/>
      <c r="BB892" s="2"/>
      <c r="BC892" s="2"/>
    </row>
    <row r="893" spans="3:55" ht="13.1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03" t="s">
        <v>1466</v>
      </c>
      <c r="AC893" s="1603">
        <f>O805+O785+G761</f>
        <v>153</v>
      </c>
      <c r="AD893" s="1603"/>
      <c r="AE893" s="1603"/>
      <c r="AF893" s="1603"/>
      <c r="AG893" s="1603"/>
      <c r="AH893" s="1604"/>
      <c r="AL893" s="2"/>
      <c r="AM893" s="2"/>
      <c r="AN893" s="2"/>
      <c r="AO893" s="2"/>
      <c r="AP893" s="2"/>
      <c r="AQ893" s="2"/>
      <c r="AR893" s="2"/>
      <c r="AS893" s="2"/>
      <c r="AT893" s="2"/>
      <c r="AZ893" s="2"/>
      <c r="BA893" s="2"/>
      <c r="BB893" s="2"/>
      <c r="BC893" s="2"/>
    </row>
    <row r="894" spans="3:55" ht="13.15" customHeight="1">
      <c r="C894" s="29"/>
      <c r="D894" s="30"/>
      <c r="E894" s="1600" t="s">
        <v>1467</v>
      </c>
      <c r="F894" s="1600"/>
      <c r="G894" s="1600"/>
      <c r="H894" s="1600"/>
      <c r="I894" s="1600"/>
      <c r="J894" s="1600"/>
      <c r="K894" s="1600"/>
      <c r="L894" s="1600"/>
      <c r="M894" s="1600"/>
      <c r="N894" s="1600"/>
      <c r="O894" s="1600"/>
      <c r="P894" s="1600"/>
      <c r="Q894" s="1600"/>
      <c r="R894" s="1600"/>
      <c r="S894" s="1600"/>
      <c r="T894" s="1600"/>
      <c r="U894" s="1600"/>
      <c r="V894" s="1600"/>
      <c r="W894" s="1600"/>
      <c r="X894" s="1600"/>
      <c r="Y894" s="1600"/>
      <c r="Z894" s="1600"/>
      <c r="AA894" s="1600"/>
      <c r="AB894" s="1601"/>
      <c r="AC894" s="1551">
        <f>IF(ISERROR((ROUNDDOWN(AC892/AC893,0))),0,(ROUNDDOWN(AC892/AC893,0)))</f>
        <v>7072</v>
      </c>
      <c r="AD894" s="1551"/>
      <c r="AE894" s="1551"/>
      <c r="AF894" s="1551"/>
      <c r="AG894" s="1551"/>
      <c r="AH894" s="1551"/>
      <c r="AL894" s="2"/>
      <c r="AM894" s="2"/>
      <c r="AN894" s="2"/>
      <c r="AO894" s="2"/>
      <c r="AP894" s="2"/>
      <c r="AQ894" s="2"/>
      <c r="AR894" s="2"/>
      <c r="AS894" s="2"/>
      <c r="AT894" s="2"/>
      <c r="AZ894" s="2"/>
      <c r="BA894" s="2"/>
      <c r="BB894" s="2"/>
      <c r="BC894" s="2"/>
    </row>
    <row r="895" spans="3:55" ht="13.15" customHeight="1">
      <c r="C895" s="1095"/>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1468</v>
      </c>
      <c r="AC895" s="1577"/>
      <c r="AD895" s="1578"/>
      <c r="AE895" s="1578"/>
      <c r="AF895" s="1578"/>
      <c r="AG895" s="1578"/>
      <c r="AH895" s="1578"/>
      <c r="AL895" s="2"/>
      <c r="AM895" s="2"/>
      <c r="AN895" s="2"/>
      <c r="AO895" s="2"/>
      <c r="AP895" s="2"/>
      <c r="AQ895" s="2"/>
      <c r="AR895" s="2"/>
      <c r="AS895" s="2"/>
      <c r="AT895" s="2"/>
      <c r="AZ895" s="2"/>
      <c r="BA895" s="2"/>
      <c r="BB895" s="2"/>
      <c r="BC895" s="2"/>
    </row>
    <row r="896" spans="3:55" ht="13.15" customHeight="1">
      <c r="C896" s="1095"/>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1469</v>
      </c>
      <c r="AC896" s="1322"/>
      <c r="AD896" s="1569"/>
      <c r="AE896" s="1569"/>
      <c r="AF896" s="1569"/>
      <c r="AG896" s="1569"/>
      <c r="AH896" s="1569"/>
      <c r="AL896" s="2"/>
      <c r="AM896" s="2"/>
      <c r="AN896" s="2"/>
      <c r="AO896" s="2"/>
      <c r="AP896" s="2"/>
      <c r="AQ896" s="2"/>
      <c r="AR896" s="2"/>
      <c r="AS896" s="2"/>
      <c r="AT896" s="2"/>
      <c r="AZ896" s="2"/>
      <c r="BA896" s="2"/>
      <c r="BB896" s="2"/>
      <c r="BC896" s="2"/>
    </row>
    <row r="897" spans="1:58" ht="13.15" customHeight="1">
      <c r="C897" s="1095"/>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1470</v>
      </c>
      <c r="AC897" s="1321">
        <v>60000</v>
      </c>
      <c r="AD897" s="1321"/>
      <c r="AE897" s="1321"/>
      <c r="AF897" s="1321"/>
      <c r="AG897" s="1321"/>
      <c r="AH897" s="1322"/>
      <c r="AL897" s="2"/>
      <c r="AM897" s="2"/>
      <c r="AN897" s="2"/>
      <c r="AO897" s="2"/>
      <c r="AP897" s="2"/>
      <c r="AQ897" s="2"/>
      <c r="AR897" s="2"/>
      <c r="AS897" s="2"/>
      <c r="AT897" s="2"/>
      <c r="AZ897" s="2"/>
      <c r="BA897" s="2"/>
      <c r="BB897" s="2"/>
      <c r="BC897" s="2"/>
    </row>
    <row r="898" spans="1:58" ht="13.15" customHeight="1">
      <c r="C898" s="1095"/>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1471</v>
      </c>
      <c r="AC898" s="1321">
        <v>76500</v>
      </c>
      <c r="AD898" s="1321"/>
      <c r="AE898" s="1321"/>
      <c r="AF898" s="1321"/>
      <c r="AG898" s="1321"/>
      <c r="AH898" s="1322"/>
      <c r="AZ898" s="2"/>
      <c r="BA898" s="2"/>
      <c r="BB898" s="2"/>
      <c r="BC898" s="2"/>
    </row>
    <row r="899" spans="1:58" ht="13.15" customHeight="1">
      <c r="C899" s="1095"/>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1472</v>
      </c>
      <c r="AC899" s="1451"/>
      <c r="AD899" s="1452"/>
      <c r="AE899" s="1452"/>
      <c r="AF899" s="1452"/>
      <c r="AG899" s="1452"/>
      <c r="AH899" s="1453"/>
      <c r="AZ899" s="2"/>
      <c r="BA899" s="2"/>
      <c r="BB899" s="2"/>
      <c r="BC899" s="2"/>
    </row>
    <row r="900" spans="1:58" ht="13.15" customHeight="1">
      <c r="C900" s="1095"/>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1473</v>
      </c>
      <c r="AC900" s="1321">
        <v>23000</v>
      </c>
      <c r="AD900" s="1321"/>
      <c r="AE900" s="1321"/>
      <c r="AF900" s="1321"/>
      <c r="AG900" s="1321"/>
      <c r="AH900" s="1322"/>
      <c r="AZ900" s="2"/>
      <c r="BA900" s="2"/>
      <c r="BB900" s="2"/>
      <c r="BC900" s="2"/>
    </row>
    <row r="901" spans="1:58" ht="13.15" hidden="1" customHeight="1">
      <c r="C901" s="1400" t="s">
        <v>1474</v>
      </c>
      <c r="D901" s="1401"/>
      <c r="E901" s="1401"/>
      <c r="F901" s="1401"/>
      <c r="G901" s="1401"/>
      <c r="H901" s="1401"/>
      <c r="I901" s="1401"/>
      <c r="J901" s="1401"/>
      <c r="K901" s="1401"/>
      <c r="L901" s="1401"/>
      <c r="M901" s="1401"/>
      <c r="N901" s="1401"/>
      <c r="O901" s="1401"/>
      <c r="P901" s="1401"/>
      <c r="Q901" s="1401"/>
      <c r="R901" s="1401"/>
      <c r="S901" s="1401"/>
      <c r="T901" s="1401"/>
      <c r="U901" s="1401"/>
      <c r="V901" s="1401"/>
      <c r="W901" s="1401"/>
      <c r="X901" s="1401"/>
      <c r="Y901" s="1401"/>
      <c r="Z901" s="1401"/>
      <c r="AA901" s="1401"/>
      <c r="AB901" s="1403"/>
      <c r="AC901" s="1321"/>
      <c r="AD901" s="1321"/>
      <c r="AE901" s="1321"/>
      <c r="AF901" s="1321"/>
      <c r="AG901" s="1321"/>
      <c r="AH901" s="1322"/>
      <c r="AZ901" s="2"/>
      <c r="BA901" s="2"/>
      <c r="BB901" s="2"/>
      <c r="BC901" s="2"/>
    </row>
    <row r="902" spans="1:58" ht="13.15" customHeight="1">
      <c r="C902" s="1095"/>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1475</v>
      </c>
      <c r="AC902" s="1321"/>
      <c r="AD902" s="1321"/>
      <c r="AE902" s="1321"/>
      <c r="AF902" s="1321"/>
      <c r="AG902" s="1321"/>
      <c r="AH902" s="1322"/>
      <c r="AZ902" s="2"/>
      <c r="BA902" s="2"/>
      <c r="BB902" s="2"/>
      <c r="BC902" s="2"/>
    </row>
    <row r="903" spans="1:58" ht="13.15" customHeight="1">
      <c r="C903" s="1646" t="s">
        <v>1476</v>
      </c>
      <c r="D903" s="1647"/>
      <c r="E903" s="1647"/>
      <c r="F903" s="1647"/>
      <c r="G903" s="1647"/>
      <c r="H903" s="1647"/>
      <c r="I903" s="1647"/>
      <c r="J903" s="1647"/>
      <c r="K903" s="1647"/>
      <c r="L903" s="1647"/>
      <c r="M903" s="1647"/>
      <c r="N903" s="1647"/>
      <c r="O903" s="1647"/>
      <c r="P903" s="1647"/>
      <c r="Q903" s="1647"/>
      <c r="R903" s="1647"/>
      <c r="S903" s="1647"/>
      <c r="T903" s="1647"/>
      <c r="U903" s="1647"/>
      <c r="V903" s="1647"/>
      <c r="W903" s="1647"/>
      <c r="X903" s="1647"/>
      <c r="Y903" s="1647"/>
      <c r="Z903" s="1647"/>
      <c r="AA903" s="1647"/>
      <c r="AB903" s="1648"/>
      <c r="AC903" s="1569"/>
      <c r="AD903" s="1569"/>
      <c r="AE903" s="1569"/>
      <c r="AF903" s="1569"/>
      <c r="AG903" s="1569"/>
      <c r="AH903" s="1569"/>
      <c r="AZ903" s="2"/>
      <c r="BA903" s="2"/>
      <c r="BB903" s="2"/>
      <c r="BC903" s="2"/>
    </row>
    <row r="904" spans="1:58" ht="13.15" customHeight="1">
      <c r="C904" s="1646" t="s">
        <v>1476</v>
      </c>
      <c r="D904" s="1647"/>
      <c r="E904" s="1647"/>
      <c r="F904" s="1647"/>
      <c r="G904" s="1647"/>
      <c r="H904" s="1647"/>
      <c r="I904" s="1647"/>
      <c r="J904" s="1647"/>
      <c r="K904" s="1647"/>
      <c r="L904" s="1647"/>
      <c r="M904" s="1647"/>
      <c r="N904" s="1647"/>
      <c r="O904" s="1647"/>
      <c r="P904" s="1647"/>
      <c r="Q904" s="1647"/>
      <c r="R904" s="1647"/>
      <c r="S904" s="1647"/>
      <c r="T904" s="1647"/>
      <c r="U904" s="1647"/>
      <c r="V904" s="1647"/>
      <c r="W904" s="1647"/>
      <c r="X904" s="1647"/>
      <c r="Y904" s="1647"/>
      <c r="Z904" s="1647"/>
      <c r="AA904" s="1647"/>
      <c r="AB904" s="1648"/>
      <c r="AC904" s="1569"/>
      <c r="AD904" s="1569"/>
      <c r="AE904" s="1569"/>
      <c r="AF904" s="1569"/>
      <c r="AG904" s="1569"/>
      <c r="AH904" s="1569"/>
      <c r="AU904" s="54"/>
      <c r="AZ904" s="2"/>
      <c r="BA904" s="2"/>
      <c r="BB904" s="2"/>
      <c r="BC904" s="2"/>
    </row>
    <row r="905" spans="1:58" ht="13.15" customHeight="1">
      <c r="E905" s="364"/>
      <c r="AB905" s="37"/>
      <c r="AC905" s="71"/>
      <c r="AD905" s="71"/>
      <c r="AE905" s="71"/>
      <c r="AF905" s="71"/>
      <c r="AG905" s="71"/>
      <c r="AH905" s="71"/>
      <c r="AU905" s="54"/>
      <c r="AZ905" s="2"/>
      <c r="BA905" s="2"/>
      <c r="BB905" s="2"/>
      <c r="BC905" s="2"/>
    </row>
    <row r="906" spans="1:58" ht="13.15" customHeight="1">
      <c r="A906" s="1" t="s">
        <v>1220</v>
      </c>
      <c r="C906" s="1" t="s">
        <v>1477</v>
      </c>
      <c r="X906" s="10"/>
      <c r="Y906" s="10"/>
      <c r="Z906" s="10"/>
      <c r="AA906" s="10"/>
      <c r="AB906" s="10"/>
      <c r="AC906" s="10"/>
      <c r="AD906" s="10"/>
      <c r="AU906" s="54"/>
      <c r="AZ906" s="2"/>
      <c r="BB906" s="23"/>
      <c r="BC906" s="23"/>
    </row>
    <row r="907" spans="1:58" ht="13.15" customHeight="1">
      <c r="X907" s="10"/>
      <c r="Y907" s="10"/>
      <c r="Z907" s="10"/>
      <c r="AA907" s="10"/>
      <c r="AB907" s="10"/>
      <c r="AC907" s="10"/>
      <c r="AD907" s="10"/>
      <c r="AF907" s="383"/>
      <c r="AG907" s="1069"/>
      <c r="AH907" s="1069"/>
      <c r="AI907" s="1069"/>
      <c r="AU907" s="54"/>
      <c r="AZ907" s="2"/>
      <c r="BB907" s="23"/>
      <c r="BC907" s="23"/>
      <c r="BD907" s="11"/>
      <c r="BE907" s="11"/>
      <c r="BF907" s="11"/>
    </row>
    <row r="908" spans="1:58" ht="13.15" customHeight="1">
      <c r="B908" s="1"/>
      <c r="H908" s="1100" t="s">
        <v>1478</v>
      </c>
      <c r="I908" s="4"/>
      <c r="J908" s="4"/>
      <c r="K908" s="4"/>
      <c r="L908" s="4"/>
      <c r="M908" s="4"/>
      <c r="N908" s="4"/>
      <c r="O908" s="4"/>
      <c r="P908" s="4"/>
      <c r="Q908" s="4"/>
      <c r="R908" s="4"/>
      <c r="S908" s="4"/>
      <c r="T908" s="4"/>
      <c r="U908" s="4"/>
      <c r="V908" s="4"/>
      <c r="W908" s="4"/>
      <c r="X908" s="4"/>
      <c r="Y908" s="1096"/>
      <c r="Z908" s="1444"/>
      <c r="AA908" s="1321"/>
      <c r="AB908" s="1321"/>
      <c r="AC908" s="1321"/>
      <c r="AD908" s="1321"/>
      <c r="AE908" s="1322"/>
      <c r="AF908" s="383"/>
      <c r="AZ908" s="2"/>
      <c r="BB908" s="23"/>
      <c r="BC908" s="641"/>
      <c r="BD908" s="1596"/>
      <c r="BE908" s="1596"/>
      <c r="BF908" s="11"/>
    </row>
    <row r="909" spans="1:58" ht="13.15" customHeight="1">
      <c r="H909" s="1100" t="s">
        <v>1479</v>
      </c>
      <c r="I909" s="4"/>
      <c r="J909" s="4"/>
      <c r="K909" s="4"/>
      <c r="L909" s="4"/>
      <c r="M909" s="4"/>
      <c r="N909" s="4"/>
      <c r="O909" s="4"/>
      <c r="P909" s="4"/>
      <c r="Q909" s="4"/>
      <c r="R909" s="4"/>
      <c r="S909" s="4"/>
      <c r="T909" s="4"/>
      <c r="U909" s="4"/>
      <c r="V909" s="4"/>
      <c r="W909" s="4"/>
      <c r="X909" s="4"/>
      <c r="Y909" s="4"/>
      <c r="Z909" s="1444"/>
      <c r="AA909" s="1321"/>
      <c r="AB909" s="1321"/>
      <c r="AC909" s="1321"/>
      <c r="AD909" s="1321"/>
      <c r="AE909" s="1322"/>
      <c r="AZ909" s="2"/>
      <c r="BB909" s="23"/>
      <c r="BC909" s="641"/>
      <c r="BD909" s="1596"/>
      <c r="BE909" s="1596"/>
      <c r="BF909" s="11"/>
    </row>
    <row r="910" spans="1:58" ht="13.15" customHeight="1">
      <c r="H910" s="1100" t="s">
        <v>1480</v>
      </c>
      <c r="I910" s="4"/>
      <c r="J910" s="4"/>
      <c r="K910" s="4"/>
      <c r="L910" s="4"/>
      <c r="M910" s="4"/>
      <c r="N910" s="4"/>
      <c r="O910" s="4"/>
      <c r="P910" s="4"/>
      <c r="Q910" s="4"/>
      <c r="R910" s="4"/>
      <c r="S910" s="4"/>
      <c r="T910" s="4"/>
      <c r="U910" s="4"/>
      <c r="V910" s="4"/>
      <c r="W910" s="4"/>
      <c r="X910" s="4"/>
      <c r="Y910" s="4"/>
      <c r="Z910" s="1444"/>
      <c r="AA910" s="1321"/>
      <c r="AB910" s="1321"/>
      <c r="AC910" s="1321"/>
      <c r="AD910" s="1321"/>
      <c r="AE910" s="1322"/>
      <c r="AZ910" s="2"/>
      <c r="BB910" s="23"/>
      <c r="BC910" s="641"/>
      <c r="BD910" s="1597"/>
      <c r="BE910" s="1597"/>
      <c r="BF910" s="11"/>
    </row>
    <row r="911" spans="1:58" ht="13.15" customHeight="1">
      <c r="H911" s="1095"/>
      <c r="I911" s="4"/>
      <c r="J911" s="4"/>
      <c r="K911" s="4"/>
      <c r="L911" s="4"/>
      <c r="M911" s="4"/>
      <c r="N911" s="4"/>
      <c r="O911" s="4"/>
      <c r="P911" s="4"/>
      <c r="Q911" s="4"/>
      <c r="R911" s="4"/>
      <c r="S911" s="4"/>
      <c r="T911" s="4"/>
      <c r="U911" s="4"/>
      <c r="V911" s="4"/>
      <c r="W911" s="4"/>
      <c r="X911" s="4"/>
      <c r="Y911" s="103" t="s">
        <v>1481</v>
      </c>
      <c r="Z911" s="1441">
        <f>Z908-(Z909+Z910)</f>
        <v>0</v>
      </c>
      <c r="AA911" s="1442"/>
      <c r="AB911" s="1442"/>
      <c r="AC911" s="1442"/>
      <c r="AD911" s="1442"/>
      <c r="AE911" s="1443"/>
      <c r="AZ911" s="2"/>
      <c r="BB911" s="23"/>
      <c r="BC911" s="641"/>
      <c r="BD911" s="1597"/>
      <c r="BE911" s="1597"/>
      <c r="BF911" s="11"/>
    </row>
    <row r="912" spans="1:58" ht="13.15" customHeight="1">
      <c r="C912" s="364"/>
      <c r="D912" s="1110"/>
      <c r="E912" s="1069"/>
      <c r="F912" s="1069"/>
      <c r="G912" s="106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69"/>
      <c r="AZ912" s="2"/>
      <c r="BB912" s="23"/>
      <c r="BC912" s="641"/>
      <c r="BD912" s="1597"/>
      <c r="BE912" s="1597"/>
      <c r="BF912" s="11"/>
    </row>
    <row r="913" spans="1:58" ht="13.15" customHeight="1">
      <c r="C913" t="s">
        <v>1482</v>
      </c>
      <c r="D913" s="12"/>
      <c r="E913" s="1069"/>
      <c r="F913" s="1069"/>
      <c r="G913" s="106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69"/>
      <c r="AZ913" s="2"/>
      <c r="BB913" s="23"/>
      <c r="BC913" s="641"/>
      <c r="BD913" s="1596"/>
      <c r="BE913" s="1597"/>
      <c r="BF913" s="11"/>
    </row>
    <row r="914" spans="1:58" ht="13.15" customHeight="1">
      <c r="C914" s="104" t="s">
        <v>1483</v>
      </c>
      <c r="D914" s="12"/>
      <c r="E914" s="1069"/>
      <c r="F914" s="1069"/>
      <c r="G914" s="106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69"/>
      <c r="AV914" s="54"/>
      <c r="AW914" s="54"/>
      <c r="AX914" s="54"/>
      <c r="AY914" s="54"/>
      <c r="AZ914" s="2"/>
      <c r="BB914" s="23"/>
      <c r="BC914" s="641"/>
      <c r="BD914" s="1599"/>
      <c r="BE914" s="1599"/>
      <c r="BF914" s="1599"/>
    </row>
    <row r="915" spans="1:58" ht="13.15" customHeight="1">
      <c r="C915" s="104" t="s">
        <v>1484</v>
      </c>
      <c r="D915" s="12"/>
      <c r="E915" s="1069"/>
      <c r="F915" s="1069"/>
      <c r="G915" s="106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69"/>
      <c r="AV915" s="54"/>
      <c r="AW915" s="54"/>
      <c r="AX915" s="54"/>
      <c r="AY915" s="54"/>
      <c r="AZ915" s="2"/>
      <c r="BB915" s="23"/>
      <c r="BC915" s="641"/>
      <c r="BD915" s="1598"/>
      <c r="BE915" s="1598"/>
      <c r="BF915" s="1598"/>
    </row>
    <row r="916" spans="1:58" ht="13.15" customHeight="1">
      <c r="C916" s="216" t="s">
        <v>1485</v>
      </c>
      <c r="D916" s="12"/>
      <c r="E916" s="1069"/>
      <c r="F916" s="1069"/>
      <c r="G916" s="106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69"/>
      <c r="AV916" s="54"/>
      <c r="AW916" s="54"/>
      <c r="AX916" s="54"/>
      <c r="AY916" s="54"/>
      <c r="AZ916" s="2"/>
      <c r="BB916" s="23"/>
      <c r="BC916" s="641"/>
      <c r="BD916" s="1597"/>
      <c r="BE916" s="1597"/>
      <c r="BF916" s="11"/>
    </row>
    <row r="917" spans="1:58" ht="13.15" customHeight="1">
      <c r="D917" s="12"/>
      <c r="E917" s="1093"/>
      <c r="F917" s="1093"/>
      <c r="G917" s="1093"/>
      <c r="H917" s="1093"/>
      <c r="I917" s="1093"/>
      <c r="J917" s="1093"/>
      <c r="K917" s="1093"/>
      <c r="L917" s="1093"/>
      <c r="M917" s="1093"/>
      <c r="N917" s="1093"/>
      <c r="O917" s="1093"/>
      <c r="P917" s="1093"/>
      <c r="Q917" s="1093"/>
      <c r="R917" s="1093"/>
      <c r="S917" s="1093"/>
      <c r="T917" s="1093"/>
      <c r="U917" s="1093"/>
      <c r="V917" s="1093"/>
      <c r="W917" s="1093"/>
      <c r="X917" s="1093"/>
      <c r="Y917" s="1093"/>
      <c r="Z917" s="1093"/>
      <c r="AA917" s="1093"/>
      <c r="AB917" s="1093"/>
      <c r="AC917" s="1093"/>
      <c r="AD917" s="1093"/>
      <c r="AE917" s="1093"/>
      <c r="AF917" s="1093"/>
      <c r="AG917" s="1093"/>
      <c r="AH917" s="1093"/>
      <c r="AI917" s="1093"/>
      <c r="AV917" s="54"/>
      <c r="AW917" s="54"/>
      <c r="AX917" s="54"/>
      <c r="AY917" s="54"/>
      <c r="AZ917" s="2"/>
      <c r="BB917" s="23"/>
      <c r="BC917" s="641"/>
      <c r="BD917" s="1596"/>
      <c r="BE917" s="1597"/>
      <c r="BF917" s="11"/>
    </row>
    <row r="918" spans="1:58" ht="13.15" customHeight="1">
      <c r="AZ918" s="2"/>
      <c r="BB918" s="23"/>
      <c r="BC918" s="641"/>
    </row>
    <row r="919" spans="1:58" ht="13.15" customHeight="1">
      <c r="A919" s="1500" t="s">
        <v>1486</v>
      </c>
      <c r="B919" s="1500"/>
      <c r="C919" s="1500"/>
      <c r="D919" s="1500"/>
      <c r="E919" s="1500"/>
      <c r="F919" s="1500"/>
      <c r="G919" s="1500"/>
      <c r="H919" s="1500"/>
      <c r="I919" s="1500"/>
      <c r="J919" s="1500"/>
      <c r="K919" s="1500"/>
      <c r="L919" s="1500"/>
      <c r="M919" s="1500"/>
      <c r="N919" s="1500"/>
      <c r="O919" s="1500"/>
      <c r="P919" s="1500"/>
      <c r="Q919" s="1500"/>
      <c r="R919" s="1500"/>
      <c r="S919" s="1500"/>
      <c r="T919" s="1500"/>
      <c r="U919" s="1500"/>
      <c r="V919" s="1500"/>
      <c r="W919" s="1500"/>
      <c r="X919" s="1500"/>
      <c r="Y919" s="1500"/>
      <c r="Z919" s="1500"/>
      <c r="AA919" s="1500"/>
      <c r="AB919" s="1500"/>
      <c r="AC919" s="1500"/>
      <c r="AD919" s="1500"/>
      <c r="AE919" s="1500"/>
      <c r="AF919" s="1500"/>
      <c r="AG919" s="1500"/>
      <c r="AH919" s="1500"/>
      <c r="AI919" s="1500"/>
      <c r="AJ919" s="1500"/>
      <c r="AK919" s="1500"/>
      <c r="AL919" s="1500"/>
      <c r="AM919" s="1500"/>
      <c r="AN919" s="1500"/>
      <c r="AO919" s="1500"/>
      <c r="AP919" s="1500"/>
      <c r="AQ919" s="1500"/>
      <c r="AR919" s="1500"/>
      <c r="AS919" s="1500"/>
      <c r="AT919" s="1500"/>
      <c r="AZ919" s="2"/>
      <c r="BA919" s="2"/>
      <c r="BB919" s="23"/>
      <c r="BC919" s="23"/>
      <c r="BD919" s="1596"/>
      <c r="BE919" s="1597"/>
      <c r="BF919" s="713"/>
    </row>
    <row r="920" spans="1:58" ht="13.15" customHeight="1">
      <c r="A920" s="1500"/>
      <c r="B920" s="1500"/>
      <c r="C920" s="1500"/>
      <c r="D920" s="1500"/>
      <c r="E920" s="1500"/>
      <c r="F920" s="1500"/>
      <c r="G920" s="1500"/>
      <c r="H920" s="1500"/>
      <c r="I920" s="1500"/>
      <c r="J920" s="1500"/>
      <c r="K920" s="1500"/>
      <c r="L920" s="1500"/>
      <c r="M920" s="1500"/>
      <c r="N920" s="1500"/>
      <c r="O920" s="1500"/>
      <c r="P920" s="1500"/>
      <c r="Q920" s="1500"/>
      <c r="R920" s="1500"/>
      <c r="S920" s="1500"/>
      <c r="T920" s="1500"/>
      <c r="U920" s="1500"/>
      <c r="V920" s="1500"/>
      <c r="W920" s="1500"/>
      <c r="X920" s="1500"/>
      <c r="Y920" s="1500"/>
      <c r="Z920" s="1500"/>
      <c r="AA920" s="1500"/>
      <c r="AB920" s="1500"/>
      <c r="AC920" s="1500"/>
      <c r="AD920" s="1500"/>
      <c r="AE920" s="1500"/>
      <c r="AF920" s="1500"/>
      <c r="AG920" s="1500"/>
      <c r="AH920" s="1500"/>
      <c r="AI920" s="1500"/>
      <c r="AJ920" s="1500"/>
      <c r="AK920" s="1500"/>
      <c r="AL920" s="1500"/>
      <c r="AM920" s="1500"/>
      <c r="AN920" s="1500"/>
      <c r="AO920" s="1500"/>
      <c r="AP920" s="1500"/>
      <c r="AQ920" s="1500"/>
      <c r="AR920" s="1500"/>
      <c r="AS920" s="1500"/>
      <c r="AT920" s="1500"/>
      <c r="AZ920" s="2"/>
      <c r="BA920" s="2"/>
      <c r="BB920" s="2"/>
      <c r="BC920" s="2"/>
      <c r="BD920" s="2"/>
      <c r="BE920" s="2"/>
      <c r="BF920" s="2"/>
    </row>
    <row r="921" spans="1:58" ht="13.1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3.15"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3.15" customHeight="1">
      <c r="AZ923" s="2"/>
      <c r="BA923" s="2"/>
      <c r="BB923" s="2"/>
      <c r="BC923" s="2"/>
    </row>
    <row r="924" spans="1:58" ht="13.15" customHeight="1">
      <c r="F924" s="1640" t="s">
        <v>1487</v>
      </c>
      <c r="G924" s="1641"/>
      <c r="H924" s="1641"/>
      <c r="I924" s="1641"/>
      <c r="J924" s="1641"/>
      <c r="K924" s="1641"/>
      <c r="L924" s="1641"/>
      <c r="M924" s="1641"/>
      <c r="N924" s="1641"/>
      <c r="O924" s="1641"/>
      <c r="P924" s="1641"/>
      <c r="Q924" s="1641"/>
      <c r="R924" s="1641"/>
      <c r="S924" s="1641"/>
      <c r="T924" s="1642"/>
      <c r="U924" s="1726" t="s">
        <v>1488</v>
      </c>
      <c r="V924" s="1649"/>
      <c r="W924" s="1649"/>
      <c r="X924" s="1649"/>
      <c r="Y924" s="1649"/>
      <c r="Z924" s="1649"/>
      <c r="AA924" s="1106"/>
      <c r="AB924" s="192"/>
      <c r="AC924" s="192"/>
      <c r="AD924" s="192"/>
      <c r="AE924" s="192"/>
      <c r="AF924" s="1179"/>
      <c r="AZ924" s="2"/>
      <c r="BA924" s="2"/>
      <c r="BB924" s="2"/>
      <c r="BC924" s="2"/>
    </row>
    <row r="925" spans="1:58" ht="13.15" customHeight="1">
      <c r="B925" s="1"/>
      <c r="F925" s="1677" t="s">
        <v>1489</v>
      </c>
      <c r="G925" s="1678"/>
      <c r="H925" s="1678"/>
      <c r="I925" s="1678"/>
      <c r="J925" s="1678"/>
      <c r="K925" s="1678"/>
      <c r="L925" s="1678"/>
      <c r="M925" s="1678"/>
      <c r="N925" s="1678"/>
      <c r="O925" s="1678"/>
      <c r="P925" s="1678"/>
      <c r="Q925" s="1678"/>
      <c r="R925" s="1678"/>
      <c r="S925" s="1678"/>
      <c r="T925" s="1679"/>
      <c r="U925" s="1677"/>
      <c r="V925" s="1678"/>
      <c r="W925" s="1678"/>
      <c r="X925" s="1678"/>
      <c r="Y925" s="1678"/>
      <c r="Z925" s="1678"/>
      <c r="AA925" s="1105"/>
      <c r="AB925" s="2"/>
      <c r="AC925" s="2"/>
      <c r="AD925" s="2"/>
      <c r="AE925" s="2"/>
      <c r="AF925" s="1180"/>
      <c r="AZ925" s="2"/>
      <c r="BA925" s="2"/>
      <c r="BB925" s="2"/>
      <c r="BC925" s="2"/>
    </row>
    <row r="926" spans="1:58" ht="13.15" customHeight="1">
      <c r="B926" s="1"/>
      <c r="F926" s="1680"/>
      <c r="G926" s="1651"/>
      <c r="H926" s="1651"/>
      <c r="I926" s="1651"/>
      <c r="J926" s="1651"/>
      <c r="K926" s="1651"/>
      <c r="L926" s="1651"/>
      <c r="M926" s="1651"/>
      <c r="N926" s="1651"/>
      <c r="O926" s="1651"/>
      <c r="P926" s="1651"/>
      <c r="Q926" s="1651"/>
      <c r="R926" s="1651"/>
      <c r="S926" s="1651"/>
      <c r="T926" s="1652"/>
      <c r="U926" s="1680"/>
      <c r="V926" s="1651"/>
      <c r="W926" s="1651"/>
      <c r="X926" s="1651"/>
      <c r="Y926" s="1651"/>
      <c r="Z926" s="1651"/>
      <c r="AA926" s="705"/>
      <c r="AB926" s="1413" t="s">
        <v>1490</v>
      </c>
      <c r="AC926" s="1413"/>
      <c r="AD926" s="1413"/>
      <c r="AE926" s="1413"/>
      <c r="AF926" s="1181"/>
      <c r="AZ926" s="2"/>
      <c r="BA926" s="2"/>
      <c r="BB926" s="2"/>
      <c r="BC926" s="2"/>
    </row>
    <row r="927" spans="1:58" ht="13.15" customHeight="1">
      <c r="B927" s="1"/>
      <c r="F927" s="1095" t="s">
        <v>1491</v>
      </c>
      <c r="G927" s="32"/>
      <c r="H927" s="32"/>
      <c r="I927" s="32"/>
      <c r="J927" s="32"/>
      <c r="K927" s="32"/>
      <c r="L927" s="32"/>
      <c r="M927" s="32"/>
      <c r="N927" s="32"/>
      <c r="O927" s="32"/>
      <c r="P927" s="32"/>
      <c r="Q927" s="32"/>
      <c r="R927" s="32"/>
      <c r="S927" s="32"/>
      <c r="T927" s="33"/>
      <c r="U927" s="1585" t="s">
        <v>847</v>
      </c>
      <c r="V927" s="1377"/>
      <c r="W927" s="1377"/>
      <c r="X927" s="1377"/>
      <c r="Y927" s="1377"/>
      <c r="Z927" s="1378"/>
      <c r="AA927" s="1567">
        <f>AM562</f>
        <v>26717593</v>
      </c>
      <c r="AB927" s="1479"/>
      <c r="AC927" s="1479"/>
      <c r="AD927" s="1479"/>
      <c r="AE927" s="1479"/>
      <c r="AF927" s="1568"/>
      <c r="AG927" s="970" t="str">
        <f>IF(NOT(AA927=AW927),"!","")</f>
        <v/>
      </c>
      <c r="AH927" s="2"/>
      <c r="AW927" s="1439">
        <f>SUMIF($M$562:$M$573,"Loan, Tax-Exempt",$AM$562:$AM$573)</f>
        <v>26717593</v>
      </c>
      <c r="AX927" s="1439"/>
      <c r="AY927" s="1439"/>
      <c r="AZ927" s="2" t="s">
        <v>1492</v>
      </c>
      <c r="BA927" s="2"/>
      <c r="BB927" s="2"/>
      <c r="BC927" s="2"/>
    </row>
    <row r="928" spans="1:58" ht="13.15" customHeight="1">
      <c r="B928" s="1"/>
      <c r="F928" s="1100" t="s">
        <v>1493</v>
      </c>
      <c r="G928" s="32"/>
      <c r="H928" s="32"/>
      <c r="I928" s="32"/>
      <c r="J928" s="32"/>
      <c r="K928" s="32"/>
      <c r="L928" s="32"/>
      <c r="M928" s="32"/>
      <c r="N928" s="32"/>
      <c r="O928" s="32"/>
      <c r="P928" s="32"/>
      <c r="Q928" s="32"/>
      <c r="R928" s="32"/>
      <c r="S928" s="32"/>
      <c r="T928" s="33"/>
      <c r="U928" s="1585" t="s">
        <v>847</v>
      </c>
      <c r="V928" s="1377"/>
      <c r="W928" s="1377"/>
      <c r="X928" s="1377"/>
      <c r="Y928" s="1377"/>
      <c r="Z928" s="1378"/>
      <c r="AA928" s="1567">
        <f>AM563</f>
        <v>60597076</v>
      </c>
      <c r="AB928" s="1479"/>
      <c r="AC928" s="1479"/>
      <c r="AD928" s="1479"/>
      <c r="AE928" s="1479"/>
      <c r="AF928" s="1568"/>
      <c r="AZ928" s="2"/>
      <c r="BA928" s="2"/>
      <c r="BB928" s="2"/>
      <c r="BC928" s="2"/>
    </row>
    <row r="929" spans="6:55" ht="13.15" customHeight="1">
      <c r="F929" s="1095" t="s">
        <v>1494</v>
      </c>
      <c r="G929" s="4"/>
      <c r="H929" s="4"/>
      <c r="I929" s="4"/>
      <c r="J929" s="4"/>
      <c r="K929" s="4"/>
      <c r="L929" s="4"/>
      <c r="M929" s="4"/>
      <c r="N929" s="4"/>
      <c r="O929" s="4"/>
      <c r="P929" s="4"/>
      <c r="Q929" s="4"/>
      <c r="R929" s="4"/>
      <c r="S929" s="4"/>
      <c r="T929" s="1096"/>
      <c r="U929" s="1585" t="s">
        <v>816</v>
      </c>
      <c r="V929" s="1377"/>
      <c r="W929" s="1377"/>
      <c r="X929" s="1377"/>
      <c r="Y929" s="1377"/>
      <c r="Z929" s="1378"/>
      <c r="AA929" s="1567"/>
      <c r="AB929" s="1479"/>
      <c r="AC929" s="1479"/>
      <c r="AD929" s="1479"/>
      <c r="AE929" s="1479"/>
      <c r="AF929" s="1568"/>
      <c r="AZ929" s="2"/>
      <c r="BA929" s="2"/>
      <c r="BB929" s="2"/>
      <c r="BC929" s="2"/>
    </row>
    <row r="930" spans="6:55" ht="13.15" customHeight="1">
      <c r="F930" s="1095" t="s">
        <v>1495</v>
      </c>
      <c r="G930" s="4"/>
      <c r="H930" s="4"/>
      <c r="I930" s="4"/>
      <c r="J930" s="4"/>
      <c r="K930" s="4"/>
      <c r="L930" s="4"/>
      <c r="M930" s="4"/>
      <c r="N930" s="4"/>
      <c r="O930" s="4"/>
      <c r="P930" s="4"/>
      <c r="Q930" s="4"/>
      <c r="R930" s="4"/>
      <c r="S930" s="4"/>
      <c r="T930" s="1096"/>
      <c r="U930" s="1585" t="s">
        <v>816</v>
      </c>
      <c r="V930" s="1377"/>
      <c r="W930" s="1377"/>
      <c r="X930" s="1377"/>
      <c r="Y930" s="1377"/>
      <c r="Z930" s="1378"/>
      <c r="AA930" s="1567"/>
      <c r="AB930" s="1479"/>
      <c r="AC930" s="1479"/>
      <c r="AD930" s="1479"/>
      <c r="AE930" s="1479"/>
      <c r="AF930" s="1568"/>
      <c r="AZ930" s="2"/>
      <c r="BA930" s="2"/>
      <c r="BB930" s="2"/>
      <c r="BC930" s="2"/>
    </row>
    <row r="931" spans="6:55" ht="13.15" customHeight="1">
      <c r="F931" s="1100" t="s">
        <v>1496</v>
      </c>
      <c r="G931" s="4"/>
      <c r="H931" s="4"/>
      <c r="I931" s="4"/>
      <c r="J931" s="4"/>
      <c r="K931" s="4"/>
      <c r="L931" s="4"/>
      <c r="M931" s="4"/>
      <c r="N931" s="4"/>
      <c r="O931" s="4"/>
      <c r="P931" s="4"/>
      <c r="Q931" s="4"/>
      <c r="R931" s="4"/>
      <c r="S931" s="4"/>
      <c r="T931" s="1096"/>
      <c r="U931" s="1585" t="s">
        <v>816</v>
      </c>
      <c r="V931" s="1377"/>
      <c r="W931" s="1377"/>
      <c r="X931" s="1377"/>
      <c r="Y931" s="1377"/>
      <c r="Z931" s="1378"/>
      <c r="AA931" s="1567"/>
      <c r="AB931" s="1479"/>
      <c r="AC931" s="1479"/>
      <c r="AD931" s="1479"/>
      <c r="AE931" s="1479"/>
      <c r="AF931" s="1568"/>
      <c r="AZ931" s="2"/>
      <c r="BA931" s="2"/>
      <c r="BB931" s="2"/>
      <c r="BC931" s="2"/>
    </row>
    <row r="932" spans="6:55" ht="13.15" customHeight="1">
      <c r="F932" s="1100" t="s">
        <v>1497</v>
      </c>
      <c r="G932" s="4"/>
      <c r="H932" s="4"/>
      <c r="I932" s="4"/>
      <c r="J932" s="4"/>
      <c r="K932" s="4"/>
      <c r="L932" s="4"/>
      <c r="M932" s="4"/>
      <c r="N932" s="4"/>
      <c r="O932" s="4"/>
      <c r="P932" s="4"/>
      <c r="Q932" s="4"/>
      <c r="R932" s="4"/>
      <c r="S932" s="4"/>
      <c r="T932" s="1096"/>
      <c r="U932" s="1585" t="s">
        <v>816</v>
      </c>
      <c r="V932" s="1377"/>
      <c r="W932" s="1377"/>
      <c r="X932" s="1377"/>
      <c r="Y932" s="1377"/>
      <c r="Z932" s="1378"/>
      <c r="AA932" s="1567"/>
      <c r="AB932" s="1479"/>
      <c r="AC932" s="1479"/>
      <c r="AD932" s="1479"/>
      <c r="AE932" s="1479"/>
      <c r="AF932" s="1568"/>
      <c r="AZ932" s="2"/>
      <c r="BA932" s="2"/>
      <c r="BB932" s="2"/>
      <c r="BC932" s="2"/>
    </row>
    <row r="933" spans="6:55" ht="13.15" customHeight="1">
      <c r="F933" s="1100" t="s">
        <v>1498</v>
      </c>
      <c r="G933" s="4"/>
      <c r="H933" s="4"/>
      <c r="I933" s="4"/>
      <c r="J933" s="4"/>
      <c r="K933" s="4"/>
      <c r="L933" s="4"/>
      <c r="M933" s="4"/>
      <c r="N933" s="4"/>
      <c r="O933" s="4"/>
      <c r="P933" s="4"/>
      <c r="Q933" s="4"/>
      <c r="R933" s="4"/>
      <c r="S933" s="4"/>
      <c r="T933" s="1096"/>
      <c r="U933" s="1585" t="s">
        <v>816</v>
      </c>
      <c r="V933" s="1377"/>
      <c r="W933" s="1377"/>
      <c r="X933" s="1377"/>
      <c r="Y933" s="1377"/>
      <c r="Z933" s="1378"/>
      <c r="AA933" s="1567"/>
      <c r="AB933" s="1479"/>
      <c r="AC933" s="1479"/>
      <c r="AD933" s="1479"/>
      <c r="AE933" s="1479"/>
      <c r="AF933" s="1568"/>
      <c r="AZ933" s="2"/>
      <c r="BA933" s="2"/>
      <c r="BB933" s="2"/>
      <c r="BC933" s="2"/>
    </row>
    <row r="934" spans="6:55" ht="13.15" customHeight="1">
      <c r="F934" s="1095" t="s">
        <v>1499</v>
      </c>
      <c r="G934" s="4"/>
      <c r="H934" s="4"/>
      <c r="I934" s="4"/>
      <c r="J934" s="4"/>
      <c r="K934" s="4"/>
      <c r="L934" s="4"/>
      <c r="M934" s="4"/>
      <c r="N934" s="4"/>
      <c r="O934" s="4"/>
      <c r="P934" s="4"/>
      <c r="Q934" s="4"/>
      <c r="R934" s="4"/>
      <c r="S934" s="4"/>
      <c r="T934" s="1096"/>
      <c r="U934" s="1585" t="s">
        <v>816</v>
      </c>
      <c r="V934" s="1377"/>
      <c r="W934" s="1377"/>
      <c r="X934" s="1377"/>
      <c r="Y934" s="1377"/>
      <c r="Z934" s="1378"/>
      <c r="AA934" s="1567"/>
      <c r="AB934" s="1479"/>
      <c r="AC934" s="1479"/>
      <c r="AD934" s="1479"/>
      <c r="AE934" s="1479"/>
      <c r="AF934" s="1568"/>
      <c r="AZ934" s="2"/>
      <c r="BA934" s="2"/>
      <c r="BB934" s="2"/>
      <c r="BC934" s="2"/>
    </row>
    <row r="935" spans="6:55" ht="13.15" customHeight="1">
      <c r="F935" s="1634" t="s">
        <v>1500</v>
      </c>
      <c r="G935" s="1635"/>
      <c r="H935" s="1635"/>
      <c r="I935" s="1635"/>
      <c r="J935" s="1635"/>
      <c r="K935" s="1635"/>
      <c r="L935" s="1635"/>
      <c r="M935" s="1635"/>
      <c r="N935" s="1635"/>
      <c r="O935" s="1635"/>
      <c r="P935" s="1635"/>
      <c r="Q935" s="1635"/>
      <c r="R935" s="1635"/>
      <c r="S935" s="1635"/>
      <c r="T935" s="1636"/>
      <c r="U935" s="1585" t="s">
        <v>816</v>
      </c>
      <c r="V935" s="1377"/>
      <c r="W935" s="1377"/>
      <c r="X935" s="1377"/>
      <c r="Y935" s="1377"/>
      <c r="Z935" s="1378"/>
      <c r="AA935" s="1567"/>
      <c r="AB935" s="1479"/>
      <c r="AC935" s="1479"/>
      <c r="AD935" s="1479"/>
      <c r="AE935" s="1479"/>
      <c r="AF935" s="1568"/>
      <c r="AZ935" s="2"/>
      <c r="BA935" s="2"/>
      <c r="BB935" s="2"/>
      <c r="BC935" s="2"/>
    </row>
    <row r="936" spans="6:55" ht="13.15" customHeight="1">
      <c r="F936" s="1634" t="s">
        <v>1501</v>
      </c>
      <c r="G936" s="1635"/>
      <c r="H936" s="1635"/>
      <c r="I936" s="1635"/>
      <c r="J936" s="1635"/>
      <c r="K936" s="1635"/>
      <c r="L936" s="1635"/>
      <c r="M936" s="1635"/>
      <c r="N936" s="1635"/>
      <c r="O936" s="1635"/>
      <c r="P936" s="1635"/>
      <c r="Q936" s="1635"/>
      <c r="R936" s="1635"/>
      <c r="S936" s="1635"/>
      <c r="T936" s="1636"/>
      <c r="U936" s="1585" t="s">
        <v>816</v>
      </c>
      <c r="V936" s="1377"/>
      <c r="W936" s="1377"/>
      <c r="X936" s="1377"/>
      <c r="Y936" s="1377"/>
      <c r="Z936" s="1378"/>
      <c r="AA936" s="1567"/>
      <c r="AB936" s="1479"/>
      <c r="AC936" s="1479"/>
      <c r="AD936" s="1479"/>
      <c r="AE936" s="1479"/>
      <c r="AF936" s="1568"/>
      <c r="AU936" s="1"/>
      <c r="AZ936" s="2"/>
      <c r="BA936" s="2"/>
      <c r="BB936" s="2"/>
      <c r="BC936" s="2"/>
    </row>
    <row r="937" spans="6:55" ht="13.15" customHeight="1">
      <c r="F937" s="1634" t="s">
        <v>1502</v>
      </c>
      <c r="G937" s="1635"/>
      <c r="H937" s="1635"/>
      <c r="I937" s="1635"/>
      <c r="J937" s="1635"/>
      <c r="K937" s="1635"/>
      <c r="L937" s="1635"/>
      <c r="M937" s="1635"/>
      <c r="N937" s="1635"/>
      <c r="O937" s="1635"/>
      <c r="P937" s="1635"/>
      <c r="Q937" s="1635"/>
      <c r="R937" s="1635"/>
      <c r="S937" s="1635"/>
      <c r="T937" s="1636"/>
      <c r="U937" s="1585" t="s">
        <v>816</v>
      </c>
      <c r="V937" s="1377"/>
      <c r="W937" s="1377"/>
      <c r="X937" s="1377"/>
      <c r="Y937" s="1377"/>
      <c r="Z937" s="1378"/>
      <c r="AA937" s="1567"/>
      <c r="AB937" s="1479"/>
      <c r="AC937" s="1479"/>
      <c r="AD937" s="1479"/>
      <c r="AE937" s="1479"/>
      <c r="AF937" s="1568"/>
      <c r="AU937" s="1"/>
      <c r="AZ937" s="2"/>
      <c r="BA937" s="2"/>
      <c r="BB937" s="2"/>
      <c r="BC937" s="2"/>
    </row>
    <row r="938" spans="6:55" ht="13.15" customHeight="1">
      <c r="F938" s="1634" t="s">
        <v>1503</v>
      </c>
      <c r="G938" s="1635"/>
      <c r="H938" s="1635"/>
      <c r="I938" s="1635"/>
      <c r="J938" s="1635"/>
      <c r="K938" s="1635"/>
      <c r="L938" s="1635"/>
      <c r="M938" s="1635"/>
      <c r="N938" s="1635"/>
      <c r="O938" s="1635"/>
      <c r="P938" s="1635"/>
      <c r="Q938" s="1635"/>
      <c r="R938" s="1635"/>
      <c r="S938" s="1635"/>
      <c r="T938" s="1636"/>
      <c r="U938" s="1585" t="s">
        <v>816</v>
      </c>
      <c r="V938" s="1377"/>
      <c r="W938" s="1377"/>
      <c r="X938" s="1377"/>
      <c r="Y938" s="1377"/>
      <c r="Z938" s="1378"/>
      <c r="AA938" s="1567"/>
      <c r="AB938" s="1479"/>
      <c r="AC938" s="1479"/>
      <c r="AD938" s="1479"/>
      <c r="AE938" s="1479"/>
      <c r="AF938" s="1568"/>
      <c r="AU938" s="1"/>
      <c r="AZ938" s="2"/>
      <c r="BA938" s="2"/>
      <c r="BB938" s="2"/>
      <c r="BC938" s="2"/>
    </row>
    <row r="939" spans="6:55" ht="13.15" customHeight="1">
      <c r="F939" s="1634" t="s">
        <v>1504</v>
      </c>
      <c r="G939" s="1635"/>
      <c r="H939" s="1635"/>
      <c r="I939" s="1635"/>
      <c r="J939" s="1635"/>
      <c r="K939" s="1635"/>
      <c r="L939" s="1635"/>
      <c r="M939" s="1635"/>
      <c r="N939" s="1635"/>
      <c r="O939" s="1635"/>
      <c r="P939" s="1635"/>
      <c r="Q939" s="1635"/>
      <c r="R939" s="1635"/>
      <c r="S939" s="1635"/>
      <c r="T939" s="1636"/>
      <c r="U939" s="1585" t="s">
        <v>816</v>
      </c>
      <c r="V939" s="1377"/>
      <c r="W939" s="1377"/>
      <c r="X939" s="1377"/>
      <c r="Y939" s="1377"/>
      <c r="Z939" s="1378"/>
      <c r="AA939" s="1567"/>
      <c r="AB939" s="1479"/>
      <c r="AC939" s="1479"/>
      <c r="AD939" s="1479"/>
      <c r="AE939" s="1479"/>
      <c r="AF939" s="1568"/>
      <c r="AU939" s="1"/>
      <c r="AZ939" s="2"/>
      <c r="BA939" s="2"/>
      <c r="BB939" s="2"/>
      <c r="BC939" s="2"/>
    </row>
    <row r="940" spans="6:55" ht="13.15" customHeight="1">
      <c r="F940" s="1634" t="s">
        <v>1505</v>
      </c>
      <c r="G940" s="1635"/>
      <c r="H940" s="1635"/>
      <c r="I940" s="1635"/>
      <c r="J940" s="1635"/>
      <c r="K940" s="1635"/>
      <c r="L940" s="1635"/>
      <c r="M940" s="1635"/>
      <c r="N940" s="1635"/>
      <c r="O940" s="1635"/>
      <c r="P940" s="1635"/>
      <c r="Q940" s="1635"/>
      <c r="R940" s="1635"/>
      <c r="S940" s="1635"/>
      <c r="T940" s="1636"/>
      <c r="U940" s="1585" t="s">
        <v>847</v>
      </c>
      <c r="V940" s="1377"/>
      <c r="W940" s="1377"/>
      <c r="X940" s="1377"/>
      <c r="Y940" s="1377"/>
      <c r="Z940" s="1378"/>
      <c r="AA940" s="1567">
        <v>17000000</v>
      </c>
      <c r="AB940" s="1479"/>
      <c r="AC940" s="1479"/>
      <c r="AD940" s="1479"/>
      <c r="AE940" s="1479"/>
      <c r="AF940" s="1568"/>
      <c r="AU940" s="1"/>
      <c r="AZ940" s="2"/>
      <c r="BA940" s="2"/>
      <c r="BB940" s="2"/>
      <c r="BC940" s="2"/>
    </row>
    <row r="941" spans="6:55" ht="13.15" customHeight="1">
      <c r="F941" s="1634" t="s">
        <v>1506</v>
      </c>
      <c r="G941" s="1635"/>
      <c r="H941" s="1635"/>
      <c r="I941" s="1635"/>
      <c r="J941" s="1635"/>
      <c r="K941" s="1635"/>
      <c r="L941" s="1635"/>
      <c r="M941" s="1635"/>
      <c r="N941" s="1635"/>
      <c r="O941" s="1635"/>
      <c r="P941" s="1635"/>
      <c r="Q941" s="1635"/>
      <c r="R941" s="1635"/>
      <c r="S941" s="1635"/>
      <c r="T941" s="1636"/>
      <c r="U941" s="1585" t="s">
        <v>816</v>
      </c>
      <c r="V941" s="1377"/>
      <c r="W941" s="1377"/>
      <c r="X941" s="1377"/>
      <c r="Y941" s="1377"/>
      <c r="Z941" s="1378"/>
      <c r="AA941" s="1567"/>
      <c r="AB941" s="1479"/>
      <c r="AC941" s="1479"/>
      <c r="AD941" s="1479"/>
      <c r="AE941" s="1479"/>
      <c r="AF941" s="1568"/>
      <c r="AZ941" s="23"/>
      <c r="BA941" s="23"/>
    </row>
    <row r="942" spans="6:55" ht="13.15" customHeight="1">
      <c r="F942" s="101" t="s">
        <v>1507</v>
      </c>
      <c r="G942" s="4"/>
      <c r="H942" s="4"/>
      <c r="I942" s="4"/>
      <c r="J942" s="4"/>
      <c r="K942" s="4"/>
      <c r="L942" s="4"/>
      <c r="M942" s="4"/>
      <c r="N942" s="4"/>
      <c r="O942" s="4"/>
      <c r="P942" s="4"/>
      <c r="Q942" s="4"/>
      <c r="R942" s="4"/>
      <c r="S942" s="4"/>
      <c r="T942" s="1096"/>
      <c r="U942" s="1585" t="s">
        <v>816</v>
      </c>
      <c r="V942" s="1377"/>
      <c r="W942" s="1377"/>
      <c r="X942" s="1377"/>
      <c r="Y942" s="1377"/>
      <c r="Z942" s="1378"/>
      <c r="AA942" s="1567"/>
      <c r="AB942" s="1479"/>
      <c r="AC942" s="1479"/>
      <c r="AD942" s="1479"/>
      <c r="AE942" s="1479"/>
      <c r="AF942" s="1568"/>
    </row>
    <row r="943" spans="6:55" ht="13.15" customHeight="1">
      <c r="F943" s="1100" t="s">
        <v>1508</v>
      </c>
      <c r="G943" s="4"/>
      <c r="H943" s="4"/>
      <c r="I943" s="4"/>
      <c r="J943" s="4"/>
      <c r="K943" s="4"/>
      <c r="L943" s="4"/>
      <c r="M943" s="4"/>
      <c r="N943" s="4"/>
      <c r="O943" s="4"/>
      <c r="P943" s="4"/>
      <c r="Q943" s="4"/>
      <c r="R943" s="4"/>
      <c r="S943" s="4"/>
      <c r="T943" s="1096"/>
      <c r="U943" s="1585" t="s">
        <v>847</v>
      </c>
      <c r="V943" s="1377"/>
      <c r="W943" s="1377"/>
      <c r="X943" s="1377"/>
      <c r="Y943" s="1377"/>
      <c r="Z943" s="1378"/>
      <c r="AA943" s="1567">
        <v>6000000</v>
      </c>
      <c r="AB943" s="1479"/>
      <c r="AC943" s="1479"/>
      <c r="AD943" s="1479"/>
      <c r="AE943" s="1479"/>
      <c r="AF943" s="1568"/>
      <c r="AZ943" s="23"/>
      <c r="BA943" s="11"/>
    </row>
    <row r="944" spans="6:55" ht="13.15" customHeight="1">
      <c r="F944" s="1100" t="s">
        <v>1509</v>
      </c>
      <c r="G944" s="4"/>
      <c r="H944" s="4"/>
      <c r="I944" s="4"/>
      <c r="J944" s="4"/>
      <c r="K944" s="4"/>
      <c r="L944" s="4"/>
      <c r="M944" s="4"/>
      <c r="N944" s="4"/>
      <c r="O944" s="4"/>
      <c r="P944" s="4"/>
      <c r="Q944" s="4"/>
      <c r="R944" s="4"/>
      <c r="S944" s="4"/>
      <c r="T944" s="1096"/>
      <c r="U944" s="1585" t="s">
        <v>816</v>
      </c>
      <c r="V944" s="1377"/>
      <c r="W944" s="1377"/>
      <c r="X944" s="1377"/>
      <c r="Y944" s="1377"/>
      <c r="Z944" s="1378"/>
      <c r="AA944" s="1567"/>
      <c r="AB944" s="1479"/>
      <c r="AC944" s="1479"/>
      <c r="AD944" s="1479"/>
      <c r="AE944" s="1479"/>
      <c r="AF944" s="1568"/>
      <c r="AZ944" s="23"/>
      <c r="BA944" s="11"/>
    </row>
    <row r="945" spans="6:55" ht="13.15" customHeight="1">
      <c r="F945" s="1637" t="s">
        <v>1510</v>
      </c>
      <c r="G945" s="1638"/>
      <c r="H945" s="1638"/>
      <c r="I945" s="1638"/>
      <c r="J945" s="1638"/>
      <c r="K945" s="1638"/>
      <c r="L945" s="1638"/>
      <c r="M945" s="1638"/>
      <c r="N945" s="1638"/>
      <c r="O945" s="1638"/>
      <c r="P945" s="1638"/>
      <c r="Q945" s="1638"/>
      <c r="R945" s="1638"/>
      <c r="S945" s="1638"/>
      <c r="T945" s="1639"/>
      <c r="U945" s="1585" t="s">
        <v>816</v>
      </c>
      <c r="V945" s="1377"/>
      <c r="W945" s="1377"/>
      <c r="X945" s="1377"/>
      <c r="Y945" s="1377"/>
      <c r="Z945" s="1378"/>
      <c r="AA945" s="1567"/>
      <c r="AB945" s="1479"/>
      <c r="AC945" s="1479"/>
      <c r="AD945" s="1479"/>
      <c r="AE945" s="1479"/>
      <c r="AF945" s="1568"/>
      <c r="AZ945" s="23"/>
      <c r="BA945" s="11"/>
    </row>
    <row r="946" spans="6:55" ht="13.15" customHeight="1">
      <c r="F946" s="1637" t="s">
        <v>1511</v>
      </c>
      <c r="G946" s="1638"/>
      <c r="H946" s="1638"/>
      <c r="I946" s="1638"/>
      <c r="J946" s="1638"/>
      <c r="K946" s="1638"/>
      <c r="L946" s="1638"/>
      <c r="M946" s="1638"/>
      <c r="N946" s="1638"/>
      <c r="O946" s="1638"/>
      <c r="P946" s="1638"/>
      <c r="Q946" s="1638"/>
      <c r="R946" s="1638"/>
      <c r="S946" s="1638"/>
      <c r="T946" s="1639"/>
      <c r="U946" s="1585" t="s">
        <v>816</v>
      </c>
      <c r="V946" s="1377"/>
      <c r="W946" s="1377"/>
      <c r="X946" s="1377"/>
      <c r="Y946" s="1377"/>
      <c r="Z946" s="1378"/>
      <c r="AA946" s="1567"/>
      <c r="AB946" s="1479"/>
      <c r="AC946" s="1479"/>
      <c r="AD946" s="1479"/>
      <c r="AE946" s="1479"/>
      <c r="AF946" s="1568"/>
      <c r="AZ946" s="23"/>
      <c r="BA946" s="23"/>
    </row>
    <row r="947" spans="6:55" ht="13.15" customHeight="1">
      <c r="F947" s="1634" t="s">
        <v>1512</v>
      </c>
      <c r="G947" s="1635"/>
      <c r="H947" s="1635"/>
      <c r="I947" s="1635"/>
      <c r="J947" s="1635"/>
      <c r="K947" s="1635"/>
      <c r="L947" s="1635"/>
      <c r="M947" s="1635"/>
      <c r="N947" s="1635"/>
      <c r="O947" s="1635"/>
      <c r="P947" s="1635"/>
      <c r="Q947" s="1635"/>
      <c r="R947" s="1635"/>
      <c r="S947" s="1635"/>
      <c r="T947" s="1636"/>
      <c r="U947" s="1585" t="s">
        <v>816</v>
      </c>
      <c r="V947" s="1377"/>
      <c r="W947" s="1377"/>
      <c r="X947" s="1377"/>
      <c r="Y947" s="1377"/>
      <c r="Z947" s="1378"/>
      <c r="AA947" s="1567"/>
      <c r="AB947" s="1479"/>
      <c r="AC947" s="1479"/>
      <c r="AD947" s="1479"/>
      <c r="AE947" s="1479"/>
      <c r="AF947" s="1568"/>
      <c r="AZ947" s="23"/>
      <c r="BA947" s="23"/>
    </row>
    <row r="948" spans="6:55" ht="13.15" customHeight="1">
      <c r="F948" s="1634" t="s">
        <v>1513</v>
      </c>
      <c r="G948" s="1635"/>
      <c r="H948" s="1635"/>
      <c r="I948" s="1635"/>
      <c r="J948" s="1635"/>
      <c r="K948" s="1635"/>
      <c r="L948" s="1635"/>
      <c r="M948" s="1635"/>
      <c r="N948" s="1635"/>
      <c r="O948" s="1635"/>
      <c r="P948" s="1635"/>
      <c r="Q948" s="1635"/>
      <c r="R948" s="1635"/>
      <c r="S948" s="1635"/>
      <c r="T948" s="1636"/>
      <c r="U948" s="1585" t="s">
        <v>816</v>
      </c>
      <c r="V948" s="1377"/>
      <c r="W948" s="1377"/>
      <c r="X948" s="1377"/>
      <c r="Y948" s="1377"/>
      <c r="Z948" s="1378"/>
      <c r="AA948" s="1567"/>
      <c r="AB948" s="1479"/>
      <c r="AC948" s="1479"/>
      <c r="AD948" s="1479"/>
      <c r="AE948" s="1479"/>
      <c r="AF948" s="1568"/>
      <c r="AZ948" s="23"/>
      <c r="BA948" s="23"/>
    </row>
    <row r="949" spans="6:55" ht="13.15" customHeight="1">
      <c r="F949" s="1634" t="s">
        <v>1514</v>
      </c>
      <c r="G949" s="1635"/>
      <c r="H949" s="1635"/>
      <c r="I949" s="1635"/>
      <c r="J949" s="1635"/>
      <c r="K949" s="1635"/>
      <c r="L949" s="1635"/>
      <c r="M949" s="1635"/>
      <c r="N949" s="1635"/>
      <c r="O949" s="1635"/>
      <c r="P949" s="1635"/>
      <c r="Q949" s="1635"/>
      <c r="R949" s="1635"/>
      <c r="S949" s="1635"/>
      <c r="T949" s="1636"/>
      <c r="U949" s="1585" t="s">
        <v>816</v>
      </c>
      <c r="V949" s="1377"/>
      <c r="W949" s="1377"/>
      <c r="X949" s="1377"/>
      <c r="Y949" s="1377"/>
      <c r="Z949" s="1378"/>
      <c r="AA949" s="1567"/>
      <c r="AB949" s="1479"/>
      <c r="AC949" s="1479"/>
      <c r="AD949" s="1479"/>
      <c r="AE949" s="1479"/>
      <c r="AF949" s="1568"/>
      <c r="AZ949" s="2"/>
      <c r="BA949" s="2"/>
      <c r="BB949" s="11"/>
      <c r="BC949" s="11"/>
    </row>
    <row r="950" spans="6:55" ht="13.15" customHeight="1">
      <c r="F950" s="1100" t="s">
        <v>1515</v>
      </c>
      <c r="G950" s="4"/>
      <c r="H950" s="4"/>
      <c r="I950" s="4"/>
      <c r="J950" s="4"/>
      <c r="K950" s="4"/>
      <c r="L950" s="4"/>
      <c r="M950" s="4"/>
      <c r="N950" s="4"/>
      <c r="O950" s="4"/>
      <c r="P950" s="4"/>
      <c r="Q950" s="4"/>
      <c r="R950" s="4"/>
      <c r="S950" s="4"/>
      <c r="T950" s="1096"/>
      <c r="U950" s="1585" t="s">
        <v>816</v>
      </c>
      <c r="V950" s="1377"/>
      <c r="W950" s="1377"/>
      <c r="X950" s="1377"/>
      <c r="Y950" s="1377"/>
      <c r="Z950" s="1378"/>
      <c r="AA950" s="1567"/>
      <c r="AB950" s="1479"/>
      <c r="AC950" s="1479"/>
      <c r="AD950" s="1479"/>
      <c r="AE950" s="1479"/>
      <c r="AF950" s="1568"/>
      <c r="AZ950" s="2"/>
      <c r="BA950" s="2"/>
      <c r="BB950" s="11"/>
      <c r="BC950" s="11"/>
    </row>
    <row r="951" spans="6:55" ht="13.15" customHeight="1">
      <c r="F951" s="1637" t="s">
        <v>1516</v>
      </c>
      <c r="G951" s="1638"/>
      <c r="H951" s="1638"/>
      <c r="I951" s="1638"/>
      <c r="J951" s="1638"/>
      <c r="K951" s="1638"/>
      <c r="L951" s="1638"/>
      <c r="M951" s="1638"/>
      <c r="N951" s="1638"/>
      <c r="O951" s="1638"/>
      <c r="P951" s="1638"/>
      <c r="Q951" s="1638"/>
      <c r="R951" s="1638"/>
      <c r="S951" s="1638"/>
      <c r="T951" s="1639"/>
      <c r="U951" s="1585" t="s">
        <v>816</v>
      </c>
      <c r="V951" s="1377"/>
      <c r="W951" s="1377"/>
      <c r="X951" s="1377"/>
      <c r="Y951" s="1377"/>
      <c r="Z951" s="1378"/>
      <c r="AA951" s="1567"/>
      <c r="AB951" s="1479"/>
      <c r="AC951" s="1479"/>
      <c r="AD951" s="1479"/>
      <c r="AE951" s="1479"/>
      <c r="AF951" s="1568"/>
      <c r="AZ951" s="2"/>
      <c r="BA951" s="2"/>
      <c r="BB951" s="2"/>
      <c r="BC951" s="2"/>
    </row>
    <row r="952" spans="6:55" ht="13.15" customHeight="1">
      <c r="F952" s="1100" t="s">
        <v>1517</v>
      </c>
      <c r="G952" s="4"/>
      <c r="H952" s="4"/>
      <c r="I952" s="4"/>
      <c r="J952" s="4"/>
      <c r="K952" s="4"/>
      <c r="L952" s="4"/>
      <c r="M952" s="4"/>
      <c r="N952" s="4"/>
      <c r="O952" s="4"/>
      <c r="P952" s="4"/>
      <c r="Q952" s="4"/>
      <c r="R952" s="4"/>
      <c r="S952" s="4"/>
      <c r="T952" s="1096"/>
      <c r="U952" s="1585" t="s">
        <v>816</v>
      </c>
      <c r="V952" s="1377"/>
      <c r="W952" s="1377"/>
      <c r="X952" s="1377"/>
      <c r="Y952" s="1377"/>
      <c r="Z952" s="1378"/>
      <c r="AA952" s="1567"/>
      <c r="AB952" s="1479"/>
      <c r="AC952" s="1479"/>
      <c r="AD952" s="1479"/>
      <c r="AE952" s="1479"/>
      <c r="AF952" s="1568"/>
      <c r="AZ952" s="2"/>
      <c r="BA952" s="2"/>
      <c r="BB952" s="2"/>
      <c r="BC952" s="2"/>
    </row>
    <row r="953" spans="6:55" ht="13.15" customHeight="1">
      <c r="F953" s="1637" t="s">
        <v>1518</v>
      </c>
      <c r="G953" s="1638"/>
      <c r="H953" s="1638"/>
      <c r="I953" s="1638"/>
      <c r="J953" s="1638"/>
      <c r="K953" s="1638"/>
      <c r="L953" s="1638"/>
      <c r="M953" s="1638"/>
      <c r="N953" s="1638"/>
      <c r="O953" s="1638"/>
      <c r="P953" s="1638"/>
      <c r="Q953" s="1638"/>
      <c r="R953" s="1638"/>
      <c r="S953" s="1638"/>
      <c r="T953" s="1639"/>
      <c r="U953" s="1585" t="s">
        <v>816</v>
      </c>
      <c r="V953" s="1377"/>
      <c r="W953" s="1377"/>
      <c r="X953" s="1377"/>
      <c r="Y953" s="1377"/>
      <c r="Z953" s="1378"/>
      <c r="AA953" s="1567"/>
      <c r="AB953" s="1479"/>
      <c r="AC953" s="1479"/>
      <c r="AD953" s="1479"/>
      <c r="AE953" s="1479"/>
      <c r="AF953" s="1568"/>
      <c r="AZ953" s="2"/>
      <c r="BA953" s="2"/>
      <c r="BB953" s="2"/>
      <c r="BC953" s="2"/>
    </row>
    <row r="954" spans="6:55" ht="13.15" customHeight="1">
      <c r="F954" s="1095" t="s">
        <v>1519</v>
      </c>
      <c r="G954" s="4"/>
      <c r="H954" s="4"/>
      <c r="I954" s="4"/>
      <c r="J954" s="4"/>
      <c r="K954" s="4"/>
      <c r="L954" s="4"/>
      <c r="M954" s="4"/>
      <c r="N954" s="4"/>
      <c r="O954" s="4"/>
      <c r="P954" s="1585" t="s">
        <v>696</v>
      </c>
      <c r="Q954" s="1377"/>
      <c r="R954" s="1377"/>
      <c r="S954" s="1377"/>
      <c r="T954" s="1378"/>
      <c r="U954" s="1585" t="s">
        <v>816</v>
      </c>
      <c r="V954" s="1377"/>
      <c r="W954" s="1377"/>
      <c r="X954" s="1377"/>
      <c r="Y954" s="1377"/>
      <c r="Z954" s="1378"/>
      <c r="AA954" s="1567"/>
      <c r="AB954" s="1479"/>
      <c r="AC954" s="1479"/>
      <c r="AD954" s="1479"/>
      <c r="AE954" s="1479"/>
      <c r="AF954" s="1568"/>
      <c r="AZ954" s="2"/>
      <c r="BA954" s="2"/>
      <c r="BB954" s="2"/>
      <c r="BC954" s="2"/>
    </row>
    <row r="955" spans="6:55" ht="13.15" customHeight="1">
      <c r="F955" s="1634" t="s">
        <v>1520</v>
      </c>
      <c r="G955" s="1635"/>
      <c r="H955" s="1636"/>
      <c r="I955" s="1582"/>
      <c r="J955" s="1583"/>
      <c r="K955" s="1583"/>
      <c r="L955" s="1583"/>
      <c r="M955" s="1583"/>
      <c r="N955" s="1583"/>
      <c r="O955" s="1583"/>
      <c r="P955" s="1583"/>
      <c r="Q955" s="1583"/>
      <c r="R955" s="1583"/>
      <c r="S955" s="1583"/>
      <c r="T955" s="1584"/>
      <c r="U955" s="1585" t="s">
        <v>847</v>
      </c>
      <c r="V955" s="1377"/>
      <c r="W955" s="1377"/>
      <c r="X955" s="1377"/>
      <c r="Y955" s="1377"/>
      <c r="Z955" s="1378"/>
      <c r="AA955" s="1567"/>
      <c r="AB955" s="1479"/>
      <c r="AC955" s="1479"/>
      <c r="AD955" s="1479"/>
      <c r="AE955" s="1479"/>
      <c r="AF955" s="1568"/>
      <c r="AZ955" s="2"/>
      <c r="BA955" s="2"/>
      <c r="BB955" s="2"/>
      <c r="BC955" s="2"/>
    </row>
    <row r="956" spans="6:55" ht="13.15" customHeight="1">
      <c r="F956" s="1095" t="s">
        <v>1065</v>
      </c>
      <c r="G956" s="32"/>
      <c r="H956" s="32"/>
      <c r="I956" s="1582"/>
      <c r="J956" s="1583"/>
      <c r="K956" s="1583"/>
      <c r="L956" s="1583"/>
      <c r="M956" s="1583"/>
      <c r="N956" s="1583"/>
      <c r="O956" s="1583"/>
      <c r="P956" s="1583"/>
      <c r="Q956" s="1583"/>
      <c r="R956" s="1583"/>
      <c r="S956" s="1583"/>
      <c r="T956" s="1584"/>
      <c r="U956" s="1585"/>
      <c r="V956" s="1377"/>
      <c r="W956" s="1377"/>
      <c r="X956" s="1377"/>
      <c r="Y956" s="1377"/>
      <c r="Z956" s="1378"/>
      <c r="AA956" s="1567"/>
      <c r="AB956" s="1479"/>
      <c r="AC956" s="1479"/>
      <c r="AD956" s="1479"/>
      <c r="AE956" s="1479"/>
      <c r="AF956" s="1568"/>
      <c r="AZ956" s="2"/>
      <c r="BA956" s="2"/>
      <c r="BB956" s="2"/>
      <c r="BC956" s="2"/>
    </row>
    <row r="957" spans="6:55" ht="13.15" customHeight="1">
      <c r="F957" s="1095" t="s">
        <v>1521</v>
      </c>
      <c r="G957" s="32"/>
      <c r="H957" s="32"/>
      <c r="I957" s="1582" t="s">
        <v>2641</v>
      </c>
      <c r="J957" s="1583"/>
      <c r="K957" s="1583"/>
      <c r="L957" s="1583"/>
      <c r="M957" s="1583"/>
      <c r="N957" s="1583"/>
      <c r="O957" s="1583"/>
      <c r="P957" s="1583"/>
      <c r="Q957" s="1583"/>
      <c r="R957" s="1583"/>
      <c r="S957" s="1583"/>
      <c r="T957" s="1584"/>
      <c r="U957" s="1585" t="s">
        <v>847</v>
      </c>
      <c r="V957" s="1377"/>
      <c r="W957" s="1377"/>
      <c r="X957" s="1377"/>
      <c r="Y957" s="1377"/>
      <c r="Z957" s="1378"/>
      <c r="AA957" s="1567">
        <v>5000000</v>
      </c>
      <c r="AB957" s="1479"/>
      <c r="AC957" s="1479"/>
      <c r="AD957" s="1479"/>
      <c r="AE957" s="1479"/>
      <c r="AF957" s="1568"/>
      <c r="AV957" s="1"/>
      <c r="AW957" s="1"/>
      <c r="AX957" s="1"/>
      <c r="AY957" s="1"/>
      <c r="AZ957" s="2"/>
      <c r="BA957" s="2"/>
      <c r="BB957" s="2"/>
      <c r="BC957" s="2"/>
    </row>
    <row r="958" spans="6:55" ht="13.15" customHeight="1">
      <c r="F958" s="31" t="s">
        <v>233</v>
      </c>
      <c r="G958" s="32"/>
      <c r="H958" s="32"/>
      <c r="I958" s="1582" t="s">
        <v>2719</v>
      </c>
      <c r="J958" s="1583"/>
      <c r="K958" s="1583"/>
      <c r="L958" s="1583"/>
      <c r="M958" s="1583"/>
      <c r="N958" s="1583"/>
      <c r="O958" s="1583"/>
      <c r="P958" s="1583"/>
      <c r="Q958" s="1583"/>
      <c r="R958" s="1583"/>
      <c r="S958" s="1583"/>
      <c r="T958" s="1584"/>
      <c r="U958" s="1585" t="s">
        <v>847</v>
      </c>
      <c r="V958" s="1377"/>
      <c r="W958" s="1377"/>
      <c r="X958" s="1377"/>
      <c r="Y958" s="1377"/>
      <c r="Z958" s="1378"/>
      <c r="AA958" s="1567">
        <f>AO638</f>
        <v>1294129</v>
      </c>
      <c r="AB958" s="1479"/>
      <c r="AC958" s="1479"/>
      <c r="AD958" s="1479"/>
      <c r="AE958" s="1479"/>
      <c r="AF958" s="1568"/>
      <c r="AU958" s="1"/>
      <c r="AZ958" s="2"/>
      <c r="BA958" s="2"/>
      <c r="BB958" s="2"/>
      <c r="BC958" s="2"/>
    </row>
    <row r="959" spans="6:55" ht="13.15" customHeight="1">
      <c r="F959" s="31" t="s">
        <v>233</v>
      </c>
      <c r="G959" s="32"/>
      <c r="H959" s="32"/>
      <c r="I959" s="1582" t="s">
        <v>1183</v>
      </c>
      <c r="J959" s="1583"/>
      <c r="K959" s="1583"/>
      <c r="L959" s="1583"/>
      <c r="M959" s="1583"/>
      <c r="N959" s="1583"/>
      <c r="O959" s="1583"/>
      <c r="P959" s="1583"/>
      <c r="Q959" s="1583"/>
      <c r="R959" s="1583"/>
      <c r="S959" s="1583"/>
      <c r="T959" s="1584"/>
      <c r="U959" s="1585" t="s">
        <v>816</v>
      </c>
      <c r="V959" s="1377"/>
      <c r="W959" s="1377"/>
      <c r="X959" s="1377"/>
      <c r="Y959" s="1377"/>
      <c r="Z959" s="1378"/>
      <c r="AA959" s="1567"/>
      <c r="AB959" s="1479"/>
      <c r="AC959" s="1479"/>
      <c r="AD959" s="1479"/>
      <c r="AE959" s="1479"/>
      <c r="AF959" s="1568"/>
      <c r="AU959" s="1"/>
      <c r="AZ959" s="2"/>
      <c r="BA959" s="2"/>
      <c r="BB959" s="2"/>
      <c r="BC959" s="2"/>
    </row>
    <row r="960" spans="6:55" ht="13.15" customHeight="1">
      <c r="AU960" s="1"/>
      <c r="AZ960" s="2"/>
      <c r="BA960" s="2"/>
      <c r="BB960" s="2"/>
      <c r="BC960" s="2"/>
    </row>
    <row r="961" spans="1:64" ht="13.15" customHeight="1">
      <c r="A961" s="1" t="s">
        <v>913</v>
      </c>
      <c r="C961" s="1" t="s">
        <v>247</v>
      </c>
      <c r="AZ961" s="2"/>
      <c r="BA961" s="2"/>
      <c r="BB961" s="2"/>
      <c r="BC961" s="2"/>
    </row>
    <row r="962" spans="1:64" ht="13.15" customHeight="1">
      <c r="B962" s="1"/>
      <c r="C962" s="17" t="s">
        <v>1522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3.15" customHeight="1">
      <c r="AZ963" s="2"/>
      <c r="BA963" s="2"/>
      <c r="BB963" s="2"/>
      <c r="BC963" s="2"/>
    </row>
    <row r="964" spans="1:64" ht="13.15" customHeight="1">
      <c r="C964" s="1100" t="s">
        <v>1523</v>
      </c>
      <c r="D964" s="4"/>
      <c r="E964" s="4"/>
      <c r="F964" s="4"/>
      <c r="G964" s="4"/>
      <c r="H964" s="4"/>
      <c r="I964" s="4"/>
      <c r="J964" s="4"/>
      <c r="K964" s="4"/>
      <c r="L964" s="1096"/>
      <c r="M964" s="1645">
        <v>45787</v>
      </c>
      <c r="N964" s="1475"/>
      <c r="O964" s="1475"/>
      <c r="P964" s="1475"/>
      <c r="Q964" s="1475"/>
      <c r="R964" s="1475"/>
      <c r="S964" s="1576"/>
      <c r="U964" s="1100" t="s">
        <v>1523</v>
      </c>
      <c r="V964" s="4"/>
      <c r="W964" s="4"/>
      <c r="X964" s="4"/>
      <c r="Y964" s="4"/>
      <c r="Z964" s="4"/>
      <c r="AA964" s="4"/>
      <c r="AB964" s="4"/>
      <c r="AC964" s="4"/>
      <c r="AD964" s="1096"/>
      <c r="AE964" s="1645">
        <v>45762</v>
      </c>
      <c r="AF964" s="1475"/>
      <c r="AG964" s="1475"/>
      <c r="AH964" s="1475"/>
      <c r="AI964" s="1475"/>
      <c r="AJ964" s="1475"/>
      <c r="AK964" s="1576"/>
      <c r="AZ964" s="2"/>
      <c r="BA964" s="2"/>
      <c r="BB964" s="2"/>
      <c r="BC964" s="2"/>
    </row>
    <row r="965" spans="1:64" ht="13.15" customHeight="1">
      <c r="C965" s="1100" t="s">
        <v>1524</v>
      </c>
      <c r="D965" s="4"/>
      <c r="E965" s="4"/>
      <c r="F965" s="4"/>
      <c r="G965" s="4"/>
      <c r="H965" s="4"/>
      <c r="I965" s="4"/>
      <c r="J965" s="4"/>
      <c r="K965" s="4"/>
      <c r="L965" s="1096"/>
      <c r="M965" s="1671" t="s">
        <v>2754</v>
      </c>
      <c r="N965" s="1339"/>
      <c r="O965" s="1339"/>
      <c r="P965" s="1339"/>
      <c r="Q965" s="1339"/>
      <c r="R965" s="1339"/>
      <c r="S965" s="1672"/>
      <c r="U965" s="1100" t="s">
        <v>1524</v>
      </c>
      <c r="V965" s="4"/>
      <c r="W965" s="4"/>
      <c r="X965" s="4"/>
      <c r="Y965" s="4"/>
      <c r="Z965" s="4"/>
      <c r="AA965" s="4"/>
      <c r="AB965" s="4"/>
      <c r="AC965" s="4"/>
      <c r="AD965" s="1096"/>
      <c r="AE965" s="1671" t="s">
        <v>2752</v>
      </c>
      <c r="AF965" s="1339"/>
      <c r="AG965" s="1339"/>
      <c r="AH965" s="1339"/>
      <c r="AI965" s="1339"/>
      <c r="AJ965" s="1339"/>
      <c r="AK965" s="1672"/>
      <c r="AZ965" s="2"/>
      <c r="BA965" s="2"/>
      <c r="BB965" s="2"/>
      <c r="BC965" s="2"/>
    </row>
    <row r="966" spans="1:64" ht="13.15" customHeight="1">
      <c r="C966" s="1100" t="s">
        <v>1525</v>
      </c>
      <c r="D966" s="4"/>
      <c r="E966" s="4"/>
      <c r="J966" s="1682" t="s">
        <v>2755</v>
      </c>
      <c r="K966" s="1683"/>
      <c r="L966" s="1683"/>
      <c r="M966" s="1683"/>
      <c r="N966" s="1683"/>
      <c r="O966" s="1683"/>
      <c r="P966" s="1683"/>
      <c r="Q966" s="1683"/>
      <c r="R966" s="1683"/>
      <c r="S966" s="1684"/>
      <c r="U966" s="1100" t="s">
        <v>1525</v>
      </c>
      <c r="V966" s="4"/>
      <c r="W966" s="4"/>
      <c r="AB966" s="1682" t="s">
        <v>2753</v>
      </c>
      <c r="AC966" s="1683"/>
      <c r="AD966" s="1683"/>
      <c r="AE966" s="1683"/>
      <c r="AF966" s="1683"/>
      <c r="AG966" s="1683"/>
      <c r="AH966" s="1683"/>
      <c r="AI966" s="1683"/>
      <c r="AJ966" s="1683"/>
      <c r="AK966" s="1684"/>
      <c r="AZ966" s="2"/>
      <c r="BA966" s="2"/>
      <c r="BB966" s="2"/>
      <c r="BC966" s="2"/>
    </row>
    <row r="967" spans="1:64" ht="13.15" customHeight="1">
      <c r="C967" s="1100" t="s">
        <v>1526</v>
      </c>
      <c r="D967" s="4"/>
      <c r="E967" s="4"/>
      <c r="F967" s="4"/>
      <c r="G967" s="4"/>
      <c r="H967" s="4"/>
      <c r="I967" s="4"/>
      <c r="J967" s="4"/>
      <c r="K967" s="4"/>
      <c r="L967" s="1096"/>
      <c r="M967" s="1656">
        <f>37/153</f>
        <v>0.24183006535947713</v>
      </c>
      <c r="N967" s="1657"/>
      <c r="O967" s="1657"/>
      <c r="P967" s="1657"/>
      <c r="Q967" s="1657"/>
      <c r="R967" s="1657"/>
      <c r="S967" s="1658"/>
      <c r="U967" s="1100" t="s">
        <v>1526</v>
      </c>
      <c r="V967" s="4"/>
      <c r="W967" s="4"/>
      <c r="X967" s="4"/>
      <c r="Y967" s="4"/>
      <c r="Z967" s="4"/>
      <c r="AA967" s="4"/>
      <c r="AB967" s="4"/>
      <c r="AC967" s="4"/>
      <c r="AD967" s="1096"/>
      <c r="AE967" s="1676">
        <f>10/153</f>
        <v>6.535947712418301E-2</v>
      </c>
      <c r="AF967" s="1657"/>
      <c r="AG967" s="1657"/>
      <c r="AH967" s="1657"/>
      <c r="AI967" s="1657"/>
      <c r="AJ967" s="1657"/>
      <c r="AK967" s="1658"/>
      <c r="AZ967" s="2"/>
      <c r="BA967" s="2"/>
      <c r="BB967" s="2"/>
      <c r="BC967" s="2"/>
    </row>
    <row r="968" spans="1:64" ht="13.15" customHeight="1">
      <c r="C968" s="1100" t="s">
        <v>1527</v>
      </c>
      <c r="D968" s="4"/>
      <c r="E968" s="4"/>
      <c r="F968" s="4"/>
      <c r="G968" s="4"/>
      <c r="H968" s="4"/>
      <c r="I968" s="4"/>
      <c r="J968" s="4"/>
      <c r="K968" s="4"/>
      <c r="L968" s="1096"/>
      <c r="M968" s="1589">
        <v>37</v>
      </c>
      <c r="N968" s="1587"/>
      <c r="O968" s="1587"/>
      <c r="P968" s="1587"/>
      <c r="Q968" s="1587"/>
      <c r="R968" s="1587"/>
      <c r="S968" s="1588"/>
      <c r="U968" s="1100" t="s">
        <v>1527</v>
      </c>
      <c r="V968" s="4"/>
      <c r="W968" s="4"/>
      <c r="X968" s="4"/>
      <c r="Y968" s="4"/>
      <c r="Z968" s="4"/>
      <c r="AA968" s="4"/>
      <c r="AB968" s="4"/>
      <c r="AC968" s="4"/>
      <c r="AD968" s="1096"/>
      <c r="AE968" s="1589">
        <v>10</v>
      </c>
      <c r="AF968" s="1587"/>
      <c r="AG968" s="1587"/>
      <c r="AH968" s="1587"/>
      <c r="AI968" s="1587"/>
      <c r="AJ968" s="1587"/>
      <c r="AK968" s="1588"/>
      <c r="AV968" s="1"/>
      <c r="AW968" s="1"/>
      <c r="AX968" s="1"/>
      <c r="AY968" s="1"/>
      <c r="AZ968" s="2"/>
      <c r="BA968" s="2"/>
      <c r="BB968" s="2"/>
      <c r="BC968" s="2"/>
    </row>
    <row r="969" spans="1:64" ht="13.15" customHeight="1">
      <c r="C969" s="1100" t="s">
        <v>1528</v>
      </c>
      <c r="D969" s="4"/>
      <c r="E969" s="4"/>
      <c r="F969" s="4"/>
      <c r="G969" s="4"/>
      <c r="H969" s="4"/>
      <c r="I969" s="4"/>
      <c r="J969" s="4"/>
      <c r="K969" s="4"/>
      <c r="L969" s="1096"/>
      <c r="M969" s="1567">
        <v>525660</v>
      </c>
      <c r="N969" s="1479"/>
      <c r="O969" s="1479"/>
      <c r="P969" s="1479"/>
      <c r="Q969" s="1479"/>
      <c r="R969" s="1479"/>
      <c r="S969" s="1568"/>
      <c r="U969" s="1100" t="s">
        <v>1528</v>
      </c>
      <c r="V969" s="4"/>
      <c r="W969" s="4"/>
      <c r="X969" s="4"/>
      <c r="Y969" s="4"/>
      <c r="Z969" s="4"/>
      <c r="AA969" s="4"/>
      <c r="AB969" s="4"/>
      <c r="AC969" s="4"/>
      <c r="AD969" s="1096"/>
      <c r="AE969" s="1567">
        <v>114960</v>
      </c>
      <c r="AF969" s="1479"/>
      <c r="AG969" s="1479"/>
      <c r="AH969" s="1479"/>
      <c r="AI969" s="1479"/>
      <c r="AJ969" s="1479"/>
      <c r="AK969" s="1568"/>
      <c r="AV969" s="1"/>
      <c r="AW969" s="1"/>
      <c r="AX969" s="1"/>
      <c r="AY969" s="1"/>
      <c r="AZ969" s="2"/>
      <c r="BA969" s="2"/>
      <c r="BB969" s="2"/>
      <c r="BC969" s="2"/>
    </row>
    <row r="970" spans="1:64" ht="13.15" customHeight="1">
      <c r="C970" s="1100" t="s">
        <v>1529</v>
      </c>
      <c r="D970" s="4"/>
      <c r="E970" s="4"/>
      <c r="F970" s="4"/>
      <c r="G970" s="4"/>
      <c r="H970" s="4"/>
      <c r="I970" s="4"/>
      <c r="J970" s="4"/>
      <c r="K970" s="4"/>
      <c r="L970" s="1096"/>
      <c r="M970" s="1567">
        <v>9426096</v>
      </c>
      <c r="N970" s="1479"/>
      <c r="O970" s="1479"/>
      <c r="P970" s="1479"/>
      <c r="Q970" s="1479"/>
      <c r="R970" s="1479"/>
      <c r="S970" s="1568"/>
      <c r="U970" s="1100" t="s">
        <v>1529</v>
      </c>
      <c r="V970" s="4"/>
      <c r="W970" s="4"/>
      <c r="X970" s="4"/>
      <c r="Y970" s="4"/>
      <c r="Z970" s="4"/>
      <c r="AA970" s="4"/>
      <c r="AB970" s="4"/>
      <c r="AC970" s="4"/>
      <c r="AD970" s="1096"/>
      <c r="AE970" s="1567">
        <v>2936614</v>
      </c>
      <c r="AF970" s="1479"/>
      <c r="AG970" s="1479"/>
      <c r="AH970" s="1479"/>
      <c r="AI970" s="1479"/>
      <c r="AJ970" s="1479"/>
      <c r="AK970" s="1568"/>
      <c r="AV970" s="1"/>
      <c r="AW970" s="1"/>
      <c r="AX970" s="1"/>
      <c r="AY970" s="1"/>
      <c r="AZ970" s="2"/>
      <c r="BB970" s="2"/>
      <c r="BC970" s="2"/>
    </row>
    <row r="971" spans="1:64" ht="13.15" customHeight="1">
      <c r="C971" s="1100" t="s">
        <v>1171</v>
      </c>
      <c r="D971" s="4"/>
      <c r="E971" s="4"/>
      <c r="F971" s="4"/>
      <c r="G971" s="4"/>
      <c r="H971" s="4"/>
      <c r="I971" s="4"/>
      <c r="J971" s="4"/>
      <c r="K971" s="4"/>
      <c r="L971" s="1096"/>
      <c r="M971" s="1673">
        <v>15</v>
      </c>
      <c r="N971" s="1674"/>
      <c r="O971" s="1674"/>
      <c r="P971" s="1674"/>
      <c r="Q971" s="1674"/>
      <c r="R971" s="1674"/>
      <c r="S971" s="1675"/>
      <c r="U971" s="1100" t="s">
        <v>1171</v>
      </c>
      <c r="V971" s="4"/>
      <c r="W971" s="4"/>
      <c r="X971" s="4"/>
      <c r="Y971" s="4"/>
      <c r="Z971" s="4"/>
      <c r="AA971" s="4"/>
      <c r="AB971" s="4"/>
      <c r="AC971" s="4"/>
      <c r="AD971" s="1096"/>
      <c r="AE971" s="1673">
        <v>20</v>
      </c>
      <c r="AF971" s="1674"/>
      <c r="AG971" s="1674"/>
      <c r="AH971" s="1674"/>
      <c r="AI971" s="1674"/>
      <c r="AJ971" s="1674"/>
      <c r="AK971" s="1675"/>
      <c r="AZ971" s="2"/>
      <c r="BB971" s="2"/>
      <c r="BC971" s="2"/>
      <c r="BD971" s="2"/>
      <c r="BE971" s="2"/>
      <c r="BF971" s="2"/>
      <c r="BG971" s="2"/>
      <c r="BH971" s="2"/>
      <c r="BI971" s="2"/>
      <c r="BJ971" s="2"/>
      <c r="BK971" s="2"/>
      <c r="BL971" s="2"/>
    </row>
    <row r="972" spans="1:64" ht="13.15" customHeight="1">
      <c r="AZ972" s="2"/>
      <c r="BB972" s="2"/>
      <c r="BC972" s="2"/>
      <c r="BD972" s="2"/>
      <c r="BE972" s="2"/>
      <c r="BF972" s="2"/>
      <c r="BG972" s="2"/>
      <c r="BH972" s="2"/>
      <c r="BI972" s="2"/>
      <c r="BJ972" s="2"/>
      <c r="BK972" s="2"/>
      <c r="BL972" s="2"/>
    </row>
    <row r="973" spans="1:64" ht="13.15" customHeight="1">
      <c r="A973" s="1" t="s">
        <v>989</v>
      </c>
      <c r="C973" s="1" t="s">
        <v>1530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3.15" customHeight="1">
      <c r="A974"/>
      <c r="B974" s="1"/>
      <c r="C974" s="17" t="s">
        <v>1531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3.1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3.15" customHeight="1">
      <c r="A976"/>
      <c r="B976"/>
      <c r="C976"/>
      <c r="D976"/>
      <c r="E976"/>
      <c r="F976" s="1095" t="s">
        <v>1532</v>
      </c>
      <c r="G976" s="4"/>
      <c r="H976" s="4"/>
      <c r="I976" s="4"/>
      <c r="J976" s="4"/>
      <c r="K976" s="4"/>
      <c r="L976" s="1096"/>
      <c r="M976" s="1643" t="s">
        <v>816</v>
      </c>
      <c r="N976" s="1474"/>
      <c r="O976" s="1474"/>
      <c r="P976" s="1474"/>
      <c r="Q976" s="1474"/>
      <c r="R976" s="1474"/>
      <c r="S976" s="1644"/>
      <c r="T976" s="1100" t="s">
        <v>1533</v>
      </c>
      <c r="U976" s="4"/>
      <c r="V976" s="4"/>
      <c r="W976" s="4"/>
      <c r="X976" s="4"/>
      <c r="Y976" s="4"/>
      <c r="Z976" s="1096"/>
      <c r="AA976" s="1643" t="s">
        <v>816</v>
      </c>
      <c r="AB976" s="1474"/>
      <c r="AC976" s="1474"/>
      <c r="AD976" s="1474"/>
      <c r="AE976" s="1474"/>
      <c r="AF976" s="1474"/>
      <c r="AG976" s="1644"/>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3.15" customHeight="1">
      <c r="A977"/>
      <c r="B977"/>
      <c r="C977"/>
      <c r="D977"/>
      <c r="E977"/>
      <c r="F977" s="1095" t="s">
        <v>1534</v>
      </c>
      <c r="G977" s="4"/>
      <c r="H977" s="4"/>
      <c r="I977" s="4"/>
      <c r="J977" s="4"/>
      <c r="K977" s="4"/>
      <c r="L977" s="1096"/>
      <c r="M977" s="1643" t="s">
        <v>816</v>
      </c>
      <c r="N977" s="1474"/>
      <c r="O977" s="1474"/>
      <c r="P977" s="1474"/>
      <c r="Q977" s="1474"/>
      <c r="R977" s="1474"/>
      <c r="S977" s="1644"/>
      <c r="T977" s="1100" t="s">
        <v>1535</v>
      </c>
      <c r="U977" s="4"/>
      <c r="V977" s="4"/>
      <c r="W977" s="4"/>
      <c r="X977" s="4"/>
      <c r="Y977" s="4"/>
      <c r="Z977" s="1096"/>
      <c r="AA977" s="1643" t="s">
        <v>816</v>
      </c>
      <c r="AB977" s="1474"/>
      <c r="AC977" s="1474"/>
      <c r="AD977" s="1474"/>
      <c r="AE977" s="1474"/>
      <c r="AF977" s="1474"/>
      <c r="AG977" s="1644"/>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3.15" customHeight="1">
      <c r="A978"/>
      <c r="B978"/>
      <c r="C978"/>
      <c r="D978"/>
      <c r="E978"/>
      <c r="F978" s="1095" t="s">
        <v>1536</v>
      </c>
      <c r="G978" s="4"/>
      <c r="H978" s="4"/>
      <c r="I978" s="4"/>
      <c r="J978" s="4"/>
      <c r="K978" s="4"/>
      <c r="L978" s="1096"/>
      <c r="M978" s="1659" t="s">
        <v>816</v>
      </c>
      <c r="N978" s="1660"/>
      <c r="O978" s="1660"/>
      <c r="P978" s="1660"/>
      <c r="Q978" s="1660"/>
      <c r="R978" s="1660"/>
      <c r="S978" s="1661"/>
      <c r="T978" s="1095" t="s">
        <v>1537</v>
      </c>
      <c r="U978" s="4"/>
      <c r="V978" s="4"/>
      <c r="W978" s="4"/>
      <c r="X978" s="4"/>
      <c r="Y978" s="4"/>
      <c r="Z978" s="1096"/>
      <c r="AA978" s="1643" t="s">
        <v>816</v>
      </c>
      <c r="AB978" s="1474"/>
      <c r="AC978" s="1474"/>
      <c r="AD978" s="1474"/>
      <c r="AE978" s="1474"/>
      <c r="AF978" s="1474"/>
      <c r="AG978" s="1644"/>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3.15" customHeight="1">
      <c r="A979"/>
      <c r="B979"/>
      <c r="C979"/>
      <c r="D979"/>
      <c r="E979"/>
      <c r="F979" s="1095" t="s">
        <v>1538</v>
      </c>
      <c r="G979" s="4"/>
      <c r="H979" s="4"/>
      <c r="I979" s="4"/>
      <c r="J979" s="4"/>
      <c r="K979" s="4"/>
      <c r="L979" s="1096"/>
      <c r="M979" s="1643" t="s">
        <v>816</v>
      </c>
      <c r="N979" s="1474"/>
      <c r="O979" s="1474"/>
      <c r="P979" s="1474"/>
      <c r="Q979" s="1474"/>
      <c r="R979" s="1474"/>
      <c r="S979" s="1644"/>
      <c r="T979" s="1095" t="s">
        <v>1539</v>
      </c>
      <c r="U979" s="4"/>
      <c r="V979" s="4"/>
      <c r="W979" s="4"/>
      <c r="X979" s="4"/>
      <c r="Y979" s="4"/>
      <c r="Z979" s="1096"/>
      <c r="AA979" s="1643" t="s">
        <v>816</v>
      </c>
      <c r="AB979" s="1474"/>
      <c r="AC979" s="1474"/>
      <c r="AD979" s="1474"/>
      <c r="AE979" s="1474"/>
      <c r="AF979" s="1474"/>
      <c r="AG979" s="1644"/>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3.15" customHeight="1">
      <c r="A980"/>
      <c r="B980"/>
      <c r="C980"/>
      <c r="D980"/>
      <c r="E980"/>
      <c r="F980" s="1095" t="s">
        <v>1540</v>
      </c>
      <c r="G980" s="4"/>
      <c r="H980" s="4"/>
      <c r="I980" s="4"/>
      <c r="J980" s="4"/>
      <c r="K980" s="4"/>
      <c r="L980" s="1096"/>
      <c r="M980" s="1643" t="s">
        <v>816</v>
      </c>
      <c r="N980" s="1474"/>
      <c r="O980" s="1474"/>
      <c r="P980" s="1474"/>
      <c r="Q980" s="1474"/>
      <c r="R980" s="1474"/>
      <c r="S980" s="1644"/>
      <c r="T980" s="1095" t="s">
        <v>1541</v>
      </c>
      <c r="U980" s="4"/>
      <c r="V980" s="4"/>
      <c r="W980" s="4"/>
      <c r="X980" s="4"/>
      <c r="Y980" s="4"/>
      <c r="Z980" s="1096"/>
      <c r="AA980" s="1643" t="s">
        <v>816</v>
      </c>
      <c r="AB980" s="1474"/>
      <c r="AC980" s="1474"/>
      <c r="AD980" s="1474"/>
      <c r="AE980" s="1474"/>
      <c r="AF980" s="1474"/>
      <c r="AG980" s="1644"/>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3.15" customHeight="1">
      <c r="A981"/>
      <c r="B981"/>
      <c r="C981"/>
      <c r="D981"/>
      <c r="E981"/>
      <c r="F981" s="1183" t="s">
        <v>1525</v>
      </c>
      <c r="G981" s="30"/>
      <c r="H981" s="30"/>
      <c r="I981" s="30"/>
      <c r="J981" s="30"/>
      <c r="K981" s="30"/>
      <c r="L981" s="39"/>
      <c r="M981" s="1682" t="s">
        <v>311</v>
      </c>
      <c r="N981" s="1683"/>
      <c r="O981" s="1683"/>
      <c r="P981" s="1683"/>
      <c r="Q981" s="1683"/>
      <c r="R981" s="1683"/>
      <c r="S981" s="1684"/>
      <c r="T981" s="1668"/>
      <c r="U981" s="1669"/>
      <c r="V981" s="1669"/>
      <c r="W981" s="1669"/>
      <c r="X981" s="1669"/>
      <c r="Y981" s="1669"/>
      <c r="Z981" s="1670"/>
      <c r="AA981" s="1643"/>
      <c r="AB981" s="1474"/>
      <c r="AC981" s="1474"/>
      <c r="AD981" s="1474"/>
      <c r="AE981" s="1474"/>
      <c r="AF981" s="1474"/>
      <c r="AG981" s="1644"/>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3.15" customHeight="1">
      <c r="A982"/>
      <c r="B982"/>
      <c r="C982"/>
      <c r="D982"/>
      <c r="E982"/>
      <c r="F982" s="29" t="s">
        <v>1542</v>
      </c>
      <c r="G982" s="30"/>
      <c r="H982" s="30"/>
      <c r="I982" s="30"/>
      <c r="J982" s="30"/>
      <c r="K982" s="30"/>
      <c r="L982" s="39"/>
      <c r="M982" s="1643" t="s">
        <v>816</v>
      </c>
      <c r="N982" s="1474"/>
      <c r="O982" s="1474"/>
      <c r="P982" s="1474"/>
      <c r="Q982" s="1474"/>
      <c r="R982" s="1474"/>
      <c r="S982" s="1644"/>
      <c r="T982" s="1668"/>
      <c r="U982" s="1669"/>
      <c r="V982" s="1669"/>
      <c r="W982" s="1669"/>
      <c r="X982" s="1669"/>
      <c r="Y982" s="1669"/>
      <c r="Z982" s="1670"/>
      <c r="AA982" s="1643"/>
      <c r="AB982" s="1474"/>
      <c r="AC982" s="1474"/>
      <c r="AD982" s="1474"/>
      <c r="AE982" s="1474"/>
      <c r="AF982" s="1474"/>
      <c r="AG982" s="1644"/>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3.15" customHeight="1">
      <c r="F983" s="29" t="s">
        <v>1543</v>
      </c>
      <c r="G983" s="30"/>
      <c r="H983" s="30"/>
      <c r="I983" s="30"/>
      <c r="J983" s="30"/>
      <c r="K983" s="30"/>
      <c r="L983" s="30"/>
      <c r="M983" s="30"/>
      <c r="N983" s="30"/>
      <c r="O983" s="1434" t="s">
        <v>696</v>
      </c>
      <c r="P983" s="1435"/>
      <c r="Q983" s="52"/>
      <c r="R983" s="52"/>
      <c r="S983" s="53"/>
      <c r="T983" s="29" t="s">
        <v>233</v>
      </c>
      <c r="U983" s="30"/>
      <c r="V983" s="30"/>
      <c r="W983" s="1755" t="s">
        <v>1183</v>
      </c>
      <c r="X983" s="1756"/>
      <c r="Y983" s="1756"/>
      <c r="Z983" s="1756"/>
      <c r="AA983" s="1756"/>
      <c r="AB983" s="1756"/>
      <c r="AC983" s="1756"/>
      <c r="AD983" s="1756"/>
      <c r="AE983" s="1756"/>
      <c r="AF983" s="1756"/>
      <c r="AG983" s="1757"/>
      <c r="AU983" s="1182"/>
      <c r="AV983" s="54"/>
      <c r="AW983" s="54"/>
      <c r="AX983" s="54"/>
      <c r="AY983" s="54"/>
      <c r="AZ983" s="2"/>
      <c r="BB983" s="2"/>
      <c r="BC983" s="2"/>
      <c r="BD983" s="2"/>
      <c r="BE983" s="2"/>
      <c r="BF983" s="2"/>
      <c r="BG983" s="2"/>
      <c r="BH983" s="2"/>
      <c r="BI983" s="2"/>
      <c r="BJ983" s="2"/>
      <c r="BK983" s="2"/>
      <c r="BL983" s="2"/>
    </row>
    <row r="984" spans="1:64" ht="13.15" customHeight="1">
      <c r="F984" s="1574" t="s">
        <v>1544</v>
      </c>
      <c r="G984" s="1346"/>
      <c r="H984" s="1346"/>
      <c r="I984" s="1346"/>
      <c r="J984" s="1346"/>
      <c r="K984" s="1346"/>
      <c r="L984" s="1346"/>
      <c r="M984" s="1643"/>
      <c r="N984" s="1474"/>
      <c r="O984" s="1474"/>
      <c r="P984" s="1474"/>
      <c r="Q984" s="1474"/>
      <c r="R984" s="1474"/>
      <c r="S984" s="1644"/>
      <c r="T984" s="31"/>
      <c r="U984" s="32"/>
      <c r="V984" s="32"/>
      <c r="W984" s="32"/>
      <c r="X984" s="32"/>
      <c r="Y984" s="32"/>
      <c r="Z984" s="72" t="s">
        <v>1545</v>
      </c>
      <c r="AA984" s="1727"/>
      <c r="AB984" s="1728"/>
      <c r="AC984" s="1728"/>
      <c r="AD984" s="1728"/>
      <c r="AE984" s="1728"/>
      <c r="AF984" s="1728"/>
      <c r="AG984" s="1729"/>
      <c r="AU984" s="1182"/>
      <c r="AV984" s="54"/>
      <c r="AW984" s="54"/>
      <c r="AX984" s="54"/>
      <c r="AY984" s="54"/>
      <c r="AZ984" s="11"/>
      <c r="BA984" s="11"/>
      <c r="BB984" s="2"/>
      <c r="BC984" s="2"/>
      <c r="BD984" s="2"/>
      <c r="BE984" s="2"/>
      <c r="BF984" s="2"/>
      <c r="BG984" s="11"/>
      <c r="BH984" s="11"/>
      <c r="BI984" s="11"/>
      <c r="BJ984" s="11"/>
      <c r="BK984" s="11"/>
      <c r="BL984" s="11"/>
    </row>
    <row r="985" spans="1:64" ht="13.15" customHeight="1">
      <c r="AU985" s="1182"/>
      <c r="AV985" s="1182"/>
      <c r="AW985" s="1182"/>
      <c r="AX985" s="1182"/>
      <c r="AY985" s="1182"/>
      <c r="AZ985" s="11"/>
      <c r="BA985" s="11"/>
      <c r="BB985" s="11"/>
      <c r="BC985" s="11"/>
      <c r="BD985" s="11"/>
      <c r="BE985" s="11"/>
      <c r="BF985" s="11"/>
      <c r="BG985" s="1597"/>
      <c r="BH985" s="1597"/>
      <c r="BI985" s="1597"/>
      <c r="BJ985" s="1597"/>
      <c r="BK985" s="1597"/>
      <c r="BL985" s="1597"/>
    </row>
    <row r="986" spans="1:64" ht="13.1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3.15" customHeight="1">
      <c r="AU987" s="1182"/>
      <c r="AV987" s="1182"/>
      <c r="AW987" s="1182"/>
      <c r="AX987" s="1182"/>
      <c r="AY987" s="1182"/>
      <c r="AZ987" s="11"/>
      <c r="BA987" s="11"/>
      <c r="BB987" s="714"/>
      <c r="BC987" s="714"/>
    </row>
    <row r="988" spans="1:64" ht="13.15" customHeight="1">
      <c r="A988" s="1500" t="s">
        <v>1546</v>
      </c>
      <c r="B988" s="1500"/>
      <c r="C988" s="1500"/>
      <c r="D988" s="1500"/>
      <c r="E988" s="1500"/>
      <c r="F988" s="1500"/>
      <c r="G988" s="1500"/>
      <c r="H988" s="1500"/>
      <c r="I988" s="1500"/>
      <c r="J988" s="1500"/>
      <c r="K988" s="1500"/>
      <c r="L988" s="1500"/>
      <c r="M988" s="1500"/>
      <c r="N988" s="1500"/>
      <c r="O988" s="1500"/>
      <c r="P988" s="1500"/>
      <c r="Q988" s="1500"/>
      <c r="R988" s="1500"/>
      <c r="S988" s="1500"/>
      <c r="T988" s="1500"/>
      <c r="U988" s="1500"/>
      <c r="V988" s="1500"/>
      <c r="W988" s="1500"/>
      <c r="X988" s="1500"/>
      <c r="Y988" s="1500"/>
      <c r="Z988" s="1500"/>
      <c r="AA988" s="1500"/>
      <c r="AB988" s="1500"/>
      <c r="AC988" s="1500"/>
      <c r="AD988" s="1500"/>
      <c r="AE988" s="1500"/>
      <c r="AF988" s="1500"/>
      <c r="AG988" s="1500"/>
      <c r="AH988" s="1500"/>
      <c r="AI988" s="1500"/>
      <c r="AJ988" s="1500"/>
      <c r="AK988" s="1500"/>
      <c r="AL988" s="1500"/>
      <c r="AM988" s="1500"/>
      <c r="AN988" s="1500"/>
      <c r="AO988" s="1500"/>
      <c r="AP988" s="1500"/>
      <c r="AQ988" s="1500"/>
      <c r="AR988" s="1500"/>
      <c r="AS988" s="1500"/>
      <c r="AT988" s="1500"/>
      <c r="AU988" s="1182"/>
      <c r="AV988" s="1182"/>
      <c r="AW988" s="1182"/>
      <c r="AX988" s="1182"/>
      <c r="AY988" s="1182"/>
      <c r="AZ988" s="11"/>
      <c r="BA988" s="11"/>
      <c r="BB988" s="714"/>
      <c r="BC988" s="714"/>
    </row>
    <row r="989" spans="1:64" ht="13.15" customHeight="1">
      <c r="A989" s="1500"/>
      <c r="B989" s="1500"/>
      <c r="C989" s="1500"/>
      <c r="D989" s="1500"/>
      <c r="E989" s="1500"/>
      <c r="F989" s="1500"/>
      <c r="G989" s="1500"/>
      <c r="H989" s="1500"/>
      <c r="I989" s="1500"/>
      <c r="J989" s="1500"/>
      <c r="K989" s="1500"/>
      <c r="L989" s="1500"/>
      <c r="M989" s="1500"/>
      <c r="N989" s="1500"/>
      <c r="O989" s="1500"/>
      <c r="P989" s="1500"/>
      <c r="Q989" s="1500"/>
      <c r="R989" s="1500"/>
      <c r="S989" s="1500"/>
      <c r="T989" s="1500"/>
      <c r="U989" s="1500"/>
      <c r="V989" s="1500"/>
      <c r="W989" s="1500"/>
      <c r="X989" s="1500"/>
      <c r="Y989" s="1500"/>
      <c r="Z989" s="1500"/>
      <c r="AA989" s="1500"/>
      <c r="AB989" s="1500"/>
      <c r="AC989" s="1500"/>
      <c r="AD989" s="1500"/>
      <c r="AE989" s="1500"/>
      <c r="AF989" s="1500"/>
      <c r="AG989" s="1500"/>
      <c r="AH989" s="1500"/>
      <c r="AI989" s="1500"/>
      <c r="AJ989" s="1500"/>
      <c r="AK989" s="1500"/>
      <c r="AL989" s="1500"/>
      <c r="AM989" s="1500"/>
      <c r="AN989" s="1500"/>
      <c r="AO989" s="1500"/>
      <c r="AP989" s="1500"/>
      <c r="AQ989" s="1500"/>
      <c r="AR989" s="1500"/>
      <c r="AS989" s="1500"/>
      <c r="AT989" s="1500"/>
      <c r="AU989" s="1182"/>
      <c r="AV989" s="1182"/>
      <c r="AW989" s="1182"/>
      <c r="AX989" s="1182"/>
      <c r="AY989" s="1182"/>
      <c r="AZ989" s="23"/>
      <c r="BA989" s="11"/>
      <c r="BB989" s="11"/>
      <c r="BC989" s="11"/>
    </row>
    <row r="990" spans="1:64" ht="13.15" customHeight="1">
      <c r="A990" s="1500"/>
      <c r="B990" s="1500"/>
      <c r="C990" s="1500"/>
      <c r="D990" s="1500"/>
      <c r="E990" s="1500"/>
      <c r="F990" s="1500"/>
      <c r="G990" s="1500"/>
      <c r="H990" s="1500"/>
      <c r="I990" s="1500"/>
      <c r="J990" s="1500"/>
      <c r="K990" s="1500"/>
      <c r="L990" s="1500"/>
      <c r="M990" s="1500"/>
      <c r="N990" s="1500"/>
      <c r="O990" s="1500"/>
      <c r="P990" s="1500"/>
      <c r="Q990" s="1500"/>
      <c r="R990" s="1500"/>
      <c r="S990" s="1500"/>
      <c r="T990" s="1500"/>
      <c r="U990" s="1500"/>
      <c r="V990" s="1500"/>
      <c r="W990" s="1500"/>
      <c r="X990" s="1500"/>
      <c r="Y990" s="1500"/>
      <c r="Z990" s="1500"/>
      <c r="AA990" s="1500"/>
      <c r="AB990" s="1500"/>
      <c r="AC990" s="1500"/>
      <c r="AD990" s="1500"/>
      <c r="AE990" s="1500"/>
      <c r="AF990" s="1500"/>
      <c r="AG990" s="1500"/>
      <c r="AH990" s="1500"/>
      <c r="AI990" s="1500"/>
      <c r="AJ990" s="1500"/>
      <c r="AK990" s="1500"/>
      <c r="AL990" s="1500"/>
      <c r="AM990" s="1500"/>
      <c r="AN990" s="1500"/>
      <c r="AO990" s="1500"/>
      <c r="AP990" s="1500"/>
      <c r="AQ990" s="1500"/>
      <c r="AR990" s="1500"/>
      <c r="AS990" s="1500"/>
      <c r="AT990" s="1500"/>
      <c r="AU990" s="1182"/>
      <c r="AV990" s="1182"/>
      <c r="AW990" s="1182"/>
      <c r="AX990" s="1182"/>
      <c r="AY990" s="1182"/>
      <c r="AZ990" s="23"/>
      <c r="BA990" s="11"/>
      <c r="BB990" s="11"/>
      <c r="BC990" s="11"/>
    </row>
    <row r="991" spans="1:64" ht="13.1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3.15"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3.1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3.15" customHeight="1">
      <c r="A994" s="11"/>
      <c r="B994" s="47"/>
      <c r="C994" s="1184"/>
      <c r="D994" s="1751" t="s">
        <v>1547</v>
      </c>
      <c r="E994" s="1752"/>
      <c r="F994" s="1752"/>
      <c r="G994" s="1752"/>
      <c r="H994" s="1752"/>
      <c r="I994" s="1752"/>
      <c r="J994" s="1752"/>
      <c r="K994" s="1752"/>
      <c r="L994" s="1752"/>
      <c r="M994" s="1752"/>
      <c r="N994" s="1752"/>
      <c r="O994" s="1752"/>
      <c r="P994" s="1752"/>
      <c r="Q994" s="1753"/>
      <c r="R994" s="1751" t="s">
        <v>1548</v>
      </c>
      <c r="S994" s="1752"/>
      <c r="T994" s="1752"/>
      <c r="U994" s="1752"/>
      <c r="V994" s="1752"/>
      <c r="W994" s="1752"/>
      <c r="X994" s="1752"/>
      <c r="Y994" s="1752"/>
      <c r="Z994" s="1752"/>
      <c r="AA994" s="1753"/>
      <c r="AB994" s="1751" t="s">
        <v>1549</v>
      </c>
      <c r="AC994" s="1752"/>
      <c r="AD994" s="1752"/>
      <c r="AE994" s="1752"/>
      <c r="AF994" s="1752"/>
      <c r="AG994" s="1752"/>
      <c r="AH994" s="1752"/>
      <c r="AI994" s="1753"/>
      <c r="AJ994" s="1751" t="s">
        <v>1550</v>
      </c>
      <c r="AK994" s="1752"/>
      <c r="AL994" s="1752"/>
      <c r="AM994" s="1752"/>
      <c r="AN994" s="1752"/>
      <c r="AO994" s="1752"/>
      <c r="AP994" s="1752"/>
      <c r="AQ994" s="1753"/>
      <c r="AR994" s="1182"/>
      <c r="AS994" s="1182"/>
      <c r="AT994" s="1182"/>
      <c r="AU994" s="1182"/>
      <c r="AV994" s="1182"/>
      <c r="AW994" s="1182"/>
      <c r="AX994" s="1182"/>
      <c r="AY994" s="1182"/>
      <c r="AZ994" s="23"/>
      <c r="BB994" s="11"/>
      <c r="BC994" s="11"/>
    </row>
    <row r="995" spans="1:55" ht="13.15" customHeight="1">
      <c r="A995" s="11"/>
      <c r="B995" s="44"/>
      <c r="C995" s="729"/>
      <c r="D995" s="1625" t="s">
        <v>839</v>
      </c>
      <c r="E995" s="1626"/>
      <c r="F995" s="1626"/>
      <c r="G995" s="1626"/>
      <c r="H995" s="1626"/>
      <c r="I995" s="1626"/>
      <c r="J995" s="1626"/>
      <c r="K995" s="1626"/>
      <c r="L995" s="1626"/>
      <c r="M995" s="1626"/>
      <c r="N995" s="1626"/>
      <c r="O995" s="1626"/>
      <c r="P995" s="1626"/>
      <c r="Q995" s="1627"/>
      <c r="R995" s="1681">
        <f>IF(ISNA(IF($CU$122="4%",(INDEX($CS$160:$CW$217,MATCH($DG$122,$CR$160:$CR$217,0),MATCH(D995,$CS$159:$CW$159,0))),(INDEX($CZ$160:$DD$217,MATCH($DG$122,$CY$160:$CY$217,0),MATCH(D995,$CZ$159:$DD$159,0))))),0,IF($CU$122="4%",(INDEX($CS$160:$CW$217,MATCH($DG$122,$CR$160:$CR$217,0),MATCH(D995,$CS$159:$CW$159,0))),(INDEX($CZ$160:$DD$217,MATCH($DG$122,$CY$160:$CY$217,0),MATCH(D995,$CZ$159:$DD$159,0)))))</f>
        <v>437727</v>
      </c>
      <c r="S995" s="1681"/>
      <c r="T995" s="1681"/>
      <c r="U995" s="1681"/>
      <c r="V995" s="1681"/>
      <c r="W995" s="1681"/>
      <c r="X995" s="1681"/>
      <c r="Y995" s="1681"/>
      <c r="Z995" s="1681"/>
      <c r="AA995" s="1681"/>
      <c r="AB995" s="1665">
        <f>CP810</f>
        <v>0</v>
      </c>
      <c r="AC995" s="1666"/>
      <c r="AD995" s="1666"/>
      <c r="AE995" s="1666"/>
      <c r="AF995" s="1666"/>
      <c r="AG995" s="1666"/>
      <c r="AH995" s="1666"/>
      <c r="AI995" s="1667"/>
      <c r="AJ995" s="1653">
        <f>IF(ISERROR((R995*AB995)),0,(R995*AB995))</f>
        <v>0</v>
      </c>
      <c r="AK995" s="1654"/>
      <c r="AL995" s="1654"/>
      <c r="AM995" s="1654"/>
      <c r="AN995" s="1654"/>
      <c r="AO995" s="1654"/>
      <c r="AP995" s="1654"/>
      <c r="AQ995" s="1655"/>
      <c r="AR995" s="1182"/>
      <c r="AS995" s="1182"/>
      <c r="AT995" s="1182"/>
      <c r="AU995" s="1182"/>
      <c r="AV995" s="1182"/>
      <c r="AW995" s="1182"/>
      <c r="AX995" s="1182"/>
      <c r="AY995" s="1182"/>
      <c r="AZ995" s="23"/>
      <c r="BB995" s="11"/>
      <c r="BC995" s="11"/>
    </row>
    <row r="996" spans="1:55" ht="13.15" customHeight="1">
      <c r="A996" s="11"/>
      <c r="B996" s="44"/>
      <c r="C996" s="48"/>
      <c r="D996" s="1625" t="s">
        <v>834</v>
      </c>
      <c r="E996" s="1626"/>
      <c r="F996" s="1626"/>
      <c r="G996" s="1626"/>
      <c r="H996" s="1626"/>
      <c r="I996" s="1626"/>
      <c r="J996" s="1626"/>
      <c r="K996" s="1626"/>
      <c r="L996" s="1626"/>
      <c r="M996" s="1626"/>
      <c r="N996" s="1626"/>
      <c r="O996" s="1626"/>
      <c r="P996" s="1626"/>
      <c r="Q996" s="1627"/>
      <c r="R996" s="1681">
        <f>IF(ISNA(IF($CU$122="4%",(INDEX($CS$160:$CW$217,MATCH($DG$122,$CR$160:$CR$217,0),MATCH(D996,$CS$159:$CW$159,0))),(INDEX($CZ$160:$DD$217,MATCH($DG$122,$CY$160:$CY$217,0),MATCH(D996,$CZ$159:$DD$159,0))))),0,IF($CU$122="4%",(INDEX($CS$160:$CW$217,MATCH($DG$122,$CR$160:$CR$217,0),MATCH(D996,$CS$159:$CW$159,0))),(INDEX($CZ$160:$DD$217,MATCH($DG$122,$CY$160:$CY$217,0),MATCH(D996,$CZ$159:$DD$159,0)))))</f>
        <v>504695</v>
      </c>
      <c r="S996" s="1681"/>
      <c r="T996" s="1681"/>
      <c r="U996" s="1681"/>
      <c r="V996" s="1681"/>
      <c r="W996" s="1681"/>
      <c r="X996" s="1681"/>
      <c r="Y996" s="1681"/>
      <c r="Z996" s="1681"/>
      <c r="AA996" s="1681"/>
      <c r="AB996" s="1665">
        <f>CU810</f>
        <v>74</v>
      </c>
      <c r="AC996" s="1666"/>
      <c r="AD996" s="1666"/>
      <c r="AE996" s="1666"/>
      <c r="AF996" s="1666"/>
      <c r="AG996" s="1666"/>
      <c r="AH996" s="1666"/>
      <c r="AI996" s="1667"/>
      <c r="AJ996" s="1653">
        <f>IF(ISERROR((R996*AB996)),0,(R996*AB996))</f>
        <v>37347430</v>
      </c>
      <c r="AK996" s="1654"/>
      <c r="AL996" s="1654"/>
      <c r="AM996" s="1654"/>
      <c r="AN996" s="1654"/>
      <c r="AO996" s="1654"/>
      <c r="AP996" s="1654"/>
      <c r="AQ996" s="1655"/>
      <c r="AR996" s="1182"/>
      <c r="AS996" s="1182"/>
      <c r="AT996" s="1182"/>
      <c r="AU996" s="1182"/>
      <c r="AV996" s="1182"/>
      <c r="AW996" s="1182"/>
      <c r="AX996" s="1182"/>
      <c r="AY996" s="1182"/>
      <c r="AZ996" s="23"/>
      <c r="BB996" s="11"/>
      <c r="BC996" s="11"/>
    </row>
    <row r="997" spans="1:55" ht="13.15" customHeight="1">
      <c r="A997" s="11"/>
      <c r="B997" s="44"/>
      <c r="C997" s="48"/>
      <c r="D997" s="1625" t="s">
        <v>835</v>
      </c>
      <c r="E997" s="1626"/>
      <c r="F997" s="1626"/>
      <c r="G997" s="1626"/>
      <c r="H997" s="1626"/>
      <c r="I997" s="1626"/>
      <c r="J997" s="1626"/>
      <c r="K997" s="1626"/>
      <c r="L997" s="1626"/>
      <c r="M997" s="1626"/>
      <c r="N997" s="1626"/>
      <c r="O997" s="1626"/>
      <c r="P997" s="1626"/>
      <c r="Q997" s="1627"/>
      <c r="R997" s="1681">
        <f>IF(ISNA(IF($CU$122="4%",(INDEX($CS$160:$CW$217,MATCH($DG$122,$CR$160:$CR$217,0),MATCH(D997,$CS$159:$CW$159,0))),(INDEX($CZ$160:$DD$217,MATCH($DG$122,$CY$160:$CY$217,0),MATCH(D997,$CZ$159:$DD$159,0))))),0,IF($CU$122="4%",(INDEX($CS$160:$CW$217,MATCH($DG$122,$CR$160:$CR$217,0),MATCH(D997,$CS$159:$CW$159,0))),(INDEX($CZ$160:$DD$217,MATCH($DG$122,$CY$160:$CY$217,0),MATCH(D997,$CZ$159:$DD$159,0)))))</f>
        <v>608800</v>
      </c>
      <c r="S997" s="1681"/>
      <c r="T997" s="1681"/>
      <c r="U997" s="1681"/>
      <c r="V997" s="1681"/>
      <c r="W997" s="1681"/>
      <c r="X997" s="1681"/>
      <c r="Y997" s="1681"/>
      <c r="Z997" s="1681"/>
      <c r="AA997" s="1681"/>
      <c r="AB997" s="1665">
        <f>CZ810</f>
        <v>40</v>
      </c>
      <c r="AC997" s="1666"/>
      <c r="AD997" s="1666"/>
      <c r="AE997" s="1666"/>
      <c r="AF997" s="1666"/>
      <c r="AG997" s="1666"/>
      <c r="AH997" s="1666"/>
      <c r="AI997" s="1667"/>
      <c r="AJ997" s="1653">
        <f>IF(ISERROR((R997*AB997)),0,(R997*AB997))</f>
        <v>24352000</v>
      </c>
      <c r="AK997" s="1654"/>
      <c r="AL997" s="1654"/>
      <c r="AM997" s="1654"/>
      <c r="AN997" s="1654"/>
      <c r="AO997" s="1654"/>
      <c r="AP997" s="1654"/>
      <c r="AQ997" s="1655"/>
      <c r="AR997" s="1182"/>
      <c r="AS997" s="1182"/>
      <c r="AT997" s="1182"/>
      <c r="AU997" s="1182"/>
      <c r="AV997" s="1182"/>
      <c r="AW997" s="1182"/>
      <c r="AX997" s="1182"/>
      <c r="AY997" s="1182"/>
      <c r="AZ997" s="23"/>
      <c r="BB997" s="11"/>
      <c r="BC997" s="11"/>
    </row>
    <row r="998" spans="1:55" ht="13.15" customHeight="1">
      <c r="A998" s="11"/>
      <c r="B998" s="44"/>
      <c r="C998" s="48"/>
      <c r="D998" s="1625" t="s">
        <v>836</v>
      </c>
      <c r="E998" s="1626"/>
      <c r="F998" s="1626"/>
      <c r="G998" s="1626"/>
      <c r="H998" s="1626"/>
      <c r="I998" s="1626"/>
      <c r="J998" s="1626"/>
      <c r="K998" s="1626"/>
      <c r="L998" s="1626"/>
      <c r="M998" s="1626"/>
      <c r="N998" s="1626"/>
      <c r="O998" s="1626"/>
      <c r="P998" s="1626"/>
      <c r="Q998" s="1627"/>
      <c r="R998" s="1681">
        <f>IF(ISNA(IF($CU$122="4%",(INDEX($CS$160:$CW$217,MATCH($DG$122,$CR$160:$CR$217,0),MATCH(D998,$CS$159:$CW$159,0))),(INDEX($CZ$160:$DD$217,MATCH($DG$122,$CY$160:$CY$217,0),MATCH(D998,$CZ$159:$DD$159,0))))),0,IF($CU$122="4%",(INDEX($CS$160:$CW$217,MATCH($DG$122,$CR$160:$CR$217,0),MATCH(D998,$CS$159:$CW$159,0))),(INDEX($CZ$160:$DD$217,MATCH($DG$122,$CY$160:$CY$217,0),MATCH(D998,$CZ$159:$DD$159,0)))))</f>
        <v>779264</v>
      </c>
      <c r="S998" s="1681"/>
      <c r="T998" s="1681"/>
      <c r="U998" s="1681"/>
      <c r="V998" s="1681"/>
      <c r="W998" s="1681"/>
      <c r="X998" s="1681"/>
      <c r="Y998" s="1681"/>
      <c r="Z998" s="1681"/>
      <c r="AA998" s="1681"/>
      <c r="AB998" s="1665">
        <f>DE810</f>
        <v>39</v>
      </c>
      <c r="AC998" s="1666"/>
      <c r="AD998" s="1666"/>
      <c r="AE998" s="1666"/>
      <c r="AF998" s="1666"/>
      <c r="AG998" s="1666"/>
      <c r="AH998" s="1666"/>
      <c r="AI998" s="1667"/>
      <c r="AJ998" s="1653">
        <f>IF(ISERROR((R998*AB998)),0,(R998*AB998))</f>
        <v>30391296</v>
      </c>
      <c r="AK998" s="1654"/>
      <c r="AL998" s="1654"/>
      <c r="AM998" s="1654"/>
      <c r="AN998" s="1654"/>
      <c r="AO998" s="1654"/>
      <c r="AP998" s="1654"/>
      <c r="AQ998" s="1655"/>
      <c r="AR998" s="1182"/>
      <c r="AS998" s="1182"/>
      <c r="AT998" s="1182"/>
      <c r="AU998" s="1182"/>
      <c r="AV998" s="1182"/>
      <c r="AW998" s="1182"/>
      <c r="AX998" s="1182"/>
      <c r="AY998" s="1182"/>
      <c r="AZ998" s="23"/>
      <c r="BA998" s="2"/>
      <c r="BB998" s="11"/>
      <c r="BC998" s="11"/>
    </row>
    <row r="999" spans="1:55" ht="13.15" customHeight="1">
      <c r="A999" s="11"/>
      <c r="B999" s="31"/>
      <c r="C999" s="46"/>
      <c r="D999" s="1625" t="s">
        <v>840</v>
      </c>
      <c r="E999" s="1626"/>
      <c r="F999" s="1626"/>
      <c r="G999" s="1626"/>
      <c r="H999" s="1626"/>
      <c r="I999" s="1626"/>
      <c r="J999" s="1626"/>
      <c r="K999" s="1626"/>
      <c r="L999" s="1626"/>
      <c r="M999" s="1626"/>
      <c r="N999" s="1626"/>
      <c r="O999" s="1626"/>
      <c r="P999" s="1626"/>
      <c r="Q999" s="1627"/>
      <c r="R999" s="1681">
        <f>IF(ISNA(IF($CU$122="4%",(INDEX($CS$160:$CW$217,MATCH($DG$122,$CR$160:$CR$217,0),MATCH(D999,$CS$159:$CW$159,0))),(INDEX($CZ$160:$DD$217,MATCH($DG$122,$CY$160:$CY$217,0),MATCH(D999,$CZ$159:$DD$159,0))))),0,IF($CU$122="4%",(INDEX($CS$160:$CW$217,MATCH($DG$122,$CR$160:$CR$217,0),MATCH(D999,$CS$159:$CW$159,0))),(INDEX($CZ$160:$DD$217,MATCH($DG$122,$CY$160:$CY$217,0),MATCH(D999,$CZ$159:$DD$159,0)))))</f>
        <v>868149</v>
      </c>
      <c r="S999" s="1681"/>
      <c r="T999" s="1681"/>
      <c r="U999" s="1681"/>
      <c r="V999" s="1681"/>
      <c r="W999" s="1681"/>
      <c r="X999" s="1681"/>
      <c r="Y999" s="1681"/>
      <c r="Z999" s="1681"/>
      <c r="AA999" s="1681"/>
      <c r="AB999" s="1665">
        <f>DO810+DJ810</f>
        <v>0</v>
      </c>
      <c r="AC999" s="1666"/>
      <c r="AD999" s="1666"/>
      <c r="AE999" s="1666"/>
      <c r="AF999" s="1666"/>
      <c r="AG999" s="1666"/>
      <c r="AH999" s="1666"/>
      <c r="AI999" s="1667"/>
      <c r="AJ999" s="1653">
        <f>IF(ISERROR((R999*AB999)),0,(R999*AB999))</f>
        <v>0</v>
      </c>
      <c r="AK999" s="1654"/>
      <c r="AL999" s="1654"/>
      <c r="AM999" s="1654"/>
      <c r="AN999" s="1654"/>
      <c r="AO999" s="1654"/>
      <c r="AP999" s="1654"/>
      <c r="AQ999" s="1655"/>
      <c r="AR999" s="1182"/>
      <c r="AS999" s="1182"/>
      <c r="AT999" s="1182"/>
      <c r="AU999" s="1182"/>
      <c r="AV999" s="1182"/>
      <c r="AW999" s="1182"/>
      <c r="AX999" s="1182"/>
      <c r="AY999" s="1182"/>
      <c r="AZ999" s="23"/>
      <c r="BB999" s="11"/>
      <c r="BC999" s="11"/>
    </row>
    <row r="1000" spans="1:55" ht="13.15" customHeight="1">
      <c r="A1000" s="11"/>
      <c r="B1000" s="1713" t="s">
        <v>1551</v>
      </c>
      <c r="C1000" s="1714"/>
      <c r="D1000" s="1714"/>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c r="AA1000" s="1715"/>
      <c r="AB1000" s="1665">
        <f>SUM(AB995:AI999)</f>
        <v>153</v>
      </c>
      <c r="AC1000" s="1666"/>
      <c r="AD1000" s="1666"/>
      <c r="AE1000" s="1666"/>
      <c r="AF1000" s="1666"/>
      <c r="AG1000" s="1666"/>
      <c r="AH1000" s="1666"/>
      <c r="AI1000" s="1667"/>
      <c r="AJ1000" s="1653"/>
      <c r="AK1000" s="1654"/>
      <c r="AL1000" s="1654"/>
      <c r="AM1000" s="1654"/>
      <c r="AN1000" s="1654"/>
      <c r="AO1000" s="1654"/>
      <c r="AP1000" s="1654"/>
      <c r="AQ1000" s="1655"/>
      <c r="AR1000" s="1182"/>
      <c r="AS1000" s="1182"/>
      <c r="AT1000" s="1182"/>
      <c r="AU1000" s="1182"/>
      <c r="AV1000" s="1182"/>
      <c r="AW1000" s="1182"/>
      <c r="AX1000" s="1182"/>
      <c r="AY1000" s="1182"/>
      <c r="AZ1000" s="2"/>
      <c r="BA1000" s="2"/>
      <c r="BB1000" s="11"/>
      <c r="BC1000" s="11"/>
    </row>
    <row r="1001" spans="1:55" ht="13.15" customHeight="1">
      <c r="A1001" s="11"/>
      <c r="B1001" s="1707" t="s">
        <v>1552</v>
      </c>
      <c r="C1001" s="1708"/>
      <c r="D1001" s="1708"/>
      <c r="E1001" s="1708"/>
      <c r="F1001" s="1708"/>
      <c r="G1001" s="1708"/>
      <c r="H1001" s="1708"/>
      <c r="I1001" s="1708"/>
      <c r="J1001" s="1708"/>
      <c r="K1001" s="1708"/>
      <c r="L1001" s="1708"/>
      <c r="M1001" s="1708"/>
      <c r="N1001" s="1708"/>
      <c r="O1001" s="1708"/>
      <c r="P1001" s="1708"/>
      <c r="Q1001" s="1708"/>
      <c r="R1001" s="1708"/>
      <c r="S1001" s="1708"/>
      <c r="T1001" s="1708"/>
      <c r="U1001" s="1708"/>
      <c r="V1001" s="1708"/>
      <c r="W1001" s="1708"/>
      <c r="X1001" s="1708"/>
      <c r="Y1001" s="1708"/>
      <c r="Z1001" s="1708"/>
      <c r="AA1001" s="1708"/>
      <c r="AB1001" s="1708"/>
      <c r="AC1001" s="1708"/>
      <c r="AD1001" s="1708"/>
      <c r="AE1001" s="1708"/>
      <c r="AF1001" s="1708"/>
      <c r="AG1001" s="1708"/>
      <c r="AH1001" s="1708"/>
      <c r="AI1001" s="1709"/>
      <c r="AJ1001" s="1653">
        <f>SUM(AJ995:AQ999)</f>
        <v>92090726</v>
      </c>
      <c r="AK1001" s="1654"/>
      <c r="AL1001" s="1654"/>
      <c r="AM1001" s="1654"/>
      <c r="AN1001" s="1654"/>
      <c r="AO1001" s="1654"/>
      <c r="AP1001" s="1654"/>
      <c r="AQ1001" s="1655"/>
      <c r="AR1001" s="1182"/>
      <c r="AS1001" s="1182"/>
      <c r="AT1001" s="1182"/>
      <c r="AU1001" s="1182"/>
      <c r="AV1001" s="1182"/>
      <c r="AW1001" s="1182"/>
      <c r="AX1001" s="1182"/>
      <c r="AY1001" s="1182"/>
      <c r="AZ1001" s="2"/>
      <c r="BB1001" s="2"/>
      <c r="BC1001" s="2"/>
    </row>
    <row r="1002" spans="1:55" ht="13.15" customHeight="1">
      <c r="A1002" s="11"/>
      <c r="B1002" s="1704"/>
      <c r="C1002" s="1705"/>
      <c r="D1002" s="1705"/>
      <c r="E1002" s="1705"/>
      <c r="F1002" s="1705"/>
      <c r="G1002" s="1705"/>
      <c r="H1002" s="1705"/>
      <c r="I1002" s="1705"/>
      <c r="J1002" s="1705"/>
      <c r="K1002" s="1705"/>
      <c r="L1002" s="1705"/>
      <c r="M1002" s="1705"/>
      <c r="N1002" s="1705"/>
      <c r="O1002" s="1705"/>
      <c r="P1002" s="1705"/>
      <c r="Q1002" s="1705"/>
      <c r="R1002" s="1705"/>
      <c r="S1002" s="1705"/>
      <c r="T1002" s="1705"/>
      <c r="U1002" s="1705"/>
      <c r="V1002" s="1705"/>
      <c r="W1002" s="1705"/>
      <c r="X1002" s="1705"/>
      <c r="Y1002" s="1705"/>
      <c r="Z1002" s="1705"/>
      <c r="AA1002" s="1705"/>
      <c r="AB1002" s="1705"/>
      <c r="AC1002" s="1705"/>
      <c r="AD1002" s="1705"/>
      <c r="AE1002" s="1706"/>
      <c r="AF1002" s="1730" t="s">
        <v>1553</v>
      </c>
      <c r="AG1002" s="1731"/>
      <c r="AH1002" s="1731"/>
      <c r="AI1002" s="1732"/>
      <c r="AJ1002" s="1704"/>
      <c r="AK1002" s="1705"/>
      <c r="AL1002" s="1705"/>
      <c r="AM1002" s="1705"/>
      <c r="AN1002" s="1705"/>
      <c r="AO1002" s="1705"/>
      <c r="AP1002" s="1705"/>
      <c r="AQ1002" s="1706"/>
      <c r="AR1002" s="1182"/>
      <c r="AS1002" s="1182"/>
      <c r="AT1002" s="1182"/>
      <c r="AU1002" s="1182"/>
      <c r="AV1002" s="1182"/>
      <c r="AW1002" s="1182"/>
      <c r="AX1002" s="1182"/>
      <c r="AY1002" s="1182"/>
      <c r="AZ1002" s="2"/>
      <c r="BA1002" s="2"/>
      <c r="BB1002" s="2"/>
      <c r="BC1002" s="2"/>
    </row>
    <row r="1003" spans="1:55" ht="13.15" customHeight="1">
      <c r="A1003" s="11"/>
      <c r="B1003" s="44"/>
      <c r="C1003" s="1185" t="s">
        <v>1554</v>
      </c>
      <c r="D1003" s="1710" t="s">
        <v>1555</v>
      </c>
      <c r="E1003" s="1711"/>
      <c r="F1003" s="1711"/>
      <c r="G1003" s="1711"/>
      <c r="H1003" s="1711"/>
      <c r="I1003" s="1711"/>
      <c r="J1003" s="1711"/>
      <c r="K1003" s="1711"/>
      <c r="L1003" s="1711"/>
      <c r="M1003" s="1711"/>
      <c r="N1003" s="1711"/>
      <c r="O1003" s="1711"/>
      <c r="P1003" s="1711"/>
      <c r="Q1003" s="1711"/>
      <c r="R1003" s="1711"/>
      <c r="S1003" s="1711"/>
      <c r="T1003" s="1711"/>
      <c r="U1003" s="1711"/>
      <c r="V1003" s="1711"/>
      <c r="W1003" s="1711"/>
      <c r="X1003" s="1711"/>
      <c r="Y1003" s="1711"/>
      <c r="Z1003" s="1711"/>
      <c r="AA1003" s="1711"/>
      <c r="AB1003" s="1711"/>
      <c r="AC1003" s="1711"/>
      <c r="AD1003" s="1711"/>
      <c r="AE1003" s="1712"/>
      <c r="AF1003" s="47"/>
      <c r="AG1003" s="1733" t="s">
        <v>847</v>
      </c>
      <c r="AH1003" s="1734"/>
      <c r="AI1003" s="50"/>
      <c r="AJ1003" s="1686">
        <f>ROUND(IF(AND(AG1003="yes",D1009&gt;0),AJ1001*0.2,0),0)</f>
        <v>18418145</v>
      </c>
      <c r="AK1003" s="1687"/>
      <c r="AL1003" s="1687"/>
      <c r="AM1003" s="1687"/>
      <c r="AN1003" s="1687"/>
      <c r="AO1003" s="1687"/>
      <c r="AP1003" s="1687"/>
      <c r="AQ1003" s="1688"/>
      <c r="AR1003" s="1182"/>
      <c r="AS1003" s="1182"/>
      <c r="AT1003" s="1182"/>
      <c r="AU1003" s="1182"/>
      <c r="AV1003" s="1182"/>
      <c r="AW1003" s="1182"/>
      <c r="AX1003" s="1182"/>
      <c r="AY1003" s="1182"/>
      <c r="AZ1003" s="2"/>
      <c r="BA1003" s="2"/>
      <c r="BB1003" s="2"/>
      <c r="BC1003" s="2"/>
    </row>
    <row r="1004" spans="1:55" ht="13.15" customHeight="1">
      <c r="A1004" s="11"/>
      <c r="B1004" s="1186"/>
      <c r="C1004" s="1187"/>
      <c r="D1004" s="1744" t="s">
        <v>1556</v>
      </c>
      <c r="E1004" s="1745"/>
      <c r="F1004" s="1745"/>
      <c r="G1004" s="1745"/>
      <c r="H1004" s="1745"/>
      <c r="I1004" s="1745"/>
      <c r="J1004" s="1745"/>
      <c r="K1004" s="1745"/>
      <c r="L1004" s="1745"/>
      <c r="M1004" s="1745"/>
      <c r="N1004" s="1745"/>
      <c r="O1004" s="1745"/>
      <c r="P1004" s="1745"/>
      <c r="Q1004" s="1745"/>
      <c r="R1004" s="1745"/>
      <c r="S1004" s="1745"/>
      <c r="T1004" s="1745"/>
      <c r="U1004" s="1745"/>
      <c r="V1004" s="1745"/>
      <c r="W1004" s="1745"/>
      <c r="X1004" s="1745"/>
      <c r="Y1004" s="1745"/>
      <c r="Z1004" s="1745"/>
      <c r="AA1004" s="1745"/>
      <c r="AB1004" s="1745"/>
      <c r="AC1004" s="1745"/>
      <c r="AD1004" s="1745"/>
      <c r="AE1004" s="1746"/>
      <c r="AF1004" s="44"/>
      <c r="AG1004" s="11"/>
      <c r="AH1004" s="11"/>
      <c r="AI1004" s="48"/>
      <c r="AJ1004" s="1689"/>
      <c r="AK1004" s="1690"/>
      <c r="AL1004" s="1690"/>
      <c r="AM1004" s="1690"/>
      <c r="AN1004" s="1690"/>
      <c r="AO1004" s="1690"/>
      <c r="AP1004" s="1690"/>
      <c r="AQ1004" s="1691"/>
      <c r="AR1004" s="1182"/>
      <c r="AS1004" s="1182"/>
      <c r="AT1004" s="1182"/>
      <c r="AU1004" s="1182"/>
      <c r="AV1004" s="1182"/>
      <c r="AW1004" s="1182"/>
      <c r="AX1004" s="1182"/>
      <c r="AY1004" s="1182"/>
      <c r="AZ1004" s="2"/>
      <c r="BA1004" s="2"/>
      <c r="BB1004" s="2"/>
      <c r="BC1004" s="2"/>
    </row>
    <row r="1005" spans="1:55" ht="13.15" customHeight="1">
      <c r="A1005" s="11"/>
      <c r="B1005" s="1186"/>
      <c r="C1005" s="1187"/>
      <c r="D1005" s="1744"/>
      <c r="E1005" s="1745"/>
      <c r="F1005" s="1745"/>
      <c r="G1005" s="1745"/>
      <c r="H1005" s="1745"/>
      <c r="I1005" s="1745"/>
      <c r="J1005" s="1745"/>
      <c r="K1005" s="1745"/>
      <c r="L1005" s="1745"/>
      <c r="M1005" s="1745"/>
      <c r="N1005" s="1745"/>
      <c r="O1005" s="1745"/>
      <c r="P1005" s="1745"/>
      <c r="Q1005" s="1745"/>
      <c r="R1005" s="1745"/>
      <c r="S1005" s="1745"/>
      <c r="T1005" s="1745"/>
      <c r="U1005" s="1745"/>
      <c r="V1005" s="1745"/>
      <c r="W1005" s="1745"/>
      <c r="X1005" s="1745"/>
      <c r="Y1005" s="1745"/>
      <c r="Z1005" s="1745"/>
      <c r="AA1005" s="1745"/>
      <c r="AB1005" s="1745"/>
      <c r="AC1005" s="1745"/>
      <c r="AD1005" s="1745"/>
      <c r="AE1005" s="1746"/>
      <c r="AF1005" s="44"/>
      <c r="AG1005" s="11"/>
      <c r="AH1005" s="11"/>
      <c r="AI1005" s="48"/>
      <c r="AJ1005" s="1689"/>
      <c r="AK1005" s="1690"/>
      <c r="AL1005" s="1690"/>
      <c r="AM1005" s="1690"/>
      <c r="AN1005" s="1690"/>
      <c r="AO1005" s="1690"/>
      <c r="AP1005" s="1690"/>
      <c r="AQ1005" s="1691"/>
      <c r="AR1005" s="1182"/>
      <c r="AS1005" s="1182"/>
      <c r="AT1005" s="1182"/>
      <c r="AU1005" s="1182"/>
      <c r="AV1005" s="1182"/>
      <c r="AW1005" s="1182"/>
      <c r="AX1005" s="1182"/>
      <c r="AY1005" s="1182"/>
      <c r="AZ1005" s="2"/>
      <c r="BA1005" s="2"/>
      <c r="BB1005" s="2"/>
      <c r="BC1005" s="2"/>
    </row>
    <row r="1006" spans="1:55" ht="13.15" customHeight="1">
      <c r="A1006" s="11"/>
      <c r="B1006" s="1186"/>
      <c r="C1006" s="1187"/>
      <c r="D1006" s="1744"/>
      <c r="E1006" s="1745"/>
      <c r="F1006" s="1745"/>
      <c r="G1006" s="1745"/>
      <c r="H1006" s="1745"/>
      <c r="I1006" s="1745"/>
      <c r="J1006" s="1745"/>
      <c r="K1006" s="1745"/>
      <c r="L1006" s="1745"/>
      <c r="M1006" s="1745"/>
      <c r="N1006" s="1745"/>
      <c r="O1006" s="1745"/>
      <c r="P1006" s="1745"/>
      <c r="Q1006" s="1745"/>
      <c r="R1006" s="1745"/>
      <c r="S1006" s="1745"/>
      <c r="T1006" s="1745"/>
      <c r="U1006" s="1745"/>
      <c r="V1006" s="1745"/>
      <c r="W1006" s="1745"/>
      <c r="X1006" s="1745"/>
      <c r="Y1006" s="1745"/>
      <c r="Z1006" s="1745"/>
      <c r="AA1006" s="1745"/>
      <c r="AB1006" s="1745"/>
      <c r="AC1006" s="1745"/>
      <c r="AD1006" s="1745"/>
      <c r="AE1006" s="1746"/>
      <c r="AF1006" s="44"/>
      <c r="AG1006" s="11"/>
      <c r="AH1006" s="11"/>
      <c r="AI1006" s="48"/>
      <c r="AJ1006" s="1689"/>
      <c r="AK1006" s="1690"/>
      <c r="AL1006" s="1690"/>
      <c r="AM1006" s="1690"/>
      <c r="AN1006" s="1690"/>
      <c r="AO1006" s="1690"/>
      <c r="AP1006" s="1690"/>
      <c r="AQ1006" s="1691"/>
      <c r="AR1006" s="1182"/>
      <c r="AS1006" s="1182"/>
      <c r="AT1006" s="1182"/>
      <c r="AU1006" s="1182"/>
      <c r="AV1006" s="1182"/>
      <c r="AW1006" s="1182"/>
      <c r="AX1006" s="1182"/>
      <c r="AY1006" s="1182"/>
      <c r="AZ1006" s="2"/>
      <c r="BA1006" s="2"/>
      <c r="BB1006" s="2"/>
      <c r="BC1006" s="2"/>
    </row>
    <row r="1007" spans="1:55" ht="13.15" customHeight="1">
      <c r="A1007" s="11"/>
      <c r="B1007" s="1186"/>
      <c r="C1007" s="1187"/>
      <c r="D1007" s="1744"/>
      <c r="E1007" s="1745"/>
      <c r="F1007" s="1745"/>
      <c r="G1007" s="1745"/>
      <c r="H1007" s="1745"/>
      <c r="I1007" s="1745"/>
      <c r="J1007" s="1745"/>
      <c r="K1007" s="1745"/>
      <c r="L1007" s="1745"/>
      <c r="M1007" s="1745"/>
      <c r="N1007" s="1745"/>
      <c r="O1007" s="1745"/>
      <c r="P1007" s="1745"/>
      <c r="Q1007" s="1745"/>
      <c r="R1007" s="1745"/>
      <c r="S1007" s="1745"/>
      <c r="T1007" s="1745"/>
      <c r="U1007" s="1745"/>
      <c r="V1007" s="1745"/>
      <c r="W1007" s="1745"/>
      <c r="X1007" s="1745"/>
      <c r="Y1007" s="1745"/>
      <c r="Z1007" s="1745"/>
      <c r="AA1007" s="1745"/>
      <c r="AB1007" s="1745"/>
      <c r="AC1007" s="1745"/>
      <c r="AD1007" s="1745"/>
      <c r="AE1007" s="1746"/>
      <c r="AF1007" s="44"/>
      <c r="AG1007" s="11"/>
      <c r="AH1007" s="11"/>
      <c r="AI1007" s="48"/>
      <c r="AJ1007" s="1689"/>
      <c r="AK1007" s="1690"/>
      <c r="AL1007" s="1690"/>
      <c r="AM1007" s="1690"/>
      <c r="AN1007" s="1690"/>
      <c r="AO1007" s="1690"/>
      <c r="AP1007" s="1690"/>
      <c r="AQ1007" s="1691"/>
      <c r="AR1007" s="1182"/>
      <c r="AS1007" s="1182"/>
      <c r="AT1007" s="1182"/>
      <c r="AU1007" s="1182"/>
      <c r="AV1007" s="1182"/>
      <c r="AW1007" s="1182"/>
      <c r="AX1007" s="1182"/>
      <c r="AY1007" s="1182"/>
      <c r="AZ1007" s="2"/>
      <c r="BA1007" s="2"/>
      <c r="BB1007" s="2"/>
      <c r="BC1007" s="2"/>
    </row>
    <row r="1008" spans="1:55" ht="13.15" customHeight="1">
      <c r="A1008" s="11"/>
      <c r="B1008" s="1186"/>
      <c r="C1008" s="1187"/>
      <c r="D1008" s="1764" t="s">
        <v>1557</v>
      </c>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44"/>
      <c r="AG1008" s="11"/>
      <c r="AH1008" s="11"/>
      <c r="AI1008" s="48"/>
      <c r="AJ1008" s="1689"/>
      <c r="AK1008" s="1690"/>
      <c r="AL1008" s="1690"/>
      <c r="AM1008" s="1690"/>
      <c r="AN1008" s="1690"/>
      <c r="AO1008" s="1690"/>
      <c r="AP1008" s="1690"/>
      <c r="AQ1008" s="1691"/>
      <c r="AR1008" s="1182"/>
      <c r="AS1008" s="1182"/>
      <c r="AT1008" s="1182"/>
      <c r="AU1008" s="1182"/>
      <c r="AV1008" s="1182"/>
      <c r="AW1008" s="1182"/>
      <c r="AX1008" s="1182"/>
      <c r="AY1008" s="1182"/>
      <c r="AZ1008" s="2"/>
      <c r="BA1008" s="2"/>
      <c r="BB1008" s="2"/>
      <c r="BC1008" s="2"/>
    </row>
    <row r="1009" spans="1:55" ht="13.15" customHeight="1">
      <c r="A1009" s="11"/>
      <c r="B1009" s="1186"/>
      <c r="C1009" s="1187"/>
      <c r="D1009" s="1804" t="s">
        <v>2638</v>
      </c>
      <c r="E1009" s="1805"/>
      <c r="F1009" s="1805"/>
      <c r="G1009" s="1805"/>
      <c r="H1009" s="1805"/>
      <c r="I1009" s="1805"/>
      <c r="J1009" s="1805"/>
      <c r="K1009" s="1805"/>
      <c r="L1009" s="1805"/>
      <c r="M1009" s="1805"/>
      <c r="N1009" s="1805"/>
      <c r="O1009" s="1805"/>
      <c r="P1009" s="1805"/>
      <c r="Q1009" s="1805"/>
      <c r="R1009" s="1805"/>
      <c r="S1009" s="1805"/>
      <c r="T1009" s="1805"/>
      <c r="U1009" s="1805"/>
      <c r="V1009" s="1805"/>
      <c r="W1009" s="1805"/>
      <c r="X1009" s="1805"/>
      <c r="Y1009" s="1805"/>
      <c r="Z1009" s="1805"/>
      <c r="AA1009" s="1805"/>
      <c r="AB1009" s="1805"/>
      <c r="AC1009" s="1805"/>
      <c r="AD1009" s="1805"/>
      <c r="AE1009" s="1806"/>
      <c r="AF1009" s="45"/>
      <c r="AG1009" s="5"/>
      <c r="AH1009" s="5"/>
      <c r="AI1009" s="46"/>
      <c r="AJ1009" s="1701"/>
      <c r="AK1009" s="1702"/>
      <c r="AL1009" s="1702"/>
      <c r="AM1009" s="1702"/>
      <c r="AN1009" s="1702"/>
      <c r="AO1009" s="1702"/>
      <c r="AP1009" s="1702"/>
      <c r="AQ1009" s="1703"/>
      <c r="AR1009" s="1182"/>
      <c r="AS1009" s="1182"/>
      <c r="AT1009" s="1182"/>
      <c r="AU1009" s="1182"/>
      <c r="AV1009" s="1182"/>
      <c r="AW1009" s="1182"/>
      <c r="AX1009" s="1182"/>
      <c r="AY1009" s="1182"/>
      <c r="AZ1009" s="2"/>
      <c r="BA1009" s="2"/>
      <c r="BB1009" s="2"/>
      <c r="BC1009" s="2"/>
    </row>
    <row r="1010" spans="1:55" ht="13.15" customHeight="1">
      <c r="A1010" s="11"/>
      <c r="B1010" s="1188"/>
      <c r="C1010" s="1189"/>
      <c r="D1010" s="1692" t="s">
        <v>1558</v>
      </c>
      <c r="E1010" s="1693"/>
      <c r="F1010" s="1693"/>
      <c r="G1010" s="1693"/>
      <c r="H1010" s="1693"/>
      <c r="I1010" s="1693"/>
      <c r="J1010" s="1693"/>
      <c r="K1010" s="1693"/>
      <c r="L1010" s="1693"/>
      <c r="M1010" s="1693"/>
      <c r="N1010" s="1693"/>
      <c r="O1010" s="1693"/>
      <c r="P1010" s="1693"/>
      <c r="Q1010" s="1693"/>
      <c r="R1010" s="1693"/>
      <c r="S1010" s="1693"/>
      <c r="T1010" s="1693"/>
      <c r="U1010" s="1693"/>
      <c r="V1010" s="1693"/>
      <c r="W1010" s="1693"/>
      <c r="X1010" s="1693"/>
      <c r="Y1010" s="1693"/>
      <c r="Z1010" s="1693"/>
      <c r="AA1010" s="1693"/>
      <c r="AB1010" s="1693"/>
      <c r="AC1010" s="1693"/>
      <c r="AD1010" s="1693"/>
      <c r="AE1010" s="1694"/>
      <c r="AF1010" s="47"/>
      <c r="AG1010" s="1716" t="s">
        <v>696</v>
      </c>
      <c r="AH1010" s="1717"/>
      <c r="AI1010" s="50"/>
      <c r="AJ1010" s="1686">
        <f>ROUND(IF(AG1010="yes",AJ1001*0.05,0),0)</f>
        <v>0</v>
      </c>
      <c r="AK1010" s="1687"/>
      <c r="AL1010" s="1687"/>
      <c r="AM1010" s="1687"/>
      <c r="AN1010" s="1687"/>
      <c r="AO1010" s="1687"/>
      <c r="AP1010" s="1687"/>
      <c r="AQ1010" s="1688"/>
      <c r="AR1010" s="1182"/>
      <c r="AS1010" s="1182"/>
      <c r="AT1010" s="1182"/>
      <c r="AU1010" s="1182"/>
      <c r="AV1010" s="1182"/>
      <c r="AW1010" s="1182"/>
      <c r="AX1010" s="1182"/>
      <c r="AY1010" s="1182"/>
      <c r="AZ1010" s="2"/>
      <c r="BA1010" s="2"/>
      <c r="BB1010" s="2"/>
      <c r="BC1010" s="2"/>
    </row>
    <row r="1011" spans="1:55" ht="13.15" customHeight="1">
      <c r="A1011" s="11"/>
      <c r="B1011" s="1186"/>
      <c r="C1011" s="1190"/>
      <c r="D1011" s="1744" t="s">
        <v>1559</v>
      </c>
      <c r="E1011" s="1745"/>
      <c r="F1011" s="1745"/>
      <c r="G1011" s="1745"/>
      <c r="H1011" s="1745"/>
      <c r="I1011" s="1745"/>
      <c r="J1011" s="1745"/>
      <c r="K1011" s="1745"/>
      <c r="L1011" s="1745"/>
      <c r="M1011" s="1745"/>
      <c r="N1011" s="1745"/>
      <c r="O1011" s="1745"/>
      <c r="P1011" s="1745"/>
      <c r="Q1011" s="1745"/>
      <c r="R1011" s="1745"/>
      <c r="S1011" s="1745"/>
      <c r="T1011" s="1745"/>
      <c r="U1011" s="1745"/>
      <c r="V1011" s="1745"/>
      <c r="W1011" s="1745"/>
      <c r="X1011" s="1745"/>
      <c r="Y1011" s="1745"/>
      <c r="Z1011" s="1745"/>
      <c r="AA1011" s="1745"/>
      <c r="AB1011" s="1745"/>
      <c r="AC1011" s="1745"/>
      <c r="AD1011" s="1745"/>
      <c r="AE1011" s="1746"/>
      <c r="AF1011" s="44"/>
      <c r="AG1011" s="11"/>
      <c r="AH1011" s="11"/>
      <c r="AI1011" s="48"/>
      <c r="AJ1011" s="1689"/>
      <c r="AK1011" s="1690"/>
      <c r="AL1011" s="1690"/>
      <c r="AM1011" s="1690"/>
      <c r="AN1011" s="1690"/>
      <c r="AO1011" s="1690"/>
      <c r="AP1011" s="1690"/>
      <c r="AQ1011" s="1691"/>
      <c r="AR1011" s="1182"/>
      <c r="AS1011" s="1182"/>
      <c r="AT1011" s="1182"/>
      <c r="AU1011" s="1182"/>
      <c r="AV1011" s="1182"/>
      <c r="AW1011" s="1182"/>
      <c r="AX1011" s="1182"/>
      <c r="AY1011" s="2"/>
      <c r="AZ1011" s="2"/>
      <c r="BB1011" s="2"/>
    </row>
    <row r="1012" spans="1:55" ht="13.15" customHeight="1">
      <c r="A1012" s="11"/>
      <c r="B1012" s="1186"/>
      <c r="C1012" s="1190"/>
      <c r="D1012" s="1744"/>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44"/>
      <c r="AG1012" s="11"/>
      <c r="AH1012" s="11"/>
      <c r="AI1012" s="48"/>
      <c r="AJ1012" s="1689"/>
      <c r="AK1012" s="1690"/>
      <c r="AL1012" s="1690"/>
      <c r="AM1012" s="1690"/>
      <c r="AN1012" s="1690"/>
      <c r="AO1012" s="1690"/>
      <c r="AP1012" s="1690"/>
      <c r="AQ1012" s="1691"/>
      <c r="AR1012" s="1182"/>
      <c r="AS1012" s="1182"/>
      <c r="AT1012" s="1182"/>
      <c r="AU1012" s="1182"/>
      <c r="AV1012" s="1182"/>
      <c r="AW1012" s="1182"/>
      <c r="AX1012" s="1182"/>
      <c r="AY1012" s="716">
        <f>G761+O805</f>
        <v>151</v>
      </c>
      <c r="AZ1012" s="2"/>
      <c r="BB1012" s="2"/>
    </row>
    <row r="1013" spans="1:55" ht="13.15" customHeight="1">
      <c r="A1013" s="11"/>
      <c r="B1013" s="1186"/>
      <c r="C1013" s="1190"/>
      <c r="D1013" s="1744"/>
      <c r="E1013" s="1745"/>
      <c r="F1013" s="1745"/>
      <c r="G1013" s="1745"/>
      <c r="H1013" s="1745"/>
      <c r="I1013" s="1745"/>
      <c r="J1013" s="1745"/>
      <c r="K1013" s="1745"/>
      <c r="L1013" s="1745"/>
      <c r="M1013" s="1745"/>
      <c r="N1013" s="1745"/>
      <c r="O1013" s="1745"/>
      <c r="P1013" s="1745"/>
      <c r="Q1013" s="1745"/>
      <c r="R1013" s="1745"/>
      <c r="S1013" s="1745"/>
      <c r="T1013" s="1745"/>
      <c r="U1013" s="1745"/>
      <c r="V1013" s="1745"/>
      <c r="W1013" s="1745"/>
      <c r="X1013" s="1745"/>
      <c r="Y1013" s="1745"/>
      <c r="Z1013" s="1745"/>
      <c r="AA1013" s="1745"/>
      <c r="AB1013" s="1745"/>
      <c r="AC1013" s="1745"/>
      <c r="AD1013" s="1745"/>
      <c r="AE1013" s="1746"/>
      <c r="AF1013" s="44"/>
      <c r="AG1013" s="11"/>
      <c r="AH1013" s="11"/>
      <c r="AI1013" s="48"/>
      <c r="AJ1013" s="1689"/>
      <c r="AK1013" s="1690"/>
      <c r="AL1013" s="1690"/>
      <c r="AM1013" s="1690"/>
      <c r="AN1013" s="1690"/>
      <c r="AO1013" s="1690"/>
      <c r="AP1013" s="1690"/>
      <c r="AQ1013" s="1691"/>
      <c r="AR1013" s="1182"/>
      <c r="AS1013" s="1182"/>
      <c r="AT1013" s="1182"/>
      <c r="AU1013" s="1182"/>
      <c r="AV1013" s="1182"/>
      <c r="AW1013" s="1182"/>
      <c r="AX1013" s="1182"/>
      <c r="AY1013" s="11"/>
      <c r="AZ1013" s="2"/>
      <c r="BB1013" s="2"/>
    </row>
    <row r="1014" spans="1:55" ht="13.15" customHeight="1">
      <c r="A1014" s="11"/>
      <c r="B1014" s="1186"/>
      <c r="C1014" s="1190"/>
      <c r="D1014" s="1744"/>
      <c r="E1014" s="1745"/>
      <c r="F1014" s="1745"/>
      <c r="G1014" s="1745"/>
      <c r="H1014" s="1745"/>
      <c r="I1014" s="1745"/>
      <c r="J1014" s="1745"/>
      <c r="K1014" s="1745"/>
      <c r="L1014" s="1745"/>
      <c r="M1014" s="1745"/>
      <c r="N1014" s="1745"/>
      <c r="O1014" s="1745"/>
      <c r="P1014" s="1745"/>
      <c r="Q1014" s="1745"/>
      <c r="R1014" s="1745"/>
      <c r="S1014" s="1745"/>
      <c r="T1014" s="1745"/>
      <c r="U1014" s="1745"/>
      <c r="V1014" s="1745"/>
      <c r="W1014" s="1745"/>
      <c r="X1014" s="1745"/>
      <c r="Y1014" s="1745"/>
      <c r="Z1014" s="1745"/>
      <c r="AA1014" s="1745"/>
      <c r="AB1014" s="1745"/>
      <c r="AC1014" s="1745"/>
      <c r="AD1014" s="1745"/>
      <c r="AE1014" s="1746"/>
      <c r="AF1014" s="44"/>
      <c r="AG1014" s="11"/>
      <c r="AH1014" s="11"/>
      <c r="AI1014" s="48"/>
      <c r="AJ1014" s="1689"/>
      <c r="AK1014" s="1690"/>
      <c r="AL1014" s="1690"/>
      <c r="AM1014" s="1690"/>
      <c r="AN1014" s="1690"/>
      <c r="AO1014" s="1690"/>
      <c r="AP1014" s="1690"/>
      <c r="AQ1014" s="1691"/>
      <c r="AR1014" s="1182"/>
      <c r="AS1014" s="1182"/>
      <c r="AT1014" s="1182"/>
      <c r="AU1014" s="1182"/>
      <c r="AV1014" s="1182"/>
      <c r="AW1014" s="1182"/>
      <c r="AX1014" s="1182"/>
      <c r="AY1014" s="715">
        <f>ROUNDDOWN(X1057/I1057,2)</f>
        <v>0.3</v>
      </c>
      <c r="AZ1014" s="2"/>
      <c r="BB1014" s="2"/>
    </row>
    <row r="1015" spans="1:55" ht="13.15" customHeight="1">
      <c r="A1015" s="11"/>
      <c r="B1015" s="1191"/>
      <c r="C1015" s="1192"/>
      <c r="D1015" s="1764"/>
      <c r="E1015" s="1765"/>
      <c r="F1015" s="1765"/>
      <c r="G1015" s="1765"/>
      <c r="H1015" s="1765"/>
      <c r="I1015" s="1765"/>
      <c r="J1015" s="1765"/>
      <c r="K1015" s="1765"/>
      <c r="L1015" s="1765"/>
      <c r="M1015" s="1765"/>
      <c r="N1015" s="1765"/>
      <c r="O1015" s="1765"/>
      <c r="P1015" s="1765"/>
      <c r="Q1015" s="1765"/>
      <c r="R1015" s="1765"/>
      <c r="S1015" s="1765"/>
      <c r="T1015" s="1765"/>
      <c r="U1015" s="1765"/>
      <c r="V1015" s="1765"/>
      <c r="W1015" s="1765"/>
      <c r="X1015" s="1765"/>
      <c r="Y1015" s="1765"/>
      <c r="Z1015" s="1765"/>
      <c r="AA1015" s="1765"/>
      <c r="AB1015" s="1765"/>
      <c r="AC1015" s="1765"/>
      <c r="AD1015" s="1765"/>
      <c r="AE1015" s="1766"/>
      <c r="AF1015" s="45"/>
      <c r="AG1015" s="5"/>
      <c r="AH1015" s="5"/>
      <c r="AI1015" s="46"/>
      <c r="AJ1015" s="1701"/>
      <c r="AK1015" s="1702"/>
      <c r="AL1015" s="1702"/>
      <c r="AM1015" s="1702"/>
      <c r="AN1015" s="1702"/>
      <c r="AO1015" s="1702"/>
      <c r="AP1015" s="1702"/>
      <c r="AQ1015" s="1703"/>
      <c r="AR1015" s="1182"/>
      <c r="AS1015" s="1182"/>
      <c r="AT1015" s="1182"/>
      <c r="AU1015" s="1182"/>
      <c r="AV1015" s="1182"/>
      <c r="AW1015" s="1182"/>
      <c r="AX1015" s="1182"/>
      <c r="AY1015" s="715">
        <f>ROUNDDOWN(X1061/I1061,2)</f>
        <v>0.31</v>
      </c>
      <c r="AZ1015" s="2"/>
      <c r="BB1015" s="2"/>
    </row>
    <row r="1016" spans="1:55" ht="13.15" customHeight="1">
      <c r="A1016" s="11"/>
      <c r="B1016" s="1188"/>
      <c r="C1016" s="215" t="s">
        <v>1560</v>
      </c>
      <c r="D1016" s="1692" t="s">
        <v>1561</v>
      </c>
      <c r="E1016" s="1693"/>
      <c r="F1016" s="1693"/>
      <c r="G1016" s="1693"/>
      <c r="H1016" s="1693"/>
      <c r="I1016" s="1693"/>
      <c r="J1016" s="1693"/>
      <c r="K1016" s="1693"/>
      <c r="L1016" s="1693"/>
      <c r="M1016" s="1693"/>
      <c r="N1016" s="1693"/>
      <c r="O1016" s="1693"/>
      <c r="P1016" s="1693"/>
      <c r="Q1016" s="1693"/>
      <c r="R1016" s="1693"/>
      <c r="S1016" s="1693"/>
      <c r="T1016" s="1693"/>
      <c r="U1016" s="1693"/>
      <c r="V1016" s="1693"/>
      <c r="W1016" s="1693"/>
      <c r="X1016" s="1693"/>
      <c r="Y1016" s="1693"/>
      <c r="Z1016" s="1693"/>
      <c r="AA1016" s="1693"/>
      <c r="AB1016" s="1693"/>
      <c r="AC1016" s="1693"/>
      <c r="AD1016" s="1693"/>
      <c r="AE1016" s="1694"/>
      <c r="AF1016" s="49"/>
      <c r="AG1016" s="1716" t="s">
        <v>847</v>
      </c>
      <c r="AH1016" s="1717"/>
      <c r="AI1016" s="50"/>
      <c r="AJ1016" s="1686">
        <f>ROUND(IF(AG1016="yes",AJ1001*0.1,0),0)</f>
        <v>9209073</v>
      </c>
      <c r="AK1016" s="1687"/>
      <c r="AL1016" s="1687"/>
      <c r="AM1016" s="1687"/>
      <c r="AN1016" s="1687"/>
      <c r="AO1016" s="1687"/>
      <c r="AP1016" s="1687"/>
      <c r="AQ1016" s="1688"/>
      <c r="AR1016" s="1182"/>
      <c r="AS1016" s="1182"/>
      <c r="AT1016" s="1182"/>
      <c r="AU1016" s="1182"/>
      <c r="AV1016" s="1182"/>
      <c r="AW1016" s="1182"/>
      <c r="AX1016" s="1182"/>
      <c r="BB1016" s="2"/>
    </row>
    <row r="1017" spans="1:55" ht="13.15" customHeight="1">
      <c r="A1017" s="11"/>
      <c r="B1017" s="44"/>
      <c r="C1017" s="1193"/>
      <c r="D1017" s="1695" t="s">
        <v>1562</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44"/>
      <c r="AI1017" s="48"/>
      <c r="AJ1017" s="1689"/>
      <c r="AK1017" s="1690"/>
      <c r="AL1017" s="1690"/>
      <c r="AM1017" s="1690"/>
      <c r="AN1017" s="1690"/>
      <c r="AO1017" s="1690"/>
      <c r="AP1017" s="1690"/>
      <c r="AQ1017" s="1691"/>
      <c r="AR1017" s="1182"/>
      <c r="AS1017" s="1182"/>
      <c r="AT1017" s="1182"/>
      <c r="AU1017" s="1182"/>
      <c r="AV1017" s="1182"/>
      <c r="AW1017" s="1182"/>
      <c r="AX1017" s="1182"/>
    </row>
    <row r="1018" spans="1:55" ht="13.15" customHeight="1">
      <c r="A1018" s="11"/>
      <c r="B1018" s="44"/>
      <c r="C1018" s="1193"/>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44"/>
      <c r="AG1018" s="11"/>
      <c r="AH1018" s="11"/>
      <c r="AI1018" s="48"/>
      <c r="AJ1018" s="1689"/>
      <c r="AK1018" s="1690"/>
      <c r="AL1018" s="1690"/>
      <c r="AM1018" s="1690"/>
      <c r="AN1018" s="1690"/>
      <c r="AO1018" s="1690"/>
      <c r="AP1018" s="1690"/>
      <c r="AQ1018" s="1691"/>
      <c r="AR1018" s="1182"/>
      <c r="AS1018" s="1182"/>
      <c r="AT1018" s="1182"/>
      <c r="AU1018" s="1182"/>
      <c r="AV1018" s="1182"/>
      <c r="AW1018" s="1182"/>
      <c r="AX1018" s="1182"/>
    </row>
    <row r="1019" spans="1:55" ht="13.15" customHeight="1">
      <c r="A1019" s="11"/>
      <c r="B1019" s="1194"/>
      <c r="C1019" s="1192"/>
      <c r="D1019" s="1698"/>
      <c r="E1019" s="1699"/>
      <c r="F1019" s="1699"/>
      <c r="G1019" s="1699"/>
      <c r="H1019" s="1699"/>
      <c r="I1019" s="1699"/>
      <c r="J1019" s="1699"/>
      <c r="K1019" s="1699"/>
      <c r="L1019" s="1699"/>
      <c r="M1019" s="1699"/>
      <c r="N1019" s="1699"/>
      <c r="O1019" s="1699"/>
      <c r="P1019" s="1699"/>
      <c r="Q1019" s="1699"/>
      <c r="R1019" s="1699"/>
      <c r="S1019" s="1699"/>
      <c r="T1019" s="1699"/>
      <c r="U1019" s="1699"/>
      <c r="V1019" s="1699"/>
      <c r="W1019" s="1699"/>
      <c r="X1019" s="1699"/>
      <c r="Y1019" s="1699"/>
      <c r="Z1019" s="1699"/>
      <c r="AA1019" s="1699"/>
      <c r="AB1019" s="1699"/>
      <c r="AC1019" s="1699"/>
      <c r="AD1019" s="1699"/>
      <c r="AE1019" s="1700"/>
      <c r="AF1019" s="45"/>
      <c r="AG1019" s="5"/>
      <c r="AH1019" s="5"/>
      <c r="AI1019" s="46"/>
      <c r="AJ1019" s="1701"/>
      <c r="AK1019" s="1702"/>
      <c r="AL1019" s="1702"/>
      <c r="AM1019" s="1702"/>
      <c r="AN1019" s="1702"/>
      <c r="AO1019" s="1702"/>
      <c r="AP1019" s="1702"/>
      <c r="AQ1019" s="1703"/>
      <c r="AR1019" s="1182"/>
      <c r="AS1019" s="1182"/>
      <c r="AT1019" s="1182"/>
      <c r="AU1019" s="1182"/>
      <c r="AV1019" s="1182"/>
      <c r="AW1019" s="1182"/>
      <c r="AX1019" s="1182"/>
    </row>
    <row r="1020" spans="1:55" ht="13.15" customHeight="1">
      <c r="A1020" s="11"/>
      <c r="B1020" s="47"/>
      <c r="C1020" s="215" t="s">
        <v>1563</v>
      </c>
      <c r="D1020" s="1692" t="s">
        <v>1564</v>
      </c>
      <c r="E1020" s="1693"/>
      <c r="F1020" s="1693"/>
      <c r="G1020" s="1693"/>
      <c r="H1020" s="1693"/>
      <c r="I1020" s="1693"/>
      <c r="J1020" s="1693"/>
      <c r="K1020" s="1693"/>
      <c r="L1020" s="1693"/>
      <c r="M1020" s="1693"/>
      <c r="N1020" s="1693"/>
      <c r="O1020" s="1693"/>
      <c r="P1020" s="1693"/>
      <c r="Q1020" s="1693"/>
      <c r="R1020" s="1693"/>
      <c r="S1020" s="1693"/>
      <c r="T1020" s="1693"/>
      <c r="U1020" s="1693"/>
      <c r="V1020" s="1693"/>
      <c r="W1020" s="1693"/>
      <c r="X1020" s="1693"/>
      <c r="Y1020" s="1693"/>
      <c r="Z1020" s="1693"/>
      <c r="AA1020" s="1693"/>
      <c r="AB1020" s="1693"/>
      <c r="AC1020" s="1693"/>
      <c r="AD1020" s="1693"/>
      <c r="AE1020" s="1694"/>
      <c r="AF1020" s="47"/>
      <c r="AG1020" s="1716" t="s">
        <v>696</v>
      </c>
      <c r="AH1020" s="1717"/>
      <c r="AI1020" s="50"/>
      <c r="AJ1020" s="1686">
        <f>ROUND(IF(AG1020="yes",AJ1001*0.02,0),0)</f>
        <v>0</v>
      </c>
      <c r="AK1020" s="1687"/>
      <c r="AL1020" s="1687"/>
      <c r="AM1020" s="1687"/>
      <c r="AN1020" s="1687"/>
      <c r="AO1020" s="1687"/>
      <c r="AP1020" s="1687"/>
      <c r="AQ1020" s="1688"/>
      <c r="AR1020" s="1182"/>
      <c r="AS1020" s="1182"/>
      <c r="AT1020" s="1182"/>
      <c r="AU1020" s="1182"/>
      <c r="AV1020" s="1182"/>
      <c r="AW1020" s="1182"/>
      <c r="AX1020" s="1182"/>
    </row>
    <row r="1021" spans="1:55" ht="14.25" customHeight="1">
      <c r="A1021" s="11"/>
      <c r="B1021" s="44"/>
      <c r="C1021" s="1193"/>
      <c r="D1021" s="1698" t="s">
        <v>1565</v>
      </c>
      <c r="E1021" s="1699"/>
      <c r="F1021" s="1699"/>
      <c r="G1021" s="1699"/>
      <c r="H1021" s="1699"/>
      <c r="I1021" s="1699"/>
      <c r="J1021" s="1699"/>
      <c r="K1021" s="1699"/>
      <c r="L1021" s="1699"/>
      <c r="M1021" s="1699"/>
      <c r="N1021" s="1699"/>
      <c r="O1021" s="1699"/>
      <c r="P1021" s="1699"/>
      <c r="Q1021" s="1699"/>
      <c r="R1021" s="1699"/>
      <c r="S1021" s="1699"/>
      <c r="T1021" s="1699"/>
      <c r="U1021" s="1699"/>
      <c r="V1021" s="1699"/>
      <c r="W1021" s="1699"/>
      <c r="X1021" s="1699"/>
      <c r="Y1021" s="1699"/>
      <c r="Z1021" s="1699"/>
      <c r="AA1021" s="1699"/>
      <c r="AB1021" s="1699"/>
      <c r="AC1021" s="1699"/>
      <c r="AD1021" s="1699"/>
      <c r="AE1021" s="1700"/>
      <c r="AF1021" s="45"/>
      <c r="AG1021" s="5"/>
      <c r="AH1021" s="5"/>
      <c r="AI1021" s="46"/>
      <c r="AJ1021" s="1701"/>
      <c r="AK1021" s="1702"/>
      <c r="AL1021" s="1702"/>
      <c r="AM1021" s="1702"/>
      <c r="AN1021" s="1702"/>
      <c r="AO1021" s="1702"/>
      <c r="AP1021" s="1702"/>
      <c r="AQ1021" s="1703"/>
      <c r="AR1021" s="1182"/>
      <c r="AS1021" s="1182"/>
      <c r="AT1021" s="1182"/>
      <c r="AU1021" s="1182"/>
      <c r="AV1021" s="1182"/>
      <c r="AW1021" s="1182"/>
      <c r="AX1021" s="2" t="s">
        <v>1566</v>
      </c>
      <c r="AZ1021" s="2" t="s">
        <v>1567</v>
      </c>
    </row>
    <row r="1022" spans="1:55" ht="13.15" customHeight="1">
      <c r="A1022" s="11"/>
      <c r="B1022" s="47"/>
      <c r="C1022" s="215" t="s">
        <v>1568</v>
      </c>
      <c r="D1022" s="1692" t="s">
        <v>1569</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47"/>
      <c r="AG1022" s="1716" t="s">
        <v>696</v>
      </c>
      <c r="AH1022" s="1717"/>
      <c r="AI1022" s="47"/>
      <c r="AJ1022" s="1686">
        <f>ROUND(IF(AG1022="yes",AJ1001*0.02,0),0)</f>
        <v>0</v>
      </c>
      <c r="AK1022" s="1687"/>
      <c r="AL1022" s="1687"/>
      <c r="AM1022" s="1687"/>
      <c r="AN1022" s="1687"/>
      <c r="AO1022" s="1687"/>
      <c r="AP1022" s="1687"/>
      <c r="AQ1022" s="1688"/>
      <c r="AR1022" s="1182"/>
      <c r="AS1022" s="1182"/>
      <c r="AT1022" s="1182"/>
      <c r="AU1022" s="1182"/>
      <c r="AV1022" s="1182"/>
      <c r="AW1022" s="1182"/>
      <c r="AX1022" s="2">
        <v>1</v>
      </c>
      <c r="AY1022" s="1195">
        <f>IF((_xlfn.XLOOKUP(AX1022,$C$1074:$C$1112,$A$1074:$A$1112,"",0,1))="Yes",AZ1022,0)</f>
        <v>0.2</v>
      </c>
      <c r="AZ1022" s="968">
        <v>0.2</v>
      </c>
    </row>
    <row r="1023" spans="1:55" ht="13.15" customHeight="1">
      <c r="A1023" s="11"/>
      <c r="B1023" s="44"/>
      <c r="C1023" s="1193"/>
      <c r="D1023" s="1695" t="s">
        <v>1570</v>
      </c>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97" t="str">
        <f>IF(AND(AG1022="yes",T212&lt;&gt;1),"The project may not be eligible for this boost","")</f>
        <v/>
      </c>
      <c r="AG1023" s="1798"/>
      <c r="AH1023" s="1798"/>
      <c r="AI1023" s="1799"/>
      <c r="AJ1023" s="1689"/>
      <c r="AK1023" s="1690"/>
      <c r="AL1023" s="1690"/>
      <c r="AM1023" s="1690"/>
      <c r="AN1023" s="1690"/>
      <c r="AO1023" s="1690"/>
      <c r="AP1023" s="1690"/>
      <c r="AQ1023" s="1691"/>
      <c r="AR1023" s="1182"/>
      <c r="AS1023" s="1182"/>
      <c r="AT1023" s="1182"/>
      <c r="AU1023" s="1182"/>
      <c r="AV1023" s="1182"/>
      <c r="AW1023" s="1182"/>
      <c r="AX1023" s="2">
        <v>2</v>
      </c>
      <c r="AY1023" s="1195">
        <f t="shared" ref="AY1023:AY1032" si="54">IF((_xlfn.XLOOKUP(AX1023,$C$1074:$C$1112,$A$1074:$A$1112,"",0,1))="Yes",AZ1023,0)</f>
        <v>0</v>
      </c>
      <c r="AZ1023" s="968">
        <v>0.15</v>
      </c>
    </row>
    <row r="1024" spans="1:55" ht="13.15" customHeight="1">
      <c r="A1024" s="11"/>
      <c r="B1024" s="1191"/>
      <c r="C1024" s="1192"/>
      <c r="D1024" s="1698"/>
      <c r="E1024" s="1699"/>
      <c r="F1024" s="1699"/>
      <c r="G1024" s="1699"/>
      <c r="H1024" s="1699"/>
      <c r="I1024" s="1699"/>
      <c r="J1024" s="1699"/>
      <c r="K1024" s="1699"/>
      <c r="L1024" s="1699"/>
      <c r="M1024" s="1699"/>
      <c r="N1024" s="1699"/>
      <c r="O1024" s="1699"/>
      <c r="P1024" s="1699"/>
      <c r="Q1024" s="1699"/>
      <c r="R1024" s="1699"/>
      <c r="S1024" s="1699"/>
      <c r="T1024" s="1699"/>
      <c r="U1024" s="1699"/>
      <c r="V1024" s="1699"/>
      <c r="W1024" s="1699"/>
      <c r="X1024" s="1699"/>
      <c r="Y1024" s="1699"/>
      <c r="Z1024" s="1699"/>
      <c r="AA1024" s="1699"/>
      <c r="AB1024" s="1699"/>
      <c r="AC1024" s="1699"/>
      <c r="AD1024" s="1699"/>
      <c r="AE1024" s="1700"/>
      <c r="AF1024" s="1800"/>
      <c r="AG1024" s="1801"/>
      <c r="AH1024" s="1801"/>
      <c r="AI1024" s="1802"/>
      <c r="AJ1024" s="1701"/>
      <c r="AK1024" s="1702"/>
      <c r="AL1024" s="1702"/>
      <c r="AM1024" s="1702"/>
      <c r="AN1024" s="1702"/>
      <c r="AO1024" s="1702"/>
      <c r="AP1024" s="1702"/>
      <c r="AQ1024" s="1703"/>
      <c r="AR1024" s="1182"/>
      <c r="AS1024" s="1182"/>
      <c r="AT1024" s="1182"/>
      <c r="AU1024" s="1182"/>
      <c r="AV1024" s="1182"/>
      <c r="AW1024" s="1182"/>
      <c r="AX1024" s="2">
        <v>3</v>
      </c>
      <c r="AY1024" s="1195">
        <f t="shared" si="54"/>
        <v>0</v>
      </c>
      <c r="AZ1024" s="968">
        <v>0.05</v>
      </c>
    </row>
    <row r="1025" spans="1:52" ht="13.15" customHeight="1">
      <c r="A1025" s="11"/>
      <c r="B1025" s="47"/>
      <c r="C1025" s="215" t="s">
        <v>1571</v>
      </c>
      <c r="D1025" s="1710" t="s">
        <v>1572</v>
      </c>
      <c r="E1025" s="1711"/>
      <c r="F1025" s="1711"/>
      <c r="G1025" s="1711"/>
      <c r="H1025" s="1711"/>
      <c r="I1025" s="1711"/>
      <c r="J1025" s="1711"/>
      <c r="K1025" s="1711"/>
      <c r="L1025" s="1711"/>
      <c r="M1025" s="1711"/>
      <c r="N1025" s="1711"/>
      <c r="O1025" s="1711"/>
      <c r="P1025" s="1711"/>
      <c r="Q1025" s="1711"/>
      <c r="R1025" s="1711"/>
      <c r="S1025" s="1711"/>
      <c r="T1025" s="1711"/>
      <c r="U1025" s="1711"/>
      <c r="V1025" s="1711"/>
      <c r="W1025" s="1711"/>
      <c r="X1025" s="1711"/>
      <c r="Y1025" s="1711"/>
      <c r="Z1025" s="1711"/>
      <c r="AA1025" s="1711"/>
      <c r="AB1025" s="1711"/>
      <c r="AC1025" s="1711"/>
      <c r="AD1025" s="1711"/>
      <c r="AE1025" s="1712"/>
      <c r="AF1025" s="47"/>
      <c r="AG1025" s="1716" t="s">
        <v>696</v>
      </c>
      <c r="AH1025" s="1717"/>
      <c r="AI1025" s="50"/>
      <c r="AJ1025" s="1686">
        <f>IF(AG1025="yes",AJ1001*AY1033,0)</f>
        <v>0</v>
      </c>
      <c r="AK1025" s="1687"/>
      <c r="AL1025" s="1687"/>
      <c r="AM1025" s="1687"/>
      <c r="AN1025" s="1687"/>
      <c r="AO1025" s="1687"/>
      <c r="AP1025" s="1687"/>
      <c r="AQ1025" s="1688"/>
      <c r="AR1025" s="1182"/>
      <c r="AS1025" s="1182"/>
      <c r="AT1025" s="1182"/>
      <c r="AU1025" s="1182"/>
      <c r="AV1025" s="1182"/>
      <c r="AW1025" s="1182"/>
      <c r="AX1025" s="2">
        <v>4</v>
      </c>
      <c r="AY1025" s="1195">
        <f t="shared" si="54"/>
        <v>0</v>
      </c>
      <c r="AZ1025" s="968">
        <v>0.02</v>
      </c>
    </row>
    <row r="1026" spans="1:52" ht="13.15" customHeight="1">
      <c r="A1026" s="11"/>
      <c r="B1026" s="44"/>
      <c r="C1026" s="1193"/>
      <c r="D1026" s="1695" t="s">
        <v>1573</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791" t="str">
        <f>IF(AND(AG1025="Yes",AY1033=0),AY1036,"")</f>
        <v/>
      </c>
      <c r="AG1026" s="1792"/>
      <c r="AH1026" s="1792"/>
      <c r="AI1026" s="1793"/>
      <c r="AJ1026" s="1689"/>
      <c r="AK1026" s="1690"/>
      <c r="AL1026" s="1690"/>
      <c r="AM1026" s="1690"/>
      <c r="AN1026" s="1690"/>
      <c r="AO1026" s="1690"/>
      <c r="AP1026" s="1690"/>
      <c r="AQ1026" s="1691"/>
      <c r="AR1026" s="1182"/>
      <c r="AS1026" s="1182"/>
      <c r="AT1026" s="1182"/>
      <c r="AU1026" s="1182"/>
      <c r="AV1026" s="1182"/>
      <c r="AW1026" s="1182"/>
      <c r="AX1026" s="2">
        <v>5</v>
      </c>
      <c r="AY1026" s="1195">
        <f t="shared" si="54"/>
        <v>0</v>
      </c>
      <c r="AZ1026" s="968">
        <v>0.04</v>
      </c>
    </row>
    <row r="1027" spans="1:52" ht="13.15" customHeight="1">
      <c r="A1027" s="11"/>
      <c r="B1027" s="44"/>
      <c r="C1027" s="1193"/>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91"/>
      <c r="AG1027" s="1792"/>
      <c r="AH1027" s="1792"/>
      <c r="AI1027" s="1793"/>
      <c r="AJ1027" s="1689"/>
      <c r="AK1027" s="1690"/>
      <c r="AL1027" s="1690"/>
      <c r="AM1027" s="1690"/>
      <c r="AN1027" s="1690"/>
      <c r="AO1027" s="1690"/>
      <c r="AP1027" s="1690"/>
      <c r="AQ1027" s="1691"/>
      <c r="AR1027" s="1182"/>
      <c r="AS1027" s="1182"/>
      <c r="AT1027" s="1182"/>
      <c r="AU1027" s="1182"/>
      <c r="AV1027" s="1182"/>
      <c r="AW1027" s="1182"/>
      <c r="AX1027" s="2">
        <v>6</v>
      </c>
      <c r="AY1027" s="1195">
        <f t="shared" si="54"/>
        <v>0</v>
      </c>
      <c r="AZ1027" s="968">
        <v>0.04</v>
      </c>
    </row>
    <row r="1028" spans="1:52" ht="13.15" customHeight="1">
      <c r="A1028" s="11"/>
      <c r="B1028" s="1196"/>
      <c r="C1028" s="1190"/>
      <c r="D1028" s="1698"/>
      <c r="E1028" s="1699"/>
      <c r="F1028" s="1699"/>
      <c r="G1028" s="1699"/>
      <c r="H1028" s="1699"/>
      <c r="I1028" s="1699"/>
      <c r="J1028" s="1699"/>
      <c r="K1028" s="1699"/>
      <c r="L1028" s="1699"/>
      <c r="M1028" s="1699"/>
      <c r="N1028" s="1699"/>
      <c r="O1028" s="1699"/>
      <c r="P1028" s="1699"/>
      <c r="Q1028" s="1699"/>
      <c r="R1028" s="1699"/>
      <c r="S1028" s="1699"/>
      <c r="T1028" s="1699"/>
      <c r="U1028" s="1699"/>
      <c r="V1028" s="1699"/>
      <c r="W1028" s="1699"/>
      <c r="X1028" s="1699"/>
      <c r="Y1028" s="1699"/>
      <c r="Z1028" s="1699"/>
      <c r="AA1028" s="1699"/>
      <c r="AB1028" s="1699"/>
      <c r="AC1028" s="1699"/>
      <c r="AD1028" s="1699"/>
      <c r="AE1028" s="1700"/>
      <c r="AF1028" s="1794"/>
      <c r="AG1028" s="1795"/>
      <c r="AH1028" s="1795"/>
      <c r="AI1028" s="1796"/>
      <c r="AJ1028" s="1701"/>
      <c r="AK1028" s="1702"/>
      <c r="AL1028" s="1702"/>
      <c r="AM1028" s="1702"/>
      <c r="AN1028" s="1702"/>
      <c r="AO1028" s="1702"/>
      <c r="AP1028" s="1702"/>
      <c r="AQ1028" s="1703"/>
      <c r="AR1028" s="1182"/>
      <c r="AS1028" s="1182"/>
      <c r="AT1028" s="1182"/>
      <c r="AU1028" s="1182"/>
      <c r="AV1028" s="1182"/>
      <c r="AW1028" s="1182"/>
      <c r="AX1028" s="2">
        <v>7</v>
      </c>
      <c r="AY1028" s="1195">
        <f t="shared" si="54"/>
        <v>0</v>
      </c>
      <c r="AZ1028" s="968">
        <v>0.01</v>
      </c>
    </row>
    <row r="1029" spans="1:52" ht="13.15" customHeight="1">
      <c r="A1029" s="11"/>
      <c r="B1029" s="47"/>
      <c r="C1029" s="215" t="s">
        <v>1574</v>
      </c>
      <c r="D1029" s="1735" t="s">
        <v>1575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47"/>
      <c r="AG1029" s="1716" t="s">
        <v>696</v>
      </c>
      <c r="AH1029" s="1717"/>
      <c r="AI1029" s="50"/>
      <c r="AJ1029" s="1686">
        <f>ROUND(IF(AND(AG1029="Yes",J1033&lt;&gt;"N/A",AF1032&lt;&gt;""),MIN(AF1032,(0.15*AJ1001)),0),0)</f>
        <v>0</v>
      </c>
      <c r="AK1029" s="1687"/>
      <c r="AL1029" s="1687"/>
      <c r="AM1029" s="1687"/>
      <c r="AN1029" s="1687"/>
      <c r="AO1029" s="1687"/>
      <c r="AP1029" s="1687"/>
      <c r="AQ1029" s="1688"/>
      <c r="AR1029" s="1182"/>
      <c r="AS1029" s="1182"/>
      <c r="AT1029" s="1182"/>
      <c r="AU1029" s="1182"/>
      <c r="AV1029" s="1182"/>
      <c r="AW1029" s="1182"/>
      <c r="AX1029" s="2">
        <v>8</v>
      </c>
      <c r="AY1029" s="1195">
        <f t="shared" si="54"/>
        <v>0</v>
      </c>
      <c r="AZ1029" s="968">
        <v>0.01</v>
      </c>
    </row>
    <row r="1030" spans="1:52" ht="13.15" customHeight="1">
      <c r="A1030" s="11"/>
      <c r="B1030" s="1196"/>
      <c r="C1030" s="1197"/>
      <c r="D1030" s="1738"/>
      <c r="E1030" s="1739"/>
      <c r="F1030" s="1739"/>
      <c r="G1030" s="1739"/>
      <c r="H1030" s="1739"/>
      <c r="I1030" s="1739"/>
      <c r="J1030" s="1739"/>
      <c r="K1030" s="1739"/>
      <c r="L1030" s="1739"/>
      <c r="M1030" s="1739"/>
      <c r="N1030" s="1739"/>
      <c r="O1030" s="1739"/>
      <c r="P1030" s="1739"/>
      <c r="Q1030" s="1739"/>
      <c r="R1030" s="1739"/>
      <c r="S1030" s="1739"/>
      <c r="T1030" s="1739"/>
      <c r="U1030" s="1739"/>
      <c r="V1030" s="1739"/>
      <c r="W1030" s="1739"/>
      <c r="X1030" s="1739"/>
      <c r="Y1030" s="1739"/>
      <c r="Z1030" s="1739"/>
      <c r="AA1030" s="1739"/>
      <c r="AB1030" s="1739"/>
      <c r="AC1030" s="1739"/>
      <c r="AD1030" s="1739"/>
      <c r="AE1030" s="1740"/>
      <c r="AF1030" s="1758" t="str">
        <f>IF(AG1029="yes","Please Select Type and Enter Amount:","")</f>
        <v/>
      </c>
      <c r="AG1030" s="1759"/>
      <c r="AH1030" s="1759"/>
      <c r="AI1030" s="1760"/>
      <c r="AJ1030" s="1689"/>
      <c r="AK1030" s="1690"/>
      <c r="AL1030" s="1690"/>
      <c r="AM1030" s="1690"/>
      <c r="AN1030" s="1690"/>
      <c r="AO1030" s="1690"/>
      <c r="AP1030" s="1690"/>
      <c r="AQ1030" s="1691"/>
      <c r="AR1030" s="1182"/>
      <c r="AS1030" s="1182"/>
      <c r="AT1030" s="1182"/>
      <c r="AU1030" s="1182"/>
      <c r="AV1030" s="1182"/>
      <c r="AW1030" s="1182"/>
      <c r="AX1030" s="2">
        <v>9</v>
      </c>
      <c r="AY1030" s="1195">
        <f t="shared" si="54"/>
        <v>0</v>
      </c>
      <c r="AZ1030" s="968">
        <v>0.01</v>
      </c>
    </row>
    <row r="1031" spans="1:52" ht="13.15" customHeight="1">
      <c r="A1031" s="11"/>
      <c r="B1031" s="1196"/>
      <c r="C1031" s="1197"/>
      <c r="D1031" s="1695" t="s">
        <v>1576</v>
      </c>
      <c r="E1031" s="1696"/>
      <c r="F1031" s="1696"/>
      <c r="G1031" s="1696"/>
      <c r="H1031" s="1696"/>
      <c r="I1031" s="1696"/>
      <c r="J1031" s="1696"/>
      <c r="K1031" s="1696"/>
      <c r="L1031" s="1696"/>
      <c r="M1031" s="1696"/>
      <c r="N1031" s="1696"/>
      <c r="O1031" s="1696"/>
      <c r="P1031" s="1696"/>
      <c r="Q1031" s="1696"/>
      <c r="R1031" s="1696"/>
      <c r="S1031" s="1696"/>
      <c r="T1031" s="1696"/>
      <c r="U1031" s="1696"/>
      <c r="V1031" s="1696"/>
      <c r="W1031" s="1696"/>
      <c r="X1031" s="1696"/>
      <c r="Y1031" s="1696"/>
      <c r="Z1031" s="1696"/>
      <c r="AA1031" s="1696"/>
      <c r="AB1031" s="1696"/>
      <c r="AC1031" s="1696"/>
      <c r="AD1031" s="1696"/>
      <c r="AE1031" s="1697"/>
      <c r="AF1031" s="1758"/>
      <c r="AG1031" s="1759"/>
      <c r="AH1031" s="1759"/>
      <c r="AI1031" s="1760"/>
      <c r="AJ1031" s="1689"/>
      <c r="AK1031" s="1690"/>
      <c r="AL1031" s="1690"/>
      <c r="AM1031" s="1690"/>
      <c r="AN1031" s="1690"/>
      <c r="AO1031" s="1690"/>
      <c r="AP1031" s="1690"/>
      <c r="AQ1031" s="1691"/>
      <c r="AR1031" s="1182"/>
      <c r="AS1031" s="1182"/>
      <c r="AT1031" s="1182"/>
      <c r="AU1031" s="1182"/>
      <c r="AV1031" s="1182"/>
      <c r="AW1031" s="1182"/>
      <c r="AX1031" s="2">
        <v>10</v>
      </c>
      <c r="AY1031" s="1195">
        <f t="shared" si="54"/>
        <v>0</v>
      </c>
      <c r="AZ1031" s="968">
        <v>0.02</v>
      </c>
    </row>
    <row r="1032" spans="1:52" ht="13.15" customHeight="1">
      <c r="A1032" s="11"/>
      <c r="B1032" s="1196"/>
      <c r="C1032" s="1197"/>
      <c r="D1032" s="1695"/>
      <c r="E1032" s="1696"/>
      <c r="F1032" s="1696"/>
      <c r="G1032" s="1696"/>
      <c r="H1032" s="1696"/>
      <c r="I1032" s="1696"/>
      <c r="J1032" s="1696"/>
      <c r="K1032" s="1696"/>
      <c r="L1032" s="1696"/>
      <c r="M1032" s="1696"/>
      <c r="N1032" s="1696"/>
      <c r="O1032" s="1696"/>
      <c r="P1032" s="1696"/>
      <c r="Q1032" s="1696"/>
      <c r="R1032" s="1696"/>
      <c r="S1032" s="1696"/>
      <c r="T1032" s="1696"/>
      <c r="U1032" s="1696"/>
      <c r="V1032" s="1696"/>
      <c r="W1032" s="1696"/>
      <c r="X1032" s="1696"/>
      <c r="Y1032" s="1696"/>
      <c r="Z1032" s="1696"/>
      <c r="AA1032" s="1696"/>
      <c r="AB1032" s="1696"/>
      <c r="AC1032" s="1696"/>
      <c r="AD1032" s="1696"/>
      <c r="AE1032" s="1697"/>
      <c r="AF1032" s="1754"/>
      <c r="AG1032" s="1754"/>
      <c r="AH1032" s="1754"/>
      <c r="AI1032" s="1754"/>
      <c r="AJ1032" s="1689"/>
      <c r="AK1032" s="1690"/>
      <c r="AL1032" s="1690"/>
      <c r="AM1032" s="1690"/>
      <c r="AN1032" s="1690"/>
      <c r="AO1032" s="1690"/>
      <c r="AP1032" s="1690"/>
      <c r="AQ1032" s="1691"/>
      <c r="AR1032" s="1182"/>
      <c r="AS1032" s="1182"/>
      <c r="AT1032" s="1182"/>
      <c r="AU1032" s="1182"/>
      <c r="AV1032" s="1182"/>
      <c r="AW1032" s="1182"/>
      <c r="AX1032" s="2">
        <v>11</v>
      </c>
      <c r="AY1032" s="1195">
        <f t="shared" si="54"/>
        <v>0</v>
      </c>
      <c r="AZ1032" s="968">
        <v>0.02</v>
      </c>
    </row>
    <row r="1033" spans="1:52" ht="13.15" customHeight="1">
      <c r="A1033" s="11"/>
      <c r="B1033" s="1196"/>
      <c r="C1033" s="1197"/>
      <c r="D1033" s="376" t="s">
        <v>1577</v>
      </c>
      <c r="E1033" s="51"/>
      <c r="F1033" s="51"/>
      <c r="G1033" s="704"/>
      <c r="H1033" s="704"/>
      <c r="I1033" s="33"/>
      <c r="J1033" s="1787" t="s">
        <v>816</v>
      </c>
      <c r="K1033" s="1788"/>
      <c r="L1033" s="1788"/>
      <c r="M1033" s="1788"/>
      <c r="N1033" s="1788"/>
      <c r="O1033" s="1788"/>
      <c r="P1033" s="1788"/>
      <c r="Q1033" s="1788"/>
      <c r="R1033" s="1788"/>
      <c r="S1033" s="1788"/>
      <c r="T1033" s="1788"/>
      <c r="U1033" s="1788"/>
      <c r="V1033" s="1788"/>
      <c r="W1033" s="1788"/>
      <c r="X1033" s="1788"/>
      <c r="Y1033" s="1788"/>
      <c r="Z1033" s="1788"/>
      <c r="AA1033" s="1788"/>
      <c r="AB1033" s="1788"/>
      <c r="AC1033" s="1788"/>
      <c r="AD1033" s="1788"/>
      <c r="AE1033" s="1789"/>
      <c r="AF1033" s="1754"/>
      <c r="AG1033" s="1754"/>
      <c r="AH1033" s="1754"/>
      <c r="AI1033" s="1754"/>
      <c r="AJ1033" s="1701"/>
      <c r="AK1033" s="1702"/>
      <c r="AL1033" s="1702"/>
      <c r="AM1033" s="1702"/>
      <c r="AN1033" s="1702"/>
      <c r="AO1033" s="1702"/>
      <c r="AP1033" s="1702"/>
      <c r="AQ1033" s="1703"/>
      <c r="AR1033" s="1182"/>
      <c r="AS1033" s="1182"/>
      <c r="AT1033" s="1182"/>
      <c r="AU1033" s="1182"/>
      <c r="AV1033" s="1182"/>
      <c r="AW1033" s="1182"/>
      <c r="AX1033" s="813" t="s">
        <v>1578</v>
      </c>
      <c r="AY1033" s="1198">
        <f>IF(SUM(AY1022:AY1032)&lt;=0.2,SUM(AY1022:AY1032),0.2)</f>
        <v>0.2</v>
      </c>
    </row>
    <row r="1034" spans="1:52" ht="13.15" customHeight="1">
      <c r="A1034" s="11"/>
      <c r="B1034" s="47"/>
      <c r="C1034" s="215" t="s">
        <v>1579</v>
      </c>
      <c r="D1034" s="1692" t="s">
        <v>1580</v>
      </c>
      <c r="E1034" s="1693"/>
      <c r="F1034" s="1693"/>
      <c r="G1034" s="1693"/>
      <c r="H1034" s="1693"/>
      <c r="I1034" s="1693"/>
      <c r="J1034" s="1693"/>
      <c r="K1034" s="1693"/>
      <c r="L1034" s="1693"/>
      <c r="M1034" s="1693"/>
      <c r="N1034" s="1693"/>
      <c r="O1034" s="1693"/>
      <c r="P1034" s="1693"/>
      <c r="Q1034" s="1693"/>
      <c r="R1034" s="1693"/>
      <c r="S1034" s="1693"/>
      <c r="T1034" s="1693"/>
      <c r="U1034" s="1693"/>
      <c r="V1034" s="1693"/>
      <c r="W1034" s="1693"/>
      <c r="X1034" s="1693"/>
      <c r="Y1034" s="1693"/>
      <c r="Z1034" s="1693"/>
      <c r="AA1034" s="1693"/>
      <c r="AB1034" s="1693"/>
      <c r="AC1034" s="1693"/>
      <c r="AD1034" s="1693"/>
      <c r="AE1034" s="1694"/>
      <c r="AF1034" s="47"/>
      <c r="AG1034" s="1716" t="s">
        <v>847</v>
      </c>
      <c r="AH1034" s="1717"/>
      <c r="AI1034" s="50"/>
      <c r="AJ1034" s="1686">
        <f>ROUND(IF(AG1034="Yes",AF1036,0),0)</f>
        <v>999072</v>
      </c>
      <c r="AK1034" s="1687"/>
      <c r="AL1034" s="1687"/>
      <c r="AM1034" s="1687"/>
      <c r="AN1034" s="1687"/>
      <c r="AO1034" s="1687"/>
      <c r="AP1034" s="1687"/>
      <c r="AQ1034" s="1688"/>
      <c r="AR1034" s="1182"/>
      <c r="AS1034" s="1182"/>
      <c r="AT1034" s="1182"/>
      <c r="AU1034" s="1182"/>
      <c r="AV1034" s="1182"/>
      <c r="AW1034" s="1182"/>
      <c r="AX1034" s="1182"/>
      <c r="AY1034" s="1182"/>
    </row>
    <row r="1035" spans="1:52" ht="13.15" customHeight="1">
      <c r="A1035" s="11"/>
      <c r="B1035" s="44"/>
      <c r="C1035" s="1193"/>
      <c r="D1035" s="1695" t="s">
        <v>1581</v>
      </c>
      <c r="E1035" s="1696"/>
      <c r="F1035" s="1696"/>
      <c r="G1035" s="1696"/>
      <c r="H1035" s="1696"/>
      <c r="I1035" s="1696"/>
      <c r="J1035" s="1696"/>
      <c r="K1035" s="1696"/>
      <c r="L1035" s="1696"/>
      <c r="M1035" s="1696"/>
      <c r="N1035" s="1696"/>
      <c r="O1035" s="1696"/>
      <c r="P1035" s="1696"/>
      <c r="Q1035" s="1696"/>
      <c r="R1035" s="1696"/>
      <c r="S1035" s="1696"/>
      <c r="T1035" s="1696"/>
      <c r="U1035" s="1696"/>
      <c r="V1035" s="1696"/>
      <c r="W1035" s="1696"/>
      <c r="X1035" s="1696"/>
      <c r="Y1035" s="1696"/>
      <c r="Z1035" s="1696"/>
      <c r="AA1035" s="1696"/>
      <c r="AB1035" s="1696"/>
      <c r="AC1035" s="1696"/>
      <c r="AD1035" s="1696"/>
      <c r="AE1035" s="1697"/>
      <c r="AF1035" s="1741" t="str">
        <f>IF(AG1034="yes","Enter Amount:","")</f>
        <v>Enter Amount:</v>
      </c>
      <c r="AG1035" s="1742"/>
      <c r="AH1035" s="1742"/>
      <c r="AI1035" s="1743"/>
      <c r="AJ1035" s="1689"/>
      <c r="AK1035" s="1690"/>
      <c r="AL1035" s="1690"/>
      <c r="AM1035" s="1690"/>
      <c r="AN1035" s="1690"/>
      <c r="AO1035" s="1690"/>
      <c r="AP1035" s="1690"/>
      <c r="AQ1035" s="1691"/>
      <c r="AR1035" s="1182"/>
      <c r="AS1035" s="1182"/>
      <c r="AT1035" s="1182"/>
      <c r="AU1035" s="1182"/>
      <c r="AV1035" s="1182"/>
      <c r="AW1035" s="1182"/>
      <c r="AX1035" s="1182"/>
      <c r="AY1035" s="1182"/>
    </row>
    <row r="1036" spans="1:52" ht="13.15" customHeight="1">
      <c r="A1036" s="11"/>
      <c r="B1036" s="44"/>
      <c r="C1036" s="1193"/>
      <c r="D1036" s="1695"/>
      <c r="E1036" s="1696"/>
      <c r="F1036" s="1696"/>
      <c r="G1036" s="1696"/>
      <c r="H1036" s="1696"/>
      <c r="I1036" s="1696"/>
      <c r="J1036" s="1696"/>
      <c r="K1036" s="1696"/>
      <c r="L1036" s="1696"/>
      <c r="M1036" s="1696"/>
      <c r="N1036" s="1696"/>
      <c r="O1036" s="1696"/>
      <c r="P1036" s="1696"/>
      <c r="Q1036" s="1696"/>
      <c r="R1036" s="1696"/>
      <c r="S1036" s="1696"/>
      <c r="T1036" s="1696"/>
      <c r="U1036" s="1696"/>
      <c r="V1036" s="1696"/>
      <c r="W1036" s="1696"/>
      <c r="X1036" s="1696"/>
      <c r="Y1036" s="1696"/>
      <c r="Z1036" s="1696"/>
      <c r="AA1036" s="1696"/>
      <c r="AB1036" s="1696"/>
      <c r="AC1036" s="1696"/>
      <c r="AD1036" s="1696"/>
      <c r="AE1036" s="1697"/>
      <c r="AF1036" s="1754">
        <v>999072</v>
      </c>
      <c r="AG1036" s="1754"/>
      <c r="AH1036" s="1754"/>
      <c r="AI1036" s="1754"/>
      <c r="AJ1036" s="1689"/>
      <c r="AK1036" s="1690"/>
      <c r="AL1036" s="1690"/>
      <c r="AM1036" s="1690"/>
      <c r="AN1036" s="1690"/>
      <c r="AO1036" s="1690"/>
      <c r="AP1036" s="1690"/>
      <c r="AQ1036" s="1691"/>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3.15" customHeight="1">
      <c r="A1037" s="11"/>
      <c r="B1037" s="1194"/>
      <c r="C1037" s="1197"/>
      <c r="D1037" s="1698"/>
      <c r="E1037" s="1699"/>
      <c r="F1037" s="1699"/>
      <c r="G1037" s="1699"/>
      <c r="H1037" s="1699"/>
      <c r="I1037" s="1699"/>
      <c r="J1037" s="1699"/>
      <c r="K1037" s="1699"/>
      <c r="L1037" s="1699"/>
      <c r="M1037" s="1699"/>
      <c r="N1037" s="1699"/>
      <c r="O1037" s="1699"/>
      <c r="P1037" s="1699"/>
      <c r="Q1037" s="1699"/>
      <c r="R1037" s="1699"/>
      <c r="S1037" s="1699"/>
      <c r="T1037" s="1699"/>
      <c r="U1037" s="1699"/>
      <c r="V1037" s="1699"/>
      <c r="W1037" s="1699"/>
      <c r="X1037" s="1699"/>
      <c r="Y1037" s="1699"/>
      <c r="Z1037" s="1699"/>
      <c r="AA1037" s="1699"/>
      <c r="AB1037" s="1699"/>
      <c r="AC1037" s="1699"/>
      <c r="AD1037" s="1699"/>
      <c r="AE1037" s="1700"/>
      <c r="AF1037" s="1754"/>
      <c r="AG1037" s="1754"/>
      <c r="AH1037" s="1754"/>
      <c r="AI1037" s="1754"/>
      <c r="AJ1037" s="1701"/>
      <c r="AK1037" s="1702"/>
      <c r="AL1037" s="1702"/>
      <c r="AM1037" s="1702"/>
      <c r="AN1037" s="1702"/>
      <c r="AO1037" s="1702"/>
      <c r="AP1037" s="1702"/>
      <c r="AQ1037" s="1703"/>
      <c r="AR1037" s="1182"/>
      <c r="AS1037" s="1182"/>
      <c r="AT1037" s="1182"/>
      <c r="AU1037" s="1182"/>
      <c r="AV1037" s="1182"/>
      <c r="AW1037" s="1182"/>
      <c r="AX1037" s="1182"/>
      <c r="AY1037" s="1182"/>
    </row>
    <row r="1038" spans="1:52" ht="13.15" customHeight="1">
      <c r="A1038" s="11"/>
      <c r="B1038" s="47"/>
      <c r="C1038" s="215" t="s">
        <v>1582</v>
      </c>
      <c r="D1038" s="1710" t="s">
        <v>1583</v>
      </c>
      <c r="E1038" s="1711"/>
      <c r="F1038" s="1711"/>
      <c r="G1038" s="1711"/>
      <c r="H1038" s="1711"/>
      <c r="I1038" s="1711"/>
      <c r="J1038" s="1711"/>
      <c r="K1038" s="1711"/>
      <c r="L1038" s="1711"/>
      <c r="M1038" s="1711"/>
      <c r="N1038" s="1711"/>
      <c r="O1038" s="1711"/>
      <c r="P1038" s="1711"/>
      <c r="Q1038" s="1711"/>
      <c r="R1038" s="1711"/>
      <c r="S1038" s="1711"/>
      <c r="T1038" s="1711"/>
      <c r="U1038" s="1711"/>
      <c r="V1038" s="1711"/>
      <c r="W1038" s="1711"/>
      <c r="X1038" s="1711"/>
      <c r="Y1038" s="1711"/>
      <c r="Z1038" s="1711"/>
      <c r="AA1038" s="1711"/>
      <c r="AB1038" s="1711"/>
      <c r="AC1038" s="1711"/>
      <c r="AD1038" s="1711"/>
      <c r="AE1038" s="1712"/>
      <c r="AF1038" s="47"/>
      <c r="AG1038" s="1716" t="s">
        <v>847</v>
      </c>
      <c r="AH1038" s="1717"/>
      <c r="AI1038" s="50"/>
      <c r="AJ1038" s="1686">
        <f>ROUND(IF(AG1038="yes",(AJ1001*0.1),0),0)</f>
        <v>9209073</v>
      </c>
      <c r="AK1038" s="1687"/>
      <c r="AL1038" s="1687"/>
      <c r="AM1038" s="1687"/>
      <c r="AN1038" s="1687"/>
      <c r="AO1038" s="1687"/>
      <c r="AP1038" s="1687"/>
      <c r="AQ1038" s="1688"/>
      <c r="AR1038" s="1182"/>
      <c r="AS1038" s="1182"/>
      <c r="AT1038" s="1182"/>
      <c r="AU1038" s="1182"/>
      <c r="AV1038" s="1182"/>
      <c r="AW1038" s="1182"/>
      <c r="AX1038" s="1182"/>
      <c r="AY1038" s="1182"/>
    </row>
    <row r="1039" spans="1:52" ht="13.15" customHeight="1">
      <c r="A1039" s="11"/>
      <c r="B1039" s="44"/>
      <c r="C1039" s="1193"/>
      <c r="D1039" s="1695" t="s">
        <v>1584</v>
      </c>
      <c r="E1039" s="1696"/>
      <c r="F1039" s="1696"/>
      <c r="G1039" s="1696"/>
      <c r="H1039" s="1696"/>
      <c r="I1039" s="1696"/>
      <c r="J1039" s="1696"/>
      <c r="K1039" s="1696"/>
      <c r="L1039" s="1696"/>
      <c r="M1039" s="1696"/>
      <c r="N1039" s="1696"/>
      <c r="O1039" s="1696"/>
      <c r="P1039" s="1696"/>
      <c r="Q1039" s="1696"/>
      <c r="R1039" s="1696"/>
      <c r="S1039" s="1696"/>
      <c r="T1039" s="1696"/>
      <c r="U1039" s="1696"/>
      <c r="V1039" s="1696"/>
      <c r="W1039" s="1696"/>
      <c r="X1039" s="1696"/>
      <c r="Y1039" s="1696"/>
      <c r="Z1039" s="1696"/>
      <c r="AA1039" s="1696"/>
      <c r="AB1039" s="1696"/>
      <c r="AC1039" s="1696"/>
      <c r="AD1039" s="1696"/>
      <c r="AE1039" s="1697"/>
      <c r="AF1039" s="44"/>
      <c r="AG1039" s="11"/>
      <c r="AH1039" s="11"/>
      <c r="AI1039" s="48"/>
      <c r="AJ1039" s="1689"/>
      <c r="AK1039" s="1690"/>
      <c r="AL1039" s="1690"/>
      <c r="AM1039" s="1690"/>
      <c r="AN1039" s="1690"/>
      <c r="AO1039" s="1690"/>
      <c r="AP1039" s="1690"/>
      <c r="AQ1039" s="1691"/>
      <c r="AR1039" s="1182"/>
      <c r="AS1039" s="1182"/>
      <c r="AT1039" s="1182"/>
      <c r="AU1039" s="1182"/>
      <c r="AV1039" s="1182"/>
      <c r="AW1039" s="1182"/>
      <c r="AX1039" s="1182"/>
      <c r="AY1039" s="1182"/>
    </row>
    <row r="1040" spans="1:52" ht="13.15" customHeight="1">
      <c r="A1040" s="11"/>
      <c r="B1040" s="45"/>
      <c r="C1040" s="1193"/>
      <c r="D1040" s="1698"/>
      <c r="E1040" s="1699"/>
      <c r="F1040" s="1699"/>
      <c r="G1040" s="1699"/>
      <c r="H1040" s="1699"/>
      <c r="I1040" s="1699"/>
      <c r="J1040" s="1699"/>
      <c r="K1040" s="1699"/>
      <c r="L1040" s="1699"/>
      <c r="M1040" s="1699"/>
      <c r="N1040" s="1699"/>
      <c r="O1040" s="1699"/>
      <c r="P1040" s="1699"/>
      <c r="Q1040" s="1699"/>
      <c r="R1040" s="1699"/>
      <c r="S1040" s="1699"/>
      <c r="T1040" s="1699"/>
      <c r="U1040" s="1699"/>
      <c r="V1040" s="1699"/>
      <c r="W1040" s="1699"/>
      <c r="X1040" s="1699"/>
      <c r="Y1040" s="1699"/>
      <c r="Z1040" s="1699"/>
      <c r="AA1040" s="1699"/>
      <c r="AB1040" s="1699"/>
      <c r="AC1040" s="1699"/>
      <c r="AD1040" s="1699"/>
      <c r="AE1040" s="1700"/>
      <c r="AF1040" s="44"/>
      <c r="AG1040" s="11"/>
      <c r="AH1040" s="11"/>
      <c r="AI1040" s="48"/>
      <c r="AJ1040" s="1701"/>
      <c r="AK1040" s="1702"/>
      <c r="AL1040" s="1702"/>
      <c r="AM1040" s="1702"/>
      <c r="AN1040" s="1702"/>
      <c r="AO1040" s="1702"/>
      <c r="AP1040" s="1702"/>
      <c r="AQ1040" s="1703"/>
      <c r="AR1040" s="1182"/>
      <c r="AS1040" s="1182"/>
      <c r="AT1040" s="1182"/>
      <c r="AU1040" s="1182"/>
      <c r="AV1040" s="1182"/>
      <c r="AW1040" s="1182"/>
      <c r="AX1040" s="1182"/>
      <c r="AY1040" s="1182"/>
    </row>
    <row r="1041" spans="1:57" ht="13.15" customHeight="1">
      <c r="A1041" s="11"/>
      <c r="B1041" s="44"/>
      <c r="C1041" s="215" t="s">
        <v>22</v>
      </c>
      <c r="D1041" s="1692" t="s">
        <v>1585</v>
      </c>
      <c r="E1041" s="1693"/>
      <c r="F1041" s="1693"/>
      <c r="G1041" s="1693"/>
      <c r="H1041" s="1693"/>
      <c r="I1041" s="1693"/>
      <c r="J1041" s="1693"/>
      <c r="K1041" s="1693"/>
      <c r="L1041" s="1693"/>
      <c r="M1041" s="1693"/>
      <c r="N1041" s="1693"/>
      <c r="O1041" s="1693"/>
      <c r="P1041" s="1693"/>
      <c r="Q1041" s="1693"/>
      <c r="R1041" s="1693"/>
      <c r="S1041" s="1693"/>
      <c r="T1041" s="1693"/>
      <c r="U1041" s="1693"/>
      <c r="V1041" s="1693"/>
      <c r="W1041" s="1693"/>
      <c r="X1041" s="1693"/>
      <c r="Y1041" s="1693"/>
      <c r="Z1041" s="1693"/>
      <c r="AA1041" s="1693"/>
      <c r="AB1041" s="1693"/>
      <c r="AC1041" s="1693"/>
      <c r="AD1041" s="1693"/>
      <c r="AE1041" s="1694"/>
      <c r="AF1041" s="47"/>
      <c r="AG1041" s="1716" t="s">
        <v>696</v>
      </c>
      <c r="AH1041" s="1717"/>
      <c r="AI1041" s="50"/>
      <c r="AJ1041" s="1686">
        <f>ROUND(IF(AG1041="yes",(AJ1001*0.15),0),0)</f>
        <v>0</v>
      </c>
      <c r="AK1041" s="1687"/>
      <c r="AL1041" s="1687"/>
      <c r="AM1041" s="1687"/>
      <c r="AN1041" s="1687"/>
      <c r="AO1041" s="1687"/>
      <c r="AP1041" s="1687"/>
      <c r="AQ1041" s="1688"/>
      <c r="AR1041" s="1182"/>
      <c r="AS1041" s="1182"/>
      <c r="AT1041" s="1182"/>
      <c r="AU1041" s="1182"/>
      <c r="AV1041" s="1182"/>
      <c r="AW1041" s="1182"/>
      <c r="AX1041" s="1182"/>
      <c r="AY1041" s="1182"/>
    </row>
    <row r="1042" spans="1:57" ht="13.15" customHeight="1">
      <c r="A1042" s="11"/>
      <c r="B1042" s="44"/>
      <c r="C1042" s="1193"/>
      <c r="D1042" s="1718" t="s">
        <v>1586</v>
      </c>
      <c r="E1042" s="1249"/>
      <c r="F1042" s="1249"/>
      <c r="G1042" s="1249"/>
      <c r="H1042" s="1249"/>
      <c r="I1042" s="1249"/>
      <c r="J1042" s="1249"/>
      <c r="K1042" s="1249"/>
      <c r="L1042" s="1249"/>
      <c r="M1042" s="1249"/>
      <c r="N1042" s="1249"/>
      <c r="O1042" s="1249"/>
      <c r="P1042" s="1249"/>
      <c r="Q1042" s="1249"/>
      <c r="R1042" s="1249"/>
      <c r="S1042" s="1249"/>
      <c r="T1042" s="1249"/>
      <c r="U1042" s="1249"/>
      <c r="V1042" s="1249"/>
      <c r="W1042" s="1249"/>
      <c r="X1042" s="1249"/>
      <c r="Y1042" s="1249"/>
      <c r="Z1042" s="1249"/>
      <c r="AA1042" s="1249"/>
      <c r="AB1042" s="1249"/>
      <c r="AC1042" s="1249"/>
      <c r="AD1042" s="1249"/>
      <c r="AE1042" s="1719"/>
      <c r="AF1042" s="717"/>
      <c r="AG1042" s="718"/>
      <c r="AH1042" s="718"/>
      <c r="AI1042" s="719"/>
      <c r="AJ1042" s="1689"/>
      <c r="AK1042" s="1690"/>
      <c r="AL1042" s="1690"/>
      <c r="AM1042" s="1690"/>
      <c r="AN1042" s="1690"/>
      <c r="AO1042" s="1690"/>
      <c r="AP1042" s="1690"/>
      <c r="AQ1042" s="1691"/>
      <c r="AR1042" s="1182"/>
      <c r="AS1042" s="1182"/>
      <c r="AT1042" s="1182"/>
      <c r="AU1042" s="1182"/>
      <c r="AV1042" s="1182"/>
      <c r="AW1042" s="1182"/>
      <c r="AX1042" s="1182"/>
      <c r="AY1042" s="1182"/>
    </row>
    <row r="1043" spans="1:57" ht="13.15" customHeight="1">
      <c r="A1043" s="11"/>
      <c r="B1043" s="44"/>
      <c r="C1043" s="1193"/>
      <c r="D1043" s="1718"/>
      <c r="E1043" s="1249"/>
      <c r="F1043" s="1249"/>
      <c r="G1043" s="1249"/>
      <c r="H1043" s="1249"/>
      <c r="I1043" s="1249"/>
      <c r="J1043" s="1249"/>
      <c r="K1043" s="1249"/>
      <c r="L1043" s="1249"/>
      <c r="M1043" s="1249"/>
      <c r="N1043" s="1249"/>
      <c r="O1043" s="1249"/>
      <c r="P1043" s="1249"/>
      <c r="Q1043" s="1249"/>
      <c r="R1043" s="1249"/>
      <c r="S1043" s="1249"/>
      <c r="T1043" s="1249"/>
      <c r="U1043" s="1249"/>
      <c r="V1043" s="1249"/>
      <c r="W1043" s="1249"/>
      <c r="X1043" s="1249"/>
      <c r="Y1043" s="1249"/>
      <c r="Z1043" s="1249"/>
      <c r="AA1043" s="1249"/>
      <c r="AB1043" s="1249"/>
      <c r="AC1043" s="1249"/>
      <c r="AD1043" s="1249"/>
      <c r="AE1043" s="1719"/>
      <c r="AF1043" s="717"/>
      <c r="AG1043" s="718"/>
      <c r="AH1043" s="718"/>
      <c r="AI1043" s="719"/>
      <c r="AJ1043" s="1689"/>
      <c r="AK1043" s="1690"/>
      <c r="AL1043" s="1690"/>
      <c r="AM1043" s="1690"/>
      <c r="AN1043" s="1690"/>
      <c r="AO1043" s="1690"/>
      <c r="AP1043" s="1690"/>
      <c r="AQ1043" s="1691"/>
      <c r="AR1043" s="1182"/>
      <c r="AS1043" s="1182"/>
      <c r="AT1043" s="1182"/>
      <c r="AU1043" s="1182"/>
      <c r="AV1043" s="1182"/>
      <c r="AW1043" s="1182"/>
      <c r="AX1043" s="1182"/>
      <c r="AY1043" s="1182"/>
    </row>
    <row r="1044" spans="1:57" ht="13.15" customHeight="1">
      <c r="A1044" s="11"/>
      <c r="B1044" s="44"/>
      <c r="C1044" s="1193"/>
      <c r="D1044" s="1720"/>
      <c r="E1044" s="1503"/>
      <c r="F1044" s="1503"/>
      <c r="G1044" s="1503"/>
      <c r="H1044" s="1503"/>
      <c r="I1044" s="1503"/>
      <c r="J1044" s="1503"/>
      <c r="K1044" s="1503"/>
      <c r="L1044" s="1503"/>
      <c r="M1044" s="1503"/>
      <c r="N1044" s="1503"/>
      <c r="O1044" s="1503"/>
      <c r="P1044" s="1503"/>
      <c r="Q1044" s="1503"/>
      <c r="R1044" s="1503"/>
      <c r="S1044" s="1503"/>
      <c r="T1044" s="1503"/>
      <c r="U1044" s="1503"/>
      <c r="V1044" s="1503"/>
      <c r="W1044" s="1503"/>
      <c r="X1044" s="1503"/>
      <c r="Y1044" s="1503"/>
      <c r="Z1044" s="1503"/>
      <c r="AA1044" s="1503"/>
      <c r="AB1044" s="1503"/>
      <c r="AC1044" s="1503"/>
      <c r="AD1044" s="1503"/>
      <c r="AE1044" s="1721"/>
      <c r="AF1044" s="720"/>
      <c r="AG1044" s="721"/>
      <c r="AH1044" s="721"/>
      <c r="AI1044" s="722"/>
      <c r="AJ1044" s="1701"/>
      <c r="AK1044" s="1702"/>
      <c r="AL1044" s="1702"/>
      <c r="AM1044" s="1702"/>
      <c r="AN1044" s="1702"/>
      <c r="AO1044" s="1702"/>
      <c r="AP1044" s="1702"/>
      <c r="AQ1044" s="1703"/>
      <c r="AR1044" s="1182"/>
      <c r="AS1044" s="1182"/>
      <c r="AT1044" s="1182"/>
      <c r="AU1044" s="1182"/>
      <c r="AV1044" s="1182"/>
      <c r="AW1044" s="1182"/>
      <c r="AX1044" s="1182"/>
      <c r="AY1044" s="1182"/>
    </row>
    <row r="1045" spans="1:57" ht="13.15" customHeight="1">
      <c r="A1045" s="11"/>
      <c r="B1045" s="44"/>
      <c r="C1045" s="215" t="s">
        <v>22</v>
      </c>
      <c r="D1045" s="1710" t="s">
        <v>1587</v>
      </c>
      <c r="E1045" s="1711"/>
      <c r="F1045" s="1711"/>
      <c r="G1045" s="1711"/>
      <c r="H1045" s="1711"/>
      <c r="I1045" s="1711"/>
      <c r="J1045" s="1711"/>
      <c r="K1045" s="1711"/>
      <c r="L1045" s="1711"/>
      <c r="M1045" s="1711"/>
      <c r="N1045" s="1711"/>
      <c r="O1045" s="1711"/>
      <c r="P1045" s="1711"/>
      <c r="Q1045" s="1711"/>
      <c r="R1045" s="1711"/>
      <c r="S1045" s="1711"/>
      <c r="T1045" s="1711"/>
      <c r="U1045" s="1711"/>
      <c r="V1045" s="1711"/>
      <c r="W1045" s="1711"/>
      <c r="X1045" s="1711"/>
      <c r="Y1045" s="1711"/>
      <c r="Z1045" s="1711"/>
      <c r="AA1045" s="1711"/>
      <c r="AB1045" s="1711"/>
      <c r="AC1045" s="1711"/>
      <c r="AD1045" s="1711"/>
      <c r="AE1045" s="1712"/>
      <c r="AF1045" s="44"/>
      <c r="AG1045" s="1724" t="s">
        <v>847</v>
      </c>
      <c r="AH1045" s="1725"/>
      <c r="AI1045" s="48"/>
      <c r="AJ1045" s="1686">
        <f>ROUND(IF(AND(AG1045="yes",AJ1041=0),(AJ1001*0.1),0),0)</f>
        <v>9209073</v>
      </c>
      <c r="AK1045" s="1687"/>
      <c r="AL1045" s="1687"/>
      <c r="AM1045" s="1687"/>
      <c r="AN1045" s="1687"/>
      <c r="AO1045" s="1687"/>
      <c r="AP1045" s="1687"/>
      <c r="AQ1045" s="1688"/>
      <c r="AR1045" s="1182"/>
      <c r="AS1045" s="1182"/>
      <c r="AT1045" s="1182"/>
      <c r="AU1045" s="1182"/>
      <c r="AV1045" s="1182"/>
      <c r="AW1045" s="1182"/>
      <c r="AX1045" s="1182"/>
      <c r="AY1045" s="1182"/>
    </row>
    <row r="1046" spans="1:57" ht="13.15" customHeight="1">
      <c r="A1046" s="11"/>
      <c r="B1046" s="44"/>
      <c r="C1046" s="1193"/>
      <c r="D1046" s="1718" t="s">
        <v>1588</v>
      </c>
      <c r="E1046" s="1249"/>
      <c r="F1046" s="1249"/>
      <c r="G1046" s="1249"/>
      <c r="H1046" s="1249"/>
      <c r="I1046" s="1249"/>
      <c r="J1046" s="1249"/>
      <c r="K1046" s="1249"/>
      <c r="L1046" s="1249"/>
      <c r="M1046" s="1249"/>
      <c r="N1046" s="1249"/>
      <c r="O1046" s="1249"/>
      <c r="P1046" s="1249"/>
      <c r="Q1046" s="1249"/>
      <c r="R1046" s="1249"/>
      <c r="S1046" s="1249"/>
      <c r="T1046" s="1249"/>
      <c r="U1046" s="1249"/>
      <c r="V1046" s="1249"/>
      <c r="W1046" s="1249"/>
      <c r="X1046" s="1249"/>
      <c r="Y1046" s="1249"/>
      <c r="Z1046" s="1249"/>
      <c r="AA1046" s="1249"/>
      <c r="AB1046" s="1249"/>
      <c r="AC1046" s="1249"/>
      <c r="AD1046" s="1249"/>
      <c r="AE1046" s="1719"/>
      <c r="AF1046" s="44"/>
      <c r="AG1046" s="11"/>
      <c r="AH1046" s="11"/>
      <c r="AI1046" s="48"/>
      <c r="AJ1046" s="1689"/>
      <c r="AK1046" s="1690"/>
      <c r="AL1046" s="1690"/>
      <c r="AM1046" s="1690"/>
      <c r="AN1046" s="1690"/>
      <c r="AO1046" s="1690"/>
      <c r="AP1046" s="1690"/>
      <c r="AQ1046" s="1691"/>
      <c r="AR1046" s="1182"/>
      <c r="AS1046" s="1182"/>
      <c r="AT1046" s="1182"/>
      <c r="AU1046" s="1182"/>
      <c r="AV1046" s="1182"/>
      <c r="AW1046" s="1182"/>
      <c r="AX1046" s="1182"/>
      <c r="AY1046" s="1182"/>
    </row>
    <row r="1047" spans="1:57" ht="13.15" customHeight="1">
      <c r="A1047" s="11"/>
      <c r="B1047" s="44"/>
      <c r="C1047" s="1193"/>
      <c r="D1047" s="1718"/>
      <c r="E1047" s="1249"/>
      <c r="F1047" s="1249"/>
      <c r="G1047" s="1249"/>
      <c r="H1047" s="1249"/>
      <c r="I1047" s="1249"/>
      <c r="J1047" s="1249"/>
      <c r="K1047" s="1249"/>
      <c r="L1047" s="1249"/>
      <c r="M1047" s="1249"/>
      <c r="N1047" s="1249"/>
      <c r="O1047" s="1249"/>
      <c r="P1047" s="1249"/>
      <c r="Q1047" s="1249"/>
      <c r="R1047" s="1249"/>
      <c r="S1047" s="1249"/>
      <c r="T1047" s="1249"/>
      <c r="U1047" s="1249"/>
      <c r="V1047" s="1249"/>
      <c r="W1047" s="1249"/>
      <c r="X1047" s="1249"/>
      <c r="Y1047" s="1249"/>
      <c r="Z1047" s="1249"/>
      <c r="AA1047" s="1249"/>
      <c r="AB1047" s="1249"/>
      <c r="AC1047" s="1249"/>
      <c r="AD1047" s="1249"/>
      <c r="AE1047" s="1719"/>
      <c r="AF1047" s="44"/>
      <c r="AG1047" s="11"/>
      <c r="AH1047" s="11"/>
      <c r="AI1047" s="48"/>
      <c r="AJ1047" s="1689"/>
      <c r="AK1047" s="1690"/>
      <c r="AL1047" s="1690"/>
      <c r="AM1047" s="1690"/>
      <c r="AN1047" s="1690"/>
      <c r="AO1047" s="1690"/>
      <c r="AP1047" s="1690"/>
      <c r="AQ1047" s="1691"/>
      <c r="AR1047" s="1182"/>
      <c r="AS1047" s="1182"/>
      <c r="AT1047" s="1182"/>
      <c r="AU1047" s="1182"/>
      <c r="AV1047" s="1182"/>
      <c r="AW1047" s="1182"/>
      <c r="AX1047" s="1182"/>
      <c r="AY1047" s="1182"/>
      <c r="BA1047" s="956">
        <f>IFERROR(('Sources and Uses Budget'!$C$17+'Sources and Uses Budget'!$C$18+'Sources and Uses Budget'!$C$22)/$AG$446,0)</f>
        <v>0</v>
      </c>
      <c r="BB1047" s="956" t="s">
        <v>1589</v>
      </c>
      <c r="BC1047" s="956"/>
      <c r="BD1047" s="956"/>
      <c r="BE1047" s="956"/>
    </row>
    <row r="1048" spans="1:57" ht="13.15" customHeight="1">
      <c r="A1048" s="11"/>
      <c r="B1048" s="44"/>
      <c r="C1048" s="1193"/>
      <c r="D1048" s="1718"/>
      <c r="E1048" s="1249"/>
      <c r="F1048" s="1249"/>
      <c r="G1048" s="1249"/>
      <c r="H1048" s="1249"/>
      <c r="I1048" s="1249"/>
      <c r="J1048" s="1249"/>
      <c r="K1048" s="1249"/>
      <c r="L1048" s="1249"/>
      <c r="M1048" s="1249"/>
      <c r="N1048" s="1249"/>
      <c r="O1048" s="1249"/>
      <c r="P1048" s="1249"/>
      <c r="Q1048" s="1249"/>
      <c r="R1048" s="1249"/>
      <c r="S1048" s="1249"/>
      <c r="T1048" s="1249"/>
      <c r="U1048" s="1249"/>
      <c r="V1048" s="1249"/>
      <c r="W1048" s="1249"/>
      <c r="X1048" s="1249"/>
      <c r="Y1048" s="1249"/>
      <c r="Z1048" s="1249"/>
      <c r="AA1048" s="1249"/>
      <c r="AB1048" s="1249"/>
      <c r="AC1048" s="1249"/>
      <c r="AD1048" s="1249"/>
      <c r="AE1048" s="1719"/>
      <c r="AF1048" s="44"/>
      <c r="AG1048" s="11"/>
      <c r="AH1048" s="11"/>
      <c r="AI1048" s="48"/>
      <c r="AJ1048" s="1689"/>
      <c r="AK1048" s="1690"/>
      <c r="AL1048" s="1690"/>
      <c r="AM1048" s="1690"/>
      <c r="AN1048" s="1690"/>
      <c r="AO1048" s="1690"/>
      <c r="AP1048" s="1690"/>
      <c r="AQ1048" s="1691"/>
      <c r="AR1048" s="1182"/>
      <c r="AS1048" s="1182"/>
      <c r="AT1048" s="1182"/>
      <c r="AU1048" s="1182"/>
      <c r="AV1048" s="1182"/>
      <c r="AW1048" s="1182"/>
      <c r="AX1048" s="1182"/>
      <c r="AY1048" s="1182"/>
      <c r="BA1048">
        <f>IFERROR((($CI$761+$CM$761)/$AG$449),0)</f>
        <v>0.61589403973509937</v>
      </c>
      <c r="BB1048" s="2" t="s">
        <v>1590</v>
      </c>
    </row>
    <row r="1049" spans="1:57" ht="13.15" customHeight="1">
      <c r="A1049" s="11"/>
      <c r="B1049" s="44"/>
      <c r="C1049" s="1193"/>
      <c r="D1049" s="1720"/>
      <c r="E1049" s="1503"/>
      <c r="F1049" s="1503"/>
      <c r="G1049" s="1503"/>
      <c r="H1049" s="1503"/>
      <c r="I1049" s="1503"/>
      <c r="J1049" s="1503"/>
      <c r="K1049" s="1503"/>
      <c r="L1049" s="1503"/>
      <c r="M1049" s="1503"/>
      <c r="N1049" s="1503"/>
      <c r="O1049" s="1503"/>
      <c r="P1049" s="1503"/>
      <c r="Q1049" s="1503"/>
      <c r="R1049" s="1503"/>
      <c r="S1049" s="1503"/>
      <c r="T1049" s="1503"/>
      <c r="U1049" s="1503"/>
      <c r="V1049" s="1503"/>
      <c r="W1049" s="1503"/>
      <c r="X1049" s="1503"/>
      <c r="Y1049" s="1503"/>
      <c r="Z1049" s="1503"/>
      <c r="AA1049" s="1503"/>
      <c r="AB1049" s="1503"/>
      <c r="AC1049" s="1503"/>
      <c r="AD1049" s="1503"/>
      <c r="AE1049" s="1721"/>
      <c r="AF1049" s="44"/>
      <c r="AG1049" s="11"/>
      <c r="AH1049" s="11"/>
      <c r="AI1049" s="48"/>
      <c r="AJ1049" s="1689"/>
      <c r="AK1049" s="1690"/>
      <c r="AL1049" s="1690"/>
      <c r="AM1049" s="1690"/>
      <c r="AN1049" s="1690"/>
      <c r="AO1049" s="1690"/>
      <c r="AP1049" s="1690"/>
      <c r="AQ1049" s="1691"/>
      <c r="AR1049" s="1182"/>
      <c r="AS1049" s="1182"/>
      <c r="AT1049" s="1182"/>
      <c r="AU1049" s="1182"/>
      <c r="AV1049" s="1182"/>
      <c r="AW1049" s="1182"/>
      <c r="AX1049" s="1182"/>
      <c r="AY1049" s="1182"/>
      <c r="BA1049" t="b">
        <f>'Points System'!AJ163="Yes"</f>
        <v>0</v>
      </c>
      <c r="BB1049" s="2" t="s">
        <v>1591</v>
      </c>
    </row>
    <row r="1050" spans="1:57" ht="13.15" customHeight="1">
      <c r="A1050" s="11"/>
      <c r="B1050" s="47"/>
      <c r="C1050" s="76" t="s">
        <v>1592</v>
      </c>
      <c r="D1050" s="1692" t="s">
        <v>1593</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47"/>
      <c r="AG1050" s="1716" t="s">
        <v>696</v>
      </c>
      <c r="AH1050" s="1717"/>
      <c r="AI1050" s="50"/>
      <c r="AJ1050" s="1686">
        <f>ROUND(IF(AG1050="yes",(AJ1001*0.1),0),0)</f>
        <v>0</v>
      </c>
      <c r="AK1050" s="1687"/>
      <c r="AL1050" s="1687"/>
      <c r="AM1050" s="1687"/>
      <c r="AN1050" s="1687"/>
      <c r="AO1050" s="1687"/>
      <c r="AP1050" s="1687"/>
      <c r="AQ1050" s="1688"/>
      <c r="AR1050" s="1182"/>
      <c r="AS1050" s="1182"/>
      <c r="AT1050" s="1182"/>
      <c r="AU1050" s="1182"/>
      <c r="AV1050" s="1182"/>
      <c r="AW1050" s="1182"/>
      <c r="AX1050" s="1182"/>
      <c r="AY1050" s="1182"/>
      <c r="BA1050">
        <f>Q212</f>
        <v>10</v>
      </c>
      <c r="BB1050" s="2" t="s">
        <v>1594</v>
      </c>
    </row>
    <row r="1051" spans="1:57" ht="13.15" customHeight="1">
      <c r="A1051" s="11"/>
      <c r="B1051" s="44"/>
      <c r="C1051" s="1193"/>
      <c r="D1051" s="1695" t="s">
        <v>1595</v>
      </c>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44"/>
      <c r="AG1051" s="11"/>
      <c r="AH1051" s="11"/>
      <c r="AI1051" s="48"/>
      <c r="AJ1051" s="1689"/>
      <c r="AK1051" s="1690"/>
      <c r="AL1051" s="1690"/>
      <c r="AM1051" s="1690"/>
      <c r="AN1051" s="1690"/>
      <c r="AO1051" s="1690"/>
      <c r="AP1051" s="1690"/>
      <c r="AQ1051" s="1691"/>
      <c r="AR1051" s="1182"/>
      <c r="AS1051" s="1182"/>
      <c r="AT1051" s="1182"/>
      <c r="AU1051" s="1182"/>
      <c r="AV1051" s="1182"/>
      <c r="AW1051" s="1182"/>
      <c r="AX1051" s="1182"/>
      <c r="AY1051" s="1182"/>
      <c r="BA1051" s="957">
        <f>T212</f>
        <v>6.6225165562913912E-2</v>
      </c>
      <c r="BB1051" s="2" t="s">
        <v>1596</v>
      </c>
    </row>
    <row r="1052" spans="1:57" ht="13.15" customHeight="1">
      <c r="A1052" s="11"/>
      <c r="B1052" s="44"/>
      <c r="C1052" s="1193"/>
      <c r="D1052" s="1695"/>
      <c r="E1052" s="1696"/>
      <c r="F1052" s="1696"/>
      <c r="G1052" s="1696"/>
      <c r="H1052" s="1696"/>
      <c r="I1052" s="1696"/>
      <c r="J1052" s="1696"/>
      <c r="K1052" s="1696"/>
      <c r="L1052" s="1696"/>
      <c r="M1052" s="1696"/>
      <c r="N1052" s="1696"/>
      <c r="O1052" s="1696"/>
      <c r="P1052" s="1696"/>
      <c r="Q1052" s="1696"/>
      <c r="R1052" s="1696"/>
      <c r="S1052" s="1696"/>
      <c r="T1052" s="1696"/>
      <c r="U1052" s="1696"/>
      <c r="V1052" s="1696"/>
      <c r="W1052" s="1696"/>
      <c r="X1052" s="1696"/>
      <c r="Y1052" s="1696"/>
      <c r="Z1052" s="1696"/>
      <c r="AA1052" s="1696"/>
      <c r="AB1052" s="1696"/>
      <c r="AC1052" s="1696"/>
      <c r="AD1052" s="1696"/>
      <c r="AE1052" s="1697"/>
      <c r="AF1052" s="44"/>
      <c r="AG1052" s="11"/>
      <c r="AH1052" s="11"/>
      <c r="AI1052" s="48"/>
      <c r="AJ1052" s="1689"/>
      <c r="AK1052" s="1690"/>
      <c r="AL1052" s="1690"/>
      <c r="AM1052" s="1690"/>
      <c r="AN1052" s="1690"/>
      <c r="AO1052" s="1690"/>
      <c r="AP1052" s="1690"/>
      <c r="AQ1052" s="1691"/>
      <c r="AR1052" s="1182"/>
      <c r="AS1052" s="1182"/>
      <c r="AT1052" s="1182"/>
      <c r="AU1052" s="1182"/>
      <c r="AV1052" s="1182"/>
      <c r="AW1052" s="1182"/>
      <c r="AX1052" s="1182"/>
      <c r="AY1052" s="1182"/>
    </row>
    <row r="1053" spans="1:57" ht="13.15" customHeight="1">
      <c r="A1053" s="11"/>
      <c r="B1053" s="44"/>
      <c r="C1053" s="1193"/>
      <c r="D1053" s="1698"/>
      <c r="E1053" s="1699"/>
      <c r="F1053" s="1699"/>
      <c r="G1053" s="1699"/>
      <c r="H1053" s="1699"/>
      <c r="I1053" s="1699"/>
      <c r="J1053" s="1699"/>
      <c r="K1053" s="1699"/>
      <c r="L1053" s="1699"/>
      <c r="M1053" s="1699"/>
      <c r="N1053" s="1699"/>
      <c r="O1053" s="1699"/>
      <c r="P1053" s="1699"/>
      <c r="Q1053" s="1699"/>
      <c r="R1053" s="1699"/>
      <c r="S1053" s="1699"/>
      <c r="T1053" s="1699"/>
      <c r="U1053" s="1699"/>
      <c r="V1053" s="1699"/>
      <c r="W1053" s="1699"/>
      <c r="X1053" s="1699"/>
      <c r="Y1053" s="1699"/>
      <c r="Z1053" s="1699"/>
      <c r="AA1053" s="1699"/>
      <c r="AB1053" s="1699"/>
      <c r="AC1053" s="1699"/>
      <c r="AD1053" s="1699"/>
      <c r="AE1053" s="1700"/>
      <c r="AF1053" s="44"/>
      <c r="AG1053" s="11"/>
      <c r="AH1053" s="11"/>
      <c r="AI1053" s="48"/>
      <c r="AJ1053" s="1701"/>
      <c r="AK1053" s="1702"/>
      <c r="AL1053" s="1702"/>
      <c r="AM1053" s="1702"/>
      <c r="AN1053" s="1702"/>
      <c r="AO1053" s="1702"/>
      <c r="AP1053" s="1702"/>
      <c r="AQ1053" s="1703"/>
      <c r="AR1053" s="1182"/>
      <c r="AS1053" s="1182"/>
      <c r="AT1053" s="1182"/>
      <c r="AU1053" s="1182"/>
      <c r="AV1053" s="1182"/>
      <c r="AW1053" s="1182"/>
      <c r="AX1053" s="1182"/>
      <c r="AY1053" s="1182"/>
    </row>
    <row r="1054" spans="1:57" ht="13.15" customHeight="1">
      <c r="A1054" s="11"/>
      <c r="B1054" s="47"/>
      <c r="C1054" s="76" t="s">
        <v>1597</v>
      </c>
      <c r="D1054" s="1710" t="s">
        <v>1598</v>
      </c>
      <c r="E1054" s="1711"/>
      <c r="F1054" s="1711"/>
      <c r="G1054" s="1711"/>
      <c r="H1054" s="1711"/>
      <c r="I1054" s="1711"/>
      <c r="J1054" s="1711"/>
      <c r="K1054" s="1711"/>
      <c r="L1054" s="1711"/>
      <c r="M1054" s="1711"/>
      <c r="N1054" s="1711"/>
      <c r="O1054" s="1711"/>
      <c r="P1054" s="1711"/>
      <c r="Q1054" s="1711"/>
      <c r="R1054" s="1711"/>
      <c r="S1054" s="1711"/>
      <c r="T1054" s="1711"/>
      <c r="U1054" s="1711"/>
      <c r="V1054" s="1711"/>
      <c r="W1054" s="1711"/>
      <c r="X1054" s="1711"/>
      <c r="Y1054" s="1711"/>
      <c r="Z1054" s="1711"/>
      <c r="AA1054" s="1711"/>
      <c r="AB1054" s="1711"/>
      <c r="AC1054" s="1711"/>
      <c r="AD1054" s="1711"/>
      <c r="AE1054" s="1712"/>
      <c r="AF1054" s="47"/>
      <c r="AG1054" s="1722" t="str">
        <f>IF(X1057&gt;0,"Yes","No")</f>
        <v>Yes</v>
      </c>
      <c r="AH1054" s="1723"/>
      <c r="AI1054" s="50"/>
      <c r="AJ1054" s="1686">
        <f>IF((X1057=0),0,AY1014*AJ1001)</f>
        <v>27627217.800000001</v>
      </c>
      <c r="AK1054" s="1687"/>
      <c r="AL1054" s="1687"/>
      <c r="AM1054" s="1687"/>
      <c r="AN1054" s="1687"/>
      <c r="AO1054" s="1687"/>
      <c r="AP1054" s="1687"/>
      <c r="AQ1054" s="1688"/>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1599</v>
      </c>
      <c r="BB1054" s="2"/>
      <c r="BC1054" s="2"/>
      <c r="BD1054" s="2"/>
    </row>
    <row r="1055" spans="1:57" ht="13.15" customHeight="1">
      <c r="A1055" s="11"/>
      <c r="B1055" s="44"/>
      <c r="C1055" s="309"/>
      <c r="D1055" s="1695" t="s">
        <v>1600</v>
      </c>
      <c r="E1055" s="1696"/>
      <c r="F1055" s="1696"/>
      <c r="G1055" s="1696"/>
      <c r="H1055" s="1696"/>
      <c r="I1055" s="1696"/>
      <c r="J1055" s="1696"/>
      <c r="K1055" s="1696"/>
      <c r="L1055" s="1696"/>
      <c r="M1055" s="1696"/>
      <c r="N1055" s="1696"/>
      <c r="O1055" s="1696"/>
      <c r="P1055" s="1696"/>
      <c r="Q1055" s="1696"/>
      <c r="R1055" s="1696"/>
      <c r="S1055" s="1696"/>
      <c r="T1055" s="1696"/>
      <c r="U1055" s="1696"/>
      <c r="V1055" s="1696"/>
      <c r="W1055" s="1696"/>
      <c r="X1055" s="1696"/>
      <c r="Y1055" s="1696"/>
      <c r="Z1055" s="1696"/>
      <c r="AA1055" s="1696"/>
      <c r="AB1055" s="1696"/>
      <c r="AC1055" s="1696"/>
      <c r="AD1055" s="1696"/>
      <c r="AE1055" s="1697"/>
      <c r="AF1055" s="44"/>
      <c r="AG1055" s="1199"/>
      <c r="AH1055" s="1199"/>
      <c r="AI1055" s="48"/>
      <c r="AJ1055" s="1689"/>
      <c r="AK1055" s="1690"/>
      <c r="AL1055" s="1690"/>
      <c r="AM1055" s="1690"/>
      <c r="AN1055" s="1690"/>
      <c r="AO1055" s="1690"/>
      <c r="AP1055" s="1690"/>
      <c r="AQ1055" s="1691"/>
      <c r="AR1055" s="1182"/>
      <c r="AS1055" s="1182"/>
      <c r="AT1055" s="1182"/>
      <c r="AU1055" s="1109"/>
      <c r="AV1055" s="1182"/>
      <c r="AW1055" s="1182"/>
      <c r="AX1055" s="1182"/>
      <c r="AY1055" s="1182"/>
      <c r="AZ1055" s="759">
        <f>'Sources and Uses Budget'!S97*BA1055</f>
        <v>12754240.5</v>
      </c>
      <c r="BA1055" s="955">
        <f>IF(BA1049,20%,15%)</f>
        <v>0.15</v>
      </c>
      <c r="BB1055" s="2" t="s">
        <v>1601</v>
      </c>
      <c r="BC1055" s="2" t="s">
        <v>1602</v>
      </c>
      <c r="BD1055" s="2"/>
    </row>
    <row r="1056" spans="1:57" ht="13.15" customHeight="1">
      <c r="A1056" s="11"/>
      <c r="B1056" s="44"/>
      <c r="C1056" s="309"/>
      <c r="D1056" s="1695"/>
      <c r="E1056" s="1696"/>
      <c r="F1056" s="1696"/>
      <c r="G1056" s="1696"/>
      <c r="H1056" s="1696"/>
      <c r="I1056" s="1696"/>
      <c r="J1056" s="1696"/>
      <c r="K1056" s="1696"/>
      <c r="L1056" s="1696"/>
      <c r="M1056" s="1696"/>
      <c r="N1056" s="1696"/>
      <c r="O1056" s="1696"/>
      <c r="P1056" s="1696"/>
      <c r="Q1056" s="1696"/>
      <c r="R1056" s="1696"/>
      <c r="S1056" s="1696"/>
      <c r="T1056" s="1696"/>
      <c r="U1056" s="1696"/>
      <c r="V1056" s="1696"/>
      <c r="W1056" s="1696"/>
      <c r="X1056" s="1696"/>
      <c r="Y1056" s="1696"/>
      <c r="Z1056" s="1696"/>
      <c r="AA1056" s="1696"/>
      <c r="AB1056" s="1696"/>
      <c r="AC1056" s="1696"/>
      <c r="AD1056" s="1696"/>
      <c r="AE1056" s="1697"/>
      <c r="AF1056" s="44"/>
      <c r="AG1056" s="1199"/>
      <c r="AH1056" s="1199"/>
      <c r="AI1056" s="48"/>
      <c r="AJ1056" s="1689"/>
      <c r="AK1056" s="1690"/>
      <c r="AL1056" s="1690"/>
      <c r="AM1056" s="1690"/>
      <c r="AN1056" s="1690"/>
      <c r="AO1056" s="1690"/>
      <c r="AP1056" s="1690"/>
      <c r="AQ1056" s="1691"/>
      <c r="AR1056" s="1182"/>
      <c r="AS1056" s="1182"/>
      <c r="AT1056" s="1182"/>
      <c r="AU1056" s="1109"/>
      <c r="AV1056" s="1182"/>
      <c r="AW1056" s="1182"/>
      <c r="AX1056" s="1182"/>
      <c r="AY1056" s="1182"/>
      <c r="AZ1056" s="759">
        <f>IF(M365="N/A",0,'Sources and Uses Budget'!T97*BA1056)</f>
        <v>0</v>
      </c>
      <c r="BA1056" s="955">
        <v>0.15</v>
      </c>
      <c r="BB1056" s="2" t="s">
        <v>1601</v>
      </c>
      <c r="BC1056" s="2" t="s">
        <v>1603</v>
      </c>
      <c r="BD1056" s="2"/>
    </row>
    <row r="1057" spans="1:56" ht="13.15" customHeight="1">
      <c r="A1057" s="11"/>
      <c r="B1057" s="45"/>
      <c r="C1057" s="46"/>
      <c r="D1057" s="77" t="s">
        <v>1604</v>
      </c>
      <c r="E1057" s="5"/>
      <c r="F1057" s="5"/>
      <c r="G1057" s="5"/>
      <c r="H1057" s="5"/>
      <c r="I1057" s="1749">
        <f>AY1012</f>
        <v>151</v>
      </c>
      <c r="J1057" s="1750"/>
      <c r="K1057" s="5"/>
      <c r="L1057" s="5"/>
      <c r="M1057" s="5"/>
      <c r="N1057" s="5"/>
      <c r="O1057" s="5"/>
      <c r="P1057" s="5"/>
      <c r="Q1057" s="5"/>
      <c r="R1057" s="5"/>
      <c r="S1057" s="5"/>
      <c r="T1057" s="5"/>
      <c r="U1057" s="5"/>
      <c r="V1057" s="78" t="s">
        <v>1605</v>
      </c>
      <c r="W1057" s="32"/>
      <c r="X1057" s="1722">
        <f>CI761</f>
        <v>46</v>
      </c>
      <c r="Y1057" s="1723"/>
      <c r="Z1057" s="32"/>
      <c r="AA1057" s="32"/>
      <c r="AB1057" s="32"/>
      <c r="AC1057" s="32"/>
      <c r="AD1057" s="32"/>
      <c r="AE1057" s="33"/>
      <c r="AF1057" s="726"/>
      <c r="AG1057" s="727"/>
      <c r="AH1057" s="727"/>
      <c r="AI1057" s="728"/>
      <c r="AJ1057" s="1701"/>
      <c r="AK1057" s="1702"/>
      <c r="AL1057" s="1702"/>
      <c r="AM1057" s="1702"/>
      <c r="AN1057" s="1702"/>
      <c r="AO1057" s="1702"/>
      <c r="AP1057" s="1702"/>
      <c r="AQ1057" s="1703"/>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0.15</v>
      </c>
      <c r="BB1057" s="2" t="s">
        <v>1601</v>
      </c>
      <c r="BC1057" s="2" t="s">
        <v>1606</v>
      </c>
      <c r="BD1057" s="2"/>
    </row>
    <row r="1058" spans="1:56" ht="13.15" customHeight="1">
      <c r="A1058" s="11"/>
      <c r="B1058" s="47"/>
      <c r="C1058" s="76" t="s">
        <v>1607</v>
      </c>
      <c r="D1058" s="1692" t="s">
        <v>1608</v>
      </c>
      <c r="E1058" s="1693"/>
      <c r="F1058" s="1693"/>
      <c r="G1058" s="1693"/>
      <c r="H1058" s="1693"/>
      <c r="I1058" s="1693"/>
      <c r="J1058" s="1693"/>
      <c r="K1058" s="1693"/>
      <c r="L1058" s="1693"/>
      <c r="M1058" s="1693"/>
      <c r="N1058" s="1693"/>
      <c r="O1058" s="1693"/>
      <c r="P1058" s="1693"/>
      <c r="Q1058" s="1693"/>
      <c r="R1058" s="1693"/>
      <c r="S1058" s="1693"/>
      <c r="T1058" s="1693"/>
      <c r="U1058" s="1693"/>
      <c r="V1058" s="1693"/>
      <c r="W1058" s="1693"/>
      <c r="X1058" s="1693"/>
      <c r="Y1058" s="1693"/>
      <c r="Z1058" s="1693"/>
      <c r="AA1058" s="1693"/>
      <c r="AB1058" s="1693"/>
      <c r="AC1058" s="1693"/>
      <c r="AD1058" s="1693"/>
      <c r="AE1058" s="1694"/>
      <c r="AF1058" s="44"/>
      <c r="AG1058" s="1722" t="str">
        <f>IF(X1061&gt;0,"Yes","No")</f>
        <v>Yes</v>
      </c>
      <c r="AH1058" s="1723"/>
      <c r="AI1058" s="48"/>
      <c r="AJ1058" s="1686">
        <f>IF((X1061=0),0,(2*AY1015)*AJ1001)</f>
        <v>57096250.119999997</v>
      </c>
      <c r="AK1058" s="1687"/>
      <c r="AL1058" s="1687"/>
      <c r="AM1058" s="1687"/>
      <c r="AN1058" s="1687"/>
      <c r="AO1058" s="1687"/>
      <c r="AP1058" s="1687"/>
      <c r="AQ1058" s="1688"/>
      <c r="AR1058" s="1182"/>
      <c r="AS1058" s="1182"/>
      <c r="AT1058" s="1182"/>
      <c r="AU1058" s="11"/>
      <c r="AV1058" s="1182"/>
      <c r="AW1058" s="1182"/>
      <c r="AX1058" s="1182"/>
      <c r="AY1058" s="1182"/>
      <c r="AZ1058" s="759">
        <f>AZ1054*BA1058</f>
        <v>0</v>
      </c>
      <c r="BA1058" s="955">
        <v>0.15</v>
      </c>
      <c r="BB1058" s="2" t="s">
        <v>1601</v>
      </c>
      <c r="BC1058" s="2" t="s">
        <v>1609</v>
      </c>
      <c r="BD1058" s="2"/>
    </row>
    <row r="1059" spans="1:56" ht="13.15" customHeight="1">
      <c r="A1059" s="11"/>
      <c r="B1059" s="44"/>
      <c r="C1059" s="309"/>
      <c r="D1059" s="1695" t="s">
        <v>1610</v>
      </c>
      <c r="E1059" s="1696"/>
      <c r="F1059" s="1696"/>
      <c r="G1059" s="1696"/>
      <c r="H1059" s="1696"/>
      <c r="I1059" s="1696"/>
      <c r="J1059" s="1696"/>
      <c r="K1059" s="1696"/>
      <c r="L1059" s="1696"/>
      <c r="M1059" s="1696"/>
      <c r="N1059" s="1696"/>
      <c r="O1059" s="1696"/>
      <c r="P1059" s="1696"/>
      <c r="Q1059" s="1696"/>
      <c r="R1059" s="1696"/>
      <c r="S1059" s="1696"/>
      <c r="T1059" s="1696"/>
      <c r="U1059" s="1696"/>
      <c r="V1059" s="1696"/>
      <c r="W1059" s="1696"/>
      <c r="X1059" s="1696"/>
      <c r="Y1059" s="1696"/>
      <c r="Z1059" s="1696"/>
      <c r="AA1059" s="1696"/>
      <c r="AB1059" s="1696"/>
      <c r="AC1059" s="1696"/>
      <c r="AD1059" s="1696"/>
      <c r="AE1059" s="1697"/>
      <c r="AF1059" s="44"/>
      <c r="AG1059" s="1199"/>
      <c r="AH1059" s="1199"/>
      <c r="AI1059" s="48"/>
      <c r="AJ1059" s="1689"/>
      <c r="AK1059" s="1690"/>
      <c r="AL1059" s="1690"/>
      <c r="AM1059" s="1690"/>
      <c r="AN1059" s="1690"/>
      <c r="AO1059" s="1690"/>
      <c r="AP1059" s="1690"/>
      <c r="AQ1059" s="1691"/>
      <c r="AR1059" s="1182"/>
      <c r="AS1059" s="1182"/>
      <c r="AT1059" s="1182"/>
      <c r="AU1059" s="1182"/>
      <c r="AV1059" s="1182"/>
      <c r="AW1059" s="1182"/>
      <c r="AX1059" s="1182"/>
      <c r="AY1059" s="1182"/>
      <c r="AZ1059" s="759"/>
      <c r="BA1059" s="2"/>
      <c r="BB1059" s="2"/>
      <c r="BC1059" s="2"/>
      <c r="BD1059" s="2"/>
    </row>
    <row r="1060" spans="1:56" ht="13.15" customHeight="1">
      <c r="A1060" s="11"/>
      <c r="B1060" s="44"/>
      <c r="C1060" s="48"/>
      <c r="D1060" s="1695"/>
      <c r="E1060" s="1696"/>
      <c r="F1060" s="1696"/>
      <c r="G1060" s="1696"/>
      <c r="H1060" s="1696"/>
      <c r="I1060" s="1696"/>
      <c r="J1060" s="1696"/>
      <c r="K1060" s="1696"/>
      <c r="L1060" s="1696"/>
      <c r="M1060" s="1696"/>
      <c r="N1060" s="1696"/>
      <c r="O1060" s="1696"/>
      <c r="P1060" s="1696"/>
      <c r="Q1060" s="1696"/>
      <c r="R1060" s="1696"/>
      <c r="S1060" s="1696"/>
      <c r="T1060" s="1696"/>
      <c r="U1060" s="1696"/>
      <c r="V1060" s="1696"/>
      <c r="W1060" s="1696"/>
      <c r="X1060" s="1696"/>
      <c r="Y1060" s="1696"/>
      <c r="Z1060" s="1696"/>
      <c r="AA1060" s="1696"/>
      <c r="AB1060" s="1696"/>
      <c r="AC1060" s="1696"/>
      <c r="AD1060" s="1696"/>
      <c r="AE1060" s="1697"/>
      <c r="AF1060" s="723"/>
      <c r="AG1060" s="724"/>
      <c r="AH1060" s="724"/>
      <c r="AI1060" s="725"/>
      <c r="AJ1060" s="1689"/>
      <c r="AK1060" s="1690"/>
      <c r="AL1060" s="1690"/>
      <c r="AM1060" s="1690"/>
      <c r="AN1060" s="1690"/>
      <c r="AO1060" s="1690"/>
      <c r="AP1060" s="1690"/>
      <c r="AQ1060" s="1691"/>
      <c r="AR1060" s="1182"/>
      <c r="AS1060" s="1182"/>
      <c r="AT1060" s="1182"/>
      <c r="AU1060" s="1182"/>
      <c r="AV1060" s="1182"/>
      <c r="AW1060" s="1182"/>
      <c r="AX1060" s="1182"/>
      <c r="AY1060" s="1182"/>
      <c r="AZ1060" s="759">
        <f>ROUNDDOWN(MIN(SUM(AZ1055,AZ1056,AZ1057,AZ1058),BD1060),0)</f>
        <v>2500000</v>
      </c>
      <c r="BA1060" s="2" t="s">
        <v>1611</v>
      </c>
      <c r="BB1060" s="2"/>
      <c r="BC1060" s="2"/>
      <c r="BD1060" s="2" cm="1">
        <f t="array" ref="BD1060">_xlfn.IFS(BA1049,3000000,AND(BA1050&gt;=25%,BA1051&gt;=15),2800000,TRUE,2500000)</f>
        <v>2500000</v>
      </c>
    </row>
    <row r="1061" spans="1:56" ht="13.15" customHeight="1">
      <c r="A1061" s="11"/>
      <c r="B1061" s="45"/>
      <c r="C1061" s="46"/>
      <c r="D1061" s="77" t="s">
        <v>1604</v>
      </c>
      <c r="E1061" s="5"/>
      <c r="F1061" s="5"/>
      <c r="G1061" s="5"/>
      <c r="H1061" s="5"/>
      <c r="I1061" s="1749">
        <f>AY1012</f>
        <v>151</v>
      </c>
      <c r="J1061" s="1750"/>
      <c r="K1061" s="11"/>
      <c r="L1061" s="5"/>
      <c r="M1061" s="5"/>
      <c r="N1061" s="5"/>
      <c r="O1061" s="5"/>
      <c r="P1061" s="5"/>
      <c r="Q1061" s="5"/>
      <c r="R1061" s="5"/>
      <c r="S1061" s="5"/>
      <c r="T1061" s="5"/>
      <c r="U1061" s="5"/>
      <c r="V1061" s="78" t="s">
        <v>1612</v>
      </c>
      <c r="X1061" s="1722">
        <f>CM761</f>
        <v>47</v>
      </c>
      <c r="Y1061" s="1723"/>
      <c r="AF1061" s="726"/>
      <c r="AG1061" s="727"/>
      <c r="AH1061" s="727"/>
      <c r="AI1061" s="728"/>
      <c r="AJ1061" s="1701"/>
      <c r="AK1061" s="1702"/>
      <c r="AL1061" s="1702"/>
      <c r="AM1061" s="1702"/>
      <c r="AN1061" s="1702"/>
      <c r="AO1061" s="1702"/>
      <c r="AP1061" s="1702"/>
      <c r="AQ1061" s="1703"/>
      <c r="AR1061" s="1182"/>
      <c r="AS1061" s="1182"/>
      <c r="AT1061" s="1182"/>
      <c r="AU1061" s="1182"/>
      <c r="AV1061" s="1182"/>
      <c r="AW1061" s="1182"/>
      <c r="AX1061" s="1182"/>
      <c r="AY1061" s="1182"/>
      <c r="AZ1061" s="759">
        <f>ROUNDDOWN(MAX(0,BA1061*(SUM(AG1102,AL1102,AZ1054)-BD1061))+BF1061,0)</f>
        <v>0</v>
      </c>
      <c r="BA1061" s="955">
        <f>IF(L1051,7%,5%)</f>
        <v>0.05</v>
      </c>
      <c r="BB1061" s="2" t="s">
        <v>1613</v>
      </c>
      <c r="BC1061" s="2"/>
      <c r="BD1061" s="2">
        <v>6666667</v>
      </c>
    </row>
    <row r="1062" spans="1:56" ht="13.15" customHeight="1">
      <c r="A1062" s="11"/>
      <c r="B1062" s="61"/>
      <c r="C1062" s="1200"/>
      <c r="D1062" s="1747" t="s">
        <v>1614</v>
      </c>
      <c r="E1062" s="1747"/>
      <c r="F1062" s="1747"/>
      <c r="G1062" s="1747"/>
      <c r="H1062" s="1747"/>
      <c r="I1062" s="1747"/>
      <c r="J1062" s="1747"/>
      <c r="K1062" s="1747"/>
      <c r="L1062" s="1747"/>
      <c r="M1062" s="1747"/>
      <c r="N1062" s="1747"/>
      <c r="O1062" s="1747"/>
      <c r="P1062" s="1747"/>
      <c r="Q1062" s="1747"/>
      <c r="R1062" s="1747"/>
      <c r="S1062" s="1747"/>
      <c r="T1062" s="1747"/>
      <c r="U1062" s="1747"/>
      <c r="V1062" s="1747"/>
      <c r="W1062" s="1747"/>
      <c r="X1062" s="1747"/>
      <c r="Y1062" s="1747"/>
      <c r="Z1062" s="1747"/>
      <c r="AA1062" s="1747"/>
      <c r="AB1062" s="1747"/>
      <c r="AC1062" s="1747"/>
      <c r="AD1062" s="1747"/>
      <c r="AE1062" s="1747"/>
      <c r="AF1062" s="1747"/>
      <c r="AG1062" s="1747"/>
      <c r="AH1062" s="1747"/>
      <c r="AI1062" s="1748"/>
      <c r="AJ1062" s="1761">
        <f>SUM(AJ1001:AQ1061)</f>
        <v>223858629.92000002</v>
      </c>
      <c r="AK1062" s="1762"/>
      <c r="AL1062" s="1762"/>
      <c r="AM1062" s="1762"/>
      <c r="AN1062" s="1762"/>
      <c r="AO1062" s="1762"/>
      <c r="AP1062" s="1762"/>
      <c r="AQ1062" s="1763"/>
      <c r="AR1062" s="1182"/>
      <c r="AS1062" s="1182"/>
      <c r="AT1062" s="1182"/>
      <c r="AU1062" s="1182"/>
      <c r="AV1062" s="1182"/>
      <c r="AW1062" s="1182"/>
      <c r="AX1062" s="1182"/>
      <c r="AY1062" s="1182"/>
      <c r="AZ1062" s="954">
        <v>6000000</v>
      </c>
      <c r="BA1062" s="2" t="s">
        <v>1615</v>
      </c>
      <c r="BB1062" s="2"/>
      <c r="BC1062" s="2"/>
      <c r="BD1062" s="2"/>
    </row>
    <row r="1063" spans="1:56" ht="13.1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3.15" customHeight="1">
      <c r="A1064" s="11"/>
      <c r="B1064" s="1182"/>
      <c r="C1064" s="1182"/>
      <c r="D1064" s="1182"/>
      <c r="E1064" s="1182"/>
      <c r="F1064" s="1182"/>
      <c r="G1064" s="946" t="s">
        <v>1616</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2500000</v>
      </c>
      <c r="BB1064" s="2" t="s">
        <v>1617</v>
      </c>
      <c r="BC1064" s="2"/>
      <c r="BD1064" s="2"/>
    </row>
    <row r="1065" spans="1:56" ht="13.15" customHeight="1">
      <c r="A1065" s="11"/>
      <c r="B1065" s="1182"/>
      <c r="C1065" s="1182"/>
      <c r="D1065" s="1182"/>
      <c r="E1065" s="1182"/>
      <c r="F1065" s="1182"/>
      <c r="G1065" s="949" t="s">
        <v>1618</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324">
        <f>'Sources and Uses Budget'!S107+'Sources and Uses Budget'!T107</f>
        <v>97756627</v>
      </c>
      <c r="AB1065" s="1324"/>
      <c r="AC1065" s="1324"/>
      <c r="AD1065" s="1324"/>
      <c r="AE1065" s="1324"/>
      <c r="AF1065" s="1324"/>
      <c r="AG1065" s="948"/>
      <c r="AH1065" s="948"/>
      <c r="AI1065" s="948"/>
      <c r="AJ1065" s="948"/>
      <c r="AK1065" s="948"/>
      <c r="AL1065" s="948"/>
      <c r="AM1065" s="948"/>
      <c r="AN1065" s="948"/>
      <c r="AO1065" s="1182"/>
      <c r="AP1065" s="1182"/>
      <c r="AQ1065" s="1182"/>
      <c r="AR1065" s="1182"/>
      <c r="AS1065" s="1182"/>
      <c r="AT1065" s="1182"/>
      <c r="AU1065" s="1182"/>
      <c r="AV1065" s="1109"/>
      <c r="AW1065" s="1109"/>
      <c r="AX1065" s="1109"/>
      <c r="AY1065" s="1109"/>
      <c r="AZ1065" s="2"/>
      <c r="BA1065" s="759">
        <f>SUM(AZ1055:AZ1058)</f>
        <v>12754240.5</v>
      </c>
      <c r="BB1065" s="2" t="s">
        <v>1619</v>
      </c>
      <c r="BC1065" s="2"/>
      <c r="BD1065" s="2"/>
    </row>
    <row r="1066" spans="1:56" ht="13.15" customHeight="1">
      <c r="A1066" s="11"/>
      <c r="B1066" s="1182"/>
      <c r="C1066" s="1182"/>
      <c r="D1066" s="1182"/>
      <c r="E1066" s="1182"/>
      <c r="F1066" s="1182"/>
      <c r="G1066" s="949"/>
      <c r="H1066" s="949" t="s">
        <v>1620</v>
      </c>
      <c r="I1066" s="950"/>
      <c r="J1066" s="950"/>
      <c r="K1066" s="950"/>
      <c r="L1066" s="950"/>
      <c r="M1066" s="950"/>
      <c r="N1066" s="950"/>
      <c r="O1066" s="950"/>
      <c r="P1066" s="950"/>
      <c r="Q1066" s="950"/>
      <c r="R1066" s="950"/>
      <c r="S1066" s="950"/>
      <c r="T1066" s="950"/>
      <c r="U1066" s="950"/>
      <c r="V1066" s="950"/>
      <c r="W1066" s="950"/>
      <c r="X1066" s="950"/>
      <c r="Y1066" s="950"/>
      <c r="Z1066" s="952"/>
      <c r="AA1066" s="1325">
        <f>IFERROR((AA1065-BA1068)/(AJ1062-AJ1054-AJ1058),"")</f>
        <v>0.62908806617841151</v>
      </c>
      <c r="AB1066" s="1326"/>
      <c r="AC1066" s="1326"/>
      <c r="AD1066" s="1326"/>
      <c r="AE1066" s="1326"/>
      <c r="AF1066" s="1327"/>
      <c r="AG1066" s="951"/>
      <c r="AH1066" s="948"/>
      <c r="AI1066" s="948"/>
      <c r="AJ1066" s="948"/>
      <c r="AK1066" s="948"/>
      <c r="AL1066" s="948"/>
      <c r="AM1066" s="948"/>
      <c r="AN1066" s="948"/>
      <c r="AO1066" s="1182"/>
      <c r="AP1066" s="1182"/>
      <c r="AQ1066" s="1182"/>
      <c r="AR1066" s="1182"/>
      <c r="AS1066" s="1182"/>
      <c r="AT1066" s="1182"/>
      <c r="AU1066" s="1182"/>
      <c r="AV1066" s="1109"/>
      <c r="AW1066" s="1109"/>
      <c r="AX1066" s="1109"/>
      <c r="AY1066" s="1109"/>
    </row>
    <row r="1067" spans="1:56" ht="13.15" customHeight="1">
      <c r="A1067" s="11"/>
      <c r="B1067" s="1182"/>
      <c r="C1067" s="1182"/>
      <c r="D1067" s="1182"/>
      <c r="E1067" s="1182"/>
      <c r="F1067" s="1182"/>
      <c r="G1067" s="132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28"/>
      <c r="I1067" s="1328"/>
      <c r="J1067" s="1328"/>
      <c r="K1067" s="1328"/>
      <c r="L1067" s="1328"/>
      <c r="M1067" s="1328"/>
      <c r="N1067" s="1328"/>
      <c r="O1067" s="1328"/>
      <c r="P1067" s="1328"/>
      <c r="Q1067" s="1328"/>
      <c r="R1067" s="1328"/>
      <c r="S1067" s="1328"/>
      <c r="T1067" s="1328"/>
      <c r="U1067" s="1328"/>
      <c r="V1067" s="1328"/>
      <c r="W1067" s="1328"/>
      <c r="X1067" s="1328"/>
      <c r="Y1067" s="1328"/>
      <c r="Z1067" s="1328"/>
      <c r="AA1067" s="1328"/>
      <c r="AB1067" s="1328"/>
      <c r="AC1067" s="1328"/>
      <c r="AD1067" s="1328"/>
      <c r="AE1067" s="1328"/>
      <c r="AF1067" s="1328"/>
      <c r="AG1067" s="1328"/>
      <c r="AH1067" s="1328"/>
      <c r="AI1067" s="1328"/>
      <c r="AJ1067" s="1328"/>
      <c r="AK1067" s="1328"/>
      <c r="AL1067" s="1328"/>
      <c r="AM1067" s="1328"/>
      <c r="AN1067" s="1328"/>
      <c r="AO1067" s="1182"/>
      <c r="AP1067" s="1182"/>
      <c r="AQ1067" s="1182"/>
      <c r="AR1067" s="1182"/>
      <c r="AS1067" s="1182"/>
      <c r="AT1067" s="1182"/>
      <c r="AU1067" s="1182"/>
      <c r="AV1067" s="11"/>
      <c r="AW1067" s="11"/>
      <c r="AX1067" s="11"/>
      <c r="AY1067" s="11"/>
      <c r="BA1067" s="958">
        <f>'Sources and Uses Budget'!$S$104+'Sources and Uses Budget'!$T$104</f>
        <v>12728357</v>
      </c>
      <c r="BB1067" s="2" t="s">
        <v>1621</v>
      </c>
    </row>
    <row r="1068" spans="1:56" ht="13.15" customHeight="1">
      <c r="A1068" s="11"/>
      <c r="B1068" s="11"/>
      <c r="C1068" s="1201"/>
      <c r="D1068" s="1204"/>
      <c r="E1068" s="1204"/>
      <c r="F1068" s="1204"/>
      <c r="G1068" s="1328"/>
      <c r="H1068" s="1328"/>
      <c r="I1068" s="1328"/>
      <c r="J1068" s="1328"/>
      <c r="K1068" s="1328"/>
      <c r="L1068" s="1328"/>
      <c r="M1068" s="1328"/>
      <c r="N1068" s="1328"/>
      <c r="O1068" s="1328"/>
      <c r="P1068" s="1328"/>
      <c r="Q1068" s="1328"/>
      <c r="R1068" s="1328"/>
      <c r="S1068" s="1328"/>
      <c r="T1068" s="1328"/>
      <c r="U1068" s="1328"/>
      <c r="V1068" s="1328"/>
      <c r="W1068" s="1328"/>
      <c r="X1068" s="1328"/>
      <c r="Y1068" s="1328"/>
      <c r="Z1068" s="1328"/>
      <c r="AA1068" s="1328"/>
      <c r="AB1068" s="1328"/>
      <c r="AC1068" s="1328"/>
      <c r="AD1068" s="1328"/>
      <c r="AE1068" s="1328"/>
      <c r="AF1068" s="1328"/>
      <c r="AG1068" s="1328"/>
      <c r="AH1068" s="1328"/>
      <c r="AI1068" s="1328"/>
      <c r="AJ1068" s="1328"/>
      <c r="AK1068" s="1328"/>
      <c r="AL1068" s="1328"/>
      <c r="AM1068" s="1328"/>
      <c r="AN1068" s="1328"/>
      <c r="AO1068" s="1182"/>
      <c r="AP1068" s="1182"/>
      <c r="AQ1068" s="1182"/>
      <c r="AR1068" s="1182"/>
      <c r="AS1068" s="1182"/>
      <c r="AT1068" s="1182"/>
      <c r="AU1068" s="1182"/>
      <c r="AV1068" s="11"/>
      <c r="AW1068" s="11"/>
      <c r="AX1068" s="11"/>
      <c r="AY1068" s="11"/>
      <c r="BA1068" s="959">
        <f>MAX($BA$1067-$BA$1064,0)</f>
        <v>10228357</v>
      </c>
      <c r="BB1068" s="2" t="s">
        <v>1622</v>
      </c>
    </row>
    <row r="1069" spans="1:56" ht="13.15" customHeight="1">
      <c r="A1069" s="1205"/>
      <c r="B1069" s="945"/>
      <c r="C1069" s="945"/>
      <c r="D1069" s="945"/>
      <c r="E1069" s="945"/>
      <c r="F1069" s="945"/>
      <c r="G1069" s="1328"/>
      <c r="H1069" s="1328"/>
      <c r="I1069" s="1328"/>
      <c r="J1069" s="1328"/>
      <c r="K1069" s="1328"/>
      <c r="L1069" s="1328"/>
      <c r="M1069" s="1328"/>
      <c r="N1069" s="1328"/>
      <c r="O1069" s="1328"/>
      <c r="P1069" s="1328"/>
      <c r="Q1069" s="1328"/>
      <c r="R1069" s="1328"/>
      <c r="S1069" s="1328"/>
      <c r="T1069" s="1328"/>
      <c r="U1069" s="1328"/>
      <c r="V1069" s="1328"/>
      <c r="W1069" s="1328"/>
      <c r="X1069" s="1328"/>
      <c r="Y1069" s="1328"/>
      <c r="Z1069" s="1328"/>
      <c r="AA1069" s="1328"/>
      <c r="AB1069" s="1328"/>
      <c r="AC1069" s="1328"/>
      <c r="AD1069" s="1328"/>
      <c r="AE1069" s="1328"/>
      <c r="AF1069" s="1328"/>
      <c r="AG1069" s="1328"/>
      <c r="AH1069" s="1328"/>
      <c r="AI1069" s="1328"/>
      <c r="AJ1069" s="1328"/>
      <c r="AK1069" s="1328"/>
      <c r="AL1069" s="1328"/>
      <c r="AM1069" s="1328"/>
      <c r="AN1069" s="1328"/>
      <c r="AO1069" s="945"/>
      <c r="AP1069" s="945"/>
      <c r="AQ1069" s="1182"/>
      <c r="AR1069" s="1182"/>
      <c r="AS1069" s="1182"/>
      <c r="AT1069" s="1182"/>
      <c r="AU1069" s="1182"/>
      <c r="AV1069" s="1182"/>
      <c r="AW1069" s="1182"/>
      <c r="AX1069" s="1182"/>
      <c r="AY1069" s="1182"/>
    </row>
    <row r="1070" spans="1:56" ht="13.15" customHeight="1">
      <c r="A1070" s="1769" t="s">
        <v>1623</v>
      </c>
      <c r="B1070" s="1769"/>
      <c r="C1070" s="1769"/>
      <c r="D1070" s="1769"/>
      <c r="E1070" s="1769"/>
      <c r="F1070" s="1769"/>
      <c r="G1070" s="1769"/>
      <c r="H1070" s="1769"/>
      <c r="I1070" s="1769"/>
      <c r="J1070" s="1769"/>
      <c r="K1070" s="1769"/>
      <c r="L1070" s="1769"/>
      <c r="M1070" s="1769"/>
      <c r="N1070" s="1769"/>
      <c r="O1070" s="1769"/>
      <c r="P1070" s="1769"/>
      <c r="Q1070" s="1769"/>
      <c r="R1070" s="1769"/>
      <c r="S1070" s="1769"/>
      <c r="T1070" s="1769"/>
      <c r="U1070" s="1769"/>
      <c r="V1070" s="1769"/>
      <c r="W1070" s="1769"/>
      <c r="X1070" s="1769"/>
      <c r="Y1070" s="1769"/>
      <c r="Z1070" s="1769"/>
      <c r="AA1070" s="1769"/>
      <c r="AB1070" s="1769"/>
      <c r="AC1070" s="1769"/>
      <c r="AD1070" s="1769"/>
      <c r="AE1070" s="1769"/>
      <c r="AF1070" s="1769"/>
      <c r="AG1070" s="1769"/>
      <c r="AH1070" s="1769"/>
      <c r="AI1070" s="1769"/>
      <c r="AJ1070" s="1769"/>
      <c r="AK1070" s="1769"/>
      <c r="AL1070" s="1769"/>
      <c r="AM1070" s="1769"/>
      <c r="AN1070" s="1769"/>
      <c r="AO1070" s="1769"/>
      <c r="AP1070" s="1769"/>
      <c r="AQ1070" s="1769"/>
      <c r="AR1070" s="1109"/>
      <c r="AS1070" s="1109"/>
      <c r="AT1070" s="1109"/>
      <c r="AV1070" s="1182"/>
      <c r="AW1070" s="1182"/>
      <c r="AX1070" s="1182"/>
      <c r="AY1070" s="1182"/>
    </row>
    <row r="1071" spans="1:56" ht="13.15" customHeight="1">
      <c r="A1071" s="11"/>
      <c r="B1071" s="11"/>
      <c r="C1071" s="11"/>
      <c r="D1071" s="11"/>
      <c r="E1071" s="11"/>
      <c r="F1071" s="11"/>
      <c r="G1071" s="11"/>
      <c r="H1071" s="11"/>
      <c r="I1071" s="11"/>
      <c r="J1071" s="11"/>
      <c r="K1071" s="11"/>
      <c r="L1071" s="11"/>
      <c r="M1071" s="11"/>
      <c r="N1071" s="11"/>
      <c r="O1071" s="11"/>
      <c r="P1071" s="11"/>
      <c r="Q1071" s="1109"/>
      <c r="R1071" s="1109"/>
      <c r="S1071" s="1109"/>
      <c r="T1071" s="1109"/>
      <c r="U1071" s="1109"/>
      <c r="V1071" s="1109"/>
      <c r="W1071" s="1109"/>
      <c r="X1071" s="1109"/>
      <c r="Y1071" s="1109"/>
      <c r="Z1071" s="1109"/>
      <c r="AA1071" s="1109"/>
      <c r="AB1071" s="1109"/>
      <c r="AC1071" s="1109"/>
      <c r="AD1071" s="1109"/>
      <c r="AE1071" s="1109"/>
      <c r="AF1071" s="1109"/>
      <c r="AG1071" s="1109"/>
      <c r="AH1071" s="1109"/>
      <c r="AI1071" s="1109"/>
      <c r="AJ1071" s="1109"/>
      <c r="AK1071" s="1109"/>
      <c r="AL1071" s="1109"/>
      <c r="AM1071" s="1109"/>
      <c r="AN1071" s="1109"/>
      <c r="AO1071" s="1109"/>
      <c r="AP1071" s="1109"/>
      <c r="AQ1071" s="1109"/>
      <c r="AR1071" s="1109"/>
      <c r="AS1071" s="1109"/>
      <c r="AT1071" s="1109"/>
      <c r="AV1071" s="1182"/>
      <c r="AW1071" s="1182"/>
      <c r="AX1071" s="1182"/>
      <c r="AY1071" s="1182"/>
    </row>
    <row r="1072" spans="1:56" ht="13.15" customHeight="1">
      <c r="A1072" s="38" t="s">
        <v>1624</v>
      </c>
      <c r="B1072" s="1109"/>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AJ1072" s="11"/>
      <c r="AK1072" s="11"/>
      <c r="AL1072" s="11"/>
      <c r="AM1072" s="11"/>
      <c r="AN1072" s="11"/>
      <c r="AO1072" s="11"/>
      <c r="AP1072" s="11"/>
      <c r="AQ1072" s="11"/>
      <c r="AR1072" s="11"/>
      <c r="AS1072" s="11"/>
      <c r="AT1072" s="11"/>
      <c r="AV1072" s="1182"/>
      <c r="AW1072" s="1182"/>
      <c r="AX1072" s="1182"/>
      <c r="AY1072" s="1182"/>
    </row>
    <row r="1073" spans="1:51" ht="13.15" customHeight="1">
      <c r="A1073" s="111" t="s">
        <v>1625</v>
      </c>
      <c r="B1073" s="11"/>
      <c r="C1073" s="11"/>
      <c r="D1073" s="11"/>
      <c r="E1073" s="11"/>
      <c r="F1073" s="11"/>
      <c r="G1073" s="11"/>
      <c r="H1073" s="11"/>
      <c r="I1073" s="11"/>
      <c r="J1073" s="11"/>
      <c r="K1073" s="11"/>
      <c r="L1073" s="11"/>
      <c r="M1073" s="11"/>
      <c r="N1073" s="11"/>
      <c r="O1073" s="11"/>
      <c r="P1073" s="11"/>
      <c r="Q1073" s="1109"/>
      <c r="R1073" s="1109"/>
      <c r="S1073" s="1109"/>
      <c r="T1073" s="1109"/>
      <c r="U1073" s="1109"/>
      <c r="V1073" s="1109"/>
      <c r="W1073" s="1109"/>
      <c r="X1073" s="1109"/>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3.15" customHeight="1">
      <c r="A1074" s="1356" t="s">
        <v>847</v>
      </c>
      <c r="B1074" s="1356"/>
      <c r="C1074" s="1597">
        <v>1</v>
      </c>
      <c r="D1074" s="1597"/>
      <c r="E1074" s="11" t="s">
        <v>1626</v>
      </c>
      <c r="F1074" s="11"/>
      <c r="G1074" s="11"/>
      <c r="H1074" s="11"/>
      <c r="I1074" s="11"/>
      <c r="J1074" s="11"/>
      <c r="K1074" s="11"/>
      <c r="L1074" s="11"/>
      <c r="M1074" s="11"/>
      <c r="N1074" s="11"/>
      <c r="O1074" s="11"/>
      <c r="P1074" s="11"/>
      <c r="Q1074" s="1109"/>
      <c r="R1074" s="1109"/>
      <c r="S1074" s="1109"/>
      <c r="T1074" s="1109"/>
      <c r="U1074" s="1109"/>
      <c r="V1074" s="1109"/>
      <c r="W1074" s="1109"/>
      <c r="X1074" s="1109"/>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3.15" customHeight="1">
      <c r="A1075" s="111"/>
      <c r="B1075" s="11"/>
      <c r="C1075" s="1597"/>
      <c r="D1075" s="1597"/>
      <c r="E1075" s="11"/>
      <c r="F1075" s="11"/>
      <c r="G1075" s="11"/>
      <c r="H1075" s="11"/>
      <c r="I1075" s="11"/>
      <c r="J1075" s="11"/>
      <c r="K1075" s="11"/>
      <c r="L1075" s="11"/>
      <c r="M1075" s="11"/>
      <c r="N1075" s="11"/>
      <c r="O1075" s="11"/>
      <c r="P1075" s="11"/>
      <c r="Q1075" s="1109"/>
      <c r="R1075" s="1109"/>
      <c r="S1075" s="1109"/>
      <c r="T1075" s="1109"/>
      <c r="U1075" s="1109"/>
      <c r="V1075" s="1109"/>
      <c r="W1075" s="1109"/>
      <c r="X1075" s="1109"/>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3.15" customHeight="1">
      <c r="A1076" s="1356" t="s">
        <v>816</v>
      </c>
      <c r="B1076" s="1356"/>
      <c r="C1076" s="1597">
        <v>2</v>
      </c>
      <c r="D1076" s="1597"/>
      <c r="E1076" s="1807" t="s">
        <v>1627</v>
      </c>
      <c r="F1076" s="1807"/>
      <c r="G1076" s="1807"/>
      <c r="H1076" s="1807"/>
      <c r="I1076" s="1807"/>
      <c r="J1076" s="1807"/>
      <c r="K1076" s="1807"/>
      <c r="L1076" s="1807"/>
      <c r="M1076" s="1807"/>
      <c r="N1076" s="1807"/>
      <c r="O1076" s="1807"/>
      <c r="P1076" s="1807"/>
      <c r="Q1076" s="1807"/>
      <c r="R1076" s="1807"/>
      <c r="S1076" s="1807"/>
      <c r="T1076" s="1807"/>
      <c r="U1076" s="1807"/>
      <c r="V1076" s="1807"/>
      <c r="W1076" s="1807"/>
      <c r="X1076" s="1807"/>
      <c r="Y1076" s="1807"/>
      <c r="Z1076" s="1807"/>
      <c r="AA1076" s="1807"/>
      <c r="AB1076" s="1807"/>
      <c r="AC1076" s="1807"/>
      <c r="AD1076" s="1807"/>
      <c r="AE1076" s="1807"/>
      <c r="AF1076" s="1807"/>
      <c r="AG1076" s="1807"/>
      <c r="AH1076" s="1807"/>
      <c r="AI1076" s="1807"/>
      <c r="AJ1076" s="1807"/>
      <c r="AK1076" s="1807"/>
      <c r="AL1076" s="1807"/>
      <c r="AM1076" s="1807"/>
      <c r="AN1076" s="1807"/>
      <c r="AO1076" s="1807"/>
      <c r="AP1076" s="1807"/>
      <c r="AQ1076" s="1807"/>
      <c r="AR1076" s="1807"/>
      <c r="AS1076" s="11"/>
      <c r="AT1076" s="11"/>
      <c r="AV1076" s="1182"/>
      <c r="AW1076" s="1182"/>
      <c r="AX1076" s="1182"/>
      <c r="AY1076" s="1182"/>
    </row>
    <row r="1077" spans="1:51" ht="13.15" customHeight="1">
      <c r="A1077" s="111"/>
      <c r="B1077" s="11"/>
      <c r="C1077" s="1597"/>
      <c r="D1077" s="1597"/>
      <c r="E1077" s="1807"/>
      <c r="F1077" s="1807"/>
      <c r="G1077" s="1807"/>
      <c r="H1077" s="1807"/>
      <c r="I1077" s="1807"/>
      <c r="J1077" s="1807"/>
      <c r="K1077" s="1807"/>
      <c r="L1077" s="1807"/>
      <c r="M1077" s="1807"/>
      <c r="N1077" s="1807"/>
      <c r="O1077" s="1807"/>
      <c r="P1077" s="1807"/>
      <c r="Q1077" s="1807"/>
      <c r="R1077" s="1807"/>
      <c r="S1077" s="1807"/>
      <c r="T1077" s="1807"/>
      <c r="U1077" s="1807"/>
      <c r="V1077" s="1807"/>
      <c r="W1077" s="1807"/>
      <c r="X1077" s="1807"/>
      <c r="Y1077" s="1807"/>
      <c r="Z1077" s="1807"/>
      <c r="AA1077" s="1807"/>
      <c r="AB1077" s="1807"/>
      <c r="AC1077" s="1807"/>
      <c r="AD1077" s="1807"/>
      <c r="AE1077" s="1807"/>
      <c r="AF1077" s="1807"/>
      <c r="AG1077" s="1807"/>
      <c r="AH1077" s="1807"/>
      <c r="AI1077" s="1807"/>
      <c r="AJ1077" s="1807"/>
      <c r="AK1077" s="1807"/>
      <c r="AL1077" s="1807"/>
      <c r="AM1077" s="1807"/>
      <c r="AN1077" s="1807"/>
      <c r="AO1077" s="1807"/>
      <c r="AP1077" s="1807"/>
      <c r="AQ1077" s="1807"/>
      <c r="AR1077" s="1807"/>
      <c r="AS1077" s="11"/>
      <c r="AT1077" s="11"/>
      <c r="AV1077" s="1182"/>
      <c r="AW1077" s="1182"/>
      <c r="AX1077" s="1182"/>
      <c r="AY1077" s="1182"/>
    </row>
    <row r="1078" spans="1:51" ht="13.15" customHeight="1">
      <c r="A1078" s="111"/>
      <c r="B1078" s="11"/>
      <c r="C1078" s="1597"/>
      <c r="D1078" s="1597"/>
      <c r="E1078" s="11"/>
      <c r="F1078" s="11"/>
      <c r="G1078" s="11"/>
      <c r="H1078" s="11"/>
      <c r="I1078" s="11"/>
      <c r="J1078" s="11"/>
      <c r="K1078" s="11"/>
      <c r="L1078" s="11"/>
      <c r="M1078" s="11"/>
      <c r="N1078" s="11"/>
      <c r="O1078" s="11"/>
      <c r="P1078" s="11"/>
      <c r="Q1078" s="1109"/>
      <c r="R1078" s="1109"/>
      <c r="S1078" s="1109"/>
      <c r="T1078" s="1109"/>
      <c r="U1078" s="1109"/>
      <c r="V1078" s="1109"/>
      <c r="W1078" s="1109"/>
      <c r="X1078" s="1109"/>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3.15" customHeight="1">
      <c r="A1079" s="1356" t="s">
        <v>816</v>
      </c>
      <c r="B1079" s="1356"/>
      <c r="C1079" s="1439">
        <v>3</v>
      </c>
      <c r="D1079" s="1439"/>
      <c r="E1079" s="1234" t="s">
        <v>1628</v>
      </c>
      <c r="F1079" s="1234"/>
      <c r="G1079" s="1234"/>
      <c r="H1079" s="1234"/>
      <c r="I1079" s="1234"/>
      <c r="J1079" s="1234"/>
      <c r="K1079" s="1234"/>
      <c r="L1079" s="1234"/>
      <c r="M1079" s="1234"/>
      <c r="N1079" s="1234"/>
      <c r="O1079" s="1234"/>
      <c r="P1079" s="1234"/>
      <c r="Q1079" s="1234"/>
      <c r="R1079" s="1234"/>
      <c r="S1079" s="1234"/>
      <c r="T1079" s="1234"/>
      <c r="U1079" s="1234"/>
      <c r="V1079" s="1234"/>
      <c r="W1079" s="1234"/>
      <c r="X1079" s="1234"/>
      <c r="Y1079" s="1234"/>
      <c r="Z1079" s="1234"/>
      <c r="AA1079" s="1234"/>
      <c r="AB1079" s="1234"/>
      <c r="AC1079" s="1234"/>
      <c r="AD1079" s="1234"/>
      <c r="AE1079" s="1234"/>
      <c r="AF1079" s="1234"/>
      <c r="AG1079" s="1234"/>
      <c r="AH1079" s="1234"/>
      <c r="AI1079" s="1234"/>
      <c r="AJ1079" s="1234"/>
      <c r="AK1079" s="1234"/>
      <c r="AL1079" s="1234"/>
      <c r="AM1079" s="1234"/>
      <c r="AN1079" s="1234"/>
      <c r="AO1079" s="1234"/>
      <c r="AP1079" s="1234"/>
      <c r="AQ1079" s="1234"/>
      <c r="AR1079" s="1234"/>
      <c r="AS1079" s="11"/>
      <c r="AT1079" s="1182"/>
      <c r="AV1079" s="1182"/>
      <c r="AW1079" s="1182"/>
      <c r="AX1079" s="1182"/>
      <c r="AY1079" s="1182"/>
    </row>
    <row r="1080" spans="1:51" ht="13.15" customHeight="1">
      <c r="A1080" s="1080"/>
      <c r="B1080" s="1080"/>
      <c r="C1080" s="1439"/>
      <c r="D1080" s="1439"/>
      <c r="E1080" s="1234"/>
      <c r="F1080" s="1234"/>
      <c r="G1080" s="1234"/>
      <c r="H1080" s="1234"/>
      <c r="I1080" s="1234"/>
      <c r="J1080" s="1234"/>
      <c r="K1080" s="1234"/>
      <c r="L1080" s="1234"/>
      <c r="M1080" s="1234"/>
      <c r="N1080" s="1234"/>
      <c r="O1080" s="1234"/>
      <c r="P1080" s="1234"/>
      <c r="Q1080" s="1234"/>
      <c r="R1080" s="1234"/>
      <c r="S1080" s="1234"/>
      <c r="T1080" s="1234"/>
      <c r="U1080" s="1234"/>
      <c r="V1080" s="1234"/>
      <c r="W1080" s="1234"/>
      <c r="X1080" s="1234"/>
      <c r="Y1080" s="1234"/>
      <c r="Z1080" s="1234"/>
      <c r="AA1080" s="1234"/>
      <c r="AB1080" s="1234"/>
      <c r="AC1080" s="1234"/>
      <c r="AD1080" s="1234"/>
      <c r="AE1080" s="1234"/>
      <c r="AF1080" s="1234"/>
      <c r="AG1080" s="1234"/>
      <c r="AH1080" s="1234"/>
      <c r="AI1080" s="1234"/>
      <c r="AJ1080" s="1234"/>
      <c r="AK1080" s="1234"/>
      <c r="AL1080" s="1234"/>
      <c r="AM1080" s="1234"/>
      <c r="AN1080" s="1234"/>
      <c r="AO1080" s="1234"/>
      <c r="AP1080" s="1234"/>
      <c r="AQ1080" s="1234"/>
      <c r="AR1080" s="1234"/>
      <c r="AS1080" s="11"/>
      <c r="AT1080" s="1182"/>
      <c r="AV1080" s="1182"/>
      <c r="AW1080" s="1182"/>
      <c r="AX1080" s="1182"/>
      <c r="AY1080" s="1182"/>
    </row>
    <row r="1081" spans="1:51" ht="13.15" customHeight="1">
      <c r="A1081" s="1080"/>
      <c r="B1081" s="1080"/>
      <c r="C1081" s="1439"/>
      <c r="D1081" s="1439"/>
      <c r="E1081" s="1234"/>
      <c r="F1081" s="1234"/>
      <c r="G1081" s="1234"/>
      <c r="H1081" s="1234"/>
      <c r="I1081" s="1234"/>
      <c r="J1081" s="1234"/>
      <c r="K1081" s="1234"/>
      <c r="L1081" s="1234"/>
      <c r="M1081" s="1234"/>
      <c r="N1081" s="1234"/>
      <c r="O1081" s="1234"/>
      <c r="P1081" s="1234"/>
      <c r="Q1081" s="1234"/>
      <c r="R1081" s="1234"/>
      <c r="S1081" s="1234"/>
      <c r="T1081" s="1234"/>
      <c r="U1081" s="1234"/>
      <c r="V1081" s="1234"/>
      <c r="W1081" s="1234"/>
      <c r="X1081" s="1234"/>
      <c r="Y1081" s="1234"/>
      <c r="Z1081" s="1234"/>
      <c r="AA1081" s="1234"/>
      <c r="AB1081" s="1234"/>
      <c r="AC1081" s="1234"/>
      <c r="AD1081" s="1234"/>
      <c r="AE1081" s="1234"/>
      <c r="AF1081" s="1234"/>
      <c r="AG1081" s="1234"/>
      <c r="AH1081" s="1234"/>
      <c r="AI1081" s="1234"/>
      <c r="AJ1081" s="1234"/>
      <c r="AK1081" s="1234"/>
      <c r="AL1081" s="1234"/>
      <c r="AM1081" s="1234"/>
      <c r="AN1081" s="1234"/>
      <c r="AO1081" s="1234"/>
      <c r="AP1081" s="1234"/>
      <c r="AQ1081" s="1234"/>
      <c r="AR1081" s="1234"/>
      <c r="AS1081" s="11"/>
      <c r="AT1081" s="1182"/>
      <c r="AV1081" s="1182"/>
      <c r="AW1081" s="1182"/>
      <c r="AX1081" s="1182"/>
      <c r="AY1081" s="1182"/>
    </row>
    <row r="1082" spans="1:51" ht="13.15" customHeight="1">
      <c r="A1082" s="1080"/>
      <c r="B1082" s="1080"/>
      <c r="C1082" s="1439"/>
      <c r="D1082" s="1439"/>
      <c r="E1082" s="1234"/>
      <c r="F1082" s="1234"/>
      <c r="G1082" s="1234"/>
      <c r="H1082" s="1234"/>
      <c r="I1082" s="1234"/>
      <c r="J1082" s="1234"/>
      <c r="K1082" s="1234"/>
      <c r="L1082" s="1234"/>
      <c r="M1082" s="1234"/>
      <c r="N1082" s="1234"/>
      <c r="O1082" s="1234"/>
      <c r="P1082" s="1234"/>
      <c r="Q1082" s="1234"/>
      <c r="R1082" s="1234"/>
      <c r="S1082" s="1234"/>
      <c r="T1082" s="1234"/>
      <c r="U1082" s="1234"/>
      <c r="V1082" s="1234"/>
      <c r="W1082" s="1234"/>
      <c r="X1082" s="1234"/>
      <c r="Y1082" s="1234"/>
      <c r="Z1082" s="1234"/>
      <c r="AA1082" s="1234"/>
      <c r="AB1082" s="1234"/>
      <c r="AC1082" s="1234"/>
      <c r="AD1082" s="1234"/>
      <c r="AE1082" s="1234"/>
      <c r="AF1082" s="1234"/>
      <c r="AG1082" s="1234"/>
      <c r="AH1082" s="1234"/>
      <c r="AI1082" s="1234"/>
      <c r="AJ1082" s="1234"/>
      <c r="AK1082" s="1234"/>
      <c r="AL1082" s="1234"/>
      <c r="AM1082" s="1234"/>
      <c r="AN1082" s="1234"/>
      <c r="AO1082" s="1234"/>
      <c r="AP1082" s="1234"/>
      <c r="AQ1082" s="1234"/>
      <c r="AR1082" s="1234"/>
      <c r="AS1082" s="11"/>
      <c r="AT1082" s="1182"/>
      <c r="AV1082" s="1182"/>
      <c r="AW1082" s="1182"/>
      <c r="AX1082" s="1182"/>
      <c r="AY1082" s="1182"/>
    </row>
    <row r="1083" spans="1:51" ht="13.15" customHeight="1">
      <c r="A1083" s="1"/>
      <c r="B1083" s="19"/>
      <c r="C1083" s="1439"/>
      <c r="D1083" s="1439"/>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c r="AF1083" s="1067"/>
      <c r="AG1083" s="1067"/>
      <c r="AH1083" s="1067"/>
      <c r="AI1083" s="1067"/>
      <c r="AJ1083" s="1067"/>
      <c r="AK1083" s="1067"/>
      <c r="AL1083" s="1182"/>
      <c r="AM1083" s="1182"/>
      <c r="AN1083" s="1182"/>
      <c r="AO1083" s="1182"/>
      <c r="AP1083" s="1182"/>
      <c r="AQ1083" s="1182"/>
      <c r="AR1083" s="1182"/>
      <c r="AS1083" s="11"/>
      <c r="AT1083" s="1182"/>
      <c r="AV1083" s="1182"/>
      <c r="AW1083" s="1182"/>
      <c r="AX1083" s="1182"/>
      <c r="AY1083" s="1182"/>
    </row>
    <row r="1084" spans="1:51" ht="13.15" customHeight="1">
      <c r="A1084" s="1356" t="s">
        <v>816</v>
      </c>
      <c r="B1084" s="1356"/>
      <c r="C1084" s="1439">
        <v>4</v>
      </c>
      <c r="D1084" s="1439"/>
      <c r="E1084" s="1234" t="s">
        <v>1629</v>
      </c>
      <c r="F1084" s="1234"/>
      <c r="G1084" s="1234"/>
      <c r="H1084" s="1234"/>
      <c r="I1084" s="1234"/>
      <c r="J1084" s="1234"/>
      <c r="K1084" s="1234"/>
      <c r="L1084" s="1234"/>
      <c r="M1084" s="1234"/>
      <c r="N1084" s="1234"/>
      <c r="O1084" s="1234"/>
      <c r="P1084" s="1234"/>
      <c r="Q1084" s="1234"/>
      <c r="R1084" s="1234"/>
      <c r="S1084" s="1234"/>
      <c r="T1084" s="1234"/>
      <c r="U1084" s="1234"/>
      <c r="V1084" s="1234"/>
      <c r="W1084" s="1234"/>
      <c r="X1084" s="1234"/>
      <c r="Y1084" s="1234"/>
      <c r="Z1084" s="1234"/>
      <c r="AA1084" s="1234"/>
      <c r="AB1084" s="1234"/>
      <c r="AC1084" s="1234"/>
      <c r="AD1084" s="1234"/>
      <c r="AE1084" s="1234"/>
      <c r="AF1084" s="1234"/>
      <c r="AG1084" s="1234"/>
      <c r="AH1084" s="1234"/>
      <c r="AI1084" s="1234"/>
      <c r="AJ1084" s="1234"/>
      <c r="AK1084" s="1234"/>
      <c r="AL1084" s="1234"/>
      <c r="AM1084" s="1234"/>
      <c r="AN1084" s="1234"/>
      <c r="AO1084" s="1234"/>
      <c r="AP1084" s="1234"/>
      <c r="AQ1084" s="1234"/>
      <c r="AR1084" s="1234"/>
      <c r="AS1084" s="11"/>
      <c r="AT1084" s="1182"/>
    </row>
    <row r="1085" spans="1:51" ht="13.15" customHeight="1">
      <c r="A1085" s="1080"/>
      <c r="B1085" s="1080"/>
      <c r="C1085" s="1439"/>
      <c r="D1085" s="1439"/>
      <c r="E1085" s="1234"/>
      <c r="F1085" s="1234"/>
      <c r="G1085" s="1234"/>
      <c r="H1085" s="1234"/>
      <c r="I1085" s="1234"/>
      <c r="J1085" s="1234"/>
      <c r="K1085" s="1234"/>
      <c r="L1085" s="1234"/>
      <c r="M1085" s="1234"/>
      <c r="N1085" s="1234"/>
      <c r="O1085" s="1234"/>
      <c r="P1085" s="1234"/>
      <c r="Q1085" s="1234"/>
      <c r="R1085" s="1234"/>
      <c r="S1085" s="1234"/>
      <c r="T1085" s="1234"/>
      <c r="U1085" s="1234"/>
      <c r="V1085" s="1234"/>
      <c r="W1085" s="1234"/>
      <c r="X1085" s="1234"/>
      <c r="Y1085" s="1234"/>
      <c r="Z1085" s="1234"/>
      <c r="AA1085" s="1234"/>
      <c r="AB1085" s="1234"/>
      <c r="AC1085" s="1234"/>
      <c r="AD1085" s="1234"/>
      <c r="AE1085" s="1234"/>
      <c r="AF1085" s="1234"/>
      <c r="AG1085" s="1234"/>
      <c r="AH1085" s="1234"/>
      <c r="AI1085" s="1234"/>
      <c r="AJ1085" s="1234"/>
      <c r="AK1085" s="1234"/>
      <c r="AL1085" s="1234"/>
      <c r="AM1085" s="1234"/>
      <c r="AN1085" s="1234"/>
      <c r="AO1085" s="1234"/>
      <c r="AP1085" s="1234"/>
      <c r="AQ1085" s="1234"/>
      <c r="AR1085" s="1234"/>
      <c r="AS1085" s="11"/>
      <c r="AT1085" s="1182"/>
    </row>
    <row r="1086" spans="1:51" ht="13.15" customHeight="1">
      <c r="A1086" s="1080"/>
      <c r="B1086" s="1080"/>
      <c r="C1086" s="1439"/>
      <c r="D1086" s="1439"/>
      <c r="E1086" s="1234"/>
      <c r="F1086" s="1234"/>
      <c r="G1086" s="1234"/>
      <c r="H1086" s="1234"/>
      <c r="I1086" s="1234"/>
      <c r="J1086" s="1234"/>
      <c r="K1086" s="1234"/>
      <c r="L1086" s="1234"/>
      <c r="M1086" s="1234"/>
      <c r="N1086" s="1234"/>
      <c r="O1086" s="1234"/>
      <c r="P1086" s="1234"/>
      <c r="Q1086" s="1234"/>
      <c r="R1086" s="1234"/>
      <c r="S1086" s="1234"/>
      <c r="T1086" s="1234"/>
      <c r="U1086" s="1234"/>
      <c r="V1086" s="1234"/>
      <c r="W1086" s="1234"/>
      <c r="X1086" s="1234"/>
      <c r="Y1086" s="1234"/>
      <c r="Z1086" s="1234"/>
      <c r="AA1086" s="1234"/>
      <c r="AB1086" s="1234"/>
      <c r="AC1086" s="1234"/>
      <c r="AD1086" s="1234"/>
      <c r="AE1086" s="1234"/>
      <c r="AF1086" s="1234"/>
      <c r="AG1086" s="1234"/>
      <c r="AH1086" s="1234"/>
      <c r="AI1086" s="1234"/>
      <c r="AJ1086" s="1234"/>
      <c r="AK1086" s="1234"/>
      <c r="AL1086" s="1234"/>
      <c r="AM1086" s="1234"/>
      <c r="AN1086" s="1234"/>
      <c r="AO1086" s="1234"/>
      <c r="AP1086" s="1234"/>
      <c r="AQ1086" s="1234"/>
      <c r="AR1086" s="1234"/>
      <c r="AS1086" s="11"/>
      <c r="AT1086" s="1182"/>
    </row>
    <row r="1087" spans="1:51" ht="13.15" customHeight="1">
      <c r="A1087" s="1080"/>
      <c r="B1087" s="1080"/>
      <c r="C1087" s="1439"/>
      <c r="D1087" s="1439"/>
      <c r="E1087" s="1234"/>
      <c r="F1087" s="1234"/>
      <c r="G1087" s="1234"/>
      <c r="H1087" s="1234"/>
      <c r="I1087" s="1234"/>
      <c r="J1087" s="1234"/>
      <c r="K1087" s="1234"/>
      <c r="L1087" s="1234"/>
      <c r="M1087" s="1234"/>
      <c r="N1087" s="1234"/>
      <c r="O1087" s="1234"/>
      <c r="P1087" s="1234"/>
      <c r="Q1087" s="1234"/>
      <c r="R1087" s="1234"/>
      <c r="S1087" s="1234"/>
      <c r="T1087" s="1234"/>
      <c r="U1087" s="1234"/>
      <c r="V1087" s="1234"/>
      <c r="W1087" s="1234"/>
      <c r="X1087" s="1234"/>
      <c r="Y1087" s="1234"/>
      <c r="Z1087" s="1234"/>
      <c r="AA1087" s="1234"/>
      <c r="AB1087" s="1234"/>
      <c r="AC1087" s="1234"/>
      <c r="AD1087" s="1234"/>
      <c r="AE1087" s="1234"/>
      <c r="AF1087" s="1234"/>
      <c r="AG1087" s="1234"/>
      <c r="AH1087" s="1234"/>
      <c r="AI1087" s="1234"/>
      <c r="AJ1087" s="1234"/>
      <c r="AK1087" s="1234"/>
      <c r="AL1087" s="1234"/>
      <c r="AM1087" s="1234"/>
      <c r="AN1087" s="1234"/>
      <c r="AO1087" s="1234"/>
      <c r="AP1087" s="1234"/>
      <c r="AQ1087" s="1234"/>
      <c r="AR1087" s="1234"/>
      <c r="AS1087" s="11"/>
      <c r="AT1087" s="1182"/>
    </row>
    <row r="1088" spans="1:51" ht="13.15" customHeight="1">
      <c r="A1088" s="1080"/>
      <c r="B1088" s="1080"/>
      <c r="C1088" s="1439"/>
      <c r="D1088" s="1439"/>
      <c r="E1088" s="1234"/>
      <c r="F1088" s="1234"/>
      <c r="G1088" s="1234"/>
      <c r="H1088" s="1234"/>
      <c r="I1088" s="1234"/>
      <c r="J1088" s="1234"/>
      <c r="K1088" s="1234"/>
      <c r="L1088" s="1234"/>
      <c r="M1088" s="1234"/>
      <c r="N1088" s="1234"/>
      <c r="O1088" s="1234"/>
      <c r="P1088" s="1234"/>
      <c r="Q1088" s="1234"/>
      <c r="R1088" s="1234"/>
      <c r="S1088" s="1234"/>
      <c r="T1088" s="1234"/>
      <c r="U1088" s="1234"/>
      <c r="V1088" s="1234"/>
      <c r="W1088" s="1234"/>
      <c r="X1088" s="1234"/>
      <c r="Y1088" s="1234"/>
      <c r="Z1088" s="1234"/>
      <c r="AA1088" s="1234"/>
      <c r="AB1088" s="1234"/>
      <c r="AC1088" s="1234"/>
      <c r="AD1088" s="1234"/>
      <c r="AE1088" s="1234"/>
      <c r="AF1088" s="1234"/>
      <c r="AG1088" s="1234"/>
      <c r="AH1088" s="1234"/>
      <c r="AI1088" s="1234"/>
      <c r="AJ1088" s="1234"/>
      <c r="AK1088" s="1234"/>
      <c r="AL1088" s="1234"/>
      <c r="AM1088" s="1234"/>
      <c r="AN1088" s="1234"/>
      <c r="AO1088" s="1234"/>
      <c r="AP1088" s="1234"/>
      <c r="AQ1088" s="1234"/>
      <c r="AR1088" s="1234"/>
      <c r="AS1088" s="11"/>
      <c r="AT1088" s="1182"/>
    </row>
    <row r="1089" spans="1:45" ht="13.15" customHeight="1">
      <c r="A1089" s="1080"/>
      <c r="B1089" s="1080"/>
      <c r="C1089" s="1439"/>
      <c r="D1089" s="1439"/>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c r="AF1089" s="1067"/>
      <c r="AG1089" s="1067"/>
      <c r="AH1089" s="1067"/>
      <c r="AI1089" s="1067"/>
      <c r="AJ1089" s="1067"/>
      <c r="AK1089" s="1067"/>
      <c r="AS1089" s="11"/>
    </row>
    <row r="1090" spans="1:45" ht="13.15" customHeight="1">
      <c r="A1090" s="1356" t="s">
        <v>816</v>
      </c>
      <c r="B1090" s="1356"/>
      <c r="C1090" s="1439">
        <v>5</v>
      </c>
      <c r="D1090" s="1439"/>
      <c r="E1090" s="1234" t="s">
        <v>1630</v>
      </c>
      <c r="F1090" s="1234"/>
      <c r="G1090" s="1234"/>
      <c r="H1090" s="1234"/>
      <c r="I1090" s="1234"/>
      <c r="J1090" s="1234"/>
      <c r="K1090" s="1234"/>
      <c r="L1090" s="1234"/>
      <c r="M1090" s="1234"/>
      <c r="N1090" s="1234"/>
      <c r="O1090" s="1234"/>
      <c r="P1090" s="1234"/>
      <c r="Q1090" s="1234"/>
      <c r="R1090" s="1234"/>
      <c r="S1090" s="1234"/>
      <c r="T1090" s="1234"/>
      <c r="U1090" s="1234"/>
      <c r="V1090" s="1234"/>
      <c r="W1090" s="1234"/>
      <c r="X1090" s="1234"/>
      <c r="Y1090" s="1234"/>
      <c r="Z1090" s="1234"/>
      <c r="AA1090" s="1234"/>
      <c r="AB1090" s="1234"/>
      <c r="AC1090" s="1234"/>
      <c r="AD1090" s="1234"/>
      <c r="AE1090" s="1234"/>
      <c r="AF1090" s="1234"/>
      <c r="AG1090" s="1234"/>
      <c r="AH1090" s="1234"/>
      <c r="AI1090" s="1234"/>
      <c r="AJ1090" s="1234"/>
      <c r="AK1090" s="1234"/>
      <c r="AL1090" s="1234"/>
      <c r="AM1090" s="1234"/>
      <c r="AN1090" s="1234"/>
      <c r="AO1090" s="1234"/>
      <c r="AP1090" s="1234"/>
      <c r="AQ1090" s="1234"/>
      <c r="AR1090" s="1234"/>
      <c r="AS1090" s="11"/>
    </row>
    <row r="1091" spans="1:45" ht="13.15" customHeight="1">
      <c r="A1091" s="2"/>
      <c r="B1091" s="2"/>
      <c r="C1091" s="1439"/>
      <c r="D1091" s="1439"/>
      <c r="E1091" s="1234"/>
      <c r="F1091" s="1234"/>
      <c r="G1091" s="1234"/>
      <c r="H1091" s="1234"/>
      <c r="I1091" s="1234"/>
      <c r="J1091" s="1234"/>
      <c r="K1091" s="1234"/>
      <c r="L1091" s="1234"/>
      <c r="M1091" s="1234"/>
      <c r="N1091" s="1234"/>
      <c r="O1091" s="1234"/>
      <c r="P1091" s="1234"/>
      <c r="Q1091" s="1234"/>
      <c r="R1091" s="1234"/>
      <c r="S1091" s="1234"/>
      <c r="T1091" s="1234"/>
      <c r="U1091" s="1234"/>
      <c r="V1091" s="1234"/>
      <c r="W1091" s="1234"/>
      <c r="X1091" s="1234"/>
      <c r="Y1091" s="1234"/>
      <c r="Z1091" s="1234"/>
      <c r="AA1091" s="1234"/>
      <c r="AB1091" s="1234"/>
      <c r="AC1091" s="1234"/>
      <c r="AD1091" s="1234"/>
      <c r="AE1091" s="1234"/>
      <c r="AF1091" s="1234"/>
      <c r="AG1091" s="1234"/>
      <c r="AH1091" s="1234"/>
      <c r="AI1091" s="1234"/>
      <c r="AJ1091" s="1234"/>
      <c r="AK1091" s="1234"/>
      <c r="AL1091" s="1234"/>
      <c r="AM1091" s="1234"/>
      <c r="AN1091" s="1234"/>
      <c r="AO1091" s="1234"/>
      <c r="AP1091" s="1234"/>
      <c r="AQ1091" s="1234"/>
      <c r="AR1091" s="1234"/>
      <c r="AS1091" s="11"/>
    </row>
    <row r="1092" spans="1:45" ht="13.15" customHeight="1">
      <c r="A1092" s="2"/>
      <c r="B1092" s="2"/>
      <c r="C1092" s="1439"/>
      <c r="D1092" s="1439"/>
      <c r="E1092" s="1234"/>
      <c r="F1092" s="1234"/>
      <c r="G1092" s="1234"/>
      <c r="H1092" s="1234"/>
      <c r="I1092" s="1234"/>
      <c r="J1092" s="1234"/>
      <c r="K1092" s="1234"/>
      <c r="L1092" s="1234"/>
      <c r="M1092" s="1234"/>
      <c r="N1092" s="1234"/>
      <c r="O1092" s="1234"/>
      <c r="P1092" s="1234"/>
      <c r="Q1092" s="1234"/>
      <c r="R1092" s="1234"/>
      <c r="S1092" s="1234"/>
      <c r="T1092" s="1234"/>
      <c r="U1092" s="1234"/>
      <c r="V1092" s="1234"/>
      <c r="W1092" s="1234"/>
      <c r="X1092" s="1234"/>
      <c r="Y1092" s="1234"/>
      <c r="Z1092" s="1234"/>
      <c r="AA1092" s="1234"/>
      <c r="AB1092" s="1234"/>
      <c r="AC1092" s="1234"/>
      <c r="AD1092" s="1234"/>
      <c r="AE1092" s="1234"/>
      <c r="AF1092" s="1234"/>
      <c r="AG1092" s="1234"/>
      <c r="AH1092" s="1234"/>
      <c r="AI1092" s="1234"/>
      <c r="AJ1092" s="1234"/>
      <c r="AK1092" s="1234"/>
      <c r="AL1092" s="1234"/>
      <c r="AM1092" s="1234"/>
      <c r="AN1092" s="1234"/>
      <c r="AO1092" s="1234"/>
      <c r="AP1092" s="1234"/>
      <c r="AQ1092" s="1234"/>
      <c r="AR1092" s="1234"/>
      <c r="AS1092" s="11"/>
    </row>
    <row r="1093" spans="1:45" ht="13.15" customHeight="1">
      <c r="A1093" s="68"/>
      <c r="B1093" s="19"/>
      <c r="C1093" s="1439"/>
      <c r="D1093" s="1439"/>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c r="AF1093" s="1067"/>
      <c r="AG1093" s="1067"/>
      <c r="AH1093" s="1067"/>
      <c r="AI1093" s="1067"/>
      <c r="AJ1093" s="1067"/>
      <c r="AK1093" s="1067"/>
      <c r="AS1093" s="11"/>
    </row>
    <row r="1094" spans="1:45" ht="13.15" customHeight="1">
      <c r="A1094" s="1356" t="s">
        <v>816</v>
      </c>
      <c r="B1094" s="1356"/>
      <c r="C1094" s="1439">
        <v>6</v>
      </c>
      <c r="D1094" s="1439"/>
      <c r="E1094" s="1234" t="s">
        <v>1631</v>
      </c>
      <c r="F1094" s="1234"/>
      <c r="G1094" s="1234"/>
      <c r="H1094" s="1234"/>
      <c r="I1094" s="1234"/>
      <c r="J1094" s="1234"/>
      <c r="K1094" s="1234"/>
      <c r="L1094" s="1234"/>
      <c r="M1094" s="1234"/>
      <c r="N1094" s="1234"/>
      <c r="O1094" s="1234"/>
      <c r="P1094" s="1234"/>
      <c r="Q1094" s="1234"/>
      <c r="R1094" s="1234"/>
      <c r="S1094" s="1234"/>
      <c r="T1094" s="1234"/>
      <c r="U1094" s="1234"/>
      <c r="V1094" s="1234"/>
      <c r="W1094" s="1234"/>
      <c r="X1094" s="1234"/>
      <c r="Y1094" s="1234"/>
      <c r="Z1094" s="1234"/>
      <c r="AA1094" s="1234"/>
      <c r="AB1094" s="1234"/>
      <c r="AC1094" s="1234"/>
      <c r="AD1094" s="1234"/>
      <c r="AE1094" s="1234"/>
      <c r="AF1094" s="1234"/>
      <c r="AG1094" s="1234"/>
      <c r="AH1094" s="1234"/>
      <c r="AI1094" s="1234"/>
      <c r="AJ1094" s="1234"/>
      <c r="AK1094" s="1234"/>
      <c r="AL1094" s="1234"/>
      <c r="AM1094" s="1234"/>
      <c r="AN1094" s="1234"/>
      <c r="AO1094" s="1234"/>
      <c r="AP1094" s="1234"/>
      <c r="AQ1094" s="1234"/>
      <c r="AR1094" s="1234"/>
      <c r="AS1094" s="11"/>
    </row>
    <row r="1095" spans="1:45" ht="13.15" customHeight="1">
      <c r="A1095" s="1080"/>
      <c r="B1095" s="1080"/>
      <c r="C1095" s="1080"/>
      <c r="D1095" s="1080"/>
      <c r="E1095" s="1234"/>
      <c r="F1095" s="1234"/>
      <c r="G1095" s="1234"/>
      <c r="H1095" s="1234"/>
      <c r="I1095" s="1234"/>
      <c r="J1095" s="1234"/>
      <c r="K1095" s="1234"/>
      <c r="L1095" s="1234"/>
      <c r="M1095" s="1234"/>
      <c r="N1095" s="1234"/>
      <c r="O1095" s="1234"/>
      <c r="P1095" s="1234"/>
      <c r="Q1095" s="1234"/>
      <c r="R1095" s="1234"/>
      <c r="S1095" s="1234"/>
      <c r="T1095" s="1234"/>
      <c r="U1095" s="1234"/>
      <c r="V1095" s="1234"/>
      <c r="W1095" s="1234"/>
      <c r="X1095" s="1234"/>
      <c r="Y1095" s="1234"/>
      <c r="Z1095" s="1234"/>
      <c r="AA1095" s="1234"/>
      <c r="AB1095" s="1234"/>
      <c r="AC1095" s="1234"/>
      <c r="AD1095" s="1234"/>
      <c r="AE1095" s="1234"/>
      <c r="AF1095" s="1234"/>
      <c r="AG1095" s="1234"/>
      <c r="AH1095" s="1234"/>
      <c r="AI1095" s="1234"/>
      <c r="AJ1095" s="1234"/>
      <c r="AK1095" s="1234"/>
      <c r="AL1095" s="1234"/>
      <c r="AM1095" s="1234"/>
      <c r="AN1095" s="1234"/>
      <c r="AO1095" s="1234"/>
      <c r="AP1095" s="1234"/>
      <c r="AQ1095" s="1234"/>
      <c r="AR1095" s="1234"/>
      <c r="AS1095" s="11"/>
    </row>
    <row r="1096" spans="1:45" ht="13.15" customHeight="1">
      <c r="A1096" s="1080"/>
      <c r="B1096" s="1080"/>
      <c r="C1096" s="1439"/>
      <c r="D1096" s="1439"/>
      <c r="E1096" s="1234"/>
      <c r="F1096" s="1234"/>
      <c r="G1096" s="1234"/>
      <c r="H1096" s="1234"/>
      <c r="I1096" s="1234"/>
      <c r="J1096" s="1234"/>
      <c r="K1096" s="1234"/>
      <c r="L1096" s="1234"/>
      <c r="M1096" s="1234"/>
      <c r="N1096" s="1234"/>
      <c r="O1096" s="1234"/>
      <c r="P1096" s="1234"/>
      <c r="Q1096" s="1234"/>
      <c r="R1096" s="1234"/>
      <c r="S1096" s="1234"/>
      <c r="T1096" s="1234"/>
      <c r="U1096" s="1234"/>
      <c r="V1096" s="1234"/>
      <c r="W1096" s="1234"/>
      <c r="X1096" s="1234"/>
      <c r="Y1096" s="1234"/>
      <c r="Z1096" s="1234"/>
      <c r="AA1096" s="1234"/>
      <c r="AB1096" s="1234"/>
      <c r="AC1096" s="1234"/>
      <c r="AD1096" s="1234"/>
      <c r="AE1096" s="1234"/>
      <c r="AF1096" s="1234"/>
      <c r="AG1096" s="1234"/>
      <c r="AH1096" s="1234"/>
      <c r="AI1096" s="1234"/>
      <c r="AJ1096" s="1234"/>
      <c r="AK1096" s="1234"/>
      <c r="AL1096" s="1234"/>
      <c r="AM1096" s="1234"/>
      <c r="AN1096" s="1234"/>
      <c r="AO1096" s="1234"/>
      <c r="AP1096" s="1234"/>
      <c r="AQ1096" s="1234"/>
      <c r="AR1096" s="1234"/>
      <c r="AS1096" s="11"/>
    </row>
    <row r="1097" spans="1:45" ht="13.15" customHeight="1">
      <c r="A1097" s="68"/>
      <c r="B1097" s="19"/>
      <c r="C1097" s="1439"/>
      <c r="D1097" s="1439"/>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c r="AF1097" s="1067"/>
      <c r="AG1097" s="1067"/>
      <c r="AH1097" s="1067"/>
      <c r="AI1097" s="1067"/>
      <c r="AJ1097" s="1067"/>
      <c r="AK1097" s="1067"/>
      <c r="AS1097" s="11"/>
    </row>
    <row r="1098" spans="1:45" ht="13.15" customHeight="1">
      <c r="A1098" s="1356" t="s">
        <v>816</v>
      </c>
      <c r="B1098" s="1356"/>
      <c r="C1098" s="1439">
        <v>7</v>
      </c>
      <c r="D1098" s="1439"/>
      <c r="E1098" s="1234" t="s">
        <v>1632</v>
      </c>
      <c r="F1098" s="1234"/>
      <c r="G1098" s="1234"/>
      <c r="H1098" s="1234"/>
      <c r="I1098" s="1234"/>
      <c r="J1098" s="1234"/>
      <c r="K1098" s="1234"/>
      <c r="L1098" s="1234"/>
      <c r="M1098" s="1234"/>
      <c r="N1098" s="1234"/>
      <c r="O1098" s="1234"/>
      <c r="P1098" s="1234"/>
      <c r="Q1098" s="1234"/>
      <c r="R1098" s="1234"/>
      <c r="S1098" s="1234"/>
      <c r="T1098" s="1234"/>
      <c r="U1098" s="1234"/>
      <c r="V1098" s="1234"/>
      <c r="W1098" s="1234"/>
      <c r="X1098" s="1234"/>
      <c r="Y1098" s="1234"/>
      <c r="Z1098" s="1234"/>
      <c r="AA1098" s="1234"/>
      <c r="AB1098" s="1234"/>
      <c r="AC1098" s="1234"/>
      <c r="AD1098" s="1234"/>
      <c r="AE1098" s="1234"/>
      <c r="AF1098" s="1234"/>
      <c r="AG1098" s="1234"/>
      <c r="AH1098" s="1234"/>
      <c r="AI1098" s="1234"/>
      <c r="AJ1098" s="1234"/>
      <c r="AK1098" s="1234"/>
      <c r="AL1098" s="1234"/>
      <c r="AM1098" s="1234"/>
      <c r="AN1098" s="1234"/>
      <c r="AO1098" s="1234"/>
      <c r="AP1098" s="1234"/>
      <c r="AQ1098" s="1234"/>
      <c r="AR1098" s="1234"/>
      <c r="AS1098" s="11"/>
    </row>
    <row r="1099" spans="1:45" ht="13.15" customHeight="1">
      <c r="A1099" s="1080"/>
      <c r="B1099" s="1080"/>
      <c r="C1099" s="1439"/>
      <c r="D1099" s="1439"/>
      <c r="E1099" s="1234"/>
      <c r="F1099" s="1234"/>
      <c r="G1099" s="1234"/>
      <c r="H1099" s="1234"/>
      <c r="I1099" s="1234"/>
      <c r="J1099" s="1234"/>
      <c r="K1099" s="1234"/>
      <c r="L1099" s="1234"/>
      <c r="M1099" s="1234"/>
      <c r="N1099" s="1234"/>
      <c r="O1099" s="1234"/>
      <c r="P1099" s="1234"/>
      <c r="Q1099" s="1234"/>
      <c r="R1099" s="1234"/>
      <c r="S1099" s="1234"/>
      <c r="T1099" s="1234"/>
      <c r="U1099" s="1234"/>
      <c r="V1099" s="1234"/>
      <c r="W1099" s="1234"/>
      <c r="X1099" s="1234"/>
      <c r="Y1099" s="1234"/>
      <c r="Z1099" s="1234"/>
      <c r="AA1099" s="1234"/>
      <c r="AB1099" s="1234"/>
      <c r="AC1099" s="1234"/>
      <c r="AD1099" s="1234"/>
      <c r="AE1099" s="1234"/>
      <c r="AF1099" s="1234"/>
      <c r="AG1099" s="1234"/>
      <c r="AH1099" s="1234"/>
      <c r="AI1099" s="1234"/>
      <c r="AJ1099" s="1234"/>
      <c r="AK1099" s="1234"/>
      <c r="AL1099" s="1234"/>
      <c r="AM1099" s="1234"/>
      <c r="AN1099" s="1234"/>
      <c r="AO1099" s="1234"/>
      <c r="AP1099" s="1234"/>
      <c r="AQ1099" s="1234"/>
      <c r="AR1099" s="1234"/>
      <c r="AS1099" s="11"/>
    </row>
    <row r="1100" spans="1:45" ht="13.15" customHeight="1">
      <c r="A1100" s="1080"/>
      <c r="B1100" s="1080"/>
      <c r="C1100" s="1439"/>
      <c r="D1100" s="1439"/>
      <c r="E1100" s="1234"/>
      <c r="F1100" s="1234"/>
      <c r="G1100" s="1234"/>
      <c r="H1100" s="1234"/>
      <c r="I1100" s="1234"/>
      <c r="J1100" s="1234"/>
      <c r="K1100" s="1234"/>
      <c r="L1100" s="1234"/>
      <c r="M1100" s="1234"/>
      <c r="N1100" s="1234"/>
      <c r="O1100" s="1234"/>
      <c r="P1100" s="1234"/>
      <c r="Q1100" s="1234"/>
      <c r="R1100" s="1234"/>
      <c r="S1100" s="1234"/>
      <c r="T1100" s="1234"/>
      <c r="U1100" s="1234"/>
      <c r="V1100" s="1234"/>
      <c r="W1100" s="1234"/>
      <c r="X1100" s="1234"/>
      <c r="Y1100" s="1234"/>
      <c r="Z1100" s="1234"/>
      <c r="AA1100" s="1234"/>
      <c r="AB1100" s="1234"/>
      <c r="AC1100" s="1234"/>
      <c r="AD1100" s="1234"/>
      <c r="AE1100" s="1234"/>
      <c r="AF1100" s="1234"/>
      <c r="AG1100" s="1234"/>
      <c r="AH1100" s="1234"/>
      <c r="AI1100" s="1234"/>
      <c r="AJ1100" s="1234"/>
      <c r="AK1100" s="1234"/>
      <c r="AL1100" s="1234"/>
      <c r="AM1100" s="1234"/>
      <c r="AN1100" s="1234"/>
      <c r="AO1100" s="1234"/>
      <c r="AP1100" s="1234"/>
      <c r="AQ1100" s="1234"/>
      <c r="AR1100" s="1234"/>
      <c r="AS1100" s="11"/>
    </row>
    <row r="1101" spans="1:45" ht="13.15" customHeight="1">
      <c r="A1101" s="1080"/>
      <c r="B1101" s="1080"/>
      <c r="C1101" s="1439"/>
      <c r="D1101" s="1439"/>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c r="AF1101" s="1067"/>
      <c r="AG1101" s="1067"/>
      <c r="AH1101" s="1067"/>
      <c r="AI1101" s="1067"/>
      <c r="AJ1101" s="1067"/>
      <c r="AK1101" s="1067"/>
    </row>
    <row r="1102" spans="1:45" ht="13.15" customHeight="1">
      <c r="A1102" s="68"/>
      <c r="B1102" s="19"/>
      <c r="C1102" s="1439"/>
      <c r="D1102" s="1439"/>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c r="AG1102" s="1067"/>
      <c r="AH1102" s="1067"/>
      <c r="AI1102" s="1067"/>
      <c r="AJ1102" s="1067"/>
      <c r="AK1102" s="1067"/>
    </row>
    <row r="1103" spans="1:45" ht="13.15" customHeight="1">
      <c r="A1103" s="1356" t="s">
        <v>816</v>
      </c>
      <c r="B1103" s="1356"/>
      <c r="C1103" s="1439">
        <v>8</v>
      </c>
      <c r="D1103" s="1439"/>
      <c r="E1103" s="1234" t="s">
        <v>1633</v>
      </c>
      <c r="F1103" s="1234"/>
      <c r="G1103" s="1234"/>
      <c r="H1103" s="1234"/>
      <c r="I1103" s="1234"/>
      <c r="J1103" s="1234"/>
      <c r="K1103" s="1234"/>
      <c r="L1103" s="1234"/>
      <c r="M1103" s="1234"/>
      <c r="N1103" s="1234"/>
      <c r="O1103" s="1234"/>
      <c r="P1103" s="1234"/>
      <c r="Q1103" s="1234"/>
      <c r="R1103" s="1234"/>
      <c r="S1103" s="1234"/>
      <c r="T1103" s="1234"/>
      <c r="U1103" s="1234"/>
      <c r="V1103" s="1234"/>
      <c r="W1103" s="1234"/>
      <c r="X1103" s="1234"/>
      <c r="Y1103" s="1234"/>
      <c r="Z1103" s="1234"/>
      <c r="AA1103" s="1234"/>
      <c r="AB1103" s="1234"/>
      <c r="AC1103" s="1234"/>
      <c r="AD1103" s="1234"/>
      <c r="AE1103" s="1234"/>
      <c r="AF1103" s="1234"/>
      <c r="AG1103" s="1234"/>
      <c r="AH1103" s="1234"/>
      <c r="AI1103" s="1234"/>
      <c r="AJ1103" s="1234"/>
      <c r="AK1103" s="1234"/>
      <c r="AL1103" s="1234"/>
      <c r="AM1103" s="1234"/>
      <c r="AN1103" s="1234"/>
      <c r="AO1103" s="1234"/>
      <c r="AP1103" s="1234"/>
      <c r="AQ1103" s="1234"/>
      <c r="AR1103" s="1234"/>
    </row>
    <row r="1104" spans="1:45" ht="13.15" customHeight="1">
      <c r="A1104" s="68"/>
      <c r="B1104" s="19"/>
      <c r="C1104" s="1439"/>
      <c r="D1104" s="1439"/>
      <c r="E1104" s="1234"/>
      <c r="F1104" s="1234"/>
      <c r="G1104" s="1234"/>
      <c r="H1104" s="1234"/>
      <c r="I1104" s="1234"/>
      <c r="J1104" s="1234"/>
      <c r="K1104" s="1234"/>
      <c r="L1104" s="1234"/>
      <c r="M1104" s="1234"/>
      <c r="N1104" s="1234"/>
      <c r="O1104" s="1234"/>
      <c r="P1104" s="1234"/>
      <c r="Q1104" s="1234"/>
      <c r="R1104" s="1234"/>
      <c r="S1104" s="1234"/>
      <c r="T1104" s="1234"/>
      <c r="U1104" s="1234"/>
      <c r="V1104" s="1234"/>
      <c r="W1104" s="1234"/>
      <c r="X1104" s="1234"/>
      <c r="Y1104" s="1234"/>
      <c r="Z1104" s="1234"/>
      <c r="AA1104" s="1234"/>
      <c r="AB1104" s="1234"/>
      <c r="AC1104" s="1234"/>
      <c r="AD1104" s="1234"/>
      <c r="AE1104" s="1234"/>
      <c r="AF1104" s="1234"/>
      <c r="AG1104" s="1234"/>
      <c r="AH1104" s="1234"/>
      <c r="AI1104" s="1234"/>
      <c r="AJ1104" s="1234"/>
      <c r="AK1104" s="1234"/>
      <c r="AL1104" s="1234"/>
      <c r="AM1104" s="1234"/>
      <c r="AN1104" s="1234"/>
      <c r="AO1104" s="1234"/>
      <c r="AP1104" s="1234"/>
      <c r="AQ1104" s="1234"/>
      <c r="AR1104" s="1234"/>
    </row>
    <row r="1105" spans="1:44" ht="13.15" customHeight="1">
      <c r="A1105" s="68"/>
      <c r="B1105" s="19"/>
      <c r="C1105" s="1439"/>
      <c r="D1105" s="1439"/>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row>
    <row r="1106" spans="1:44" ht="13.15" customHeight="1">
      <c r="A1106" s="1356" t="s">
        <v>816</v>
      </c>
      <c r="B1106" s="1356"/>
      <c r="C1106" s="1597">
        <v>9</v>
      </c>
      <c r="D1106" s="1597"/>
      <c r="E1106" s="1234" t="s">
        <v>1634</v>
      </c>
      <c r="F1106" s="1234"/>
      <c r="G1106" s="1234"/>
      <c r="H1106" s="1234"/>
      <c r="I1106" s="1234"/>
      <c r="J1106" s="1234"/>
      <c r="K1106" s="1234"/>
      <c r="L1106" s="1234"/>
      <c r="M1106" s="1234"/>
      <c r="N1106" s="1234"/>
      <c r="O1106" s="1234"/>
      <c r="P1106" s="1234"/>
      <c r="Q1106" s="1234"/>
      <c r="R1106" s="1234"/>
      <c r="S1106" s="1234"/>
      <c r="T1106" s="1234"/>
      <c r="U1106" s="1234"/>
      <c r="V1106" s="1234"/>
      <c r="W1106" s="1234"/>
      <c r="X1106" s="1234"/>
      <c r="Y1106" s="1234"/>
      <c r="Z1106" s="1234"/>
      <c r="AA1106" s="1234"/>
      <c r="AB1106" s="1234"/>
      <c r="AC1106" s="1234"/>
      <c r="AD1106" s="1234"/>
      <c r="AE1106" s="1234"/>
      <c r="AF1106" s="1234"/>
      <c r="AG1106" s="1234"/>
      <c r="AH1106" s="1234"/>
      <c r="AI1106" s="1234"/>
      <c r="AJ1106" s="1234"/>
      <c r="AK1106" s="1234"/>
      <c r="AL1106" s="1234"/>
      <c r="AM1106" s="1234"/>
      <c r="AN1106" s="1234"/>
      <c r="AO1106" s="1234"/>
      <c r="AP1106" s="1234"/>
      <c r="AQ1106" s="1234"/>
      <c r="AR1106" s="1234"/>
    </row>
    <row r="1107" spans="1:44" ht="13.15" customHeight="1">
      <c r="A1107" s="1080"/>
      <c r="B1107" s="1080"/>
      <c r="C1107" s="1597"/>
      <c r="D1107" s="1597"/>
      <c r="E1107" s="1234"/>
      <c r="F1107" s="1234"/>
      <c r="G1107" s="1234"/>
      <c r="H1107" s="1234"/>
      <c r="I1107" s="1234"/>
      <c r="J1107" s="1234"/>
      <c r="K1107" s="1234"/>
      <c r="L1107" s="1234"/>
      <c r="M1107" s="1234"/>
      <c r="N1107" s="1234"/>
      <c r="O1107" s="1234"/>
      <c r="P1107" s="1234"/>
      <c r="Q1107" s="1234"/>
      <c r="R1107" s="1234"/>
      <c r="S1107" s="1234"/>
      <c r="T1107" s="1234"/>
      <c r="U1107" s="1234"/>
      <c r="V1107" s="1234"/>
      <c r="W1107" s="1234"/>
      <c r="X1107" s="1234"/>
      <c r="Y1107" s="1234"/>
      <c r="Z1107" s="1234"/>
      <c r="AA1107" s="1234"/>
      <c r="AB1107" s="1234"/>
      <c r="AC1107" s="1234"/>
      <c r="AD1107" s="1234"/>
      <c r="AE1107" s="1234"/>
      <c r="AF1107" s="1234"/>
      <c r="AG1107" s="1234"/>
      <c r="AH1107" s="1234"/>
      <c r="AI1107" s="1234"/>
      <c r="AJ1107" s="1234"/>
      <c r="AK1107" s="1234"/>
      <c r="AL1107" s="1234"/>
      <c r="AM1107" s="1234"/>
      <c r="AN1107" s="1234"/>
      <c r="AO1107" s="1234"/>
      <c r="AP1107" s="1234"/>
      <c r="AQ1107" s="1234"/>
      <c r="AR1107" s="1234"/>
    </row>
    <row r="1108" spans="1:44" ht="13.15" customHeight="1">
      <c r="A1108" s="68"/>
      <c r="B1108" s="19"/>
      <c r="C1108" s="1597"/>
      <c r="D1108" s="1597"/>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row>
    <row r="1109" spans="1:44" ht="13.15" customHeight="1">
      <c r="A1109" s="1356" t="s">
        <v>816</v>
      </c>
      <c r="B1109" s="1356"/>
      <c r="C1109" s="1597">
        <v>10</v>
      </c>
      <c r="D1109" s="1597"/>
      <c r="E1109" s="1310" t="s">
        <v>1635</v>
      </c>
      <c r="F1109" s="1310"/>
      <c r="G1109" s="1310"/>
      <c r="H1109" s="1310"/>
      <c r="I1109" s="1310"/>
      <c r="J1109" s="1310"/>
      <c r="K1109" s="1310"/>
      <c r="L1109" s="1310"/>
      <c r="M1109" s="1310"/>
      <c r="N1109" s="1310"/>
      <c r="O1109" s="1310"/>
      <c r="P1109" s="1310"/>
      <c r="Q1109" s="1310"/>
      <c r="R1109" s="1310"/>
      <c r="S1109" s="1310"/>
      <c r="T1109" s="1310"/>
      <c r="U1109" s="1310"/>
      <c r="V1109" s="1310"/>
      <c r="W1109" s="1310"/>
      <c r="X1109" s="1310"/>
      <c r="Y1109" s="1310"/>
      <c r="Z1109" s="1310"/>
      <c r="AA1109" s="1310"/>
      <c r="AB1109" s="1310"/>
      <c r="AC1109" s="1310"/>
      <c r="AD1109" s="1310"/>
      <c r="AE1109" s="1310"/>
      <c r="AF1109" s="1310"/>
      <c r="AG1109" s="1310"/>
      <c r="AH1109" s="1310"/>
      <c r="AI1109" s="1310"/>
      <c r="AJ1109" s="1310"/>
      <c r="AK1109" s="1310"/>
      <c r="AL1109" s="1310"/>
      <c r="AM1109" s="1310"/>
      <c r="AN1109" s="1310"/>
      <c r="AO1109" s="1310"/>
      <c r="AP1109" s="1310"/>
      <c r="AQ1109" s="1310"/>
      <c r="AR1109" s="1310"/>
    </row>
    <row r="1110" spans="1:44" ht="13.15" customHeight="1">
      <c r="A1110" s="1080"/>
      <c r="B1110" s="1080"/>
      <c r="C1110" s="1206"/>
      <c r="D1110" s="1068"/>
      <c r="E1110" s="1310"/>
      <c r="F1110" s="1310"/>
      <c r="G1110" s="1310"/>
      <c r="H1110" s="1310"/>
      <c r="I1110" s="1310"/>
      <c r="J1110" s="1310"/>
      <c r="K1110" s="1310"/>
      <c r="L1110" s="1310"/>
      <c r="M1110" s="1310"/>
      <c r="N1110" s="1310"/>
      <c r="O1110" s="1310"/>
      <c r="P1110" s="1310"/>
      <c r="Q1110" s="1310"/>
      <c r="R1110" s="1310"/>
      <c r="S1110" s="1310"/>
      <c r="T1110" s="1310"/>
      <c r="U1110" s="1310"/>
      <c r="V1110" s="1310"/>
      <c r="W1110" s="1310"/>
      <c r="X1110" s="1310"/>
      <c r="Y1110" s="1310"/>
      <c r="Z1110" s="1310"/>
      <c r="AA1110" s="1310"/>
      <c r="AB1110" s="1310"/>
      <c r="AC1110" s="1310"/>
      <c r="AD1110" s="1310"/>
      <c r="AE1110" s="1310"/>
      <c r="AF1110" s="1310"/>
      <c r="AG1110" s="1310"/>
      <c r="AH1110" s="1310"/>
      <c r="AI1110" s="1310"/>
      <c r="AJ1110" s="1310"/>
      <c r="AK1110" s="1310"/>
      <c r="AL1110" s="1310"/>
      <c r="AM1110" s="1310"/>
      <c r="AN1110" s="1310"/>
      <c r="AO1110" s="1310"/>
      <c r="AP1110" s="1310"/>
      <c r="AQ1110" s="1310"/>
      <c r="AR1110" s="1310"/>
    </row>
    <row r="1111" spans="1:44" ht="13.15" customHeight="1">
      <c r="A1111" s="1080"/>
      <c r="B1111" s="1080"/>
      <c r="C1111" s="1206"/>
      <c r="D1111" s="1068"/>
      <c r="E1111" s="1068"/>
      <c r="F1111" s="1068"/>
      <c r="G1111" s="1068"/>
      <c r="H1111" s="1068"/>
      <c r="I1111" s="1068"/>
      <c r="J1111" s="1068"/>
      <c r="K1111" s="1068"/>
      <c r="L1111" s="1068"/>
      <c r="M1111" s="1068"/>
      <c r="N1111" s="1068"/>
      <c r="O1111" s="1068"/>
      <c r="P1111" s="1068"/>
      <c r="Q1111" s="1068"/>
      <c r="R1111" s="1068"/>
      <c r="S1111" s="1068"/>
      <c r="T1111" s="1068"/>
      <c r="U1111" s="1068"/>
      <c r="V1111" s="1068"/>
      <c r="W1111" s="1068"/>
      <c r="X1111" s="1068"/>
      <c r="Y1111" s="1068"/>
      <c r="Z1111" s="1068"/>
      <c r="AA1111" s="1068"/>
      <c r="AB1111" s="1068"/>
      <c r="AC1111" s="1068"/>
      <c r="AD1111" s="1068"/>
      <c r="AE1111" s="1068"/>
      <c r="AF1111" s="1068"/>
      <c r="AG1111" s="1068"/>
      <c r="AH1111" s="1068"/>
      <c r="AI1111" s="1068"/>
      <c r="AJ1111" s="1068"/>
      <c r="AK1111" s="1068"/>
    </row>
    <row r="1112" spans="1:44" ht="13.15" customHeight="1">
      <c r="A1112" s="1356" t="s">
        <v>816</v>
      </c>
      <c r="B1112" s="1356"/>
      <c r="C1112" s="1597">
        <v>11</v>
      </c>
      <c r="D1112" s="1597"/>
      <c r="E1112" s="1310" t="s">
        <v>1636</v>
      </c>
      <c r="F1112" s="1310"/>
      <c r="G1112" s="1310"/>
      <c r="H1112" s="1310"/>
      <c r="I1112" s="1310"/>
      <c r="J1112" s="1310"/>
      <c r="K1112" s="1310"/>
      <c r="L1112" s="1310"/>
      <c r="M1112" s="1310"/>
      <c r="N1112" s="1310"/>
      <c r="O1112" s="1310"/>
      <c r="P1112" s="1310"/>
      <c r="Q1112" s="1310"/>
      <c r="R1112" s="1310"/>
      <c r="S1112" s="1310"/>
      <c r="T1112" s="1310"/>
      <c r="U1112" s="1310"/>
      <c r="V1112" s="1310"/>
      <c r="W1112" s="1310"/>
      <c r="X1112" s="1310"/>
      <c r="Y1112" s="1310"/>
      <c r="Z1112" s="1310"/>
      <c r="AA1112" s="1310"/>
      <c r="AB1112" s="1310"/>
      <c r="AC1112" s="1310"/>
      <c r="AD1112" s="1310"/>
      <c r="AE1112" s="1310"/>
      <c r="AF1112" s="1310"/>
      <c r="AG1112" s="1310"/>
      <c r="AH1112" s="1310"/>
      <c r="AI1112" s="1310"/>
      <c r="AJ1112" s="1310"/>
      <c r="AK1112" s="1310"/>
      <c r="AL1112" s="1310"/>
      <c r="AM1112" s="1310"/>
      <c r="AN1112" s="1310"/>
      <c r="AO1112" s="1310"/>
      <c r="AP1112" s="1310"/>
      <c r="AQ1112" s="1310"/>
      <c r="AR1112" s="1310"/>
    </row>
    <row r="1113" spans="1:44" ht="13.15" customHeight="1">
      <c r="A1113" s="1080"/>
      <c r="B1113" s="1080"/>
      <c r="C1113" s="1206"/>
      <c r="D1113" s="1068"/>
      <c r="E1113" s="1310"/>
      <c r="F1113" s="1310"/>
      <c r="G1113" s="1310"/>
      <c r="H1113" s="1310"/>
      <c r="I1113" s="1310"/>
      <c r="J1113" s="1310"/>
      <c r="K1113" s="1310"/>
      <c r="L1113" s="1310"/>
      <c r="M1113" s="1310"/>
      <c r="N1113" s="1310"/>
      <c r="O1113" s="1310"/>
      <c r="P1113" s="1310"/>
      <c r="Q1113" s="1310"/>
      <c r="R1113" s="1310"/>
      <c r="S1113" s="1310"/>
      <c r="T1113" s="1310"/>
      <c r="U1113" s="1310"/>
      <c r="V1113" s="1310"/>
      <c r="W1113" s="1310"/>
      <c r="X1113" s="1310"/>
      <c r="Y1113" s="1310"/>
      <c r="Z1113" s="1310"/>
      <c r="AA1113" s="1310"/>
      <c r="AB1113" s="1310"/>
      <c r="AC1113" s="1310"/>
      <c r="AD1113" s="1310"/>
      <c r="AE1113" s="1310"/>
      <c r="AF1113" s="1310"/>
      <c r="AG1113" s="1310"/>
      <c r="AH1113" s="1310"/>
      <c r="AI1113" s="1310"/>
      <c r="AJ1113" s="1310"/>
      <c r="AK1113" s="1310"/>
      <c r="AL1113" s="1310"/>
      <c r="AM1113" s="1310"/>
      <c r="AN1113" s="1310"/>
      <c r="AO1113" s="1310"/>
      <c r="AP1113" s="1310"/>
      <c r="AQ1113" s="1310"/>
      <c r="AR1113" s="1310"/>
    </row>
    <row r="1114" spans="1:44" ht="13.15" customHeight="1">
      <c r="A1114" s="1080"/>
      <c r="B1114" s="1080"/>
      <c r="C1114" s="1206"/>
      <c r="D1114" s="1068"/>
      <c r="E1114" s="1068"/>
      <c r="F1114" s="1068"/>
      <c r="G1114" s="1068"/>
      <c r="H1114" s="1068"/>
      <c r="I1114" s="1068"/>
      <c r="J1114" s="1068"/>
      <c r="K1114" s="1068"/>
      <c r="L1114" s="1068"/>
      <c r="M1114" s="1068"/>
      <c r="N1114" s="1068"/>
      <c r="O1114" s="1068"/>
      <c r="P1114" s="1068"/>
      <c r="Q1114" s="1068"/>
      <c r="R1114" s="1068"/>
      <c r="S1114" s="1068"/>
      <c r="T1114" s="1068"/>
      <c r="U1114" s="1068"/>
      <c r="V1114" s="1068"/>
      <c r="W1114" s="1068"/>
      <c r="X1114" s="1068"/>
      <c r="Y1114" s="1068"/>
      <c r="Z1114" s="1068"/>
      <c r="AA1114" s="1068"/>
      <c r="AB1114" s="1068"/>
      <c r="AC1114" s="1068"/>
      <c r="AD1114" s="1068"/>
      <c r="AE1114" s="1068"/>
      <c r="AF1114" s="1068"/>
      <c r="AG1114" s="1068"/>
      <c r="AH1114" s="1068"/>
      <c r="AI1114" s="1068"/>
      <c r="AJ1114" s="1068"/>
      <c r="AK1114" s="1068"/>
    </row>
    <row r="1115" spans="1:44" ht="13.15" hidden="1" customHeight="1">
      <c r="A1115" s="1080"/>
      <c r="B1115" s="1080"/>
      <c r="C1115" s="1206"/>
      <c r="D1115" s="1068"/>
      <c r="E1115" s="1068"/>
      <c r="F1115" s="1068"/>
      <c r="G1115" s="1068"/>
      <c r="H1115" s="1068"/>
      <c r="I1115" s="1068"/>
      <c r="J1115" s="1068"/>
      <c r="K1115" s="1068"/>
      <c r="L1115" s="1068"/>
      <c r="M1115" s="1068"/>
      <c r="N1115" s="1068"/>
      <c r="O1115" s="1068"/>
      <c r="P1115" s="1068"/>
      <c r="Q1115" s="1068"/>
      <c r="R1115" s="1068"/>
      <c r="S1115" s="1068"/>
      <c r="T1115" s="1068"/>
      <c r="U1115" s="1068"/>
      <c r="V1115" s="1068"/>
      <c r="W1115" s="1068"/>
      <c r="X1115" s="1068"/>
      <c r="Y1115" s="1068"/>
      <c r="Z1115" s="1068"/>
      <c r="AA1115" s="1068"/>
      <c r="AB1115" s="1068"/>
      <c r="AC1115" s="1068"/>
      <c r="AD1115" s="1068"/>
      <c r="AE1115" s="1068"/>
      <c r="AF1115" s="1068"/>
      <c r="AG1115" s="1068"/>
      <c r="AH1115" s="1068"/>
      <c r="AI1115" s="1068"/>
      <c r="AJ1115" s="1068"/>
      <c r="AK1115" s="1068"/>
    </row>
    <row r="1116" spans="1:44" ht="13.15" hidden="1" customHeight="1">
      <c r="A1116" s="1080"/>
      <c r="B1116" s="1080"/>
      <c r="C1116" s="1206"/>
      <c r="D1116" s="1068"/>
      <c r="E1116" s="1068"/>
      <c r="F1116" s="1068"/>
      <c r="G1116" s="1068"/>
      <c r="H1116" s="1068"/>
      <c r="I1116" s="1068"/>
      <c r="J1116" s="1068"/>
      <c r="K1116" s="1068"/>
      <c r="L1116" s="1068"/>
      <c r="M1116" s="1068"/>
      <c r="N1116" s="1068"/>
      <c r="O1116" s="1068"/>
      <c r="P1116" s="1068"/>
      <c r="Q1116" s="1068"/>
      <c r="R1116" s="1068"/>
      <c r="S1116" s="1068"/>
      <c r="T1116" s="1068"/>
      <c r="U1116" s="1068"/>
      <c r="V1116" s="1068"/>
      <c r="W1116" s="1068"/>
      <c r="X1116" s="1068"/>
      <c r="Y1116" s="1068"/>
      <c r="Z1116" s="1068"/>
      <c r="AA1116" s="1068"/>
      <c r="AB1116" s="1068"/>
      <c r="AC1116" s="1068"/>
      <c r="AD1116" s="1068"/>
      <c r="AE1116" s="1068"/>
      <c r="AF1116" s="1068"/>
      <c r="AG1116" s="1068"/>
      <c r="AH1116" s="1068"/>
      <c r="AI1116" s="1068"/>
      <c r="AJ1116" s="1068"/>
      <c r="AK1116" s="1068"/>
    </row>
    <row r="1117" spans="1:44" ht="13.15" hidden="1" customHeight="1">
      <c r="A1117" s="1080"/>
      <c r="B1117" s="1080"/>
      <c r="C1117" s="1206"/>
      <c r="D1117" s="1068"/>
      <c r="E1117" s="1068"/>
      <c r="F1117" s="1068"/>
      <c r="G1117" s="1068"/>
      <c r="H1117" s="1068"/>
      <c r="I1117" s="1068"/>
      <c r="J1117" s="1068"/>
      <c r="K1117" s="1068"/>
      <c r="L1117" s="1068"/>
      <c r="M1117" s="1068"/>
      <c r="N1117" s="1068"/>
      <c r="O1117" s="1068"/>
      <c r="P1117" s="1068"/>
      <c r="Q1117" s="1068"/>
      <c r="R1117" s="1068"/>
      <c r="S1117" s="1068"/>
      <c r="T1117" s="1068"/>
      <c r="U1117" s="1068"/>
      <c r="V1117" s="1068"/>
      <c r="W1117" s="1068"/>
      <c r="X1117" s="1068"/>
      <c r="Y1117" s="1068"/>
      <c r="Z1117" s="1068"/>
      <c r="AA1117" s="1068"/>
      <c r="AB1117" s="1068"/>
      <c r="AC1117" s="1068"/>
      <c r="AD1117" s="1068"/>
      <c r="AE1117" s="1068"/>
      <c r="AF1117" s="1068"/>
      <c r="AG1117" s="1068"/>
      <c r="AH1117" s="1068"/>
      <c r="AI1117" s="1068"/>
      <c r="AJ1117" s="1068"/>
      <c r="AK1117" s="1068"/>
    </row>
    <row r="1118" spans="1:44" ht="13.15" hidden="1" customHeight="1">
      <c r="A1118" s="1080"/>
      <c r="B1118" s="1080"/>
      <c r="C1118" s="1206"/>
      <c r="D1118" s="1068"/>
      <c r="E1118" s="1068"/>
      <c r="F1118" s="1068"/>
      <c r="G1118" s="1068"/>
      <c r="H1118" s="1068"/>
      <c r="I1118" s="1068"/>
      <c r="J1118" s="1068"/>
      <c r="K1118" s="1068"/>
      <c r="L1118" s="1068"/>
      <c r="M1118" s="1068"/>
      <c r="N1118" s="1068"/>
      <c r="O1118" s="1068"/>
      <c r="P1118" s="1068"/>
      <c r="Q1118" s="1068"/>
      <c r="R1118" s="1068"/>
      <c r="S1118" s="1068"/>
      <c r="T1118" s="1068"/>
      <c r="U1118" s="1068"/>
      <c r="V1118" s="1068"/>
      <c r="W1118" s="1068"/>
      <c r="X1118" s="1068"/>
      <c r="Y1118" s="1068"/>
      <c r="Z1118" s="1068"/>
      <c r="AA1118" s="1068"/>
      <c r="AB1118" s="1068"/>
      <c r="AC1118" s="1068"/>
      <c r="AD1118" s="1068"/>
      <c r="AE1118" s="1068"/>
      <c r="AF1118" s="1068"/>
      <c r="AG1118" s="1068"/>
      <c r="AH1118" s="1068"/>
      <c r="AI1118" s="1068"/>
      <c r="AJ1118" s="1068"/>
      <c r="AK1118" s="1068"/>
    </row>
    <row r="1119" spans="1:44" ht="13.15" hidden="1" customHeight="1">
      <c r="A1119" s="1080"/>
      <c r="B1119" s="1080"/>
      <c r="C1119" s="1206"/>
      <c r="D1119" s="1068"/>
      <c r="E1119" s="1068"/>
      <c r="F1119" s="1068"/>
      <c r="G1119" s="1068"/>
      <c r="H1119" s="1068"/>
      <c r="I1119" s="1068"/>
      <c r="J1119" s="1068"/>
      <c r="K1119" s="1068"/>
      <c r="L1119" s="1068"/>
      <c r="M1119" s="1068"/>
      <c r="N1119" s="1068"/>
      <c r="O1119" s="1068"/>
      <c r="P1119" s="1068"/>
      <c r="Q1119" s="1068"/>
      <c r="R1119" s="1068"/>
      <c r="S1119" s="1068"/>
      <c r="T1119" s="1068"/>
      <c r="U1119" s="1068"/>
      <c r="V1119" s="1068"/>
      <c r="W1119" s="1068"/>
      <c r="X1119" s="1068"/>
      <c r="Y1119" s="1068"/>
      <c r="Z1119" s="1068"/>
      <c r="AA1119" s="1068"/>
      <c r="AB1119" s="1068"/>
      <c r="AC1119" s="1068"/>
      <c r="AD1119" s="1068"/>
      <c r="AE1119" s="1068"/>
      <c r="AF1119" s="1068"/>
      <c r="AG1119" s="1068"/>
      <c r="AH1119" s="1068"/>
      <c r="AI1119" s="1068"/>
      <c r="AJ1119" s="1068"/>
      <c r="AK1119" s="1068"/>
    </row>
    <row r="1120" spans="1:44" ht="13.15" hidden="1" customHeight="1">
      <c r="A1120" s="1080"/>
      <c r="B1120" s="1080"/>
      <c r="C1120" s="1206"/>
      <c r="D1120" s="1068"/>
      <c r="E1120" s="1068"/>
      <c r="F1120" s="1068"/>
      <c r="G1120" s="1068"/>
      <c r="H1120" s="1068"/>
      <c r="I1120" s="1068"/>
      <c r="J1120" s="1068"/>
      <c r="K1120" s="1068"/>
      <c r="L1120" s="1068"/>
      <c r="M1120" s="1068"/>
      <c r="N1120" s="1068"/>
      <c r="O1120" s="1068"/>
      <c r="P1120" s="1068"/>
      <c r="Q1120" s="1068"/>
      <c r="R1120" s="1068"/>
      <c r="S1120" s="1068"/>
      <c r="T1120" s="1068"/>
      <c r="U1120" s="1068"/>
      <c r="V1120" s="1068"/>
      <c r="W1120" s="1068"/>
      <c r="X1120" s="1068"/>
      <c r="Y1120" s="1068"/>
      <c r="Z1120" s="1068"/>
      <c r="AA1120" s="1068"/>
      <c r="AB1120" s="1068"/>
      <c r="AC1120" s="1068"/>
      <c r="AD1120" s="1068"/>
      <c r="AE1120" s="1068"/>
      <c r="AF1120" s="1068"/>
      <c r="AG1120" s="1068"/>
      <c r="AH1120" s="1068"/>
      <c r="AI1120" s="1068"/>
      <c r="AJ1120" s="1068"/>
      <c r="AK1120" s="1068"/>
    </row>
    <row r="1121" spans="1:37" ht="13.15" hidden="1" customHeight="1">
      <c r="A1121" s="1080"/>
      <c r="B1121" s="1080"/>
      <c r="C1121" s="1206"/>
      <c r="D1121" s="1068"/>
      <c r="E1121" s="1068"/>
      <c r="F1121" s="1068"/>
      <c r="G1121" s="1068"/>
      <c r="H1121" s="1068"/>
      <c r="I1121" s="1068"/>
      <c r="J1121" s="1068"/>
      <c r="K1121" s="1068"/>
      <c r="L1121" s="1068"/>
      <c r="M1121" s="1068"/>
      <c r="N1121" s="1068"/>
      <c r="O1121" s="1068"/>
      <c r="P1121" s="1068"/>
      <c r="Q1121" s="1068"/>
      <c r="R1121" s="1068"/>
      <c r="S1121" s="1068"/>
      <c r="T1121" s="1068"/>
      <c r="U1121" s="1068"/>
      <c r="V1121" s="1068"/>
      <c r="W1121" s="1068"/>
      <c r="X1121" s="1068"/>
      <c r="Y1121" s="1068"/>
      <c r="Z1121" s="1068"/>
      <c r="AA1121" s="1068"/>
      <c r="AB1121" s="1068"/>
      <c r="AC1121" s="1068"/>
      <c r="AD1121" s="1068"/>
      <c r="AE1121" s="1068"/>
      <c r="AF1121" s="1068"/>
      <c r="AG1121" s="1068"/>
      <c r="AH1121" s="1068"/>
      <c r="AI1121" s="1068"/>
      <c r="AJ1121" s="1068"/>
      <c r="AK1121" s="1068"/>
    </row>
    <row r="1122" spans="1:37" ht="13.15" hidden="1" customHeight="1">
      <c r="A1122" s="1080"/>
      <c r="B1122" s="1080"/>
      <c r="C1122" s="1206"/>
      <c r="D1122" s="1068"/>
      <c r="E1122" s="1068"/>
      <c r="F1122" s="1068"/>
      <c r="G1122" s="1068"/>
      <c r="H1122" s="1068"/>
      <c r="I1122" s="1068"/>
      <c r="J1122" s="1068"/>
      <c r="K1122" s="1068"/>
      <c r="L1122" s="1068"/>
      <c r="M1122" s="1068"/>
      <c r="N1122" s="1068"/>
      <c r="O1122" s="1068"/>
      <c r="P1122" s="1068"/>
      <c r="Q1122" s="1068"/>
      <c r="R1122" s="1068"/>
      <c r="S1122" s="1068"/>
      <c r="T1122" s="1068"/>
      <c r="U1122" s="1068"/>
      <c r="V1122" s="1068"/>
      <c r="W1122" s="1068"/>
      <c r="X1122" s="1068"/>
      <c r="Y1122" s="1068"/>
      <c r="Z1122" s="1068"/>
      <c r="AA1122" s="1068"/>
      <c r="AB1122" s="1068"/>
      <c r="AC1122" s="1068"/>
      <c r="AD1122" s="1068"/>
      <c r="AE1122" s="1068"/>
      <c r="AF1122" s="1068"/>
      <c r="AG1122" s="1068"/>
      <c r="AH1122" s="1068"/>
      <c r="AI1122" s="1068"/>
      <c r="AJ1122" s="1068"/>
      <c r="AK1122" s="1068"/>
    </row>
    <row r="1123" spans="1:37" ht="13.15" hidden="1" customHeight="1">
      <c r="A1123" s="1080"/>
      <c r="B1123" s="1080"/>
      <c r="C1123" s="1206"/>
      <c r="D1123" s="1068"/>
      <c r="E1123" s="1068"/>
      <c r="F1123" s="1068"/>
      <c r="G1123" s="1068"/>
      <c r="H1123" s="1068"/>
      <c r="I1123" s="1068"/>
      <c r="J1123" s="1068"/>
      <c r="K1123" s="1068"/>
      <c r="L1123" s="1068"/>
      <c r="M1123" s="1068"/>
      <c r="N1123" s="1068"/>
      <c r="O1123" s="1068"/>
      <c r="P1123" s="1068"/>
      <c r="Q1123" s="1068"/>
      <c r="R1123" s="1068"/>
      <c r="S1123" s="1068"/>
      <c r="T1123" s="1068"/>
      <c r="U1123" s="1068"/>
      <c r="V1123" s="1068"/>
      <c r="W1123" s="1068"/>
      <c r="X1123" s="1068"/>
      <c r="Y1123" s="1068"/>
      <c r="Z1123" s="1068"/>
      <c r="AA1123" s="1068"/>
      <c r="AB1123" s="1068"/>
      <c r="AC1123" s="1068"/>
      <c r="AD1123" s="1068"/>
      <c r="AE1123" s="1068"/>
      <c r="AF1123" s="1068"/>
      <c r="AG1123" s="1068"/>
      <c r="AH1123" s="1068"/>
      <c r="AI1123" s="1068"/>
      <c r="AJ1123" s="1068"/>
      <c r="AK1123" s="1068"/>
    </row>
    <row r="1124" spans="1:37" ht="13.15" hidden="1" customHeight="1">
      <c r="A1124" s="1080"/>
      <c r="B1124" s="1080"/>
      <c r="C1124" s="1206"/>
      <c r="D1124" s="1068"/>
      <c r="E1124" s="1068"/>
      <c r="F1124" s="1068"/>
      <c r="G1124" s="1068"/>
      <c r="H1124" s="1068"/>
      <c r="I1124" s="1068"/>
      <c r="J1124" s="1068"/>
      <c r="K1124" s="1068"/>
      <c r="L1124" s="1068"/>
      <c r="M1124" s="1068"/>
      <c r="N1124" s="1068"/>
      <c r="O1124" s="1068"/>
      <c r="P1124" s="1068"/>
      <c r="Q1124" s="1068"/>
      <c r="R1124" s="1068"/>
      <c r="S1124" s="1068"/>
      <c r="T1124" s="1068"/>
      <c r="U1124" s="1068"/>
      <c r="V1124" s="1068"/>
      <c r="W1124" s="1068"/>
      <c r="X1124" s="1068"/>
      <c r="Y1124" s="1068"/>
      <c r="Z1124" s="1068"/>
      <c r="AA1124" s="1068"/>
      <c r="AB1124" s="1068"/>
      <c r="AC1124" s="1068"/>
      <c r="AD1124" s="1068"/>
      <c r="AE1124" s="1068"/>
      <c r="AF1124" s="1068"/>
      <c r="AG1124" s="1068"/>
      <c r="AH1124" s="1068"/>
      <c r="AI1124" s="1068"/>
      <c r="AJ1124" s="1068"/>
      <c r="AK1124" s="1068"/>
    </row>
    <row r="1125" spans="1:37" ht="13.15" hidden="1" customHeight="1">
      <c r="A1125" s="1080"/>
      <c r="B1125" s="1080"/>
      <c r="C1125" s="1206"/>
      <c r="D1125" s="1068"/>
      <c r="E1125" s="1068"/>
      <c r="F1125" s="1068"/>
      <c r="G1125" s="1068"/>
      <c r="H1125" s="1068"/>
      <c r="I1125" s="1068"/>
      <c r="J1125" s="1068"/>
      <c r="K1125" s="1068"/>
      <c r="L1125" s="1068"/>
      <c r="M1125" s="1068"/>
      <c r="N1125" s="1068"/>
      <c r="O1125" s="1068"/>
      <c r="P1125" s="1068"/>
      <c r="Q1125" s="1068"/>
      <c r="R1125" s="1068"/>
      <c r="S1125" s="1068"/>
      <c r="T1125" s="1068"/>
      <c r="U1125" s="1068"/>
      <c r="V1125" s="1068"/>
      <c r="W1125" s="1068"/>
      <c r="X1125" s="1068"/>
      <c r="Y1125" s="1068"/>
      <c r="Z1125" s="1068"/>
      <c r="AA1125" s="1068"/>
      <c r="AB1125" s="1068"/>
      <c r="AC1125" s="1068"/>
      <c r="AD1125" s="1068"/>
      <c r="AE1125" s="1068"/>
      <c r="AF1125" s="1068"/>
      <c r="AG1125" s="1068"/>
      <c r="AH1125" s="1068"/>
      <c r="AI1125" s="1068"/>
      <c r="AJ1125" s="1068"/>
      <c r="AK1125" s="1068"/>
    </row>
    <row r="1126" spans="1:37" ht="13.15" hidden="1" customHeight="1">
      <c r="A1126" s="1080"/>
      <c r="B1126" s="1080"/>
      <c r="C1126" s="1206"/>
      <c r="D1126" s="1068"/>
      <c r="E1126" s="1068"/>
      <c r="F1126" s="1068"/>
      <c r="G1126" s="1068"/>
      <c r="H1126" s="1068"/>
      <c r="I1126" s="1068"/>
      <c r="J1126" s="1068"/>
      <c r="K1126" s="1068"/>
      <c r="L1126" s="1068"/>
      <c r="M1126" s="1068"/>
      <c r="N1126" s="1068"/>
      <c r="O1126" s="1068"/>
      <c r="P1126" s="1068"/>
      <c r="Q1126" s="1068"/>
      <c r="R1126" s="1068"/>
      <c r="S1126" s="1068"/>
      <c r="T1126" s="1068"/>
      <c r="U1126" s="1068"/>
      <c r="V1126" s="1068"/>
      <c r="W1126" s="1068"/>
      <c r="X1126" s="1068"/>
      <c r="Y1126" s="1068"/>
      <c r="Z1126" s="1068"/>
      <c r="AA1126" s="1068"/>
      <c r="AB1126" s="1068"/>
      <c r="AC1126" s="1068"/>
      <c r="AD1126" s="1068"/>
      <c r="AE1126" s="1068"/>
      <c r="AF1126" s="1068"/>
      <c r="AG1126" s="1068"/>
      <c r="AH1126" s="1068"/>
      <c r="AI1126" s="1068"/>
      <c r="AJ1126" s="1068"/>
      <c r="AK1126" s="1068"/>
    </row>
    <row r="1127" spans="1:37" ht="13.15" hidden="1" customHeight="1">
      <c r="A1127" s="1080"/>
      <c r="B1127" s="1080"/>
      <c r="C1127" s="1206"/>
      <c r="D1127" s="1068"/>
      <c r="E1127" s="1068"/>
      <c r="F1127" s="1068"/>
      <c r="G1127" s="1068"/>
      <c r="H1127" s="1068"/>
      <c r="I1127" s="1068"/>
      <c r="J1127" s="1068"/>
      <c r="K1127" s="1068"/>
      <c r="L1127" s="1068"/>
      <c r="M1127" s="1068"/>
      <c r="N1127" s="1068"/>
      <c r="O1127" s="1068"/>
      <c r="P1127" s="1068"/>
      <c r="Q1127" s="1068"/>
      <c r="R1127" s="1068"/>
      <c r="S1127" s="1068"/>
      <c r="T1127" s="1068"/>
      <c r="U1127" s="1068"/>
      <c r="V1127" s="1068"/>
      <c r="W1127" s="1068"/>
      <c r="X1127" s="1068"/>
      <c r="Y1127" s="1068"/>
      <c r="Z1127" s="1068"/>
      <c r="AA1127" s="1068"/>
      <c r="AB1127" s="1068"/>
      <c r="AC1127" s="1068"/>
      <c r="AD1127" s="1068"/>
      <c r="AE1127" s="1068"/>
      <c r="AF1127" s="1068"/>
      <c r="AG1127" s="1068"/>
      <c r="AH1127" s="1068"/>
      <c r="AI1127" s="1068"/>
      <c r="AJ1127" s="1068"/>
      <c r="AK1127" s="1068"/>
    </row>
    <row r="1128" spans="1:37" ht="13.15" hidden="1" customHeight="1">
      <c r="A1128" s="1080"/>
      <c r="B1128" s="1080"/>
      <c r="C1128" s="1206"/>
      <c r="D1128" s="1068"/>
      <c r="E1128" s="1068"/>
      <c r="F1128" s="1068"/>
      <c r="G1128" s="1068"/>
      <c r="H1128" s="1068"/>
      <c r="I1128" s="1068"/>
      <c r="J1128" s="1068"/>
      <c r="K1128" s="1068"/>
      <c r="L1128" s="1068"/>
      <c r="M1128" s="1068"/>
      <c r="N1128" s="1068"/>
      <c r="O1128" s="1068"/>
      <c r="P1128" s="1068"/>
      <c r="Q1128" s="1068"/>
      <c r="R1128" s="1068"/>
      <c r="S1128" s="1068"/>
      <c r="T1128" s="1068"/>
      <c r="U1128" s="1068"/>
      <c r="V1128" s="1068"/>
      <c r="W1128" s="1068"/>
      <c r="X1128" s="1068"/>
      <c r="Y1128" s="1068"/>
      <c r="Z1128" s="1068"/>
      <c r="AA1128" s="1068"/>
      <c r="AB1128" s="1068"/>
      <c r="AC1128" s="1068"/>
      <c r="AD1128" s="1068"/>
      <c r="AE1128" s="1068"/>
      <c r="AF1128" s="1068"/>
      <c r="AG1128" s="1068"/>
      <c r="AH1128" s="1068"/>
      <c r="AI1128" s="1068"/>
      <c r="AJ1128" s="1068"/>
      <c r="AK1128" s="1068"/>
    </row>
    <row r="1129" spans="1:37" ht="13.15" hidden="1" customHeight="1">
      <c r="A1129" s="1080"/>
      <c r="B1129" s="1080"/>
      <c r="C1129" s="1206"/>
      <c r="D1129" s="1068"/>
      <c r="E1129" s="1068"/>
      <c r="F1129" s="1068"/>
      <c r="G1129" s="1068"/>
      <c r="H1129" s="1068"/>
      <c r="I1129" s="1068"/>
      <c r="J1129" s="1068"/>
      <c r="K1129" s="1068"/>
      <c r="L1129" s="1068"/>
      <c r="M1129" s="1068"/>
      <c r="N1129" s="1068"/>
      <c r="O1129" s="1068"/>
      <c r="P1129" s="1068"/>
      <c r="Q1129" s="1068"/>
      <c r="R1129" s="1068"/>
      <c r="S1129" s="1068"/>
      <c r="T1129" s="1068"/>
      <c r="U1129" s="1068"/>
      <c r="V1129" s="1068"/>
      <c r="W1129" s="1068"/>
      <c r="X1129" s="1068"/>
      <c r="Y1129" s="1068"/>
      <c r="Z1129" s="1068"/>
      <c r="AA1129" s="1068"/>
      <c r="AB1129" s="1068"/>
      <c r="AC1129" s="1068"/>
      <c r="AD1129" s="1068"/>
      <c r="AE1129" s="1068"/>
      <c r="AF1129" s="1068"/>
      <c r="AG1129" s="1068"/>
      <c r="AH1129" s="1068"/>
      <c r="AI1129" s="1068"/>
      <c r="AJ1129" s="1068"/>
      <c r="AK1129" s="1068"/>
    </row>
    <row r="1130" spans="1:37" ht="13.15" hidden="1" customHeight="1">
      <c r="A1130" s="1080"/>
      <c r="B1130" s="1080"/>
      <c r="C1130" s="1206"/>
      <c r="D1130" s="1068"/>
      <c r="E1130" s="1068"/>
      <c r="F1130" s="1068"/>
      <c r="G1130" s="1068"/>
      <c r="H1130" s="1068"/>
      <c r="I1130" s="1068"/>
      <c r="J1130" s="1068"/>
      <c r="K1130" s="1068"/>
      <c r="L1130" s="1068"/>
      <c r="M1130" s="1068"/>
      <c r="N1130" s="1068"/>
      <c r="O1130" s="1068"/>
      <c r="P1130" s="1068"/>
      <c r="Q1130" s="1068"/>
      <c r="R1130" s="1068"/>
      <c r="S1130" s="1068"/>
      <c r="T1130" s="1068"/>
      <c r="U1130" s="1068"/>
      <c r="V1130" s="1068"/>
      <c r="W1130" s="1068"/>
      <c r="X1130" s="1068"/>
      <c r="Y1130" s="1068"/>
      <c r="Z1130" s="1068"/>
      <c r="AA1130" s="1068"/>
      <c r="AB1130" s="1068"/>
      <c r="AC1130" s="1068"/>
      <c r="AD1130" s="1068"/>
      <c r="AE1130" s="1068"/>
      <c r="AF1130" s="1068"/>
      <c r="AG1130" s="1068"/>
      <c r="AH1130" s="1068"/>
      <c r="AI1130" s="1068"/>
      <c r="AJ1130" s="1068"/>
      <c r="AK1130" s="1068"/>
    </row>
    <row r="1131" spans="1:37" ht="13.15" hidden="1" customHeight="1">
      <c r="A1131" s="1080"/>
      <c r="B1131" s="1080"/>
      <c r="C1131" s="1206"/>
      <c r="D1131" s="1068"/>
      <c r="E1131" s="1068"/>
      <c r="F1131" s="1068"/>
      <c r="G1131" s="1068"/>
      <c r="H1131" s="1068"/>
      <c r="I1131" s="1068"/>
      <c r="J1131" s="1068"/>
      <c r="K1131" s="1068"/>
      <c r="L1131" s="1068"/>
      <c r="M1131" s="1068"/>
      <c r="N1131" s="1068"/>
      <c r="O1131" s="1068"/>
      <c r="P1131" s="1068"/>
      <c r="Q1131" s="1068"/>
      <c r="R1131" s="1068"/>
      <c r="S1131" s="1068"/>
      <c r="T1131" s="1068"/>
      <c r="U1131" s="1068"/>
      <c r="V1131" s="1068"/>
      <c r="W1131" s="1068"/>
      <c r="X1131" s="1068"/>
      <c r="Y1131" s="1068"/>
      <c r="Z1131" s="1068"/>
      <c r="AA1131" s="1068"/>
      <c r="AB1131" s="1068"/>
      <c r="AC1131" s="1068"/>
      <c r="AD1131" s="1068"/>
      <c r="AE1131" s="1068"/>
      <c r="AF1131" s="1068"/>
      <c r="AG1131" s="1068"/>
      <c r="AH1131" s="1068"/>
      <c r="AI1131" s="1068"/>
      <c r="AJ1131" s="1068"/>
      <c r="AK1131" s="1068"/>
    </row>
    <row r="1132" spans="1:37" ht="0" hidden="1" customHeight="1">
      <c r="A1132" s="1080"/>
      <c r="B1132" s="1080"/>
      <c r="C1132" s="1206"/>
      <c r="D1132" s="1068"/>
      <c r="E1132" s="1068"/>
      <c r="F1132" s="1068"/>
      <c r="G1132" s="1068"/>
      <c r="H1132" s="1068"/>
      <c r="I1132" s="1068"/>
      <c r="J1132" s="1068"/>
      <c r="K1132" s="1068"/>
      <c r="L1132" s="1068"/>
      <c r="M1132" s="1068"/>
      <c r="N1132" s="1068"/>
      <c r="O1132" s="1068"/>
      <c r="P1132" s="1068"/>
      <c r="Q1132" s="1068"/>
      <c r="R1132" s="1068"/>
      <c r="S1132" s="1068"/>
      <c r="T1132" s="1068"/>
      <c r="U1132" s="1068"/>
      <c r="V1132" s="1068"/>
      <c r="W1132" s="1068"/>
      <c r="X1132" s="1068"/>
      <c r="Y1132" s="1068"/>
      <c r="Z1132" s="1068"/>
      <c r="AA1132" s="1068"/>
      <c r="AB1132" s="1068"/>
      <c r="AC1132" s="1068"/>
      <c r="AD1132" s="1068"/>
      <c r="AE1132" s="1068"/>
      <c r="AF1132" s="1068"/>
      <c r="AG1132" s="1068"/>
      <c r="AH1132" s="1068"/>
      <c r="AI1132" s="1068"/>
      <c r="AJ1132" s="1068"/>
      <c r="AK1132" s="1068"/>
    </row>
    <row r="1133" spans="1:37" ht="0" hidden="1" customHeight="1">
      <c r="A1133" s="68"/>
      <c r="B1133" s="19"/>
      <c r="C1133" s="1206"/>
      <c r="D1133" s="1068"/>
      <c r="E1133" s="1068"/>
      <c r="F1133" s="1068"/>
      <c r="G1133" s="1068"/>
      <c r="H1133" s="1068"/>
      <c r="I1133" s="1068"/>
      <c r="J1133" s="1068"/>
      <c r="K1133" s="1068"/>
      <c r="L1133" s="1068"/>
      <c r="M1133" s="1068"/>
      <c r="N1133" s="1068"/>
      <c r="O1133" s="1068"/>
      <c r="P1133" s="1068"/>
      <c r="Q1133" s="1068"/>
      <c r="R1133" s="1068"/>
      <c r="S1133" s="1068"/>
      <c r="T1133" s="1068"/>
      <c r="U1133" s="1068"/>
      <c r="V1133" s="1068"/>
      <c r="W1133" s="1068"/>
      <c r="X1133" s="1068"/>
      <c r="Y1133" s="1068"/>
      <c r="Z1133" s="1068"/>
      <c r="AA1133" s="1068"/>
      <c r="AB1133" s="1068"/>
      <c r="AC1133" s="1068"/>
      <c r="AD1133" s="1068"/>
      <c r="AE1133" s="1068"/>
      <c r="AF1133" s="1068"/>
      <c r="AG1133" s="1068"/>
      <c r="AH1133" s="1068"/>
      <c r="AI1133" s="1068"/>
      <c r="AJ1133" s="1068"/>
      <c r="AK1133" s="1068"/>
    </row>
    <row r="1134" spans="1:37" ht="0" hidden="1" customHeight="1">
      <c r="A1134" s="1356" t="s">
        <v>816</v>
      </c>
      <c r="B1134" s="1356"/>
      <c r="C1134" s="1206">
        <v>9</v>
      </c>
      <c r="D1134" s="1243" t="s">
        <v>1637</v>
      </c>
      <c r="E1134" s="1243"/>
      <c r="F1134" s="1243"/>
      <c r="G1134" s="1243"/>
      <c r="H1134" s="1243"/>
      <c r="I1134" s="1243"/>
      <c r="J1134" s="1243"/>
      <c r="K1134" s="1243"/>
      <c r="L1134" s="1243"/>
      <c r="M1134" s="1243"/>
      <c r="N1134" s="1243"/>
      <c r="O1134" s="1243"/>
      <c r="P1134" s="1243"/>
      <c r="Q1134" s="1243"/>
      <c r="R1134" s="1243"/>
      <c r="S1134" s="1243"/>
      <c r="T1134" s="1243"/>
      <c r="U1134" s="1243"/>
      <c r="V1134" s="1243"/>
      <c r="W1134" s="1243"/>
      <c r="X1134" s="1243"/>
      <c r="Y1134" s="1243"/>
      <c r="Z1134" s="1243"/>
      <c r="AA1134" s="1243"/>
      <c r="AB1134" s="1243"/>
      <c r="AC1134" s="1243"/>
      <c r="AD1134" s="1243"/>
      <c r="AE1134" s="1243"/>
      <c r="AF1134" s="1243"/>
      <c r="AG1134" s="1243"/>
      <c r="AH1134" s="1243"/>
      <c r="AI1134" s="1243"/>
      <c r="AJ1134" s="1243"/>
      <c r="AK1134" s="1243"/>
    </row>
    <row r="1135" spans="1:37" ht="0" hidden="1" customHeight="1">
      <c r="A1135" s="68"/>
      <c r="B1135" s="19"/>
      <c r="C1135" s="1206"/>
      <c r="D1135" s="1243"/>
      <c r="E1135" s="1243"/>
      <c r="F1135" s="1243"/>
      <c r="G1135" s="1243"/>
      <c r="H1135" s="1243"/>
      <c r="I1135" s="1243"/>
      <c r="J1135" s="1243"/>
      <c r="K1135" s="1243"/>
      <c r="L1135" s="1243"/>
      <c r="M1135" s="1243"/>
      <c r="N1135" s="1243"/>
      <c r="O1135" s="1243"/>
      <c r="P1135" s="1243"/>
      <c r="Q1135" s="1243"/>
      <c r="R1135" s="1243"/>
      <c r="S1135" s="1243"/>
      <c r="T1135" s="1243"/>
      <c r="U1135" s="1243"/>
      <c r="V1135" s="1243"/>
      <c r="W1135" s="1243"/>
      <c r="X1135" s="1243"/>
      <c r="Y1135" s="1243"/>
      <c r="Z1135" s="1243"/>
      <c r="AA1135" s="1243"/>
      <c r="AB1135" s="1243"/>
      <c r="AC1135" s="1243"/>
      <c r="AD1135" s="1243"/>
      <c r="AE1135" s="1243"/>
      <c r="AF1135" s="1243"/>
      <c r="AG1135" s="1243"/>
      <c r="AH1135" s="1243"/>
      <c r="AI1135" s="1243"/>
      <c r="AJ1135" s="1243"/>
      <c r="AK1135" s="1243"/>
    </row>
    <row r="1136" spans="1:37" ht="0" hidden="1" customHeight="1">
      <c r="D1136" s="1243"/>
      <c r="E1136" s="1243"/>
      <c r="F1136" s="1243"/>
      <c r="G1136" s="1243"/>
      <c r="H1136" s="1243"/>
      <c r="I1136" s="1243"/>
      <c r="J1136" s="1243"/>
      <c r="K1136" s="1243"/>
      <c r="L1136" s="1243"/>
      <c r="M1136" s="1243"/>
      <c r="N1136" s="1243"/>
      <c r="O1136" s="1243"/>
      <c r="P1136" s="1243"/>
      <c r="Q1136" s="1243"/>
      <c r="R1136" s="1243"/>
      <c r="S1136" s="1243"/>
      <c r="T1136" s="1243"/>
      <c r="U1136" s="1243"/>
      <c r="V1136" s="1243"/>
      <c r="W1136" s="1243"/>
      <c r="X1136" s="1243"/>
      <c r="Y1136" s="1243"/>
      <c r="Z1136" s="1243"/>
      <c r="AA1136" s="1243"/>
      <c r="AB1136" s="1243"/>
      <c r="AC1136" s="1243"/>
      <c r="AD1136" s="1243"/>
      <c r="AE1136" s="1243"/>
      <c r="AF1136" s="1243"/>
      <c r="AG1136" s="1243"/>
      <c r="AH1136" s="1243"/>
      <c r="AI1136" s="1243"/>
      <c r="AJ1136" s="1243"/>
      <c r="AK1136" s="1243"/>
    </row>
    <row r="1146" ht="15" hidden="1" customHeight="1"/>
    <row r="2026" ht="10.1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zoomScale="130" zoomScaleNormal="130" workbookViewId="0">
      <selection activeCell="S11" sqref="S11"/>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1638</v>
      </c>
      <c r="B1" s="73"/>
      <c r="C1" s="73"/>
      <c r="D1" s="73"/>
      <c r="E1" s="74"/>
      <c r="F1" s="1238" t="s">
        <v>1639</v>
      </c>
      <c r="G1" s="1239"/>
      <c r="H1" s="1239"/>
      <c r="I1" s="1239"/>
      <c r="J1" s="1239"/>
      <c r="K1" s="1239"/>
      <c r="L1" s="1239"/>
      <c r="M1" s="1239"/>
      <c r="N1" s="1239"/>
      <c r="O1" s="1239"/>
      <c r="P1" s="1239"/>
      <c r="Q1" s="1239"/>
      <c r="R1" s="1240"/>
      <c r="S1" s="64"/>
      <c r="T1" s="63"/>
      <c r="U1" s="65"/>
    </row>
    <row r="2" spans="1:21" s="80" customFormat="1" ht="71.25" customHeight="1">
      <c r="A2" s="79"/>
      <c r="B2" s="80" t="s">
        <v>1640</v>
      </c>
      <c r="C2" s="80" t="s">
        <v>1641</v>
      </c>
      <c r="D2" s="80" t="s">
        <v>1642</v>
      </c>
      <c r="E2" s="80" t="s">
        <v>1643</v>
      </c>
      <c r="F2" s="81" t="str">
        <f>Application!B635&amp;Application!C635</f>
        <v>1)Tax Exempt Perm Loan</v>
      </c>
      <c r="G2" s="81" t="str">
        <f>Application!B636&amp;Application!C636</f>
        <v>2)CalHFA MIP</v>
      </c>
      <c r="H2" s="81" t="str">
        <f>Application!B637&amp;Application!C637</f>
        <v>3)City of Long Beach &amp; Long Beach Community Investment Company</v>
      </c>
      <c r="I2" s="81" t="str">
        <f>Application!B638&amp;Application!C638</f>
        <v>4)Gateway Cities Affordable Housing Trust</v>
      </c>
      <c r="J2" s="81" t="str">
        <f>Application!B639&amp;Application!C639</f>
        <v>5)HCD - AHSC</v>
      </c>
      <c r="K2" s="81" t="str">
        <f>Application!B640&amp;Application!C640</f>
        <v>6)Contributed Developer Fee</v>
      </c>
      <c r="L2" s="81" t="str">
        <f>Application!B641&amp;Application!C641</f>
        <v>7)GP Equity</v>
      </c>
      <c r="M2" s="81" t="str">
        <f>Application!B642&amp;Application!C642</f>
        <v>8)City of Long Beach Fee Waiver</v>
      </c>
      <c r="N2" s="81" t="str">
        <f>Application!B643&amp;Application!C643</f>
        <v>9)Deferred Developer Fee</v>
      </c>
      <c r="O2" s="81" t="str">
        <f>Application!B644&amp;Application!C644</f>
        <v>10)</v>
      </c>
      <c r="P2" s="81" t="str">
        <f>Application!B645&amp;Application!C645</f>
        <v>11)</v>
      </c>
      <c r="Q2" s="81" t="str">
        <f>Application!B646&amp;Application!C646</f>
        <v>12)</v>
      </c>
      <c r="R2" s="81" t="s">
        <v>1644</v>
      </c>
      <c r="S2" s="80" t="s">
        <v>1645</v>
      </c>
      <c r="T2" s="80" t="s">
        <v>1646</v>
      </c>
      <c r="U2" s="82"/>
    </row>
    <row r="3" spans="1:21" s="84" customFormat="1">
      <c r="A3" s="83" t="s">
        <v>1647</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1648</v>
      </c>
      <c r="B4" s="217">
        <f>SUM(C4+D4)</f>
        <v>6500000</v>
      </c>
      <c r="C4" s="774">
        <v>6500000</v>
      </c>
      <c r="D4" s="774"/>
      <c r="E4" s="774">
        <v>1500000</v>
      </c>
      <c r="F4" s="774"/>
      <c r="G4" s="774"/>
      <c r="H4" s="774">
        <v>5000000</v>
      </c>
      <c r="I4" s="774"/>
      <c r="J4" s="774"/>
      <c r="K4" s="774"/>
      <c r="L4" s="774"/>
      <c r="M4" s="774"/>
      <c r="N4" s="774"/>
      <c r="O4" s="774"/>
      <c r="P4" s="774"/>
      <c r="Q4" s="774"/>
      <c r="R4" s="368">
        <f>SUM(E4:Q4)</f>
        <v>6500000</v>
      </c>
      <c r="S4" s="1209"/>
      <c r="T4" s="1209"/>
      <c r="U4" s="1208"/>
    </row>
    <row r="5" spans="1:21" s="84" customFormat="1">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c r="A6" s="171" t="s">
        <v>1649</v>
      </c>
      <c r="B6" s="217">
        <f>SUM(C6+D6)</f>
        <v>0</v>
      </c>
      <c r="C6" s="774"/>
      <c r="D6" s="774"/>
      <c r="E6" s="774"/>
      <c r="F6" s="774"/>
      <c r="G6" s="774"/>
      <c r="H6" s="774"/>
      <c r="I6" s="774"/>
      <c r="J6" s="774"/>
      <c r="K6" s="774"/>
      <c r="L6" s="774"/>
      <c r="M6" s="774"/>
      <c r="N6" s="774"/>
      <c r="O6" s="774"/>
      <c r="P6" s="774"/>
      <c r="Q6" s="774"/>
      <c r="R6" s="368">
        <f>SUM(E6:Q6)</f>
        <v>0</v>
      </c>
      <c r="S6" s="1209"/>
      <c r="T6" s="1209"/>
      <c r="U6" s="1208"/>
    </row>
    <row r="7" spans="1:21" s="84" customFormat="1">
      <c r="A7" s="171" t="s">
        <v>1650</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c r="A8" s="85" t="s">
        <v>1651</v>
      </c>
      <c r="B8" s="217">
        <f>SUM(C8:D8)</f>
        <v>6500000</v>
      </c>
      <c r="C8" s="217">
        <f t="shared" ref="C8:Q8" si="0">SUM(C4:C7)</f>
        <v>6500000</v>
      </c>
      <c r="D8" s="217">
        <f t="shared" si="0"/>
        <v>0</v>
      </c>
      <c r="E8" s="217">
        <f t="shared" si="0"/>
        <v>1500000</v>
      </c>
      <c r="F8" s="217">
        <f t="shared" si="0"/>
        <v>0</v>
      </c>
      <c r="G8" s="217">
        <f t="shared" si="0"/>
        <v>0</v>
      </c>
      <c r="H8" s="217">
        <f t="shared" si="0"/>
        <v>5000000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6500000</v>
      </c>
      <c r="S8" s="1209"/>
      <c r="T8" s="1209"/>
      <c r="U8" s="1208"/>
    </row>
    <row r="9" spans="1:21" s="84" customFormat="1">
      <c r="A9" s="171" t="s">
        <v>1652</v>
      </c>
      <c r="B9" s="217">
        <f>SUM(C9+D9)</f>
        <v>0</v>
      </c>
      <c r="C9" s="774"/>
      <c r="D9" s="774"/>
      <c r="E9" s="774"/>
      <c r="F9" s="774"/>
      <c r="G9" s="774"/>
      <c r="H9" s="774"/>
      <c r="I9" s="774"/>
      <c r="J9" s="774"/>
      <c r="K9" s="774"/>
      <c r="L9" s="774"/>
      <c r="M9" s="774"/>
      <c r="N9" s="774"/>
      <c r="O9" s="774"/>
      <c r="P9" s="774"/>
      <c r="Q9" s="774"/>
      <c r="R9" s="368">
        <f>SUM(E9:Q9)</f>
        <v>0</v>
      </c>
      <c r="S9" s="1209"/>
      <c r="T9" s="774"/>
      <c r="U9" s="1208"/>
    </row>
    <row r="10" spans="1:21" s="84" customFormat="1">
      <c r="A10" s="171" t="s">
        <v>1653</v>
      </c>
      <c r="B10" s="217">
        <f>SUM(C10+D10)</f>
        <v>355000</v>
      </c>
      <c r="C10" s="774">
        <v>355000</v>
      </c>
      <c r="D10" s="774"/>
      <c r="E10" s="774">
        <f>C10</f>
        <v>355000</v>
      </c>
      <c r="F10" s="774"/>
      <c r="G10" s="774"/>
      <c r="H10" s="774"/>
      <c r="I10" s="774"/>
      <c r="J10" s="774"/>
      <c r="K10" s="774"/>
      <c r="L10" s="774"/>
      <c r="M10" s="774"/>
      <c r="N10" s="774"/>
      <c r="O10" s="774"/>
      <c r="P10" s="774"/>
      <c r="Q10" s="774"/>
      <c r="R10" s="368">
        <f>SUM(E10:Q10)</f>
        <v>355000</v>
      </c>
      <c r="S10" s="774">
        <f>R10</f>
        <v>355000</v>
      </c>
      <c r="T10" s="774"/>
      <c r="U10" s="1208"/>
    </row>
    <row r="11" spans="1:21" s="84" customFormat="1">
      <c r="A11" s="85" t="s">
        <v>1654</v>
      </c>
      <c r="B11" s="217">
        <f>SUM(C11:D11)</f>
        <v>355000</v>
      </c>
      <c r="C11" s="217">
        <f t="shared" ref="C11:Q11" si="1">SUM(C9:C10)</f>
        <v>355000</v>
      </c>
      <c r="D11" s="217">
        <f t="shared" si="1"/>
        <v>0</v>
      </c>
      <c r="E11" s="217">
        <f t="shared" si="1"/>
        <v>355000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355000</v>
      </c>
      <c r="S11" s="1209"/>
      <c r="T11" s="86">
        <f>SUM(T9:T10)</f>
        <v>0</v>
      </c>
      <c r="U11" s="1208"/>
    </row>
    <row r="12" spans="1:21" s="84" customFormat="1">
      <c r="A12" s="85" t="s">
        <v>1655</v>
      </c>
      <c r="B12" s="217">
        <f t="shared" ref="B12:Q12" si="2">SUM(B8+B11)</f>
        <v>6855000</v>
      </c>
      <c r="C12" s="217">
        <f t="shared" si="2"/>
        <v>6855000</v>
      </c>
      <c r="D12" s="217">
        <f t="shared" si="2"/>
        <v>0</v>
      </c>
      <c r="E12" s="217">
        <f t="shared" si="2"/>
        <v>1855000</v>
      </c>
      <c r="F12" s="217">
        <f t="shared" si="2"/>
        <v>0</v>
      </c>
      <c r="G12" s="217">
        <f t="shared" si="2"/>
        <v>0</v>
      </c>
      <c r="H12" s="217">
        <f t="shared" si="2"/>
        <v>5000000</v>
      </c>
      <c r="I12" s="217">
        <f t="shared" si="2"/>
        <v>0</v>
      </c>
      <c r="J12" s="217">
        <f t="shared" si="2"/>
        <v>0</v>
      </c>
      <c r="K12" s="217">
        <f t="shared" si="2"/>
        <v>0</v>
      </c>
      <c r="L12" s="217">
        <f t="shared" si="2"/>
        <v>0</v>
      </c>
      <c r="M12" s="217">
        <f t="shared" si="2"/>
        <v>0</v>
      </c>
      <c r="N12" s="217">
        <f t="shared" si="2"/>
        <v>0</v>
      </c>
      <c r="O12" s="217">
        <f t="shared" si="2"/>
        <v>0</v>
      </c>
      <c r="P12" s="217"/>
      <c r="Q12" s="217">
        <f t="shared" si="2"/>
        <v>0</v>
      </c>
      <c r="R12" s="217">
        <f>SUM(R8+R11)</f>
        <v>6855000</v>
      </c>
      <c r="S12" s="1209"/>
      <c r="T12" s="1209"/>
      <c r="U12" s="1208"/>
    </row>
    <row r="13" spans="1:21" s="84" customFormat="1">
      <c r="A13" s="173" t="s">
        <v>1656</v>
      </c>
      <c r="B13" s="217">
        <f>SUM(C13+D13)</f>
        <v>253604</v>
      </c>
      <c r="C13" s="774">
        <f>7500+246104</f>
        <v>253604</v>
      </c>
      <c r="D13" s="774"/>
      <c r="E13" s="774">
        <f>C13</f>
        <v>253604</v>
      </c>
      <c r="F13" s="774"/>
      <c r="G13" s="774"/>
      <c r="H13" s="774"/>
      <c r="I13" s="774"/>
      <c r="J13" s="774"/>
      <c r="K13" s="774"/>
      <c r="L13" s="774"/>
      <c r="M13" s="774"/>
      <c r="N13" s="774"/>
      <c r="O13" s="774"/>
      <c r="P13" s="774"/>
      <c r="Q13" s="774"/>
      <c r="R13" s="368">
        <f>SUM(E13:Q13)</f>
        <v>253604</v>
      </c>
      <c r="S13" s="774"/>
      <c r="T13" s="774"/>
      <c r="U13" s="1208"/>
    </row>
    <row r="14" spans="1:21" s="84" customFormat="1" ht="24">
      <c r="A14" s="174" t="s">
        <v>1657</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c r="A15" s="174" t="s">
        <v>1658</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c r="A16" s="83" t="s">
        <v>1659</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1660</v>
      </c>
      <c r="B17" s="217">
        <f t="shared" ref="B17:B26" si="3">SUM(C17+D17)</f>
        <v>0</v>
      </c>
      <c r="C17" s="774"/>
      <c r="D17" s="774"/>
      <c r="E17" s="774"/>
      <c r="F17" s="774"/>
      <c r="G17" s="774"/>
      <c r="H17" s="774"/>
      <c r="I17" s="774"/>
      <c r="J17" s="774"/>
      <c r="K17" s="774"/>
      <c r="L17" s="774"/>
      <c r="M17" s="774"/>
      <c r="N17" s="774"/>
      <c r="O17" s="774"/>
      <c r="P17" s="774"/>
      <c r="Q17" s="774"/>
      <c r="R17" s="368">
        <f>SUM(E17:Q17)</f>
        <v>0</v>
      </c>
      <c r="S17" s="774"/>
      <c r="T17" s="774"/>
      <c r="U17" s="1208"/>
    </row>
    <row r="18" spans="1:21" s="84" customFormat="1">
      <c r="A18" s="171" t="s">
        <v>1661</v>
      </c>
      <c r="B18" s="217">
        <f t="shared" si="3"/>
        <v>0</v>
      </c>
      <c r="C18" s="774"/>
      <c r="D18" s="774"/>
      <c r="E18" s="774"/>
      <c r="F18" s="774"/>
      <c r="G18" s="774"/>
      <c r="H18" s="774"/>
      <c r="I18" s="774"/>
      <c r="J18" s="774"/>
      <c r="K18" s="774"/>
      <c r="L18" s="774"/>
      <c r="M18" s="774"/>
      <c r="N18" s="774"/>
      <c r="O18" s="774"/>
      <c r="P18" s="774"/>
      <c r="Q18" s="774"/>
      <c r="R18" s="368">
        <f>SUM(E18:Q18)</f>
        <v>0</v>
      </c>
      <c r="S18" s="774"/>
      <c r="T18" s="774"/>
      <c r="U18" s="1208"/>
    </row>
    <row r="19" spans="1:21" s="84" customFormat="1">
      <c r="A19" s="171" t="s">
        <v>1662</v>
      </c>
      <c r="B19" s="217">
        <f t="shared" si="3"/>
        <v>0</v>
      </c>
      <c r="C19" s="774"/>
      <c r="D19" s="774"/>
      <c r="E19" s="774"/>
      <c r="F19" s="774"/>
      <c r="G19" s="774"/>
      <c r="H19" s="774"/>
      <c r="I19" s="774"/>
      <c r="J19" s="774"/>
      <c r="K19" s="774"/>
      <c r="L19" s="774"/>
      <c r="M19" s="774"/>
      <c r="N19" s="774"/>
      <c r="O19" s="774"/>
      <c r="P19" s="774"/>
      <c r="Q19" s="774"/>
      <c r="R19" s="368">
        <f>SUM(E19:Q19)</f>
        <v>0</v>
      </c>
      <c r="S19" s="774"/>
      <c r="T19" s="774"/>
      <c r="U19" s="1208"/>
    </row>
    <row r="20" spans="1:21" s="84" customFormat="1">
      <c r="A20" s="171" t="s">
        <v>1663</v>
      </c>
      <c r="B20" s="217">
        <f t="shared" si="3"/>
        <v>0</v>
      </c>
      <c r="C20" s="774"/>
      <c r="D20" s="774"/>
      <c r="E20" s="774"/>
      <c r="F20" s="774"/>
      <c r="G20" s="774"/>
      <c r="H20" s="774"/>
      <c r="I20" s="774"/>
      <c r="J20" s="774"/>
      <c r="K20" s="774"/>
      <c r="L20" s="774"/>
      <c r="M20" s="774"/>
      <c r="N20" s="774"/>
      <c r="O20" s="774"/>
      <c r="P20" s="774"/>
      <c r="Q20" s="774"/>
      <c r="R20" s="368">
        <f t="shared" ref="R20:R27" si="4">SUM(E20:Q20)</f>
        <v>0</v>
      </c>
      <c r="S20" s="774"/>
      <c r="T20" s="774"/>
      <c r="U20" s="1208"/>
    </row>
    <row r="21" spans="1:21" s="84" customFormat="1">
      <c r="A21" s="171" t="s">
        <v>1664</v>
      </c>
      <c r="B21" s="217">
        <f t="shared" si="3"/>
        <v>0</v>
      </c>
      <c r="C21" s="774"/>
      <c r="D21" s="774"/>
      <c r="E21" s="774"/>
      <c r="F21" s="774"/>
      <c r="G21" s="774"/>
      <c r="H21" s="774"/>
      <c r="I21" s="774"/>
      <c r="J21" s="774"/>
      <c r="K21" s="774"/>
      <c r="L21" s="774"/>
      <c r="M21" s="774"/>
      <c r="N21" s="774"/>
      <c r="O21" s="774"/>
      <c r="P21" s="774"/>
      <c r="Q21" s="774"/>
      <c r="R21" s="368">
        <f t="shared" si="4"/>
        <v>0</v>
      </c>
      <c r="S21" s="774"/>
      <c r="T21" s="774"/>
      <c r="U21" s="1208"/>
    </row>
    <row r="22" spans="1:21" s="84" customFormat="1">
      <c r="A22" s="171" t="s">
        <v>1665</v>
      </c>
      <c r="B22" s="217">
        <f t="shared" si="3"/>
        <v>0</v>
      </c>
      <c r="C22" s="774"/>
      <c r="D22" s="774"/>
      <c r="E22" s="774"/>
      <c r="F22" s="774"/>
      <c r="G22" s="774"/>
      <c r="H22" s="774"/>
      <c r="I22" s="774"/>
      <c r="J22" s="774"/>
      <c r="K22" s="774"/>
      <c r="L22" s="774"/>
      <c r="M22" s="774"/>
      <c r="N22" s="774"/>
      <c r="O22" s="774"/>
      <c r="P22" s="774"/>
      <c r="Q22" s="774"/>
      <c r="R22" s="368">
        <f t="shared" si="4"/>
        <v>0</v>
      </c>
      <c r="S22" s="774"/>
      <c r="T22" s="774"/>
      <c r="U22" s="1208"/>
    </row>
    <row r="23" spans="1:21" s="84" customFormat="1">
      <c r="A23" s="171" t="s">
        <v>1666</v>
      </c>
      <c r="B23" s="217">
        <f t="shared" si="3"/>
        <v>0</v>
      </c>
      <c r="C23" s="774"/>
      <c r="D23" s="774"/>
      <c r="E23" s="774"/>
      <c r="F23" s="774"/>
      <c r="G23" s="774"/>
      <c r="H23" s="774"/>
      <c r="I23" s="774"/>
      <c r="J23" s="774"/>
      <c r="K23" s="774"/>
      <c r="L23" s="774"/>
      <c r="M23" s="774"/>
      <c r="N23" s="774"/>
      <c r="O23" s="774"/>
      <c r="P23" s="774"/>
      <c r="Q23" s="774"/>
      <c r="R23" s="368">
        <f t="shared" si="4"/>
        <v>0</v>
      </c>
      <c r="S23" s="774"/>
      <c r="T23" s="774"/>
      <c r="U23" s="1208"/>
    </row>
    <row r="24" spans="1:21" s="84" customFormat="1">
      <c r="A24" s="361" t="s">
        <v>1667</v>
      </c>
      <c r="B24" s="217">
        <f t="shared" si="3"/>
        <v>0</v>
      </c>
      <c r="C24" s="774"/>
      <c r="D24" s="774"/>
      <c r="E24" s="774"/>
      <c r="F24" s="774"/>
      <c r="G24" s="774"/>
      <c r="H24" s="774"/>
      <c r="I24" s="774"/>
      <c r="J24" s="774"/>
      <c r="K24" s="774"/>
      <c r="L24" s="774"/>
      <c r="M24" s="774"/>
      <c r="N24" s="774"/>
      <c r="O24" s="774"/>
      <c r="P24" s="774"/>
      <c r="Q24" s="774"/>
      <c r="R24" s="368">
        <f t="shared" si="4"/>
        <v>0</v>
      </c>
      <c r="S24" s="774"/>
      <c r="T24" s="774"/>
      <c r="U24" s="1208"/>
    </row>
    <row r="25" spans="1:21" s="84" customFormat="1">
      <c r="A25" s="925" t="s">
        <v>2785</v>
      </c>
      <c r="B25" s="217">
        <f t="shared" si="3"/>
        <v>0</v>
      </c>
      <c r="C25" s="774"/>
      <c r="D25" s="774"/>
      <c r="E25" s="774"/>
      <c r="F25" s="774"/>
      <c r="G25" s="774"/>
      <c r="H25" s="774"/>
      <c r="I25" s="774"/>
      <c r="J25" s="774"/>
      <c r="K25" s="774"/>
      <c r="L25" s="774"/>
      <c r="M25" s="774"/>
      <c r="N25" s="774"/>
      <c r="O25" s="774"/>
      <c r="P25" s="774"/>
      <c r="Q25" s="774"/>
      <c r="R25" s="368">
        <f t="shared" si="4"/>
        <v>0</v>
      </c>
      <c r="S25" s="774"/>
      <c r="T25" s="774"/>
      <c r="U25" s="1208"/>
    </row>
    <row r="26" spans="1:21" s="84" customFormat="1">
      <c r="A26" s="85" t="s">
        <v>1669</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8"/>
    </row>
    <row r="27" spans="1:21" s="84" customFormat="1">
      <c r="A27" s="85" t="s">
        <v>1670</v>
      </c>
      <c r="B27" s="217">
        <f>SUM(C27:D27)</f>
        <v>0</v>
      </c>
      <c r="C27" s="774"/>
      <c r="D27" s="774"/>
      <c r="E27" s="774"/>
      <c r="F27" s="774"/>
      <c r="G27" s="774"/>
      <c r="H27" s="774"/>
      <c r="I27" s="774"/>
      <c r="J27" s="774"/>
      <c r="K27" s="774"/>
      <c r="L27" s="774"/>
      <c r="M27" s="774"/>
      <c r="N27" s="774"/>
      <c r="O27" s="774"/>
      <c r="P27" s="774"/>
      <c r="Q27" s="774"/>
      <c r="R27" s="368">
        <f t="shared" si="4"/>
        <v>0</v>
      </c>
      <c r="S27" s="774"/>
      <c r="T27" s="774"/>
      <c r="U27" s="1208"/>
    </row>
    <row r="28" spans="1:21" s="84" customFormat="1">
      <c r="A28" s="83" t="s">
        <v>1671</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1660</v>
      </c>
      <c r="B29" s="217">
        <f t="shared" ref="B29:B38" si="6">SUM(C29+D29)</f>
        <v>2980205</v>
      </c>
      <c r="C29" s="774">
        <f>2919750+60455</f>
        <v>2980205</v>
      </c>
      <c r="D29" s="774"/>
      <c r="E29" s="774">
        <f>C29</f>
        <v>2980205</v>
      </c>
      <c r="F29" s="774"/>
      <c r="G29" s="774"/>
      <c r="H29" s="774"/>
      <c r="I29" s="774"/>
      <c r="J29" s="774"/>
      <c r="K29" s="774"/>
      <c r="L29" s="774"/>
      <c r="M29" s="774"/>
      <c r="N29" s="774"/>
      <c r="O29" s="774"/>
      <c r="P29" s="774"/>
      <c r="Q29" s="774"/>
      <c r="R29" s="368">
        <f t="shared" ref="R29:R37" si="7">SUM(E29:Q29)</f>
        <v>2980205</v>
      </c>
      <c r="S29" s="774">
        <v>2919750</v>
      </c>
      <c r="T29" s="774"/>
      <c r="U29" s="1208"/>
    </row>
    <row r="30" spans="1:21" s="84" customFormat="1">
      <c r="A30" s="171" t="s">
        <v>1661</v>
      </c>
      <c r="B30" s="217">
        <f t="shared" si="6"/>
        <v>57908284</v>
      </c>
      <c r="C30" s="774">
        <f>49085829+9177455-355000</f>
        <v>57908284</v>
      </c>
      <c r="D30" s="774"/>
      <c r="E30" s="774">
        <f>C30-F30-G30-I30-J30</f>
        <v>18379102</v>
      </c>
      <c r="F30" s="774">
        <f>17745899+6458789-8671565-190080-107990</f>
        <v>15235053</v>
      </c>
      <c r="G30" s="774">
        <v>6000000</v>
      </c>
      <c r="H30" s="774"/>
      <c r="I30" s="774">
        <v>1294129</v>
      </c>
      <c r="J30" s="774">
        <v>17000000</v>
      </c>
      <c r="K30" s="774"/>
      <c r="L30" s="774"/>
      <c r="M30" s="774"/>
      <c r="N30" s="774"/>
      <c r="O30" s="774"/>
      <c r="P30" s="774"/>
      <c r="Q30" s="774"/>
      <c r="R30" s="368">
        <f t="shared" si="7"/>
        <v>57908284</v>
      </c>
      <c r="S30" s="774">
        <f>C30</f>
        <v>57908284</v>
      </c>
      <c r="T30" s="774"/>
      <c r="U30" s="1208"/>
    </row>
    <row r="31" spans="1:21" s="84" customFormat="1">
      <c r="A31" s="171" t="s">
        <v>1662</v>
      </c>
      <c r="B31" s="217">
        <f t="shared" si="6"/>
        <v>2185440</v>
      </c>
      <c r="C31" s="774">
        <v>2185440</v>
      </c>
      <c r="D31" s="774"/>
      <c r="E31" s="774"/>
      <c r="F31" s="774">
        <f>C31</f>
        <v>2185440</v>
      </c>
      <c r="G31" s="774"/>
      <c r="H31" s="774"/>
      <c r="I31" s="774"/>
      <c r="J31" s="774"/>
      <c r="K31" s="774"/>
      <c r="L31" s="774"/>
      <c r="M31" s="774"/>
      <c r="N31" s="774"/>
      <c r="O31" s="774"/>
      <c r="P31" s="774"/>
      <c r="Q31" s="774"/>
      <c r="R31" s="368">
        <f t="shared" si="7"/>
        <v>2185440</v>
      </c>
      <c r="S31" s="774">
        <f t="shared" ref="S31:S37" si="8">C31</f>
        <v>2185440</v>
      </c>
      <c r="T31" s="774"/>
      <c r="U31" s="1208"/>
    </row>
    <row r="32" spans="1:21" s="84" customFormat="1">
      <c r="A32" s="171" t="s">
        <v>1663</v>
      </c>
      <c r="B32" s="217">
        <f t="shared" si="6"/>
        <v>1230496</v>
      </c>
      <c r="C32" s="774">
        <v>1230496</v>
      </c>
      <c r="D32" s="774"/>
      <c r="E32" s="774"/>
      <c r="F32" s="774">
        <f>C32</f>
        <v>1230496</v>
      </c>
      <c r="G32" s="774"/>
      <c r="H32" s="774"/>
      <c r="I32" s="774"/>
      <c r="J32" s="774"/>
      <c r="K32" s="774"/>
      <c r="L32" s="774"/>
      <c r="M32" s="774"/>
      <c r="N32" s="774"/>
      <c r="O32" s="774"/>
      <c r="P32" s="774"/>
      <c r="Q32" s="774"/>
      <c r="R32" s="368">
        <f t="shared" si="7"/>
        <v>1230496</v>
      </c>
      <c r="S32" s="774">
        <f t="shared" si="8"/>
        <v>1230496</v>
      </c>
      <c r="T32" s="774"/>
      <c r="U32" s="1208"/>
    </row>
    <row r="33" spans="1:21" s="84" customFormat="1">
      <c r="A33" s="171" t="s">
        <v>1664</v>
      </c>
      <c r="B33" s="217">
        <f t="shared" si="6"/>
        <v>1230496</v>
      </c>
      <c r="C33" s="774">
        <v>1230496</v>
      </c>
      <c r="D33" s="774"/>
      <c r="E33" s="774"/>
      <c r="F33" s="774">
        <f>C33</f>
        <v>1230496</v>
      </c>
      <c r="G33" s="774"/>
      <c r="H33" s="774"/>
      <c r="I33" s="774"/>
      <c r="J33" s="774"/>
      <c r="K33" s="774"/>
      <c r="L33" s="774"/>
      <c r="M33" s="774"/>
      <c r="N33" s="774"/>
      <c r="O33" s="774"/>
      <c r="P33" s="774"/>
      <c r="Q33" s="774"/>
      <c r="R33" s="368">
        <f t="shared" si="7"/>
        <v>1230496</v>
      </c>
      <c r="S33" s="774">
        <f t="shared" si="8"/>
        <v>1230496</v>
      </c>
      <c r="T33" s="774"/>
      <c r="U33" s="1208"/>
    </row>
    <row r="34" spans="1:21" s="84" customFormat="1">
      <c r="A34" s="171" t="s">
        <v>1665</v>
      </c>
      <c r="B34" s="217">
        <f t="shared" si="6"/>
        <v>0</v>
      </c>
      <c r="C34" s="774"/>
      <c r="D34" s="774"/>
      <c r="E34" s="774"/>
      <c r="F34" s="774"/>
      <c r="G34" s="774"/>
      <c r="H34" s="774"/>
      <c r="I34" s="774"/>
      <c r="J34" s="774"/>
      <c r="K34" s="774"/>
      <c r="L34" s="774"/>
      <c r="M34" s="774"/>
      <c r="N34" s="774"/>
      <c r="O34" s="774"/>
      <c r="P34" s="774"/>
      <c r="Q34" s="774"/>
      <c r="R34" s="368">
        <f t="shared" si="7"/>
        <v>0</v>
      </c>
      <c r="S34" s="774">
        <f t="shared" si="8"/>
        <v>0</v>
      </c>
      <c r="T34" s="774"/>
      <c r="U34" s="1208"/>
    </row>
    <row r="35" spans="1:21" s="84" customFormat="1">
      <c r="A35" s="171" t="s">
        <v>1666</v>
      </c>
      <c r="B35" s="217">
        <f t="shared" si="6"/>
        <v>732884</v>
      </c>
      <c r="C35" s="774">
        <v>732884</v>
      </c>
      <c r="D35" s="774"/>
      <c r="E35" s="774"/>
      <c r="F35" s="774">
        <f>C35</f>
        <v>732884</v>
      </c>
      <c r="G35" s="774"/>
      <c r="H35" s="774"/>
      <c r="I35" s="774"/>
      <c r="J35" s="774"/>
      <c r="K35" s="774"/>
      <c r="L35" s="774"/>
      <c r="M35" s="774"/>
      <c r="N35" s="774"/>
      <c r="O35" s="774"/>
      <c r="P35" s="774"/>
      <c r="Q35" s="774"/>
      <c r="R35" s="368">
        <f t="shared" si="7"/>
        <v>732884</v>
      </c>
      <c r="S35" s="774">
        <f t="shared" si="8"/>
        <v>732884</v>
      </c>
      <c r="T35" s="774"/>
      <c r="U35" s="1208"/>
    </row>
    <row r="36" spans="1:21" s="84" customFormat="1">
      <c r="A36" s="171" t="s">
        <v>1667</v>
      </c>
      <c r="B36" s="217">
        <f t="shared" si="6"/>
        <v>0</v>
      </c>
      <c r="C36" s="774"/>
      <c r="D36" s="774"/>
      <c r="E36" s="774"/>
      <c r="F36" s="774"/>
      <c r="G36" s="774"/>
      <c r="H36" s="774"/>
      <c r="I36" s="774"/>
      <c r="J36" s="774"/>
      <c r="K36" s="774"/>
      <c r="L36" s="774"/>
      <c r="M36" s="774"/>
      <c r="N36" s="774"/>
      <c r="O36" s="774"/>
      <c r="P36" s="774"/>
      <c r="Q36" s="774"/>
      <c r="R36" s="368">
        <f t="shared" si="7"/>
        <v>0</v>
      </c>
      <c r="S36" s="774">
        <f t="shared" si="8"/>
        <v>0</v>
      </c>
      <c r="T36" s="774"/>
      <c r="U36" s="1208"/>
    </row>
    <row r="37" spans="1:21" s="84" customFormat="1">
      <c r="A37" s="925" t="s">
        <v>2785</v>
      </c>
      <c r="B37" s="217">
        <f t="shared" si="6"/>
        <v>659661</v>
      </c>
      <c r="C37" s="774">
        <v>659661</v>
      </c>
      <c r="D37" s="774"/>
      <c r="E37" s="774"/>
      <c r="F37" s="774">
        <f>C37</f>
        <v>659661</v>
      </c>
      <c r="G37" s="774"/>
      <c r="H37" s="774"/>
      <c r="I37" s="774"/>
      <c r="J37" s="774"/>
      <c r="K37" s="774"/>
      <c r="L37" s="774"/>
      <c r="M37" s="774"/>
      <c r="N37" s="774"/>
      <c r="O37" s="774"/>
      <c r="P37" s="774"/>
      <c r="Q37" s="774"/>
      <c r="R37" s="368">
        <f t="shared" si="7"/>
        <v>659661</v>
      </c>
      <c r="S37" s="774">
        <f t="shared" si="8"/>
        <v>659661</v>
      </c>
      <c r="T37" s="774"/>
      <c r="U37" s="1208"/>
    </row>
    <row r="38" spans="1:21" s="84" customFormat="1">
      <c r="A38" s="85" t="s">
        <v>1672</v>
      </c>
      <c r="B38" s="217">
        <f t="shared" si="6"/>
        <v>66927466</v>
      </c>
      <c r="C38" s="217">
        <f>SUM(C29:C37)</f>
        <v>66927466</v>
      </c>
      <c r="D38" s="217">
        <f t="shared" ref="D38:Q38" si="9">SUM(D29:D37)</f>
        <v>0</v>
      </c>
      <c r="E38" s="217">
        <f t="shared" si="9"/>
        <v>21359307</v>
      </c>
      <c r="F38" s="217">
        <f t="shared" si="9"/>
        <v>21274030</v>
      </c>
      <c r="G38" s="217">
        <f t="shared" si="9"/>
        <v>6000000</v>
      </c>
      <c r="H38" s="217">
        <f t="shared" si="9"/>
        <v>0</v>
      </c>
      <c r="I38" s="217">
        <f t="shared" si="9"/>
        <v>1294129</v>
      </c>
      <c r="J38" s="217">
        <f t="shared" si="9"/>
        <v>17000000</v>
      </c>
      <c r="K38" s="217">
        <f t="shared" si="9"/>
        <v>0</v>
      </c>
      <c r="L38" s="217">
        <f t="shared" si="9"/>
        <v>0</v>
      </c>
      <c r="M38" s="217">
        <f t="shared" si="9"/>
        <v>0</v>
      </c>
      <c r="N38" s="217">
        <f t="shared" si="9"/>
        <v>0</v>
      </c>
      <c r="O38" s="217">
        <f t="shared" si="9"/>
        <v>0</v>
      </c>
      <c r="P38" s="217">
        <f t="shared" si="9"/>
        <v>0</v>
      </c>
      <c r="Q38" s="217">
        <f t="shared" si="9"/>
        <v>0</v>
      </c>
      <c r="R38" s="217">
        <f>SUM(R29:R37)</f>
        <v>66927466</v>
      </c>
      <c r="S38" s="86">
        <f>SUM(S29:S37)</f>
        <v>66867011</v>
      </c>
      <c r="T38" s="86">
        <f>SUM(T29:T37)</f>
        <v>0</v>
      </c>
      <c r="U38" s="1208"/>
    </row>
    <row r="39" spans="1:21" s="84" customFormat="1">
      <c r="A39" s="83" t="s">
        <v>1673</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1674</v>
      </c>
      <c r="B40" s="217">
        <f>SUM(C40+D40)</f>
        <v>1368980</v>
      </c>
      <c r="C40" s="774">
        <v>1368980</v>
      </c>
      <c r="D40" s="774"/>
      <c r="E40" s="774">
        <f>C40-L40</f>
        <v>1368880</v>
      </c>
      <c r="F40" s="774"/>
      <c r="G40" s="774"/>
      <c r="H40" s="774"/>
      <c r="I40" s="774"/>
      <c r="J40" s="774"/>
      <c r="K40" s="774"/>
      <c r="L40" s="774">
        <v>100</v>
      </c>
      <c r="M40" s="774"/>
      <c r="N40" s="774"/>
      <c r="O40" s="774"/>
      <c r="P40" s="774"/>
      <c r="Q40" s="774"/>
      <c r="R40" s="368">
        <f>SUM(E40:Q40)</f>
        <v>1368980</v>
      </c>
      <c r="S40" s="774">
        <f>C40</f>
        <v>1368980</v>
      </c>
      <c r="T40" s="774"/>
      <c r="U40" s="1208"/>
    </row>
    <row r="41" spans="1:21" s="84" customFormat="1">
      <c r="A41" s="171" t="s">
        <v>1675</v>
      </c>
      <c r="B41" s="217">
        <f>SUM(C41+D41)</f>
        <v>252000</v>
      </c>
      <c r="C41" s="774">
        <v>252000</v>
      </c>
      <c r="D41" s="774"/>
      <c r="E41" s="774">
        <f>C41</f>
        <v>252000</v>
      </c>
      <c r="F41" s="774"/>
      <c r="G41" s="774"/>
      <c r="H41" s="774"/>
      <c r="I41" s="774"/>
      <c r="J41" s="774"/>
      <c r="K41" s="774"/>
      <c r="L41" s="774"/>
      <c r="M41" s="774"/>
      <c r="N41" s="774"/>
      <c r="O41" s="774"/>
      <c r="P41" s="774"/>
      <c r="Q41" s="774"/>
      <c r="R41" s="368">
        <f>SUM(E41:Q41)</f>
        <v>252000</v>
      </c>
      <c r="S41" s="774">
        <f>C41</f>
        <v>252000</v>
      </c>
      <c r="T41" s="774"/>
      <c r="U41" s="1208"/>
    </row>
    <row r="42" spans="1:21" s="84" customFormat="1">
      <c r="A42" s="85" t="s">
        <v>1676</v>
      </c>
      <c r="B42" s="217">
        <f>SUM(C42:D42)</f>
        <v>1620980</v>
      </c>
      <c r="C42" s="217">
        <f>SUM(C39:C41)</f>
        <v>1620980</v>
      </c>
      <c r="D42" s="217">
        <f>SUM(D39:D41)</f>
        <v>0</v>
      </c>
      <c r="E42" s="217">
        <f t="shared" ref="E42:T42" si="10">SUM(E40:E41)</f>
        <v>1620880</v>
      </c>
      <c r="F42" s="217">
        <f t="shared" si="10"/>
        <v>0</v>
      </c>
      <c r="G42" s="217">
        <f t="shared" si="10"/>
        <v>0</v>
      </c>
      <c r="H42" s="217">
        <f t="shared" si="10"/>
        <v>0</v>
      </c>
      <c r="I42" s="217">
        <f t="shared" si="10"/>
        <v>0</v>
      </c>
      <c r="J42" s="217">
        <f t="shared" si="10"/>
        <v>0</v>
      </c>
      <c r="K42" s="217">
        <f t="shared" si="10"/>
        <v>0</v>
      </c>
      <c r="L42" s="217">
        <f t="shared" si="10"/>
        <v>100</v>
      </c>
      <c r="M42" s="217">
        <f t="shared" si="10"/>
        <v>0</v>
      </c>
      <c r="N42" s="217">
        <f t="shared" si="10"/>
        <v>0</v>
      </c>
      <c r="O42" s="217">
        <f t="shared" si="10"/>
        <v>0</v>
      </c>
      <c r="P42" s="217">
        <f t="shared" si="10"/>
        <v>0</v>
      </c>
      <c r="Q42" s="217">
        <f t="shared" si="10"/>
        <v>0</v>
      </c>
      <c r="R42" s="217">
        <f>SUM(R40:R41)</f>
        <v>1620980</v>
      </c>
      <c r="S42" s="86">
        <f t="shared" si="10"/>
        <v>1620980</v>
      </c>
      <c r="T42" s="86">
        <f t="shared" si="10"/>
        <v>0</v>
      </c>
      <c r="U42" s="1208"/>
    </row>
    <row r="43" spans="1:21" s="84" customFormat="1">
      <c r="A43" s="85" t="s">
        <v>1677</v>
      </c>
      <c r="B43" s="217">
        <f>SUM(C43:D43)</f>
        <v>1037720</v>
      </c>
      <c r="C43" s="774">
        <v>1037720</v>
      </c>
      <c r="D43" s="774"/>
      <c r="E43" s="774">
        <f>C43</f>
        <v>1037720</v>
      </c>
      <c r="F43" s="774"/>
      <c r="G43" s="774"/>
      <c r="H43" s="774"/>
      <c r="I43" s="774"/>
      <c r="J43" s="774"/>
      <c r="K43" s="774"/>
      <c r="L43" s="774"/>
      <c r="M43" s="774"/>
      <c r="N43" s="774"/>
      <c r="O43" s="774"/>
      <c r="P43" s="774"/>
      <c r="Q43" s="774"/>
      <c r="R43" s="368">
        <f>SUM(E43:Q43)</f>
        <v>1037720</v>
      </c>
      <c r="S43" s="774">
        <f>C43</f>
        <v>1037720</v>
      </c>
      <c r="T43" s="774"/>
      <c r="U43" s="1208"/>
    </row>
    <row r="44" spans="1:21" s="84" customFormat="1">
      <c r="A44" s="83" t="s">
        <v>1678</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1679</v>
      </c>
      <c r="B45" s="217">
        <f t="shared" ref="B45:B53" si="11">SUM(C45+D45)</f>
        <v>10230777</v>
      </c>
      <c r="C45" s="774">
        <f>4464684+5736093+30000</f>
        <v>10230777</v>
      </c>
      <c r="D45" s="774"/>
      <c r="E45" s="774">
        <f>C45</f>
        <v>10230777</v>
      </c>
      <c r="F45" s="774"/>
      <c r="G45" s="774"/>
      <c r="H45" s="774"/>
      <c r="I45" s="774"/>
      <c r="J45" s="774"/>
      <c r="K45" s="774"/>
      <c r="L45" s="774"/>
      <c r="M45" s="774"/>
      <c r="N45" s="774"/>
      <c r="O45" s="774"/>
      <c r="P45" s="774"/>
      <c r="Q45" s="774"/>
      <c r="R45" s="368">
        <f t="shared" ref="R45:R53" si="12">SUM(E45:Q45)</f>
        <v>10230777</v>
      </c>
      <c r="S45" s="774">
        <f>2854853+2603737+21552</f>
        <v>5480142</v>
      </c>
      <c r="T45" s="774"/>
      <c r="U45" s="1208"/>
    </row>
    <row r="46" spans="1:21" s="84" customFormat="1">
      <c r="A46" s="171" t="s">
        <v>1680</v>
      </c>
      <c r="B46" s="217">
        <f t="shared" si="11"/>
        <v>873147</v>
      </c>
      <c r="C46" s="774">
        <v>873147</v>
      </c>
      <c r="D46" s="774"/>
      <c r="E46" s="774">
        <f t="shared" ref="E46:E52" si="13">C46</f>
        <v>873147</v>
      </c>
      <c r="F46" s="774"/>
      <c r="G46" s="774"/>
      <c r="H46" s="774"/>
      <c r="I46" s="774"/>
      <c r="J46" s="774"/>
      <c r="K46" s="774"/>
      <c r="L46" s="774"/>
      <c r="M46" s="774"/>
      <c r="N46" s="774"/>
      <c r="O46" s="774"/>
      <c r="P46" s="774"/>
      <c r="Q46" s="774"/>
      <c r="R46" s="368">
        <f t="shared" si="12"/>
        <v>873147</v>
      </c>
      <c r="S46" s="774">
        <v>637161</v>
      </c>
      <c r="T46" s="774"/>
      <c r="U46" s="1208"/>
    </row>
    <row r="47" spans="1:21" s="84" customFormat="1">
      <c r="A47" s="1210" t="s">
        <v>1681</v>
      </c>
      <c r="B47" s="217">
        <f t="shared" si="11"/>
        <v>0</v>
      </c>
      <c r="C47" s="774"/>
      <c r="D47" s="774"/>
      <c r="E47" s="774">
        <f t="shared" si="13"/>
        <v>0</v>
      </c>
      <c r="F47" s="774"/>
      <c r="G47" s="774"/>
      <c r="H47" s="774"/>
      <c r="I47" s="774"/>
      <c r="J47" s="774"/>
      <c r="K47" s="774"/>
      <c r="L47" s="774"/>
      <c r="M47" s="774"/>
      <c r="N47" s="774"/>
      <c r="O47" s="774"/>
      <c r="P47" s="774"/>
      <c r="Q47" s="774"/>
      <c r="R47" s="368">
        <f t="shared" si="12"/>
        <v>0</v>
      </c>
      <c r="S47" s="774"/>
      <c r="T47" s="774"/>
      <c r="U47" s="1208"/>
    </row>
    <row r="48" spans="1:21" s="84" customFormat="1">
      <c r="A48" s="171" t="s">
        <v>1682</v>
      </c>
      <c r="B48" s="217">
        <f t="shared" si="11"/>
        <v>0</v>
      </c>
      <c r="C48" s="774"/>
      <c r="D48" s="774"/>
      <c r="E48" s="774">
        <f t="shared" si="13"/>
        <v>0</v>
      </c>
      <c r="F48" s="774"/>
      <c r="G48" s="774"/>
      <c r="H48" s="774"/>
      <c r="I48" s="774"/>
      <c r="J48" s="774"/>
      <c r="K48" s="774"/>
      <c r="L48" s="774"/>
      <c r="M48" s="774"/>
      <c r="N48" s="774"/>
      <c r="O48" s="774"/>
      <c r="P48" s="774"/>
      <c r="Q48" s="774"/>
      <c r="R48" s="368">
        <f t="shared" si="12"/>
        <v>0</v>
      </c>
      <c r="S48" s="774"/>
      <c r="T48" s="774"/>
      <c r="U48" s="1208"/>
    </row>
    <row r="49" spans="1:21" s="84" customFormat="1">
      <c r="A49" s="171" t="s">
        <v>1683</v>
      </c>
      <c r="B49" s="217">
        <f t="shared" si="11"/>
        <v>349467</v>
      </c>
      <c r="C49" s="774">
        <f>349743-194-82</f>
        <v>349467</v>
      </c>
      <c r="D49" s="774"/>
      <c r="E49" s="774">
        <f t="shared" si="13"/>
        <v>349467</v>
      </c>
      <c r="F49" s="774"/>
      <c r="G49" s="774"/>
      <c r="H49" s="774"/>
      <c r="I49" s="774"/>
      <c r="J49" s="774"/>
      <c r="K49" s="774"/>
      <c r="L49" s="774"/>
      <c r="M49" s="774"/>
      <c r="N49" s="774"/>
      <c r="O49" s="774"/>
      <c r="P49" s="774"/>
      <c r="Q49" s="774"/>
      <c r="R49" s="368">
        <f t="shared" si="12"/>
        <v>349467</v>
      </c>
      <c r="S49" s="774"/>
      <c r="T49" s="774"/>
      <c r="U49" s="1208"/>
    </row>
    <row r="50" spans="1:21" s="84" customFormat="1">
      <c r="A50" s="171" t="s">
        <v>1684</v>
      </c>
      <c r="B50" s="217">
        <f t="shared" si="11"/>
        <v>100000</v>
      </c>
      <c r="C50" s="774">
        <v>100000</v>
      </c>
      <c r="D50" s="774"/>
      <c r="E50" s="774">
        <f t="shared" si="13"/>
        <v>100000</v>
      </c>
      <c r="F50" s="774"/>
      <c r="G50" s="774"/>
      <c r="H50" s="774"/>
      <c r="I50" s="774"/>
      <c r="J50" s="774"/>
      <c r="K50" s="774"/>
      <c r="L50" s="774"/>
      <c r="M50" s="774"/>
      <c r="N50" s="774"/>
      <c r="O50" s="774"/>
      <c r="P50" s="774"/>
      <c r="Q50" s="774"/>
      <c r="R50" s="368">
        <f t="shared" si="12"/>
        <v>100000</v>
      </c>
      <c r="S50" s="774">
        <v>100000</v>
      </c>
      <c r="T50" s="774"/>
      <c r="U50" s="1208"/>
    </row>
    <row r="51" spans="1:21" s="84" customFormat="1">
      <c r="A51" s="171" t="s">
        <v>1685</v>
      </c>
      <c r="B51" s="217">
        <f t="shared" si="11"/>
        <v>320000</v>
      </c>
      <c r="C51" s="774">
        <v>320000</v>
      </c>
      <c r="D51" s="774"/>
      <c r="E51" s="774">
        <f t="shared" si="13"/>
        <v>320000</v>
      </c>
      <c r="F51" s="774"/>
      <c r="G51" s="774"/>
      <c r="H51" s="774"/>
      <c r="I51" s="774"/>
      <c r="J51" s="774"/>
      <c r="K51" s="774"/>
      <c r="L51" s="774"/>
      <c r="M51" s="774"/>
      <c r="N51" s="774"/>
      <c r="O51" s="774"/>
      <c r="P51" s="774"/>
      <c r="Q51" s="774"/>
      <c r="R51" s="368">
        <f t="shared" si="12"/>
        <v>320000</v>
      </c>
      <c r="S51" s="774">
        <v>320000</v>
      </c>
      <c r="T51" s="774"/>
      <c r="U51" s="1208"/>
    </row>
    <row r="52" spans="1:21" s="84" customFormat="1">
      <c r="A52" s="171" t="s">
        <v>1452</v>
      </c>
      <c r="B52" s="217">
        <f t="shared" si="11"/>
        <v>1079884</v>
      </c>
      <c r="C52" s="774">
        <v>1079884</v>
      </c>
      <c r="D52" s="774"/>
      <c r="E52" s="774">
        <f t="shared" si="13"/>
        <v>1079884</v>
      </c>
      <c r="F52" s="774"/>
      <c r="G52" s="774"/>
      <c r="H52" s="774"/>
      <c r="I52" s="774"/>
      <c r="J52" s="774"/>
      <c r="K52" s="774"/>
      <c r="L52" s="774"/>
      <c r="M52" s="774"/>
      <c r="N52" s="774"/>
      <c r="O52" s="774"/>
      <c r="P52" s="774"/>
      <c r="Q52" s="774"/>
      <c r="R52" s="368">
        <f t="shared" si="12"/>
        <v>1079884</v>
      </c>
      <c r="S52" s="774">
        <v>1079884</v>
      </c>
      <c r="T52" s="774"/>
      <c r="U52" s="1208"/>
    </row>
    <row r="53" spans="1:21" s="84" customFormat="1">
      <c r="A53" s="925" t="s">
        <v>233</v>
      </c>
      <c r="B53" s="217">
        <f t="shared" si="11"/>
        <v>0</v>
      </c>
      <c r="C53" s="774"/>
      <c r="D53" s="774"/>
      <c r="E53" s="774"/>
      <c r="F53" s="774"/>
      <c r="G53" s="774"/>
      <c r="H53" s="774"/>
      <c r="I53" s="774"/>
      <c r="J53" s="774"/>
      <c r="K53" s="774"/>
      <c r="L53" s="774"/>
      <c r="M53" s="774"/>
      <c r="N53" s="774"/>
      <c r="O53" s="774"/>
      <c r="P53" s="774"/>
      <c r="Q53" s="774"/>
      <c r="R53" s="368">
        <f t="shared" si="12"/>
        <v>0</v>
      </c>
      <c r="S53" s="774"/>
      <c r="T53" s="774"/>
      <c r="U53" s="1208"/>
    </row>
    <row r="54" spans="1:21" s="88" customFormat="1">
      <c r="A54" s="85" t="s">
        <v>1686</v>
      </c>
      <c r="B54" s="86">
        <f>SUM(C54:D54)</f>
        <v>12953275</v>
      </c>
      <c r="C54" s="86">
        <f t="shared" ref="C54:T54" si="14">SUM(C45:C53)</f>
        <v>12953275</v>
      </c>
      <c r="D54" s="86">
        <f t="shared" si="14"/>
        <v>0</v>
      </c>
      <c r="E54" s="86">
        <f t="shared" si="14"/>
        <v>12953275</v>
      </c>
      <c r="F54" s="86">
        <f t="shared" si="14"/>
        <v>0</v>
      </c>
      <c r="G54" s="86">
        <f t="shared" si="14"/>
        <v>0</v>
      </c>
      <c r="H54" s="86">
        <f t="shared" si="14"/>
        <v>0</v>
      </c>
      <c r="I54" s="86">
        <f t="shared" si="14"/>
        <v>0</v>
      </c>
      <c r="J54" s="86">
        <f t="shared" si="14"/>
        <v>0</v>
      </c>
      <c r="K54" s="86">
        <f t="shared" si="14"/>
        <v>0</v>
      </c>
      <c r="L54" s="86">
        <f t="shared" si="14"/>
        <v>0</v>
      </c>
      <c r="M54" s="86">
        <f t="shared" si="14"/>
        <v>0</v>
      </c>
      <c r="N54" s="86">
        <f t="shared" si="14"/>
        <v>0</v>
      </c>
      <c r="O54" s="86">
        <f t="shared" si="14"/>
        <v>0</v>
      </c>
      <c r="P54" s="86">
        <f t="shared" si="14"/>
        <v>0</v>
      </c>
      <c r="Q54" s="86">
        <f t="shared" si="14"/>
        <v>0</v>
      </c>
      <c r="R54" s="217">
        <f t="shared" si="14"/>
        <v>12953275</v>
      </c>
      <c r="S54" s="86">
        <f t="shared" si="14"/>
        <v>7617187</v>
      </c>
      <c r="T54" s="86">
        <f t="shared" si="14"/>
        <v>0</v>
      </c>
      <c r="U54" s="87"/>
    </row>
    <row r="55" spans="1:21" s="84" customFormat="1">
      <c r="A55" s="83" t="s">
        <v>1273</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1687</v>
      </c>
      <c r="B56" s="217">
        <f t="shared" ref="B56:B61" si="15">SUM(C56+D56)</f>
        <v>323970</v>
      </c>
      <c r="C56" s="774">
        <v>323970</v>
      </c>
      <c r="D56" s="774"/>
      <c r="E56" s="774"/>
      <c r="F56" s="774">
        <f>C56</f>
        <v>323970</v>
      </c>
      <c r="G56" s="774"/>
      <c r="H56" s="774"/>
      <c r="I56" s="774"/>
      <c r="J56" s="774"/>
      <c r="K56" s="774"/>
      <c r="L56" s="774"/>
      <c r="M56" s="774"/>
      <c r="N56" s="774"/>
      <c r="O56" s="774"/>
      <c r="P56" s="774"/>
      <c r="Q56" s="774"/>
      <c r="R56" s="368">
        <f t="shared" ref="R56:R61" si="16">SUM(E56:Q56)</f>
        <v>323970</v>
      </c>
      <c r="S56" s="1209"/>
      <c r="T56" s="1209"/>
      <c r="U56" s="1208"/>
    </row>
    <row r="57" spans="1:21" s="108" customFormat="1">
      <c r="A57" s="1210" t="s">
        <v>1681</v>
      </c>
      <c r="B57" s="1211">
        <f t="shared" si="15"/>
        <v>0</v>
      </c>
      <c r="C57" s="1212"/>
      <c r="D57" s="1212"/>
      <c r="E57" s="1212"/>
      <c r="F57" s="1212">
        <f>C57</f>
        <v>0</v>
      </c>
      <c r="G57" s="1212"/>
      <c r="H57" s="1212"/>
      <c r="I57" s="1212"/>
      <c r="J57" s="1212"/>
      <c r="K57" s="1212"/>
      <c r="L57" s="1212"/>
      <c r="M57" s="1212"/>
      <c r="N57" s="1212"/>
      <c r="O57" s="1212"/>
      <c r="P57" s="1212"/>
      <c r="Q57" s="1212"/>
      <c r="R57" s="368">
        <f t="shared" si="16"/>
        <v>0</v>
      </c>
      <c r="S57" s="1213"/>
      <c r="T57" s="1213"/>
      <c r="U57" s="1214"/>
    </row>
    <row r="58" spans="1:21" s="84" customFormat="1">
      <c r="A58" s="171" t="s">
        <v>1684</v>
      </c>
      <c r="B58" s="217">
        <f t="shared" si="15"/>
        <v>20000</v>
      </c>
      <c r="C58" s="774">
        <v>20000</v>
      </c>
      <c r="D58" s="774"/>
      <c r="E58" s="774">
        <v>20000</v>
      </c>
      <c r="F58" s="774"/>
      <c r="G58" s="774"/>
      <c r="H58" s="774"/>
      <c r="I58" s="774"/>
      <c r="J58" s="774"/>
      <c r="K58" s="774"/>
      <c r="L58" s="774"/>
      <c r="M58" s="774"/>
      <c r="N58" s="774"/>
      <c r="O58" s="774"/>
      <c r="P58" s="774"/>
      <c r="Q58" s="774"/>
      <c r="R58" s="368">
        <f t="shared" si="16"/>
        <v>20000</v>
      </c>
      <c r="S58" s="1209"/>
      <c r="T58" s="1209"/>
      <c r="U58" s="1208"/>
    </row>
    <row r="59" spans="1:21" s="84" customFormat="1">
      <c r="A59" s="171" t="s">
        <v>1685</v>
      </c>
      <c r="B59" s="217">
        <f t="shared" si="15"/>
        <v>0</v>
      </c>
      <c r="C59" s="774"/>
      <c r="D59" s="774"/>
      <c r="E59" s="774"/>
      <c r="F59" s="774"/>
      <c r="G59" s="774"/>
      <c r="H59" s="774"/>
      <c r="I59" s="774"/>
      <c r="J59" s="774"/>
      <c r="K59" s="774"/>
      <c r="L59" s="774"/>
      <c r="M59" s="774"/>
      <c r="N59" s="774"/>
      <c r="O59" s="774"/>
      <c r="P59" s="774"/>
      <c r="Q59" s="774"/>
      <c r="R59" s="368">
        <f t="shared" si="16"/>
        <v>0</v>
      </c>
      <c r="S59" s="1209"/>
      <c r="T59" s="1209"/>
      <c r="U59" s="1208"/>
    </row>
    <row r="60" spans="1:21" s="84" customFormat="1">
      <c r="A60" s="171" t="s">
        <v>1452</v>
      </c>
      <c r="B60" s="217">
        <f t="shared" si="15"/>
        <v>0</v>
      </c>
      <c r="C60" s="774"/>
      <c r="D60" s="774"/>
      <c r="E60" s="774"/>
      <c r="F60" s="774"/>
      <c r="G60" s="774"/>
      <c r="H60" s="774"/>
      <c r="I60" s="774"/>
      <c r="J60" s="774"/>
      <c r="K60" s="774"/>
      <c r="L60" s="774"/>
      <c r="M60" s="774"/>
      <c r="N60" s="774"/>
      <c r="O60" s="774"/>
      <c r="P60" s="774"/>
      <c r="Q60" s="774"/>
      <c r="R60" s="368">
        <f t="shared" si="16"/>
        <v>0</v>
      </c>
      <c r="S60" s="1209"/>
      <c r="T60" s="1209"/>
      <c r="U60" s="1208"/>
    </row>
    <row r="61" spans="1:21" s="84" customFormat="1">
      <c r="A61" s="925" t="s">
        <v>2786</v>
      </c>
      <c r="B61" s="217">
        <f t="shared" si="15"/>
        <v>60000</v>
      </c>
      <c r="C61" s="774">
        <v>60000</v>
      </c>
      <c r="D61" s="774"/>
      <c r="E61" s="774">
        <f>C61</f>
        <v>60000</v>
      </c>
      <c r="F61" s="774"/>
      <c r="G61" s="774"/>
      <c r="H61" s="774"/>
      <c r="I61" s="774"/>
      <c r="J61" s="774"/>
      <c r="K61" s="774"/>
      <c r="L61" s="774"/>
      <c r="M61" s="774"/>
      <c r="N61" s="774"/>
      <c r="O61" s="774"/>
      <c r="P61" s="774"/>
      <c r="Q61" s="774"/>
      <c r="R61" s="368">
        <f t="shared" si="16"/>
        <v>60000</v>
      </c>
      <c r="S61" s="1209"/>
      <c r="T61" s="1209"/>
      <c r="U61" s="1208"/>
    </row>
    <row r="62" spans="1:21" s="84" customFormat="1" ht="13.9" customHeight="1">
      <c r="A62" s="85" t="s">
        <v>1688</v>
      </c>
      <c r="B62" s="217">
        <f>SUM(C62:D62)</f>
        <v>403970</v>
      </c>
      <c r="C62" s="217">
        <f t="shared" ref="C62:R62" si="17">SUM(C56:C61)</f>
        <v>403970</v>
      </c>
      <c r="D62" s="217">
        <f t="shared" si="17"/>
        <v>0</v>
      </c>
      <c r="E62" s="217">
        <f t="shared" si="17"/>
        <v>80000</v>
      </c>
      <c r="F62" s="217">
        <f t="shared" si="17"/>
        <v>323970</v>
      </c>
      <c r="G62" s="217">
        <f t="shared" si="17"/>
        <v>0</v>
      </c>
      <c r="H62" s="217">
        <f t="shared" si="17"/>
        <v>0</v>
      </c>
      <c r="I62" s="217">
        <f t="shared" si="17"/>
        <v>0</v>
      </c>
      <c r="J62" s="217">
        <f t="shared" si="17"/>
        <v>0</v>
      </c>
      <c r="K62" s="217">
        <f t="shared" si="17"/>
        <v>0</v>
      </c>
      <c r="L62" s="217">
        <f t="shared" si="17"/>
        <v>0</v>
      </c>
      <c r="M62" s="217">
        <f t="shared" si="17"/>
        <v>0</v>
      </c>
      <c r="N62" s="217">
        <f t="shared" si="17"/>
        <v>0</v>
      </c>
      <c r="O62" s="217">
        <f t="shared" si="17"/>
        <v>0</v>
      </c>
      <c r="P62" s="217">
        <f t="shared" si="17"/>
        <v>0</v>
      </c>
      <c r="Q62" s="217">
        <f t="shared" si="17"/>
        <v>0</v>
      </c>
      <c r="R62" s="217">
        <f t="shared" si="17"/>
        <v>403970</v>
      </c>
      <c r="S62" s="1209"/>
      <c r="T62" s="1209"/>
      <c r="U62" s="1208"/>
    </row>
    <row r="63" spans="1:21" s="84" customFormat="1">
      <c r="A63" s="89" t="s">
        <v>1689</v>
      </c>
      <c r="B63" s="217">
        <f t="shared" ref="B63:R63" si="18">SUM(B8+B11+B13+B14+B15+B26+B27+B38+B42+B43+B54+B62)</f>
        <v>90052015</v>
      </c>
      <c r="C63" s="217">
        <f t="shared" si="18"/>
        <v>90052015</v>
      </c>
      <c r="D63" s="217">
        <f t="shared" si="18"/>
        <v>0</v>
      </c>
      <c r="E63" s="217">
        <f t="shared" si="18"/>
        <v>39159786</v>
      </c>
      <c r="F63" s="217">
        <f t="shared" si="18"/>
        <v>21598000</v>
      </c>
      <c r="G63" s="217">
        <f t="shared" si="18"/>
        <v>6000000</v>
      </c>
      <c r="H63" s="217">
        <f t="shared" si="18"/>
        <v>5000000</v>
      </c>
      <c r="I63" s="217">
        <f t="shared" si="18"/>
        <v>1294129</v>
      </c>
      <c r="J63" s="217">
        <f t="shared" si="18"/>
        <v>17000000</v>
      </c>
      <c r="K63" s="217">
        <f t="shared" si="18"/>
        <v>0</v>
      </c>
      <c r="L63" s="217">
        <f t="shared" si="18"/>
        <v>100</v>
      </c>
      <c r="M63" s="217">
        <f t="shared" si="18"/>
        <v>0</v>
      </c>
      <c r="N63" s="217">
        <f t="shared" si="18"/>
        <v>0</v>
      </c>
      <c r="O63" s="217">
        <f t="shared" si="18"/>
        <v>0</v>
      </c>
      <c r="P63" s="217">
        <f t="shared" si="18"/>
        <v>0</v>
      </c>
      <c r="Q63" s="217">
        <f t="shared" si="18"/>
        <v>0</v>
      </c>
      <c r="R63" s="217">
        <f t="shared" si="18"/>
        <v>90052015</v>
      </c>
      <c r="S63" s="217">
        <f>SUM(S10+S13+S14+S15+S26+S27+S38+S42+S43+S54)</f>
        <v>77497898</v>
      </c>
      <c r="T63" s="217">
        <f>SUM(T11+T13+T14+T15+T26+T27+T38+T42+T43+T54)</f>
        <v>0</v>
      </c>
      <c r="U63" s="1208"/>
    </row>
    <row r="64" spans="1:21" s="84" customFormat="1" ht="24">
      <c r="A64" s="83" t="s">
        <v>1690</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1691</v>
      </c>
      <c r="B65" s="217">
        <f>SUM(C65+D65)</f>
        <v>275000</v>
      </c>
      <c r="C65" s="774">
        <v>275000</v>
      </c>
      <c r="D65" s="774"/>
      <c r="E65" s="774">
        <f>C65</f>
        <v>275000</v>
      </c>
      <c r="F65" s="774"/>
      <c r="G65" s="774"/>
      <c r="H65" s="774"/>
      <c r="I65" s="774"/>
      <c r="J65" s="774"/>
      <c r="K65" s="774"/>
      <c r="L65" s="774"/>
      <c r="M65" s="774"/>
      <c r="N65" s="774"/>
      <c r="O65" s="774"/>
      <c r="P65" s="774"/>
      <c r="Q65" s="774"/>
      <c r="R65" s="368">
        <f>SUM(E65:Q65)</f>
        <v>275000</v>
      </c>
      <c r="S65" s="774">
        <f>C65</f>
        <v>275000</v>
      </c>
      <c r="T65" s="774"/>
      <c r="U65" s="1208"/>
    </row>
    <row r="66" spans="1:21" s="84" customFormat="1" ht="24" customHeight="1">
      <c r="A66" s="171" t="s">
        <v>1692</v>
      </c>
      <c r="B66" s="217">
        <f>SUM(C66+D66)</f>
        <v>0</v>
      </c>
      <c r="C66" s="774"/>
      <c r="D66" s="774"/>
      <c r="E66" s="774">
        <f>C66</f>
        <v>0</v>
      </c>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1693</v>
      </c>
      <c r="B67" s="217">
        <f>SUM(C67+D67)</f>
        <v>0</v>
      </c>
      <c r="C67" s="774"/>
      <c r="D67" s="774"/>
      <c r="E67" s="774"/>
      <c r="F67" s="774"/>
      <c r="G67" s="774"/>
      <c r="H67" s="774"/>
      <c r="I67" s="774"/>
      <c r="J67" s="774"/>
      <c r="K67" s="774"/>
      <c r="L67" s="774"/>
      <c r="M67" s="774"/>
      <c r="N67" s="774"/>
      <c r="O67" s="774"/>
      <c r="P67" s="774"/>
      <c r="Q67" s="774"/>
      <c r="R67" s="368">
        <f>SUM(E67:Q67)</f>
        <v>0</v>
      </c>
      <c r="S67" s="774"/>
      <c r="T67" s="774"/>
      <c r="U67" s="1208"/>
    </row>
    <row r="68" spans="1:21" s="84" customFormat="1" ht="12" customHeight="1">
      <c r="A68" s="171" t="s">
        <v>1694</v>
      </c>
      <c r="B68" s="217">
        <f>SUM(C68+D68)</f>
        <v>0</v>
      </c>
      <c r="C68" s="774"/>
      <c r="D68" s="774"/>
      <c r="E68" s="774"/>
      <c r="F68" s="774"/>
      <c r="G68" s="774"/>
      <c r="H68" s="774"/>
      <c r="I68" s="774"/>
      <c r="J68" s="774"/>
      <c r="K68" s="774"/>
      <c r="L68" s="774"/>
      <c r="M68" s="774"/>
      <c r="N68" s="774"/>
      <c r="O68" s="774"/>
      <c r="P68" s="774"/>
      <c r="Q68" s="774"/>
      <c r="R68" s="368">
        <f>SUM(E68:Q68)</f>
        <v>0</v>
      </c>
      <c r="S68" s="774"/>
      <c r="T68" s="774"/>
      <c r="U68" s="1208"/>
    </row>
    <row r="69" spans="1:21" s="84" customFormat="1">
      <c r="A69" s="925" t="s">
        <v>1668</v>
      </c>
      <c r="B69" s="217">
        <f>SUM(C69+D69)</f>
        <v>0</v>
      </c>
      <c r="C69" s="774"/>
      <c r="D69" s="774"/>
      <c r="E69" s="774"/>
      <c r="F69" s="774"/>
      <c r="G69" s="774"/>
      <c r="H69" s="774"/>
      <c r="I69" s="774"/>
      <c r="J69" s="774"/>
      <c r="K69" s="774"/>
      <c r="L69" s="774"/>
      <c r="M69" s="774"/>
      <c r="N69" s="774"/>
      <c r="O69" s="774"/>
      <c r="P69" s="774"/>
      <c r="Q69" s="774"/>
      <c r="R69" s="368">
        <f>SUM(E69:Q69)</f>
        <v>0</v>
      </c>
      <c r="S69" s="774"/>
      <c r="T69" s="774"/>
      <c r="U69" s="1208"/>
    </row>
    <row r="70" spans="1:21" s="84" customFormat="1">
      <c r="A70" s="85" t="s">
        <v>1695</v>
      </c>
      <c r="B70" s="217">
        <f>SUM(C70:D70)</f>
        <v>275000</v>
      </c>
      <c r="C70" s="217">
        <f>SUM(C65:C69)</f>
        <v>275000</v>
      </c>
      <c r="D70" s="217">
        <f>SUM(D65:D69)</f>
        <v>0</v>
      </c>
      <c r="E70" s="217">
        <f t="shared" ref="E70:T70" si="19">SUM(E65:E69)</f>
        <v>275000</v>
      </c>
      <c r="F70" s="217">
        <f t="shared" si="19"/>
        <v>0</v>
      </c>
      <c r="G70" s="217">
        <f t="shared" si="19"/>
        <v>0</v>
      </c>
      <c r="H70" s="217">
        <f t="shared" si="19"/>
        <v>0</v>
      </c>
      <c r="I70" s="217">
        <f t="shared" si="19"/>
        <v>0</v>
      </c>
      <c r="J70" s="217">
        <f t="shared" si="19"/>
        <v>0</v>
      </c>
      <c r="K70" s="217">
        <f t="shared" si="19"/>
        <v>0</v>
      </c>
      <c r="L70" s="217">
        <f t="shared" si="19"/>
        <v>0</v>
      </c>
      <c r="M70" s="217">
        <f t="shared" si="19"/>
        <v>0</v>
      </c>
      <c r="N70" s="217">
        <f t="shared" si="19"/>
        <v>0</v>
      </c>
      <c r="O70" s="217">
        <f t="shared" si="19"/>
        <v>0</v>
      </c>
      <c r="P70" s="217">
        <f t="shared" si="19"/>
        <v>0</v>
      </c>
      <c r="Q70" s="217">
        <f t="shared" si="19"/>
        <v>0</v>
      </c>
      <c r="R70" s="217">
        <f t="shared" si="19"/>
        <v>275000</v>
      </c>
      <c r="S70" s="86">
        <f t="shared" si="19"/>
        <v>275000</v>
      </c>
      <c r="T70" s="86">
        <f t="shared" si="19"/>
        <v>0</v>
      </c>
      <c r="U70" s="1208"/>
    </row>
    <row r="71" spans="1:21" s="84" customFormat="1">
      <c r="A71" s="83" t="s">
        <v>1696</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1697</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c r="A73" s="171" t="s">
        <v>1698</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1699</v>
      </c>
      <c r="B74" s="217">
        <f>SUM(C74+D74)</f>
        <v>0</v>
      </c>
      <c r="C74" s="774"/>
      <c r="D74" s="774"/>
      <c r="E74" s="774"/>
      <c r="F74" s="774"/>
      <c r="G74" s="774"/>
      <c r="H74" s="774"/>
      <c r="I74" s="774"/>
      <c r="J74" s="774"/>
      <c r="K74" s="774"/>
      <c r="L74" s="774"/>
      <c r="M74" s="774"/>
      <c r="N74" s="774"/>
      <c r="O74" s="774"/>
      <c r="P74" s="774"/>
      <c r="Q74" s="774"/>
      <c r="R74" s="368">
        <f>SUM(E74:Q74)</f>
        <v>0</v>
      </c>
      <c r="S74" s="1209"/>
      <c r="T74" s="1209"/>
      <c r="U74" s="1208"/>
    </row>
    <row r="75" spans="1:21" s="84" customFormat="1">
      <c r="A75" s="171" t="s">
        <v>1700</v>
      </c>
      <c r="B75" s="217">
        <f>SUM(C75+D75)</f>
        <v>982098</v>
      </c>
      <c r="C75" s="774">
        <v>982098</v>
      </c>
      <c r="D75" s="774"/>
      <c r="E75" s="774">
        <f>C75</f>
        <v>982098</v>
      </c>
      <c r="F75" s="774"/>
      <c r="G75" s="774"/>
      <c r="H75" s="774"/>
      <c r="I75" s="774"/>
      <c r="J75" s="774"/>
      <c r="K75" s="774"/>
      <c r="L75" s="774"/>
      <c r="M75" s="774"/>
      <c r="N75" s="774"/>
      <c r="O75" s="774"/>
      <c r="P75" s="774"/>
      <c r="Q75" s="774"/>
      <c r="R75" s="368">
        <f>SUM(E75:Q75)</f>
        <v>982098</v>
      </c>
      <c r="S75" s="1209"/>
      <c r="T75" s="1209"/>
      <c r="U75" s="1208"/>
    </row>
    <row r="76" spans="1:21" s="84" customFormat="1">
      <c r="A76" s="925" t="s">
        <v>2809</v>
      </c>
      <c r="B76" s="217">
        <f>SUM(C76+D76)</f>
        <v>175770</v>
      </c>
      <c r="C76" s="774">
        <v>175770</v>
      </c>
      <c r="D76" s="774"/>
      <c r="E76" s="774">
        <f>C76</f>
        <v>175770</v>
      </c>
      <c r="F76" s="774"/>
      <c r="G76" s="774"/>
      <c r="H76" s="774"/>
      <c r="I76" s="774"/>
      <c r="J76" s="774"/>
      <c r="K76" s="774"/>
      <c r="L76" s="774"/>
      <c r="M76" s="774"/>
      <c r="N76" s="774"/>
      <c r="O76" s="774"/>
      <c r="P76" s="774"/>
      <c r="Q76" s="774"/>
      <c r="R76" s="368">
        <f>SUM(E76:Q76)</f>
        <v>175770</v>
      </c>
      <c r="S76" s="1209"/>
      <c r="T76" s="1209"/>
      <c r="U76" s="1208"/>
    </row>
    <row r="77" spans="1:21" s="84" customFormat="1">
      <c r="A77" s="85" t="s">
        <v>1701</v>
      </c>
      <c r="B77" s="217">
        <f>SUM(C77:D77)</f>
        <v>1157868</v>
      </c>
      <c r="C77" s="217">
        <f>SUM(C72:C76)</f>
        <v>1157868</v>
      </c>
      <c r="D77" s="217">
        <f>SUM(D72:D76)</f>
        <v>0</v>
      </c>
      <c r="E77" s="217">
        <f t="shared" ref="E77:Q77" si="20">SUM(E72:E76)</f>
        <v>1157868</v>
      </c>
      <c r="F77" s="217">
        <f t="shared" si="20"/>
        <v>0</v>
      </c>
      <c r="G77" s="217">
        <f t="shared" si="20"/>
        <v>0</v>
      </c>
      <c r="H77" s="217">
        <f t="shared" si="20"/>
        <v>0</v>
      </c>
      <c r="I77" s="217">
        <f t="shared" si="20"/>
        <v>0</v>
      </c>
      <c r="J77" s="217">
        <f t="shared" si="20"/>
        <v>0</v>
      </c>
      <c r="K77" s="217">
        <f t="shared" si="20"/>
        <v>0</v>
      </c>
      <c r="L77" s="217">
        <f t="shared" si="20"/>
        <v>0</v>
      </c>
      <c r="M77" s="217">
        <f t="shared" si="20"/>
        <v>0</v>
      </c>
      <c r="N77" s="217">
        <f t="shared" si="20"/>
        <v>0</v>
      </c>
      <c r="O77" s="217">
        <f t="shared" si="20"/>
        <v>0</v>
      </c>
      <c r="P77" s="217">
        <f t="shared" si="20"/>
        <v>0</v>
      </c>
      <c r="Q77" s="217">
        <f t="shared" si="20"/>
        <v>0</v>
      </c>
      <c r="R77" s="217">
        <f>SUM(R72:R76)</f>
        <v>1157868</v>
      </c>
      <c r="S77" s="1209"/>
      <c r="T77" s="1209"/>
      <c r="U77" s="1208"/>
    </row>
    <row r="78" spans="1:21" s="84" customFormat="1">
      <c r="A78" s="83" t="s">
        <v>1702</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1703</v>
      </c>
      <c r="B79" s="217">
        <f>SUM(C79:D79)</f>
        <v>4709773</v>
      </c>
      <c r="C79" s="774">
        <v>4709773</v>
      </c>
      <c r="D79" s="774"/>
      <c r="E79" s="774">
        <f>C79</f>
        <v>4709773</v>
      </c>
      <c r="F79" s="774"/>
      <c r="G79" s="774"/>
      <c r="H79" s="774"/>
      <c r="I79" s="774"/>
      <c r="J79" s="774"/>
      <c r="K79" s="774"/>
      <c r="L79" s="774"/>
      <c r="M79" s="774"/>
      <c r="N79" s="774"/>
      <c r="O79" s="774"/>
      <c r="P79" s="774"/>
      <c r="Q79" s="774"/>
      <c r="R79" s="368">
        <f>SUM(E79:Q79)</f>
        <v>4709773</v>
      </c>
      <c r="S79" s="774">
        <f>C79</f>
        <v>4709773</v>
      </c>
      <c r="T79" s="774"/>
      <c r="U79" s="1208"/>
    </row>
    <row r="80" spans="1:21" s="84" customFormat="1">
      <c r="A80" s="171" t="s">
        <v>1704</v>
      </c>
      <c r="B80" s="217">
        <f>SUM(C80:D80)</f>
        <v>544327</v>
      </c>
      <c r="C80" s="774">
        <f>664327-120000</f>
        <v>544327</v>
      </c>
      <c r="D80" s="774"/>
      <c r="E80" s="774">
        <f>C80</f>
        <v>544327</v>
      </c>
      <c r="F80" s="774"/>
      <c r="G80" s="774"/>
      <c r="H80" s="774"/>
      <c r="I80" s="774"/>
      <c r="J80" s="774"/>
      <c r="K80" s="774"/>
      <c r="L80" s="774"/>
      <c r="M80" s="774"/>
      <c r="N80" s="774"/>
      <c r="O80" s="774"/>
      <c r="P80" s="774"/>
      <c r="Q80" s="774"/>
      <c r="R80" s="368">
        <f>SUM(E80:Q80)</f>
        <v>544327</v>
      </c>
      <c r="S80" s="774">
        <f>C80</f>
        <v>544327</v>
      </c>
      <c r="T80" s="774"/>
      <c r="U80" s="1208"/>
    </row>
    <row r="81" spans="1:21" s="84" customFormat="1">
      <c r="A81" s="85" t="s">
        <v>1705</v>
      </c>
      <c r="B81" s="217">
        <f>SUM(C81:D81)</f>
        <v>5254100</v>
      </c>
      <c r="C81" s="1215">
        <f>SUM(C79:C80)</f>
        <v>5254100</v>
      </c>
      <c r="D81" s="1215">
        <f t="shared" ref="D81:T81" si="21">SUM(D79:D80)</f>
        <v>0</v>
      </c>
      <c r="E81" s="1215">
        <f t="shared" si="21"/>
        <v>5254100</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5254100</v>
      </c>
      <c r="S81" s="1215">
        <f t="shared" si="21"/>
        <v>5254100</v>
      </c>
      <c r="T81" s="1215">
        <f t="shared" si="21"/>
        <v>0</v>
      </c>
      <c r="U81" s="1208"/>
    </row>
    <row r="82" spans="1:21" s="84" customFormat="1">
      <c r="A82" s="83" t="s">
        <v>1706</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9" customHeight="1">
      <c r="A83" s="171" t="s">
        <v>1707</v>
      </c>
      <c r="B83" s="217">
        <f t="shared" ref="B83:B95" si="22">SUM(C83+D83)</f>
        <v>159433</v>
      </c>
      <c r="C83" s="774">
        <v>159433</v>
      </c>
      <c r="D83" s="774"/>
      <c r="E83" s="774">
        <f>C83</f>
        <v>159433</v>
      </c>
      <c r="F83" s="774"/>
      <c r="G83" s="774"/>
      <c r="H83" s="774"/>
      <c r="I83" s="774"/>
      <c r="J83" s="774"/>
      <c r="K83" s="774"/>
      <c r="L83" s="774"/>
      <c r="M83" s="774"/>
      <c r="N83" s="774"/>
      <c r="O83" s="774"/>
      <c r="P83" s="774"/>
      <c r="Q83" s="774"/>
      <c r="R83" s="368">
        <f t="shared" ref="R83:R95" si="23">SUM(E83:Q83)</f>
        <v>159433</v>
      </c>
      <c r="S83" s="1209"/>
      <c r="T83" s="1209"/>
      <c r="U83" s="1208"/>
    </row>
    <row r="84" spans="1:21" s="84" customFormat="1">
      <c r="A84" s="171" t="s">
        <v>1708</v>
      </c>
      <c r="B84" s="217">
        <f t="shared" si="22"/>
        <v>9000</v>
      </c>
      <c r="C84" s="774">
        <v>9000</v>
      </c>
      <c r="D84" s="774"/>
      <c r="E84" s="774">
        <v>9000</v>
      </c>
      <c r="F84" s="774"/>
      <c r="G84" s="774"/>
      <c r="H84" s="774"/>
      <c r="I84" s="774"/>
      <c r="J84" s="774"/>
      <c r="K84" s="774"/>
      <c r="L84" s="774"/>
      <c r="M84" s="774"/>
      <c r="N84" s="774"/>
      <c r="O84" s="774"/>
      <c r="P84" s="774"/>
      <c r="Q84" s="774"/>
      <c r="R84" s="368">
        <f t="shared" si="23"/>
        <v>9000</v>
      </c>
      <c r="S84" s="774">
        <f>C84</f>
        <v>9000</v>
      </c>
      <c r="T84" s="774"/>
      <c r="U84" s="1208"/>
    </row>
    <row r="85" spans="1:21" s="84" customFormat="1">
      <c r="A85" s="171" t="s">
        <v>1709</v>
      </c>
      <c r="B85" s="217">
        <f t="shared" si="22"/>
        <v>1856297</v>
      </c>
      <c r="C85" s="774">
        <v>1856297</v>
      </c>
      <c r="D85" s="774"/>
      <c r="E85" s="774">
        <v>999072</v>
      </c>
      <c r="F85" s="774"/>
      <c r="G85" s="774"/>
      <c r="H85" s="774"/>
      <c r="I85" s="774"/>
      <c r="J85" s="774"/>
      <c r="K85" s="774"/>
      <c r="L85" s="774"/>
      <c r="M85" s="774">
        <f>Application!AO642</f>
        <v>857225</v>
      </c>
      <c r="N85" s="774"/>
      <c r="O85" s="774"/>
      <c r="P85" s="774"/>
      <c r="Q85" s="774"/>
      <c r="R85" s="368">
        <f t="shared" si="23"/>
        <v>1856297</v>
      </c>
      <c r="S85" s="774">
        <f>999072</f>
        <v>999072</v>
      </c>
      <c r="T85" s="774"/>
      <c r="U85" s="1208"/>
    </row>
    <row r="86" spans="1:21" s="84" customFormat="1">
      <c r="A86" s="171" t="s">
        <v>1710</v>
      </c>
      <c r="B86" s="217">
        <f t="shared" si="22"/>
        <v>355000</v>
      </c>
      <c r="C86" s="774">
        <f>950000-18000-252000-400000+120000+205-50205+5000</f>
        <v>355000</v>
      </c>
      <c r="D86" s="774"/>
      <c r="E86" s="774">
        <f>C86</f>
        <v>355000</v>
      </c>
      <c r="F86" s="774"/>
      <c r="G86" s="774"/>
      <c r="H86" s="774"/>
      <c r="I86" s="774"/>
      <c r="J86" s="774"/>
      <c r="K86" s="774"/>
      <c r="L86" s="774"/>
      <c r="M86" s="774"/>
      <c r="N86" s="774"/>
      <c r="O86" s="774"/>
      <c r="P86" s="774"/>
      <c r="Q86" s="774"/>
      <c r="R86" s="368">
        <f t="shared" si="23"/>
        <v>355000</v>
      </c>
      <c r="S86" s="774">
        <f>C86</f>
        <v>355000</v>
      </c>
      <c r="T86" s="774"/>
      <c r="U86" s="1208"/>
    </row>
    <row r="87" spans="1:21" s="84" customFormat="1">
      <c r="A87" s="171" t="s">
        <v>1711</v>
      </c>
      <c r="B87" s="217">
        <f t="shared" si="22"/>
        <v>0</v>
      </c>
      <c r="C87" s="774"/>
      <c r="D87" s="774"/>
      <c r="E87" s="774">
        <v>0</v>
      </c>
      <c r="F87" s="774"/>
      <c r="G87" s="774"/>
      <c r="H87" s="774"/>
      <c r="I87" s="774"/>
      <c r="J87" s="774"/>
      <c r="K87" s="774"/>
      <c r="L87" s="774"/>
      <c r="M87" s="774"/>
      <c r="N87" s="774"/>
      <c r="O87" s="774"/>
      <c r="P87" s="774"/>
      <c r="Q87" s="774"/>
      <c r="R87" s="368">
        <f t="shared" si="23"/>
        <v>0</v>
      </c>
      <c r="S87" s="774"/>
      <c r="T87" s="774"/>
      <c r="U87" s="1208"/>
    </row>
    <row r="88" spans="1:21" s="84" customFormat="1">
      <c r="A88" s="171" t="s">
        <v>1712</v>
      </c>
      <c r="B88" s="217">
        <f t="shared" si="22"/>
        <v>100525</v>
      </c>
      <c r="C88" s="774">
        <v>100525</v>
      </c>
      <c r="D88" s="774"/>
      <c r="E88" s="774">
        <f>C88</f>
        <v>100525</v>
      </c>
      <c r="F88" s="774"/>
      <c r="G88" s="774"/>
      <c r="H88" s="774"/>
      <c r="I88" s="774"/>
      <c r="J88" s="774"/>
      <c r="K88" s="774"/>
      <c r="L88" s="774"/>
      <c r="M88" s="774"/>
      <c r="N88" s="774"/>
      <c r="O88" s="774"/>
      <c r="P88" s="774"/>
      <c r="Q88" s="774"/>
      <c r="R88" s="368">
        <f t="shared" si="23"/>
        <v>100525</v>
      </c>
      <c r="S88" s="1209"/>
      <c r="T88" s="1209"/>
      <c r="U88" s="1208"/>
    </row>
    <row r="89" spans="1:21" s="84" customFormat="1">
      <c r="A89" s="171" t="s">
        <v>1713</v>
      </c>
      <c r="B89" s="217">
        <f t="shared" si="22"/>
        <v>229500</v>
      </c>
      <c r="C89" s="774">
        <f>1500*153</f>
        <v>229500</v>
      </c>
      <c r="D89" s="774"/>
      <c r="E89" s="774">
        <f>C89</f>
        <v>229500</v>
      </c>
      <c r="F89" s="774"/>
      <c r="G89" s="774"/>
      <c r="H89" s="774"/>
      <c r="I89" s="774"/>
      <c r="J89" s="774"/>
      <c r="K89" s="774"/>
      <c r="L89" s="774"/>
      <c r="M89" s="774"/>
      <c r="N89" s="774"/>
      <c r="O89" s="774"/>
      <c r="P89" s="774"/>
      <c r="Q89" s="774"/>
      <c r="R89" s="368">
        <f t="shared" si="23"/>
        <v>229500</v>
      </c>
      <c r="S89" s="774">
        <f>C89</f>
        <v>229500</v>
      </c>
      <c r="T89" s="774"/>
      <c r="U89" s="1208"/>
    </row>
    <row r="90" spans="1:21" s="84" customFormat="1">
      <c r="A90" s="171" t="s">
        <v>1714</v>
      </c>
      <c r="B90" s="217">
        <f t="shared" si="22"/>
        <v>21402</v>
      </c>
      <c r="C90" s="774">
        <f>3403+18000-1</f>
        <v>21402</v>
      </c>
      <c r="D90" s="774"/>
      <c r="E90" s="774">
        <f>C90</f>
        <v>21402</v>
      </c>
      <c r="F90" s="774"/>
      <c r="G90" s="774"/>
      <c r="H90" s="774"/>
      <c r="I90" s="774"/>
      <c r="J90" s="774"/>
      <c r="K90" s="774"/>
      <c r="L90" s="774"/>
      <c r="M90" s="774"/>
      <c r="N90" s="774"/>
      <c r="O90" s="774"/>
      <c r="P90" s="774"/>
      <c r="Q90" s="774"/>
      <c r="R90" s="368">
        <f t="shared" si="23"/>
        <v>21402</v>
      </c>
      <c r="S90" s="774"/>
      <c r="T90" s="774"/>
      <c r="U90" s="1208"/>
    </row>
    <row r="91" spans="1:21" s="84" customFormat="1">
      <c r="A91" s="171" t="s">
        <v>1715</v>
      </c>
      <c r="B91" s="217">
        <f t="shared" si="22"/>
        <v>0</v>
      </c>
      <c r="C91" s="774"/>
      <c r="D91" s="774"/>
      <c r="E91" s="774"/>
      <c r="F91" s="774"/>
      <c r="G91" s="774"/>
      <c r="H91" s="774"/>
      <c r="I91" s="774"/>
      <c r="J91" s="774"/>
      <c r="K91" s="774"/>
      <c r="L91" s="774"/>
      <c r="M91" s="774"/>
      <c r="N91" s="774"/>
      <c r="O91" s="774"/>
      <c r="P91" s="774"/>
      <c r="Q91" s="774"/>
      <c r="R91" s="368">
        <f t="shared" si="23"/>
        <v>0</v>
      </c>
      <c r="S91" s="774"/>
      <c r="T91" s="774"/>
      <c r="U91" s="1208"/>
    </row>
    <row r="92" spans="1:21" s="84" customFormat="1">
      <c r="A92" s="171" t="s">
        <v>1716</v>
      </c>
      <c r="B92" s="217">
        <f t="shared" si="22"/>
        <v>8700</v>
      </c>
      <c r="C92" s="774">
        <v>8700</v>
      </c>
      <c r="D92" s="774"/>
      <c r="E92" s="774">
        <v>8700</v>
      </c>
      <c r="F92" s="774"/>
      <c r="G92" s="774"/>
      <c r="H92" s="774"/>
      <c r="I92" s="774"/>
      <c r="J92" s="774"/>
      <c r="K92" s="774"/>
      <c r="L92" s="774"/>
      <c r="M92" s="774"/>
      <c r="N92" s="774"/>
      <c r="O92" s="774"/>
      <c r="P92" s="774"/>
      <c r="Q92" s="774"/>
      <c r="R92" s="368">
        <f t="shared" si="23"/>
        <v>8700</v>
      </c>
      <c r="S92" s="774">
        <v>8700</v>
      </c>
      <c r="T92" s="774"/>
      <c r="U92" s="1208"/>
    </row>
    <row r="93" spans="1:21" s="84" customFormat="1">
      <c r="A93" s="925" t="s">
        <v>2803</v>
      </c>
      <c r="B93" s="217">
        <f t="shared" si="22"/>
        <v>400000</v>
      </c>
      <c r="C93" s="774">
        <v>400000</v>
      </c>
      <c r="D93" s="774"/>
      <c r="E93" s="774">
        <f>C93</f>
        <v>400000</v>
      </c>
      <c r="F93" s="774"/>
      <c r="G93" s="774"/>
      <c r="H93" s="774"/>
      <c r="I93" s="774"/>
      <c r="J93" s="774"/>
      <c r="K93" s="774"/>
      <c r="L93" s="774"/>
      <c r="M93" s="774"/>
      <c r="N93" s="774"/>
      <c r="O93" s="774"/>
      <c r="P93" s="774"/>
      <c r="Q93" s="774"/>
      <c r="R93" s="368">
        <f t="shared" si="23"/>
        <v>400000</v>
      </c>
      <c r="S93" s="774">
        <f>C93</f>
        <v>400000</v>
      </c>
      <c r="T93" s="774"/>
      <c r="U93" s="1208"/>
    </row>
    <row r="94" spans="1:21" s="84" customFormat="1">
      <c r="A94" s="925" t="s">
        <v>1668</v>
      </c>
      <c r="B94" s="217">
        <f t="shared" si="22"/>
        <v>0</v>
      </c>
      <c r="C94" s="774"/>
      <c r="D94" s="774"/>
      <c r="E94" s="774"/>
      <c r="F94" s="774"/>
      <c r="G94" s="774"/>
      <c r="H94" s="774"/>
      <c r="I94" s="774"/>
      <c r="J94" s="774"/>
      <c r="K94" s="774"/>
      <c r="L94" s="774"/>
      <c r="M94" s="774"/>
      <c r="N94" s="774"/>
      <c r="O94" s="774"/>
      <c r="P94" s="774"/>
      <c r="Q94" s="774"/>
      <c r="R94" s="368">
        <f t="shared" si="23"/>
        <v>0</v>
      </c>
      <c r="S94" s="774"/>
      <c r="T94" s="774"/>
      <c r="U94" s="1208"/>
    </row>
    <row r="95" spans="1:21" s="84" customFormat="1">
      <c r="A95" s="925" t="s">
        <v>1668</v>
      </c>
      <c r="B95" s="217">
        <f t="shared" si="22"/>
        <v>0</v>
      </c>
      <c r="C95" s="774"/>
      <c r="D95" s="774"/>
      <c r="E95" s="774"/>
      <c r="F95" s="774"/>
      <c r="G95" s="774"/>
      <c r="H95" s="774"/>
      <c r="I95" s="774"/>
      <c r="J95" s="774"/>
      <c r="K95" s="774"/>
      <c r="L95" s="774"/>
      <c r="M95" s="774"/>
      <c r="N95" s="774"/>
      <c r="O95" s="774"/>
      <c r="P95" s="774"/>
      <c r="Q95" s="774"/>
      <c r="R95" s="368">
        <f t="shared" si="23"/>
        <v>0</v>
      </c>
      <c r="S95" s="774"/>
      <c r="T95" s="774"/>
      <c r="U95" s="1208"/>
    </row>
    <row r="96" spans="1:21" s="84" customFormat="1">
      <c r="A96" s="85" t="s">
        <v>1717</v>
      </c>
      <c r="B96" s="217">
        <f>SUM(C96:D96)</f>
        <v>3139857</v>
      </c>
      <c r="C96" s="217">
        <f t="shared" ref="C96:R96" si="24">SUM(C83:C95)</f>
        <v>3139857</v>
      </c>
      <c r="D96" s="217">
        <f t="shared" si="24"/>
        <v>0</v>
      </c>
      <c r="E96" s="217">
        <f t="shared" si="24"/>
        <v>2282632</v>
      </c>
      <c r="F96" s="217">
        <f t="shared" si="24"/>
        <v>0</v>
      </c>
      <c r="G96" s="217">
        <f t="shared" si="24"/>
        <v>0</v>
      </c>
      <c r="H96" s="217">
        <f t="shared" si="24"/>
        <v>0</v>
      </c>
      <c r="I96" s="217">
        <f t="shared" si="24"/>
        <v>0</v>
      </c>
      <c r="J96" s="217">
        <f t="shared" si="24"/>
        <v>0</v>
      </c>
      <c r="K96" s="217">
        <f t="shared" si="24"/>
        <v>0</v>
      </c>
      <c r="L96" s="217">
        <f t="shared" si="24"/>
        <v>0</v>
      </c>
      <c r="M96" s="217">
        <f t="shared" si="24"/>
        <v>857225</v>
      </c>
      <c r="N96" s="217">
        <f t="shared" si="24"/>
        <v>0</v>
      </c>
      <c r="O96" s="217">
        <f t="shared" si="24"/>
        <v>0</v>
      </c>
      <c r="P96" s="217">
        <f t="shared" si="24"/>
        <v>0</v>
      </c>
      <c r="Q96" s="217">
        <f t="shared" si="24"/>
        <v>0</v>
      </c>
      <c r="R96" s="217">
        <f t="shared" si="24"/>
        <v>3139857</v>
      </c>
      <c r="S96" s="86">
        <f>SUM(S84:S87,S89:S95)</f>
        <v>2001272</v>
      </c>
      <c r="T96" s="217">
        <f>SUM(T84:T87,T89:T95)</f>
        <v>0</v>
      </c>
      <c r="U96" s="1208"/>
    </row>
    <row r="97" spans="1:21" s="84" customFormat="1">
      <c r="A97" s="85" t="s">
        <v>1718</v>
      </c>
      <c r="B97" s="217">
        <f>SUM(C97:D97)</f>
        <v>99878840</v>
      </c>
      <c r="C97" s="217">
        <f t="shared" ref="C97:R97" si="25">SUM(C63+C70+C77+C81+C96)</f>
        <v>99878840</v>
      </c>
      <c r="D97" s="217">
        <f t="shared" si="25"/>
        <v>0</v>
      </c>
      <c r="E97" s="217">
        <f t="shared" si="25"/>
        <v>48129386</v>
      </c>
      <c r="F97" s="217">
        <f t="shared" si="25"/>
        <v>21598000</v>
      </c>
      <c r="G97" s="217">
        <f t="shared" si="25"/>
        <v>6000000</v>
      </c>
      <c r="H97" s="217">
        <f t="shared" si="25"/>
        <v>5000000</v>
      </c>
      <c r="I97" s="217">
        <f t="shared" si="25"/>
        <v>1294129</v>
      </c>
      <c r="J97" s="217">
        <f t="shared" si="25"/>
        <v>17000000</v>
      </c>
      <c r="K97" s="217">
        <f t="shared" si="25"/>
        <v>0</v>
      </c>
      <c r="L97" s="217">
        <f t="shared" si="25"/>
        <v>100</v>
      </c>
      <c r="M97" s="217">
        <f t="shared" si="25"/>
        <v>857225</v>
      </c>
      <c r="N97" s="217">
        <f t="shared" si="25"/>
        <v>0</v>
      </c>
      <c r="O97" s="217">
        <f t="shared" si="25"/>
        <v>0</v>
      </c>
      <c r="P97" s="217">
        <f t="shared" si="25"/>
        <v>0</v>
      </c>
      <c r="Q97" s="217">
        <f t="shared" si="25"/>
        <v>0</v>
      </c>
      <c r="R97" s="217">
        <f t="shared" si="25"/>
        <v>99878840</v>
      </c>
      <c r="S97" s="217">
        <f>SUM(S63+S70+S81+S96)</f>
        <v>85028270</v>
      </c>
      <c r="T97" s="217">
        <f>SUM(T63+T70+T81+T96)</f>
        <v>0</v>
      </c>
      <c r="U97" s="1208"/>
    </row>
    <row r="98" spans="1:21" s="84" customFormat="1">
      <c r="A98" s="83" t="s">
        <v>1719</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1720</v>
      </c>
      <c r="B99" s="217">
        <f>SUM(C99+D99)</f>
        <v>12728357</v>
      </c>
      <c r="C99" s="774">
        <v>12728357</v>
      </c>
      <c r="D99" s="774"/>
      <c r="E99" s="774">
        <f>C99-SUM(J99:N99)</f>
        <v>2427988</v>
      </c>
      <c r="F99" s="774"/>
      <c r="G99" s="774"/>
      <c r="H99" s="774"/>
      <c r="I99" s="774"/>
      <c r="J99" s="774"/>
      <c r="K99" s="774">
        <f>Application!AO640</f>
        <v>1950332</v>
      </c>
      <c r="L99" s="774"/>
      <c r="M99" s="774"/>
      <c r="N99" s="774">
        <f>+Application!AO643</f>
        <v>8350037</v>
      </c>
      <c r="O99" s="774"/>
      <c r="P99" s="774"/>
      <c r="Q99" s="774"/>
      <c r="R99" s="368">
        <f>SUM(E99:Q99)</f>
        <v>12728357</v>
      </c>
      <c r="S99" s="774">
        <f>C99</f>
        <v>12728357</v>
      </c>
      <c r="T99" s="774"/>
      <c r="U99" s="1208"/>
    </row>
    <row r="100" spans="1:21" s="84" customFormat="1">
      <c r="A100" s="171" t="s">
        <v>1721</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1722</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c r="A102" s="171" t="s">
        <v>1723</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c r="A103" s="925" t="s">
        <v>1668</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c r="A104" s="85" t="s">
        <v>1724</v>
      </c>
      <c r="B104" s="217">
        <f>SUM(C104:D104)</f>
        <v>12728357</v>
      </c>
      <c r="C104" s="217">
        <f>SUM(C99:C103)</f>
        <v>12728357</v>
      </c>
      <c r="D104" s="217">
        <f t="shared" ref="D104:T104" si="26">SUM(D99:D103)</f>
        <v>0</v>
      </c>
      <c r="E104" s="217">
        <f t="shared" si="26"/>
        <v>2427988</v>
      </c>
      <c r="F104" s="217">
        <f t="shared" si="26"/>
        <v>0</v>
      </c>
      <c r="G104" s="217">
        <f t="shared" si="26"/>
        <v>0</v>
      </c>
      <c r="H104" s="217">
        <f t="shared" si="26"/>
        <v>0</v>
      </c>
      <c r="I104" s="217">
        <f t="shared" si="26"/>
        <v>0</v>
      </c>
      <c r="J104" s="217">
        <f t="shared" si="26"/>
        <v>0</v>
      </c>
      <c r="K104" s="217">
        <f t="shared" si="26"/>
        <v>1950332</v>
      </c>
      <c r="L104" s="217">
        <f t="shared" si="26"/>
        <v>0</v>
      </c>
      <c r="M104" s="217">
        <f t="shared" si="26"/>
        <v>0</v>
      </c>
      <c r="N104" s="217">
        <f t="shared" si="26"/>
        <v>8350037</v>
      </c>
      <c r="O104" s="217">
        <f t="shared" si="26"/>
        <v>0</v>
      </c>
      <c r="P104" s="217">
        <f t="shared" si="26"/>
        <v>0</v>
      </c>
      <c r="Q104" s="217">
        <f t="shared" si="26"/>
        <v>0</v>
      </c>
      <c r="R104" s="217">
        <f t="shared" si="26"/>
        <v>12728357</v>
      </c>
      <c r="S104" s="86">
        <f t="shared" si="26"/>
        <v>12728357</v>
      </c>
      <c r="T104" s="86">
        <f t="shared" si="26"/>
        <v>0</v>
      </c>
      <c r="U104" s="1208"/>
    </row>
    <row r="105" spans="1:21" s="84" customFormat="1">
      <c r="A105" s="85" t="s">
        <v>1725</v>
      </c>
      <c r="B105" s="86">
        <f>SUM(C105:D105)</f>
        <v>112607197</v>
      </c>
      <c r="C105" s="86">
        <f t="shared" ref="C105:R105" si="27">SUM(C97+C104)</f>
        <v>112607197</v>
      </c>
      <c r="D105" s="86">
        <f t="shared" si="27"/>
        <v>0</v>
      </c>
      <c r="E105" s="86">
        <f t="shared" si="27"/>
        <v>50557374</v>
      </c>
      <c r="F105" s="86">
        <f t="shared" si="27"/>
        <v>21598000</v>
      </c>
      <c r="G105" s="86">
        <f t="shared" si="27"/>
        <v>6000000</v>
      </c>
      <c r="H105" s="86">
        <f t="shared" si="27"/>
        <v>5000000</v>
      </c>
      <c r="I105" s="86">
        <f t="shared" si="27"/>
        <v>1294129</v>
      </c>
      <c r="J105" s="86">
        <f t="shared" si="27"/>
        <v>17000000</v>
      </c>
      <c r="K105" s="86">
        <f t="shared" si="27"/>
        <v>1950332</v>
      </c>
      <c r="L105" s="86">
        <f t="shared" si="27"/>
        <v>100</v>
      </c>
      <c r="M105" s="86">
        <f t="shared" si="27"/>
        <v>857225</v>
      </c>
      <c r="N105" s="86">
        <f t="shared" si="27"/>
        <v>8350037</v>
      </c>
      <c r="O105" s="86">
        <f t="shared" si="27"/>
        <v>0</v>
      </c>
      <c r="P105" s="86">
        <f t="shared" si="27"/>
        <v>0</v>
      </c>
      <c r="Q105" s="86">
        <f t="shared" si="27"/>
        <v>0</v>
      </c>
      <c r="R105" s="217">
        <f t="shared" si="27"/>
        <v>112607197</v>
      </c>
      <c r="S105" s="86">
        <f>S97+S104</f>
        <v>97756627</v>
      </c>
      <c r="T105" s="86">
        <f>T97+T104</f>
        <v>0</v>
      </c>
      <c r="U105" s="1208"/>
    </row>
    <row r="106" spans="1:21">
      <c r="A106" s="366" t="s">
        <v>1726</v>
      </c>
      <c r="B106" s="1216"/>
      <c r="C106" s="1216"/>
      <c r="D106" s="1216"/>
      <c r="E106" s="1113"/>
      <c r="F106" s="1113"/>
      <c r="G106" s="1113"/>
      <c r="H106" s="204" t="s">
        <v>1727</v>
      </c>
      <c r="I106" s="204"/>
      <c r="J106" s="204"/>
      <c r="K106" s="1113"/>
      <c r="L106" s="1113"/>
      <c r="M106" s="1113"/>
      <c r="N106" s="1113"/>
      <c r="O106" s="1113"/>
      <c r="P106" s="1113"/>
      <c r="Q106" s="1113"/>
      <c r="R106" s="92" t="s">
        <v>1728</v>
      </c>
      <c r="S106" s="774"/>
      <c r="T106" s="774"/>
      <c r="U106" s="205"/>
    </row>
    <row r="107" spans="1:21">
      <c r="A107" s="1216" t="s">
        <v>1729</v>
      </c>
      <c r="B107" s="1113"/>
      <c r="C107" s="1216"/>
      <c r="D107" s="1216"/>
      <c r="E107" s="1113"/>
      <c r="F107" s="1113"/>
      <c r="G107" s="1113"/>
      <c r="H107" s="1113"/>
      <c r="I107" s="94" t="s">
        <v>1730</v>
      </c>
      <c r="J107" s="94"/>
      <c r="K107" s="1113"/>
      <c r="L107" s="1113"/>
      <c r="M107" s="1113"/>
      <c r="N107" s="1113"/>
      <c r="O107" s="1113"/>
      <c r="P107" s="1113"/>
      <c r="Q107" s="1113"/>
      <c r="R107" s="92" t="s">
        <v>1731</v>
      </c>
      <c r="S107" s="86">
        <f>S105+S106</f>
        <v>97756627</v>
      </c>
      <c r="T107" s="86">
        <f>T105+T106</f>
        <v>0</v>
      </c>
      <c r="U107" s="205"/>
    </row>
    <row r="108" spans="1:21" s="107" customFormat="1">
      <c r="A108" s="94" t="s">
        <v>1732</v>
      </c>
      <c r="B108" s="1216"/>
      <c r="C108" s="1216"/>
      <c r="D108" s="1216"/>
      <c r="E108" s="1217">
        <f>Application!AO648</f>
        <v>50557374</v>
      </c>
      <c r="F108" s="1217">
        <f>Application!AO635</f>
        <v>21598000</v>
      </c>
      <c r="G108" s="1217">
        <f>Application!AO636</f>
        <v>6000000</v>
      </c>
      <c r="H108" s="1217">
        <f>Application!AO637</f>
        <v>5000000</v>
      </c>
      <c r="I108" s="1217">
        <f>Application!AO638</f>
        <v>1294129</v>
      </c>
      <c r="J108" s="1217">
        <f>Application!AO639</f>
        <v>17000000</v>
      </c>
      <c r="K108" s="1217">
        <f>Application!AO640</f>
        <v>1950332</v>
      </c>
      <c r="L108" s="1217">
        <f>Application!AO641</f>
        <v>100</v>
      </c>
      <c r="M108" s="1217">
        <f>Application!AO642</f>
        <v>857225</v>
      </c>
      <c r="N108" s="1217">
        <f>Application!AO643</f>
        <v>8350037</v>
      </c>
      <c r="O108" s="1217">
        <f>Application!AO644</f>
        <v>0</v>
      </c>
      <c r="P108" s="1217">
        <f>Application!AO645</f>
        <v>0</v>
      </c>
      <c r="Q108" s="1217">
        <f>Application!AO646</f>
        <v>0</v>
      </c>
      <c r="R108" s="1113"/>
      <c r="S108" s="1113"/>
      <c r="T108" s="1113"/>
      <c r="U108" s="1218"/>
    </row>
    <row r="109" spans="1:21" ht="10.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5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5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1740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1741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1742</v>
      </c>
      <c r="B122" s="1113"/>
      <c r="C122" s="1113"/>
      <c r="D122" s="1242" t="s">
        <v>1743</v>
      </c>
      <c r="E122" s="1242"/>
      <c r="F122" s="1242"/>
      <c r="G122" s="1113"/>
      <c r="H122" s="1113"/>
      <c r="I122" s="1113"/>
      <c r="J122" s="1113"/>
      <c r="K122" s="1113"/>
      <c r="L122" s="1113"/>
      <c r="M122" s="1113"/>
      <c r="N122" s="1113"/>
      <c r="O122" s="1113"/>
      <c r="P122" s="1113"/>
      <c r="Q122" s="1113"/>
      <c r="R122" s="1113"/>
      <c r="S122" s="1113"/>
      <c r="T122" s="1113"/>
      <c r="U122" s="205"/>
    </row>
    <row r="123" spans="1:21">
      <c r="A123" s="1113" t="s">
        <v>1744</v>
      </c>
      <c r="B123" s="212"/>
      <c r="C123" s="1113"/>
      <c r="D123" s="1232" t="s">
        <v>1745</v>
      </c>
      <c r="E123" s="1233"/>
      <c r="F123" s="1233"/>
      <c r="G123" s="1233"/>
      <c r="H123" s="1233"/>
      <c r="I123" s="1233"/>
      <c r="J123" s="1233"/>
      <c r="K123" s="1233"/>
      <c r="L123" s="1233"/>
      <c r="M123" s="1233"/>
      <c r="N123" s="1233"/>
      <c r="O123" s="1233"/>
      <c r="P123" s="1233"/>
      <c r="Q123" s="1233"/>
      <c r="R123" s="1233"/>
      <c r="S123" s="1233"/>
      <c r="T123" s="1113"/>
      <c r="U123" s="205"/>
    </row>
    <row r="124" spans="1:21" ht="12.75">
      <c r="A124" s="1067" t="s">
        <v>1746</v>
      </c>
      <c r="B124" s="212"/>
      <c r="C124" s="1067"/>
      <c r="D124" s="1233"/>
      <c r="E124" s="1233"/>
      <c r="F124" s="1233"/>
      <c r="G124" s="1233"/>
      <c r="H124" s="1233"/>
      <c r="I124" s="1233"/>
      <c r="J124" s="1233"/>
      <c r="K124" s="1233"/>
      <c r="L124" s="1233"/>
      <c r="M124" s="1233"/>
      <c r="N124" s="1233"/>
      <c r="O124" s="1233"/>
      <c r="P124" s="1233"/>
      <c r="Q124" s="1233"/>
      <c r="R124" s="1233"/>
      <c r="S124" s="1233"/>
      <c r="T124" s="1113"/>
      <c r="U124" s="205"/>
    </row>
    <row r="125" spans="1:21" ht="12.75">
      <c r="A125" s="1067" t="s">
        <v>1747</v>
      </c>
      <c r="B125" s="212"/>
      <c r="C125" s="1067"/>
      <c r="D125" s="1233"/>
      <c r="E125" s="1233"/>
      <c r="F125" s="1233"/>
      <c r="G125" s="1233"/>
      <c r="H125" s="1233"/>
      <c r="I125" s="1233"/>
      <c r="J125" s="1233"/>
      <c r="K125" s="1233"/>
      <c r="L125" s="1233"/>
      <c r="M125" s="1233"/>
      <c r="N125" s="1233"/>
      <c r="O125" s="1233"/>
      <c r="P125" s="1233"/>
      <c r="Q125" s="1233"/>
      <c r="R125" s="1233"/>
      <c r="S125" s="1233"/>
      <c r="T125" s="1113"/>
      <c r="U125" s="205"/>
    </row>
    <row r="126" spans="1:21" ht="12.75">
      <c r="A126" s="1067" t="s">
        <v>1748</v>
      </c>
      <c r="B126" s="212">
        <v>95000</v>
      </c>
      <c r="C126" s="1067"/>
      <c r="D126" s="69"/>
      <c r="E126" s="69"/>
      <c r="F126" s="69"/>
      <c r="G126" s="69"/>
      <c r="H126" s="69"/>
      <c r="I126" s="69"/>
      <c r="J126" s="69"/>
      <c r="K126" s="69"/>
      <c r="L126" s="69"/>
      <c r="M126" s="69"/>
      <c r="N126" s="69"/>
      <c r="O126" s="1067"/>
      <c r="P126" s="1067"/>
      <c r="Q126" s="1067"/>
      <c r="R126" s="1067"/>
      <c r="S126" s="1067"/>
      <c r="T126" s="1113"/>
      <c r="U126" s="205"/>
    </row>
    <row r="127" spans="1:21" ht="12.75">
      <c r="A127" s="1067" t="s">
        <v>1749</v>
      </c>
      <c r="B127" s="212">
        <v>30000</v>
      </c>
      <c r="C127" s="1067"/>
      <c r="D127" s="69"/>
      <c r="E127" s="69"/>
      <c r="F127" s="69"/>
      <c r="G127" s="69"/>
      <c r="H127" s="69"/>
      <c r="I127" s="69"/>
      <c r="J127" s="69"/>
      <c r="K127" s="69"/>
      <c r="L127" s="69"/>
      <c r="M127" s="69"/>
      <c r="N127" s="69"/>
      <c r="O127" s="1067"/>
      <c r="P127" s="1067"/>
      <c r="Q127" s="1067"/>
      <c r="R127" s="1067"/>
      <c r="S127" s="1067"/>
      <c r="T127" s="1113"/>
      <c r="U127" s="205"/>
    </row>
    <row r="128" spans="1:21" ht="12.75">
      <c r="A128" s="1067" t="s">
        <v>1750</v>
      </c>
      <c r="B128" s="212"/>
      <c r="C128" s="1067"/>
      <c r="D128" s="1237"/>
      <c r="E128" s="1237"/>
      <c r="F128" s="1237"/>
      <c r="G128" s="1237"/>
      <c r="H128" s="1237"/>
      <c r="I128" s="1067"/>
      <c r="J128" s="1231"/>
      <c r="K128" s="1231"/>
      <c r="L128" s="1067"/>
      <c r="M128" s="1067"/>
      <c r="N128" s="1067"/>
      <c r="O128" s="1067"/>
      <c r="P128" s="1067"/>
      <c r="Q128" s="1067"/>
      <c r="R128" s="1067"/>
      <c r="S128" s="1067"/>
      <c r="T128" s="1113"/>
      <c r="U128" s="205"/>
    </row>
    <row r="129" spans="1:21" ht="12.75">
      <c r="A129" s="1067" t="s">
        <v>1051</v>
      </c>
      <c r="B129" s="212"/>
      <c r="C129" s="1067"/>
      <c r="D129" s="1241" t="s">
        <v>1751</v>
      </c>
      <c r="E129" s="1241"/>
      <c r="F129" s="1241"/>
      <c r="G129" s="1241"/>
      <c r="H129" s="1241"/>
      <c r="I129" s="1067"/>
      <c r="J129" s="1067" t="s">
        <v>1752</v>
      </c>
      <c r="K129" s="1067"/>
      <c r="L129" s="1067"/>
      <c r="M129" s="1067"/>
      <c r="N129" s="1067"/>
      <c r="O129" s="1067"/>
      <c r="P129" s="1067"/>
      <c r="Q129" s="1067"/>
      <c r="R129" s="1067"/>
      <c r="S129" s="1067"/>
      <c r="T129" s="1113"/>
      <c r="U129" s="205"/>
    </row>
    <row r="130" spans="1:21" ht="12" customHeight="1">
      <c r="A130" s="1067"/>
      <c r="B130" s="211"/>
      <c r="C130" s="1067"/>
      <c r="D130" s="1067"/>
      <c r="E130" s="1067"/>
      <c r="F130" s="1067"/>
      <c r="G130" s="1067"/>
      <c r="H130" s="1067"/>
      <c r="I130" s="1067"/>
      <c r="J130" s="1067"/>
      <c r="K130" s="1067"/>
      <c r="L130" s="1067"/>
      <c r="M130" s="1067"/>
      <c r="N130" s="1067"/>
      <c r="O130" s="1067"/>
      <c r="P130" s="1067"/>
      <c r="Q130" s="1067"/>
      <c r="R130" s="1067"/>
      <c r="S130" s="1067"/>
      <c r="T130" s="1113"/>
      <c r="U130" s="205"/>
    </row>
    <row r="131" spans="1:21" ht="12.75">
      <c r="A131" s="1041" t="s">
        <v>1753</v>
      </c>
      <c r="B131" s="213">
        <f>SUM(B123:B129)</f>
        <v>125000</v>
      </c>
      <c r="C131" s="1067"/>
      <c r="D131" s="1235"/>
      <c r="E131" s="1235"/>
      <c r="F131" s="1235"/>
      <c r="G131" s="1235"/>
      <c r="H131" s="1235"/>
      <c r="I131" s="1067"/>
      <c r="J131" s="1235"/>
      <c r="K131" s="1235"/>
      <c r="L131" s="1235"/>
      <c r="M131" s="1235"/>
      <c r="N131" s="1067"/>
      <c r="O131" s="1067"/>
      <c r="P131" s="1067"/>
      <c r="Q131" s="1067"/>
      <c r="R131" s="1067"/>
      <c r="S131" s="1067"/>
      <c r="T131" s="1113"/>
      <c r="U131" s="205"/>
    </row>
    <row r="132" spans="1:21" ht="12" customHeight="1">
      <c r="A132" s="1219"/>
      <c r="B132" s="1067"/>
      <c r="C132" s="1067"/>
      <c r="D132" s="1234" t="s">
        <v>1754</v>
      </c>
      <c r="E132" s="1234"/>
      <c r="F132" s="1234"/>
      <c r="G132" s="1234"/>
      <c r="H132" s="1234"/>
      <c r="I132" s="1067"/>
      <c r="J132" s="1234" t="s">
        <v>1755</v>
      </c>
      <c r="K132" s="1234"/>
      <c r="L132" s="1234"/>
      <c r="M132" s="1234"/>
      <c r="N132" s="1067"/>
      <c r="O132" s="1067"/>
      <c r="P132" s="1067"/>
      <c r="Q132" s="1067"/>
      <c r="R132" s="1067"/>
      <c r="S132" s="1067"/>
      <c r="T132" s="1113"/>
      <c r="U132" s="205"/>
    </row>
    <row r="133" spans="1:21" ht="12" customHeight="1">
      <c r="A133" s="1219"/>
      <c r="B133" s="1067"/>
      <c r="C133" s="1067"/>
      <c r="D133" s="1067"/>
      <c r="E133" s="1067"/>
      <c r="F133" s="1067"/>
      <c r="G133" s="1067"/>
      <c r="H133" s="1067"/>
      <c r="I133" s="1067"/>
      <c r="J133" s="1067"/>
      <c r="K133" s="1067"/>
      <c r="L133" s="1067"/>
      <c r="M133" s="1067"/>
      <c r="N133" s="1067"/>
      <c r="O133" s="1067"/>
      <c r="P133" s="1067"/>
      <c r="Q133" s="1067"/>
      <c r="R133" s="1067"/>
      <c r="S133" s="1067"/>
      <c r="T133" s="1113"/>
      <c r="U133" s="205"/>
    </row>
    <row r="134" spans="1:21" ht="12.75">
      <c r="A134" s="1057" t="s">
        <v>1756</v>
      </c>
      <c r="B134" s="1067"/>
      <c r="C134" s="1067"/>
      <c r="D134" s="1067"/>
      <c r="E134" s="1067"/>
      <c r="F134" s="1067"/>
      <c r="G134" s="1067"/>
      <c r="H134" s="1067"/>
      <c r="I134" s="1067"/>
      <c r="J134" s="1067"/>
      <c r="K134" s="1067"/>
      <c r="L134" s="1067"/>
      <c r="M134" s="1067"/>
      <c r="N134" s="1067"/>
      <c r="O134" s="1067"/>
      <c r="P134" s="1067"/>
      <c r="Q134" s="1067"/>
      <c r="R134" s="1067"/>
      <c r="S134" s="1067"/>
      <c r="T134" s="1113"/>
      <c r="U134" s="205"/>
    </row>
    <row r="135" spans="1:21" ht="12.75">
      <c r="A135" s="1058" t="s">
        <v>1757</v>
      </c>
      <c r="B135" s="1067"/>
      <c r="C135" s="1067"/>
      <c r="D135" s="1067"/>
      <c r="E135" s="1067"/>
      <c r="F135" s="1067"/>
      <c r="G135" s="1067"/>
      <c r="H135" s="1067"/>
      <c r="I135" s="1067"/>
      <c r="J135" s="1067"/>
      <c r="K135" s="1067"/>
      <c r="L135" s="1067"/>
      <c r="M135" s="1067"/>
      <c r="N135" s="1220"/>
      <c r="O135" s="1067"/>
      <c r="P135" s="1067"/>
      <c r="Q135" s="1067"/>
      <c r="R135" s="1067"/>
      <c r="S135" s="1067"/>
      <c r="T135" s="1113"/>
      <c r="U135" s="205"/>
    </row>
    <row r="136" spans="1:21" ht="12" customHeight="1">
      <c r="A136" s="1219"/>
      <c r="B136" s="1067"/>
      <c r="C136" s="1067"/>
      <c r="D136" s="1067"/>
      <c r="E136" s="1067"/>
      <c r="F136" s="1067"/>
      <c r="G136" s="1067"/>
      <c r="H136" s="1067"/>
      <c r="I136" s="1067"/>
      <c r="J136" s="1067"/>
      <c r="K136" s="1067"/>
      <c r="L136" s="1067"/>
      <c r="M136" s="1067"/>
      <c r="N136" s="1067"/>
      <c r="O136" s="1067"/>
      <c r="P136" s="1067"/>
      <c r="Q136" s="1067"/>
      <c r="R136" s="1067"/>
      <c r="S136" s="1067"/>
      <c r="T136" s="209"/>
      <c r="U136" s="210"/>
    </row>
    <row r="137" spans="1:21" ht="12.75">
      <c r="A137" s="1219"/>
      <c r="B137" s="1067"/>
      <c r="C137" s="1067"/>
      <c r="D137" s="1067"/>
      <c r="E137" s="1067"/>
      <c r="F137" s="1067"/>
      <c r="G137" s="1067"/>
      <c r="H137" s="1067"/>
      <c r="I137" s="1067"/>
      <c r="J137" s="1067"/>
      <c r="K137" s="1067"/>
      <c r="L137" s="1067"/>
      <c r="M137" s="1067"/>
      <c r="N137" s="1067"/>
      <c r="O137" s="1067"/>
      <c r="P137" s="1067"/>
      <c r="Q137" s="1067"/>
      <c r="R137" s="1067"/>
      <c r="S137" s="1067"/>
      <c r="T137" s="209"/>
      <c r="U137" s="210"/>
    </row>
    <row r="138" spans="1:21" ht="12" customHeight="1">
      <c r="A138" s="1236"/>
      <c r="B138" s="1237"/>
      <c r="C138" s="1237"/>
      <c r="D138" s="207"/>
      <c r="E138" s="1231"/>
      <c r="F138" s="1231"/>
      <c r="G138" s="1067"/>
      <c r="H138" s="1067"/>
      <c r="I138" s="1067"/>
      <c r="J138" s="1067"/>
      <c r="K138" s="1067"/>
      <c r="L138" s="1067"/>
      <c r="M138" s="1067"/>
      <c r="N138" s="1067"/>
      <c r="O138" s="1067"/>
      <c r="P138" s="1067"/>
      <c r="Q138" s="1067"/>
      <c r="R138" s="1067"/>
      <c r="S138" s="1067"/>
      <c r="T138" s="209"/>
      <c r="U138" s="210"/>
    </row>
    <row r="139" spans="1:21" ht="12.75">
      <c r="A139" s="1230" t="s">
        <v>1758</v>
      </c>
      <c r="B139" s="1230"/>
      <c r="C139" s="1230"/>
      <c r="D139" s="207"/>
      <c r="E139" s="1067" t="s">
        <v>1752</v>
      </c>
      <c r="F139" s="1067"/>
      <c r="G139" s="1067"/>
      <c r="H139" s="1067"/>
      <c r="I139" s="1067"/>
      <c r="J139" s="1067"/>
      <c r="K139" s="1067"/>
      <c r="L139" s="1067"/>
      <c r="M139" s="1067"/>
      <c r="N139" s="1067"/>
      <c r="O139" s="1067"/>
      <c r="P139" s="1067"/>
      <c r="Q139" s="1067"/>
      <c r="R139" s="1067"/>
      <c r="S139" s="1067"/>
      <c r="T139" s="209"/>
      <c r="U139" s="210"/>
    </row>
    <row r="140" spans="1:21" ht="12.75">
      <c r="A140" s="1219"/>
      <c r="B140" s="1067"/>
      <c r="C140" s="1067"/>
      <c r="D140" s="207"/>
      <c r="E140" s="1067"/>
      <c r="F140" s="1067"/>
      <c r="G140" s="1067"/>
      <c r="H140" s="1067"/>
      <c r="I140" s="1067"/>
      <c r="J140" s="1067"/>
      <c r="K140" s="1067"/>
      <c r="L140" s="1067"/>
      <c r="M140" s="1067"/>
      <c r="N140" s="1067"/>
      <c r="O140" s="1067"/>
      <c r="P140" s="1067"/>
      <c r="Q140" s="1067"/>
      <c r="R140" s="1067"/>
      <c r="S140" s="1067"/>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activeCell="D24" sqref="D24"/>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10" t="s">
        <v>1759</v>
      </c>
      <c r="B1" s="1811"/>
      <c r="C1" s="1811"/>
      <c r="D1" s="1811"/>
      <c r="E1" s="1811"/>
      <c r="F1" s="1811"/>
      <c r="G1" s="1811"/>
      <c r="H1" s="1811"/>
      <c r="I1" s="1811"/>
      <c r="J1" s="1812"/>
      <c r="K1" s="229"/>
    </row>
    <row r="2" spans="1:11" s="272" customFormat="1" ht="72">
      <c r="A2" s="269"/>
      <c r="B2" s="270" t="s">
        <v>1760</v>
      </c>
      <c r="C2" s="270" t="s">
        <v>1761</v>
      </c>
      <c r="D2" s="270" t="s">
        <v>1762</v>
      </c>
      <c r="E2" s="270" t="s">
        <v>1763</v>
      </c>
      <c r="F2" s="270" t="s">
        <v>1764</v>
      </c>
      <c r="G2" s="270" t="s">
        <v>1765</v>
      </c>
      <c r="H2" s="270" t="s">
        <v>1766</v>
      </c>
      <c r="I2" s="270" t="s">
        <v>1767</v>
      </c>
      <c r="J2" s="270" t="s">
        <v>1768</v>
      </c>
      <c r="K2" s="271"/>
    </row>
    <row r="3" spans="1:11" s="234" customFormat="1">
      <c r="A3" s="231" t="s">
        <v>1647</v>
      </c>
      <c r="B3" s="232"/>
      <c r="C3" s="232"/>
      <c r="D3" s="232"/>
      <c r="E3" s="232"/>
      <c r="F3" s="232"/>
      <c r="G3" s="232"/>
      <c r="H3" s="232"/>
      <c r="I3" s="232"/>
      <c r="J3" s="232"/>
      <c r="K3" s="233"/>
    </row>
    <row r="4" spans="1:11" s="234" customFormat="1">
      <c r="A4" s="238" t="s">
        <v>1648</v>
      </c>
      <c r="B4" s="235">
        <f>'Sources and Uses Budget'!C4</f>
        <v>6500000</v>
      </c>
      <c r="C4" s="236"/>
      <c r="D4" s="236"/>
      <c r="E4" s="237"/>
      <c r="F4" s="237"/>
      <c r="G4" s="237"/>
      <c r="H4" s="237"/>
      <c r="I4" s="237"/>
      <c r="J4" s="237"/>
      <c r="K4" s="233"/>
    </row>
    <row r="5" spans="1:11" s="234" customFormat="1">
      <c r="A5" s="238" t="s">
        <v>692</v>
      </c>
      <c r="B5" s="235">
        <f>'Sources and Uses Budget'!C5</f>
        <v>0</v>
      </c>
      <c r="C5" s="236"/>
      <c r="D5" s="236"/>
      <c r="E5" s="237"/>
      <c r="F5" s="237"/>
      <c r="G5" s="237"/>
      <c r="H5" s="237"/>
      <c r="I5" s="237"/>
      <c r="J5" s="237"/>
      <c r="K5" s="233"/>
    </row>
    <row r="6" spans="1:11" s="234" customFormat="1">
      <c r="A6" s="238" t="s">
        <v>1649</v>
      </c>
      <c r="B6" s="235">
        <f>'Sources and Uses Budget'!C6</f>
        <v>0</v>
      </c>
      <c r="C6" s="236"/>
      <c r="D6" s="236"/>
      <c r="E6" s="237"/>
      <c r="F6" s="237"/>
      <c r="G6" s="237"/>
      <c r="H6" s="237"/>
      <c r="I6" s="237"/>
      <c r="J6" s="237"/>
      <c r="K6" s="233"/>
    </row>
    <row r="7" spans="1:11" s="234" customFormat="1">
      <c r="A7" s="238" t="s">
        <v>1650</v>
      </c>
      <c r="B7" s="235">
        <f>'Sources and Uses Budget'!C7</f>
        <v>0</v>
      </c>
      <c r="C7" s="236"/>
      <c r="D7" s="236"/>
      <c r="E7" s="237"/>
      <c r="F7" s="237"/>
      <c r="G7" s="237"/>
      <c r="H7" s="237"/>
      <c r="I7" s="237"/>
      <c r="J7" s="237"/>
      <c r="K7" s="233"/>
    </row>
    <row r="8" spans="1:11" s="234" customFormat="1">
      <c r="A8" s="239" t="s">
        <v>1651</v>
      </c>
      <c r="B8" s="235">
        <f>'Sources and Uses Budget'!C8</f>
        <v>6500000</v>
      </c>
      <c r="C8" s="235">
        <f>SUM(C4:C7)</f>
        <v>0</v>
      </c>
      <c r="D8" s="235">
        <f>SUM(D4:D7)</f>
        <v>0</v>
      </c>
      <c r="E8" s="237"/>
      <c r="F8" s="237"/>
      <c r="G8" s="237"/>
      <c r="H8" s="237"/>
      <c r="I8" s="237"/>
      <c r="J8" s="237"/>
      <c r="K8" s="233"/>
    </row>
    <row r="9" spans="1:11" s="234" customFormat="1">
      <c r="A9" s="238" t="s">
        <v>1652</v>
      </c>
      <c r="B9" s="235">
        <f>'Sources and Uses Budget'!C9</f>
        <v>0</v>
      </c>
      <c r="C9" s="236"/>
      <c r="D9" s="236"/>
      <c r="E9" s="237"/>
      <c r="F9" s="237"/>
      <c r="G9" s="237"/>
      <c r="H9" s="235">
        <f>'Sources and Uses Budget'!T9</f>
        <v>0</v>
      </c>
      <c r="I9" s="236"/>
      <c r="J9" s="236"/>
      <c r="K9" s="233"/>
    </row>
    <row r="10" spans="1:11" s="234" customFormat="1">
      <c r="A10" s="238" t="s">
        <v>1653</v>
      </c>
      <c r="B10" s="235">
        <f>'Sources and Uses Budget'!C10</f>
        <v>355000</v>
      </c>
      <c r="C10" s="236"/>
      <c r="D10" s="236"/>
      <c r="E10" s="235">
        <f>'Sources and Uses Budget'!S10</f>
        <v>355000</v>
      </c>
      <c r="F10" s="236"/>
      <c r="G10" s="236"/>
      <c r="H10" s="235">
        <f>'Sources and Uses Budget'!T10</f>
        <v>0</v>
      </c>
      <c r="I10" s="236"/>
      <c r="J10" s="236"/>
      <c r="K10" s="233"/>
    </row>
    <row r="11" spans="1:11" s="234" customFormat="1">
      <c r="A11" s="239" t="s">
        <v>1654</v>
      </c>
      <c r="B11" s="235">
        <f>'Sources and Uses Budget'!C11</f>
        <v>355000</v>
      </c>
      <c r="C11" s="235">
        <f>SUM(C9:C10)</f>
        <v>0</v>
      </c>
      <c r="D11" s="235">
        <f>SUM(D9:D10)</f>
        <v>0</v>
      </c>
      <c r="E11" s="237"/>
      <c r="F11" s="237"/>
      <c r="G11" s="237"/>
      <c r="H11" s="235">
        <f>'Sources and Uses Budget'!T11</f>
        <v>0</v>
      </c>
      <c r="I11" s="235">
        <f>SUM(I9:I10)</f>
        <v>0</v>
      </c>
      <c r="J11" s="235">
        <f>SUM(J9:J10)</f>
        <v>0</v>
      </c>
      <c r="K11" s="233"/>
    </row>
    <row r="12" spans="1:11" s="234" customFormat="1">
      <c r="A12" s="239" t="s">
        <v>1655</v>
      </c>
      <c r="B12" s="235">
        <f>'Sources and Uses Budget'!C12</f>
        <v>6855000</v>
      </c>
      <c r="C12" s="235">
        <f>SUM(C8+C11)</f>
        <v>0</v>
      </c>
      <c r="D12" s="235">
        <f>SUM(D8+D11)</f>
        <v>0</v>
      </c>
      <c r="E12" s="237"/>
      <c r="F12" s="237"/>
      <c r="G12" s="237"/>
      <c r="H12" s="237"/>
      <c r="I12" s="237"/>
      <c r="J12" s="237"/>
      <c r="K12" s="233"/>
    </row>
    <row r="13" spans="1:11" s="234" customFormat="1">
      <c r="A13" s="240" t="s">
        <v>1656</v>
      </c>
      <c r="B13" s="235">
        <f>'Sources and Uses Budget'!C13</f>
        <v>253604</v>
      </c>
      <c r="C13" s="236"/>
      <c r="D13" s="236"/>
      <c r="E13" s="235">
        <f>'Sources and Uses Budget'!S13</f>
        <v>0</v>
      </c>
      <c r="F13" s="236"/>
      <c r="G13" s="236"/>
      <c r="H13" s="235">
        <f>'Sources and Uses Budget'!T13</f>
        <v>0</v>
      </c>
      <c r="I13" s="236"/>
      <c r="J13" s="236"/>
      <c r="K13" s="233"/>
    </row>
    <row r="14" spans="1:11" s="234" customFormat="1" ht="24">
      <c r="A14" s="238" t="s">
        <v>1769</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1658</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1659</v>
      </c>
      <c r="B16" s="232"/>
      <c r="C16" s="232"/>
      <c r="D16" s="232"/>
      <c r="E16" s="232"/>
      <c r="F16" s="232"/>
      <c r="G16" s="232"/>
      <c r="H16" s="232"/>
      <c r="I16" s="232"/>
      <c r="J16" s="232"/>
      <c r="K16" s="233"/>
    </row>
    <row r="17" spans="1:11" s="234" customFormat="1">
      <c r="A17" s="238" t="s">
        <v>1660</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1661</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1662</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1663</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1664</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1665</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1666</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1667</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Bond Premium</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1669</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1670</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1671</v>
      </c>
      <c r="B28" s="232"/>
      <c r="C28" s="232"/>
      <c r="D28" s="232"/>
      <c r="E28" s="232"/>
      <c r="F28" s="232"/>
      <c r="G28" s="232"/>
      <c r="H28" s="232"/>
      <c r="I28" s="232"/>
      <c r="J28" s="232"/>
      <c r="K28" s="233"/>
    </row>
    <row r="29" spans="1:11" s="234" customFormat="1">
      <c r="A29" s="171" t="s">
        <v>1660</v>
      </c>
      <c r="B29" s="235">
        <f>'Sources and Uses Budget'!C29</f>
        <v>2980205</v>
      </c>
      <c r="C29" s="236"/>
      <c r="D29" s="236"/>
      <c r="E29" s="235">
        <f>'Sources and Uses Budget'!S29</f>
        <v>2919750</v>
      </c>
      <c r="F29" s="236"/>
      <c r="G29" s="236"/>
      <c r="H29" s="235">
        <f>'Sources and Uses Budget'!T29</f>
        <v>0</v>
      </c>
      <c r="I29" s="236"/>
      <c r="J29" s="236"/>
      <c r="K29" s="233"/>
    </row>
    <row r="30" spans="1:11" s="234" customFormat="1">
      <c r="A30" s="171" t="s">
        <v>1661</v>
      </c>
      <c r="B30" s="235">
        <f>'Sources and Uses Budget'!C30</f>
        <v>57908284</v>
      </c>
      <c r="C30" s="236"/>
      <c r="D30" s="236"/>
      <c r="E30" s="235">
        <f>'Sources and Uses Budget'!S30</f>
        <v>57908284</v>
      </c>
      <c r="F30" s="236"/>
      <c r="G30" s="236"/>
      <c r="H30" s="235">
        <f>'Sources and Uses Budget'!T30</f>
        <v>0</v>
      </c>
      <c r="I30" s="236"/>
      <c r="J30" s="236"/>
      <c r="K30" s="233"/>
    </row>
    <row r="31" spans="1:11" s="234" customFormat="1">
      <c r="A31" s="171" t="s">
        <v>1662</v>
      </c>
      <c r="B31" s="235">
        <f>'Sources and Uses Budget'!C31</f>
        <v>2185440</v>
      </c>
      <c r="C31" s="236"/>
      <c r="D31" s="236"/>
      <c r="E31" s="235">
        <f>'Sources and Uses Budget'!S31</f>
        <v>2185440</v>
      </c>
      <c r="F31" s="236"/>
      <c r="G31" s="236"/>
      <c r="H31" s="235">
        <f>'Sources and Uses Budget'!T31</f>
        <v>0</v>
      </c>
      <c r="I31" s="236"/>
      <c r="J31" s="236"/>
      <c r="K31" s="233"/>
    </row>
    <row r="32" spans="1:11" s="234" customFormat="1">
      <c r="A32" s="171" t="s">
        <v>1663</v>
      </c>
      <c r="B32" s="235">
        <f>'Sources and Uses Budget'!C32</f>
        <v>1230496</v>
      </c>
      <c r="C32" s="236"/>
      <c r="D32" s="236"/>
      <c r="E32" s="235">
        <f>'Sources and Uses Budget'!S32</f>
        <v>1230496</v>
      </c>
      <c r="F32" s="236"/>
      <c r="G32" s="236"/>
      <c r="H32" s="235">
        <f>'Sources and Uses Budget'!T32</f>
        <v>0</v>
      </c>
      <c r="I32" s="236"/>
      <c r="J32" s="236"/>
      <c r="K32" s="233"/>
    </row>
    <row r="33" spans="1:11" s="234" customFormat="1">
      <c r="A33" s="171" t="s">
        <v>1664</v>
      </c>
      <c r="B33" s="235">
        <f>'Sources and Uses Budget'!C33</f>
        <v>1230496</v>
      </c>
      <c r="C33" s="236"/>
      <c r="D33" s="236"/>
      <c r="E33" s="235">
        <f>'Sources and Uses Budget'!S33</f>
        <v>1230496</v>
      </c>
      <c r="F33" s="236"/>
      <c r="G33" s="236"/>
      <c r="H33" s="235">
        <f>'Sources and Uses Budget'!T33</f>
        <v>0</v>
      </c>
      <c r="I33" s="236"/>
      <c r="J33" s="236"/>
      <c r="K33" s="233"/>
    </row>
    <row r="34" spans="1:11" s="234" customFormat="1">
      <c r="A34" s="171" t="s">
        <v>1665</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1666</v>
      </c>
      <c r="B35" s="235">
        <f>'Sources and Uses Budget'!C35</f>
        <v>732884</v>
      </c>
      <c r="C35" s="236"/>
      <c r="D35" s="236"/>
      <c r="E35" s="235">
        <f>'Sources and Uses Budget'!S35</f>
        <v>732884</v>
      </c>
      <c r="F35" s="236"/>
      <c r="G35" s="236"/>
      <c r="H35" s="235">
        <f>'Sources and Uses Budget'!T35</f>
        <v>0</v>
      </c>
      <c r="I35" s="236"/>
      <c r="J35" s="236"/>
      <c r="K35" s="233"/>
    </row>
    <row r="36" spans="1:11" s="234" customFormat="1">
      <c r="A36" s="361" t="s">
        <v>1667</v>
      </c>
      <c r="B36" s="235">
        <f>'Sources and Uses Budget'!C36</f>
        <v>0</v>
      </c>
      <c r="C36" s="236"/>
      <c r="D36" s="236"/>
      <c r="E36" s="235">
        <f>'Sources and Uses Budget'!S36</f>
        <v>0</v>
      </c>
      <c r="F36" s="236"/>
      <c r="G36" s="236"/>
      <c r="H36" s="235">
        <f>'Sources and Uses Budget'!T36</f>
        <v>0</v>
      </c>
      <c r="I36" s="236"/>
      <c r="J36" s="236"/>
      <c r="K36" s="233"/>
    </row>
    <row r="37" spans="1:11" s="234" customFormat="1">
      <c r="A37" s="238" t="str">
        <f>'Sources and Uses Budget'!$A37</f>
        <v>Other: Bond Premium</v>
      </c>
      <c r="B37" s="235">
        <f>'Sources and Uses Budget'!C37</f>
        <v>659661</v>
      </c>
      <c r="C37" s="236"/>
      <c r="D37" s="236"/>
      <c r="E37" s="235">
        <f>'Sources and Uses Budget'!S37</f>
        <v>659661</v>
      </c>
      <c r="F37" s="236"/>
      <c r="G37" s="236"/>
      <c r="H37" s="235">
        <f>'Sources and Uses Budget'!T37</f>
        <v>0</v>
      </c>
      <c r="I37" s="236"/>
      <c r="J37" s="236"/>
      <c r="K37" s="233"/>
    </row>
    <row r="38" spans="1:11" s="234" customFormat="1">
      <c r="A38" s="239" t="s">
        <v>1672</v>
      </c>
      <c r="B38" s="235">
        <f>'Sources and Uses Budget'!C38</f>
        <v>66927466</v>
      </c>
      <c r="C38" s="235">
        <f>SUM(C29:C37)</f>
        <v>0</v>
      </c>
      <c r="D38" s="235">
        <f>SUM(D29:D37)</f>
        <v>0</v>
      </c>
      <c r="E38" s="235">
        <f>'Sources and Uses Budget'!S38</f>
        <v>66867011</v>
      </c>
      <c r="F38" s="241">
        <f>SUM(F29:F37)</f>
        <v>0</v>
      </c>
      <c r="G38" s="241">
        <f>SUM(G29:G37)</f>
        <v>0</v>
      </c>
      <c r="H38" s="235">
        <f>'Sources and Uses Budget'!T38</f>
        <v>0</v>
      </c>
      <c r="I38" s="241">
        <f>SUM(I29:I37)</f>
        <v>0</v>
      </c>
      <c r="J38" s="241">
        <f>SUM(J29:J37)</f>
        <v>0</v>
      </c>
      <c r="K38" s="233"/>
    </row>
    <row r="39" spans="1:11" s="234" customFormat="1">
      <c r="A39" s="231" t="s">
        <v>1673</v>
      </c>
      <c r="B39" s="232"/>
      <c r="C39" s="232"/>
      <c r="D39" s="232"/>
      <c r="E39" s="232"/>
      <c r="F39" s="232"/>
      <c r="G39" s="232"/>
      <c r="H39" s="232"/>
      <c r="I39" s="232"/>
      <c r="J39" s="232"/>
      <c r="K39" s="233"/>
    </row>
    <row r="40" spans="1:11" s="234" customFormat="1">
      <c r="A40" s="238" t="s">
        <v>1674</v>
      </c>
      <c r="B40" s="235">
        <f>'Sources and Uses Budget'!C40</f>
        <v>1368980</v>
      </c>
      <c r="C40" s="236"/>
      <c r="D40" s="236"/>
      <c r="E40" s="235">
        <f>'Sources and Uses Budget'!S40</f>
        <v>1368980</v>
      </c>
      <c r="F40" s="236"/>
      <c r="G40" s="236"/>
      <c r="H40" s="235">
        <f>'Sources and Uses Budget'!T40</f>
        <v>0</v>
      </c>
      <c r="I40" s="236"/>
      <c r="J40" s="236"/>
      <c r="K40" s="233"/>
    </row>
    <row r="41" spans="1:11" s="234" customFormat="1">
      <c r="A41" s="238" t="s">
        <v>1675</v>
      </c>
      <c r="B41" s="235">
        <f>'Sources and Uses Budget'!C41</f>
        <v>252000</v>
      </c>
      <c r="C41" s="236"/>
      <c r="D41" s="236"/>
      <c r="E41" s="235">
        <f>'Sources and Uses Budget'!S41</f>
        <v>252000</v>
      </c>
      <c r="F41" s="236"/>
      <c r="G41" s="236"/>
      <c r="H41" s="235">
        <f>'Sources and Uses Budget'!T41</f>
        <v>0</v>
      </c>
      <c r="I41" s="236"/>
      <c r="J41" s="236"/>
      <c r="K41" s="233"/>
    </row>
    <row r="42" spans="1:11" s="234" customFormat="1">
      <c r="A42" s="239" t="s">
        <v>1676</v>
      </c>
      <c r="B42" s="235">
        <f>'Sources and Uses Budget'!C42</f>
        <v>1620980</v>
      </c>
      <c r="C42" s="235">
        <f>SUM(C39:C41)</f>
        <v>0</v>
      </c>
      <c r="D42" s="235">
        <f>SUM(D39:D41)</f>
        <v>0</v>
      </c>
      <c r="E42" s="235">
        <f>'Sources and Uses Budget'!S42</f>
        <v>1620980</v>
      </c>
      <c r="F42" s="241">
        <f>SUM(F40:F41)</f>
        <v>0</v>
      </c>
      <c r="G42" s="241">
        <f>SUM(G40:G41)</f>
        <v>0</v>
      </c>
      <c r="H42" s="235">
        <f>'Sources and Uses Budget'!T42</f>
        <v>0</v>
      </c>
      <c r="I42" s="241">
        <f>SUM(I40:I41)</f>
        <v>0</v>
      </c>
      <c r="J42" s="241">
        <f>SUM(J40:J41)</f>
        <v>0</v>
      </c>
      <c r="K42" s="233"/>
    </row>
    <row r="43" spans="1:11" s="234" customFormat="1">
      <c r="A43" s="239" t="s">
        <v>1677</v>
      </c>
      <c r="B43" s="235">
        <f>'Sources and Uses Budget'!C43</f>
        <v>1037720</v>
      </c>
      <c r="C43" s="236"/>
      <c r="D43" s="236"/>
      <c r="E43" s="235">
        <f>'Sources and Uses Budget'!S43</f>
        <v>1037720</v>
      </c>
      <c r="F43" s="236"/>
      <c r="G43" s="236"/>
      <c r="H43" s="235">
        <f>'Sources and Uses Budget'!T43</f>
        <v>0</v>
      </c>
      <c r="I43" s="236"/>
      <c r="J43" s="236"/>
      <c r="K43" s="233"/>
    </row>
    <row r="44" spans="1:11" s="234" customFormat="1">
      <c r="A44" s="231" t="s">
        <v>1678</v>
      </c>
      <c r="B44" s="232"/>
      <c r="C44" s="232"/>
      <c r="D44" s="232"/>
      <c r="E44" s="232"/>
      <c r="F44" s="232"/>
      <c r="G44" s="232"/>
      <c r="H44" s="232"/>
      <c r="I44" s="232"/>
      <c r="J44" s="232"/>
      <c r="K44" s="233"/>
    </row>
    <row r="45" spans="1:11" s="234" customFormat="1">
      <c r="A45" s="238" t="s">
        <v>1679</v>
      </c>
      <c r="B45" s="235">
        <f>'Sources and Uses Budget'!C45</f>
        <v>10230777</v>
      </c>
      <c r="C45" s="236"/>
      <c r="D45" s="236"/>
      <c r="E45" s="235">
        <f>'Sources and Uses Budget'!S45</f>
        <v>5480142</v>
      </c>
      <c r="F45" s="236"/>
      <c r="G45" s="236"/>
      <c r="H45" s="235">
        <f>'Sources and Uses Budget'!T45</f>
        <v>0</v>
      </c>
      <c r="I45" s="236"/>
      <c r="J45" s="236"/>
      <c r="K45" s="233"/>
    </row>
    <row r="46" spans="1:11" s="234" customFormat="1">
      <c r="A46" s="238" t="s">
        <v>1680</v>
      </c>
      <c r="B46" s="235">
        <f>'Sources and Uses Budget'!C46</f>
        <v>873147</v>
      </c>
      <c r="C46" s="236"/>
      <c r="D46" s="236"/>
      <c r="E46" s="235">
        <f>'Sources and Uses Budget'!S46</f>
        <v>637161</v>
      </c>
      <c r="F46" s="236"/>
      <c r="G46" s="236"/>
      <c r="H46" s="235">
        <f>'Sources and Uses Budget'!T46</f>
        <v>0</v>
      </c>
      <c r="I46" s="236"/>
      <c r="J46" s="236"/>
      <c r="K46" s="233"/>
    </row>
    <row r="47" spans="1:11" s="234" customFormat="1" ht="12" customHeight="1">
      <c r="A47" s="238" t="s">
        <v>1681</v>
      </c>
      <c r="B47" s="235">
        <f>'Sources and Uses Budget'!C47</f>
        <v>0</v>
      </c>
      <c r="C47" s="236"/>
      <c r="D47" s="236"/>
      <c r="E47" s="235">
        <f>'Sources and Uses Budget'!S47</f>
        <v>0</v>
      </c>
      <c r="F47" s="236"/>
      <c r="G47" s="236"/>
      <c r="H47" s="235">
        <f>'Sources and Uses Budget'!T47</f>
        <v>0</v>
      </c>
      <c r="I47" s="236"/>
      <c r="J47" s="236"/>
      <c r="K47" s="233"/>
    </row>
    <row r="48" spans="1:11" s="234" customFormat="1">
      <c r="A48" s="238" t="s">
        <v>1682</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1683</v>
      </c>
      <c r="B49" s="235">
        <f>'Sources and Uses Budget'!C49</f>
        <v>349467</v>
      </c>
      <c r="C49" s="236"/>
      <c r="D49" s="236"/>
      <c r="E49" s="235">
        <f>'Sources and Uses Budget'!S49</f>
        <v>0</v>
      </c>
      <c r="F49" s="236"/>
      <c r="G49" s="236"/>
      <c r="H49" s="235">
        <f>'Sources and Uses Budget'!T49</f>
        <v>0</v>
      </c>
      <c r="I49" s="236"/>
      <c r="J49" s="236"/>
      <c r="K49" s="233"/>
    </row>
    <row r="50" spans="1:11" s="234" customFormat="1">
      <c r="A50" s="238" t="s">
        <v>1684</v>
      </c>
      <c r="B50" s="235">
        <f>'Sources and Uses Budget'!C50</f>
        <v>100000</v>
      </c>
      <c r="C50" s="236"/>
      <c r="D50" s="236"/>
      <c r="E50" s="235">
        <f>'Sources and Uses Budget'!S50</f>
        <v>100000</v>
      </c>
      <c r="F50" s="236"/>
      <c r="G50" s="236"/>
      <c r="H50" s="235">
        <f>'Sources and Uses Budget'!T50</f>
        <v>0</v>
      </c>
      <c r="I50" s="236"/>
      <c r="J50" s="236"/>
      <c r="K50" s="233"/>
    </row>
    <row r="51" spans="1:11" s="234" customFormat="1">
      <c r="A51" s="238" t="s">
        <v>1685</v>
      </c>
      <c r="B51" s="235">
        <f>'Sources and Uses Budget'!C51</f>
        <v>320000</v>
      </c>
      <c r="C51" s="236"/>
      <c r="D51" s="236"/>
      <c r="E51" s="235">
        <f>'Sources and Uses Budget'!S51</f>
        <v>320000</v>
      </c>
      <c r="F51" s="236"/>
      <c r="G51" s="236"/>
      <c r="H51" s="235">
        <f>'Sources and Uses Budget'!T51</f>
        <v>0</v>
      </c>
      <c r="I51" s="236"/>
      <c r="J51" s="236"/>
      <c r="K51" s="233"/>
    </row>
    <row r="52" spans="1:11" s="234" customFormat="1">
      <c r="A52" s="238" t="s">
        <v>1452</v>
      </c>
      <c r="B52" s="235">
        <f>'Sources and Uses Budget'!C52</f>
        <v>1079884</v>
      </c>
      <c r="C52" s="236"/>
      <c r="D52" s="236"/>
      <c r="E52" s="235">
        <f>'Sources and Uses Budget'!S52</f>
        <v>1079884</v>
      </c>
      <c r="F52" s="236"/>
      <c r="G52" s="236"/>
      <c r="H52" s="235">
        <f>'Sources and Uses Budget'!T52</f>
        <v>0</v>
      </c>
      <c r="I52" s="236"/>
      <c r="J52" s="236"/>
      <c r="K52" s="233"/>
    </row>
    <row r="53" spans="1:11" s="234" customFormat="1">
      <c r="A53" s="238" t="str">
        <f>'Sources and Uses Budget'!$A53</f>
        <v>Other:</v>
      </c>
      <c r="B53" s="235">
        <f>'Sources and Uses Budget'!C53</f>
        <v>0</v>
      </c>
      <c r="C53" s="236"/>
      <c r="D53" s="236"/>
      <c r="E53" s="235">
        <f>'Sources and Uses Budget'!S53</f>
        <v>0</v>
      </c>
      <c r="F53" s="236"/>
      <c r="G53" s="236"/>
      <c r="H53" s="235">
        <f>'Sources and Uses Budget'!T53</f>
        <v>0</v>
      </c>
      <c r="I53" s="236"/>
      <c r="J53" s="236"/>
      <c r="K53" s="233"/>
    </row>
    <row r="54" spans="1:11" s="243" customFormat="1">
      <c r="A54" s="239" t="s">
        <v>1686</v>
      </c>
      <c r="B54" s="235">
        <f>'Sources and Uses Budget'!C54</f>
        <v>12953275</v>
      </c>
      <c r="C54" s="241">
        <f>SUM(C45:C53)</f>
        <v>0</v>
      </c>
      <c r="D54" s="241">
        <f>SUM(D45:D53)</f>
        <v>0</v>
      </c>
      <c r="E54" s="235">
        <f>'Sources and Uses Budget'!S54</f>
        <v>7617187</v>
      </c>
      <c r="F54" s="241">
        <f>SUM(F45:F53)</f>
        <v>0</v>
      </c>
      <c r="G54" s="241">
        <f>SUM(G45:G53)</f>
        <v>0</v>
      </c>
      <c r="H54" s="235">
        <f>'Sources and Uses Budget'!T54</f>
        <v>0</v>
      </c>
      <c r="I54" s="241">
        <f>SUM(I45:I53)</f>
        <v>0</v>
      </c>
      <c r="J54" s="241">
        <f>SUM(J45:J53)</f>
        <v>0</v>
      </c>
      <c r="K54" s="242"/>
    </row>
    <row r="55" spans="1:11" s="234" customFormat="1">
      <c r="A55" s="231" t="s">
        <v>1273</v>
      </c>
      <c r="B55" s="232"/>
      <c r="C55" s="232"/>
      <c r="D55" s="232"/>
      <c r="E55" s="232"/>
      <c r="F55" s="232"/>
      <c r="G55" s="232"/>
      <c r="H55" s="232"/>
      <c r="I55" s="232"/>
      <c r="J55" s="232"/>
      <c r="K55" s="233"/>
    </row>
    <row r="56" spans="1:11" s="234" customFormat="1">
      <c r="A56" s="238" t="s">
        <v>1687</v>
      </c>
      <c r="B56" s="235">
        <f>'Sources and Uses Budget'!C56</f>
        <v>323970</v>
      </c>
      <c r="C56" s="236"/>
      <c r="D56" s="236"/>
      <c r="E56" s="237"/>
      <c r="F56" s="237"/>
      <c r="G56" s="237"/>
      <c r="H56" s="237"/>
      <c r="I56" s="237"/>
      <c r="J56" s="237"/>
      <c r="K56" s="233"/>
    </row>
    <row r="57" spans="1:11" s="234" customFormat="1" ht="12" customHeight="1">
      <c r="A57" s="238" t="s">
        <v>1681</v>
      </c>
      <c r="B57" s="235">
        <f>'Sources and Uses Budget'!C57</f>
        <v>0</v>
      </c>
      <c r="C57" s="236"/>
      <c r="D57" s="236"/>
      <c r="E57" s="237"/>
      <c r="F57" s="237"/>
      <c r="G57" s="237"/>
      <c r="H57" s="237"/>
      <c r="I57" s="237"/>
      <c r="J57" s="237"/>
      <c r="K57" s="233"/>
    </row>
    <row r="58" spans="1:11" s="234" customFormat="1">
      <c r="A58" s="238" t="s">
        <v>1684</v>
      </c>
      <c r="B58" s="235">
        <f>'Sources and Uses Budget'!C58</f>
        <v>20000</v>
      </c>
      <c r="C58" s="236"/>
      <c r="D58" s="236"/>
      <c r="E58" s="237"/>
      <c r="F58" s="237"/>
      <c r="G58" s="237"/>
      <c r="H58" s="237"/>
      <c r="I58" s="237"/>
      <c r="J58" s="237"/>
      <c r="K58" s="233"/>
    </row>
    <row r="59" spans="1:11" s="234" customFormat="1">
      <c r="A59" s="238" t="s">
        <v>1685</v>
      </c>
      <c r="B59" s="235">
        <f>'Sources and Uses Budget'!C59</f>
        <v>0</v>
      </c>
      <c r="C59" s="236"/>
      <c r="D59" s="236"/>
      <c r="E59" s="237"/>
      <c r="F59" s="237"/>
      <c r="G59" s="237"/>
      <c r="H59" s="237"/>
      <c r="I59" s="237"/>
      <c r="J59" s="237"/>
      <c r="K59" s="233"/>
    </row>
    <row r="60" spans="1:11" s="234" customFormat="1">
      <c r="A60" s="238" t="s">
        <v>1452</v>
      </c>
      <c r="B60" s="235">
        <f>'Sources and Uses Budget'!C60</f>
        <v>0</v>
      </c>
      <c r="C60" s="236"/>
      <c r="D60" s="236"/>
      <c r="E60" s="237"/>
      <c r="F60" s="237"/>
      <c r="G60" s="237"/>
      <c r="H60" s="237"/>
      <c r="I60" s="237"/>
      <c r="J60" s="237"/>
      <c r="K60" s="233"/>
    </row>
    <row r="61" spans="1:11" s="234" customFormat="1">
      <c r="A61" s="238" t="str">
        <f>'Sources and Uses Budget'!$A61</f>
        <v>Other: CalHFA MIP Fees</v>
      </c>
      <c r="B61" s="235">
        <f>'Sources and Uses Budget'!C61</f>
        <v>60000</v>
      </c>
      <c r="C61" s="236"/>
      <c r="D61" s="236"/>
      <c r="E61" s="237"/>
      <c r="F61" s="237"/>
      <c r="G61" s="237"/>
      <c r="H61" s="237"/>
      <c r="I61" s="237"/>
      <c r="J61" s="237"/>
      <c r="K61" s="233"/>
    </row>
    <row r="62" spans="1:11" s="234" customFormat="1" ht="13.9" customHeight="1">
      <c r="A62" s="239" t="s">
        <v>1688</v>
      </c>
      <c r="B62" s="235">
        <f>'Sources and Uses Budget'!C62</f>
        <v>403970</v>
      </c>
      <c r="C62" s="235">
        <f>SUM(C56:C61)</f>
        <v>0</v>
      </c>
      <c r="D62" s="235">
        <f>SUM(D56:D61)</f>
        <v>0</v>
      </c>
      <c r="E62" s="237"/>
      <c r="F62" s="237"/>
      <c r="G62" s="237"/>
      <c r="H62" s="237"/>
      <c r="I62" s="237"/>
      <c r="J62" s="237"/>
      <c r="K62" s="233"/>
    </row>
    <row r="63" spans="1:11" s="234" customFormat="1">
      <c r="A63" s="244" t="s">
        <v>1689</v>
      </c>
      <c r="B63" s="235">
        <f>'Sources and Uses Budget'!C63</f>
        <v>90052015</v>
      </c>
      <c r="C63" s="235">
        <f>SUM(C8+C11+C13+C14+C15+C26+C27+C38+C42+C43+C54+C62)</f>
        <v>0</v>
      </c>
      <c r="D63" s="235">
        <f>SUM(D8+D11+D13+D14+D15+D26+D27+D38+D42+D43+D54+D62)</f>
        <v>0</v>
      </c>
      <c r="E63" s="235">
        <f>'Sources and Uses Budget'!S63</f>
        <v>77497898</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1690</v>
      </c>
      <c r="B64" s="232"/>
      <c r="C64" s="232"/>
      <c r="D64" s="232"/>
      <c r="E64" s="232"/>
      <c r="F64" s="232"/>
      <c r="G64" s="232"/>
      <c r="H64" s="232"/>
      <c r="I64" s="232"/>
      <c r="J64" s="232"/>
      <c r="K64" s="233"/>
    </row>
    <row r="65" spans="1:11" s="234" customFormat="1">
      <c r="A65" s="171" t="s">
        <v>1691</v>
      </c>
      <c r="B65" s="235">
        <f>'Sources and Uses Budget'!C65</f>
        <v>275000</v>
      </c>
      <c r="C65" s="236"/>
      <c r="D65" s="236"/>
      <c r="E65" s="235">
        <f>'Sources and Uses Budget'!S65</f>
        <v>275000</v>
      </c>
      <c r="F65" s="236"/>
      <c r="G65" s="236"/>
      <c r="H65" s="235">
        <f>'Sources and Uses Budget'!T65</f>
        <v>0</v>
      </c>
      <c r="I65" s="236"/>
      <c r="J65" s="236"/>
      <c r="K65" s="233"/>
    </row>
    <row r="66" spans="1:11" s="234" customFormat="1" ht="24">
      <c r="A66" s="171" t="s">
        <v>1692</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1693</v>
      </c>
      <c r="B67" s="235">
        <f>'Sources and Uses Budget'!C67</f>
        <v>0</v>
      </c>
      <c r="C67" s="236"/>
      <c r="D67" s="236"/>
      <c r="E67" s="235">
        <f>'Sources and Uses Budget'!S67</f>
        <v>0</v>
      </c>
      <c r="F67" s="236"/>
      <c r="G67" s="236"/>
      <c r="H67" s="235">
        <f>'Sources and Uses Budget'!T67</f>
        <v>0</v>
      </c>
      <c r="I67" s="236"/>
      <c r="J67" s="236"/>
      <c r="K67" s="233"/>
    </row>
    <row r="68" spans="1:11" s="234" customFormat="1">
      <c r="A68" s="171" t="s">
        <v>1694</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Other: (Specify)</v>
      </c>
      <c r="B69" s="235">
        <f>'Sources and Uses Budget'!C69</f>
        <v>0</v>
      </c>
      <c r="C69" s="236"/>
      <c r="D69" s="236"/>
      <c r="E69" s="235">
        <f>'Sources and Uses Budget'!S69</f>
        <v>0</v>
      </c>
      <c r="F69" s="236"/>
      <c r="G69" s="236"/>
      <c r="H69" s="235">
        <f>'Sources and Uses Budget'!T69</f>
        <v>0</v>
      </c>
      <c r="I69" s="236"/>
      <c r="J69" s="236"/>
      <c r="K69" s="233"/>
    </row>
    <row r="70" spans="1:11" s="234" customFormat="1">
      <c r="A70" s="239" t="s">
        <v>1770</v>
      </c>
      <c r="B70" s="235">
        <f>'Sources and Uses Budget'!C70</f>
        <v>275000</v>
      </c>
      <c r="C70" s="235">
        <f>SUM(C64:C69)</f>
        <v>0</v>
      </c>
      <c r="D70" s="235">
        <f>SUM(D64:D69)</f>
        <v>0</v>
      </c>
      <c r="E70" s="235">
        <f>'Sources and Uses Budget'!S70</f>
        <v>275000</v>
      </c>
      <c r="F70" s="241">
        <f>SUM(F65:F69)</f>
        <v>0</v>
      </c>
      <c r="G70" s="241">
        <f>SUM(G65:G69)</f>
        <v>0</v>
      </c>
      <c r="H70" s="235">
        <f>'Sources and Uses Budget'!T70</f>
        <v>0</v>
      </c>
      <c r="I70" s="241">
        <f>SUM(I65:I69)</f>
        <v>0</v>
      </c>
      <c r="J70" s="241">
        <f>SUM(J65:J69)</f>
        <v>0</v>
      </c>
      <c r="K70" s="233"/>
    </row>
    <row r="71" spans="1:11" s="234" customFormat="1">
      <c r="A71" s="231" t="s">
        <v>1696</v>
      </c>
      <c r="B71" s="232"/>
      <c r="C71" s="232"/>
      <c r="D71" s="232"/>
      <c r="E71" s="232"/>
      <c r="F71" s="232"/>
      <c r="G71" s="232"/>
      <c r="H71" s="232"/>
      <c r="I71" s="232"/>
      <c r="J71" s="232"/>
      <c r="K71" s="233"/>
    </row>
    <row r="72" spans="1:11" s="234" customFormat="1">
      <c r="A72" s="238" t="s">
        <v>1697</v>
      </c>
      <c r="B72" s="235">
        <f>'Sources and Uses Budget'!C72</f>
        <v>0</v>
      </c>
      <c r="C72" s="236"/>
      <c r="D72" s="236"/>
      <c r="E72" s="237"/>
      <c r="F72" s="237"/>
      <c r="G72" s="237"/>
      <c r="H72" s="237"/>
      <c r="I72" s="237"/>
      <c r="J72" s="237"/>
      <c r="K72" s="233"/>
    </row>
    <row r="73" spans="1:11" s="234" customFormat="1">
      <c r="A73" s="238" t="s">
        <v>1698</v>
      </c>
      <c r="B73" s="235">
        <f>'Sources and Uses Budget'!C73</f>
        <v>0</v>
      </c>
      <c r="C73" s="236"/>
      <c r="D73" s="236"/>
      <c r="E73" s="237"/>
      <c r="F73" s="237"/>
      <c r="G73" s="237"/>
      <c r="H73" s="237"/>
      <c r="I73" s="237"/>
      <c r="J73" s="237"/>
      <c r="K73" s="233"/>
    </row>
    <row r="74" spans="1:11" s="234" customFormat="1">
      <c r="A74" s="240" t="s">
        <v>1699</v>
      </c>
      <c r="B74" s="235">
        <f>'Sources and Uses Budget'!C74</f>
        <v>0</v>
      </c>
      <c r="C74" s="236"/>
      <c r="D74" s="236"/>
      <c r="E74" s="237"/>
      <c r="F74" s="237"/>
      <c r="G74" s="237"/>
      <c r="H74" s="237"/>
      <c r="I74" s="237"/>
      <c r="J74" s="237"/>
      <c r="K74" s="233"/>
    </row>
    <row r="75" spans="1:11" s="234" customFormat="1">
      <c r="A75" s="238" t="s">
        <v>1700</v>
      </c>
      <c r="B75" s="235">
        <f>'Sources and Uses Budget'!C75</f>
        <v>982098</v>
      </c>
      <c r="C75" s="236"/>
      <c r="D75" s="236"/>
      <c r="E75" s="237"/>
      <c r="F75" s="237"/>
      <c r="G75" s="237"/>
      <c r="H75" s="237"/>
      <c r="I75" s="237"/>
      <c r="J75" s="237"/>
      <c r="K75" s="233"/>
    </row>
    <row r="76" spans="1:11" s="234" customFormat="1">
      <c r="A76" s="238" t="str">
        <f>'Sources and Uses Budget'!$A76</f>
        <v>Transition Reserve Pooled</v>
      </c>
      <c r="B76" s="235">
        <f>'Sources and Uses Budget'!C76</f>
        <v>175770</v>
      </c>
      <c r="C76" s="236"/>
      <c r="D76" s="236"/>
      <c r="E76" s="237"/>
      <c r="F76" s="237"/>
      <c r="G76" s="237"/>
      <c r="H76" s="237"/>
      <c r="I76" s="237"/>
      <c r="J76" s="237"/>
      <c r="K76" s="233"/>
    </row>
    <row r="77" spans="1:11" s="234" customFormat="1">
      <c r="A77" s="239" t="s">
        <v>1701</v>
      </c>
      <c r="B77" s="235">
        <f>'Sources and Uses Budget'!C77</f>
        <v>1157868</v>
      </c>
      <c r="C77" s="235">
        <f>SUM(C72:C76)</f>
        <v>0</v>
      </c>
      <c r="D77" s="235">
        <f>SUM(D72:D76)</f>
        <v>0</v>
      </c>
      <c r="E77" s="237"/>
      <c r="F77" s="237"/>
      <c r="G77" s="237"/>
      <c r="H77" s="237"/>
      <c r="I77" s="237"/>
      <c r="J77" s="237"/>
      <c r="K77" s="233"/>
    </row>
    <row r="78" spans="1:11" s="234" customFormat="1">
      <c r="A78" s="231" t="s">
        <v>1702</v>
      </c>
      <c r="B78" s="232"/>
      <c r="C78" s="232"/>
      <c r="D78" s="232"/>
      <c r="E78" s="232"/>
      <c r="F78" s="232"/>
      <c r="G78" s="232"/>
      <c r="H78" s="232"/>
      <c r="I78" s="232"/>
      <c r="J78" s="232"/>
      <c r="K78" s="233"/>
    </row>
    <row r="79" spans="1:11" s="234" customFormat="1">
      <c r="A79" s="238" t="s">
        <v>1703</v>
      </c>
      <c r="B79" s="235">
        <f>'Sources and Uses Budget'!C79</f>
        <v>4709773</v>
      </c>
      <c r="C79" s="236"/>
      <c r="D79" s="236"/>
      <c r="E79" s="235">
        <f>'Sources and Uses Budget'!S79</f>
        <v>4709773</v>
      </c>
      <c r="F79" s="236"/>
      <c r="G79" s="236"/>
      <c r="H79" s="235">
        <f>'Sources and Uses Budget'!T79</f>
        <v>0</v>
      </c>
      <c r="I79" s="236"/>
      <c r="J79" s="236"/>
      <c r="K79" s="233"/>
    </row>
    <row r="80" spans="1:11" s="234" customFormat="1">
      <c r="A80" s="238" t="s">
        <v>1704</v>
      </c>
      <c r="B80" s="235">
        <f>'Sources and Uses Budget'!C80</f>
        <v>544327</v>
      </c>
      <c r="C80" s="236"/>
      <c r="D80" s="236"/>
      <c r="E80" s="235">
        <f>'Sources and Uses Budget'!S80</f>
        <v>544327</v>
      </c>
      <c r="F80" s="236"/>
      <c r="G80" s="236"/>
      <c r="H80" s="235">
        <f>'Sources and Uses Budget'!T80</f>
        <v>0</v>
      </c>
      <c r="I80" s="236"/>
      <c r="J80" s="236"/>
      <c r="K80" s="233"/>
    </row>
    <row r="81" spans="1:11" s="234" customFormat="1">
      <c r="A81" s="239" t="s">
        <v>1705</v>
      </c>
      <c r="B81" s="235">
        <f>'Sources and Uses Budget'!C81</f>
        <v>5254100</v>
      </c>
      <c r="C81" s="235">
        <f>SUM(C79:C80)</f>
        <v>0</v>
      </c>
      <c r="D81" s="235">
        <f>SUM(D79:D80)</f>
        <v>0</v>
      </c>
      <c r="E81" s="235">
        <f>'Sources and Uses Budget'!S81</f>
        <v>5254100</v>
      </c>
      <c r="F81" s="235">
        <f>SUM(F79:F80)</f>
        <v>0</v>
      </c>
      <c r="G81" s="235">
        <f>SUM(G79:G80)</f>
        <v>0</v>
      </c>
      <c r="H81" s="235">
        <f>'Sources and Uses Budget'!T81</f>
        <v>0</v>
      </c>
      <c r="I81" s="235">
        <f>SUM(I79:I80)</f>
        <v>0</v>
      </c>
      <c r="J81" s="235">
        <f>SUM(J79:J80)</f>
        <v>0</v>
      </c>
      <c r="K81" s="233"/>
    </row>
    <row r="82" spans="1:11" s="234" customFormat="1">
      <c r="A82" s="231" t="s">
        <v>1706</v>
      </c>
      <c r="B82" s="232"/>
      <c r="C82" s="232"/>
      <c r="D82" s="232"/>
      <c r="E82" s="232"/>
      <c r="F82" s="232"/>
      <c r="G82" s="232"/>
      <c r="H82" s="232"/>
      <c r="I82" s="232"/>
      <c r="J82" s="232"/>
      <c r="K82" s="233"/>
    </row>
    <row r="83" spans="1:11" s="234" customFormat="1" ht="13.9" customHeight="1">
      <c r="A83" s="171" t="s">
        <v>1707</v>
      </c>
      <c r="B83" s="235">
        <f>'Sources and Uses Budget'!C83</f>
        <v>159433</v>
      </c>
      <c r="C83" s="236"/>
      <c r="D83" s="236"/>
      <c r="E83" s="237"/>
      <c r="F83" s="237"/>
      <c r="G83" s="237"/>
      <c r="H83" s="237"/>
      <c r="I83" s="237"/>
      <c r="J83" s="237"/>
      <c r="K83" s="233"/>
    </row>
    <row r="84" spans="1:11" s="234" customFormat="1">
      <c r="A84" s="171" t="s">
        <v>1708</v>
      </c>
      <c r="B84" s="235">
        <f>'Sources and Uses Budget'!C84</f>
        <v>9000</v>
      </c>
      <c r="C84" s="236"/>
      <c r="D84" s="236"/>
      <c r="E84" s="235">
        <f>'Sources and Uses Budget'!S84</f>
        <v>9000</v>
      </c>
      <c r="F84" s="236"/>
      <c r="G84" s="236"/>
      <c r="H84" s="235">
        <f>'Sources and Uses Budget'!T84</f>
        <v>0</v>
      </c>
      <c r="I84" s="236"/>
      <c r="J84" s="236"/>
      <c r="K84" s="233"/>
    </row>
    <row r="85" spans="1:11" s="234" customFormat="1">
      <c r="A85" s="171" t="s">
        <v>1709</v>
      </c>
      <c r="B85" s="235">
        <f>'Sources and Uses Budget'!C85</f>
        <v>1856297</v>
      </c>
      <c r="C85" s="236"/>
      <c r="D85" s="236"/>
      <c r="E85" s="235">
        <f>'Sources and Uses Budget'!S85</f>
        <v>999072</v>
      </c>
      <c r="F85" s="236"/>
      <c r="G85" s="236"/>
      <c r="H85" s="235">
        <f>'Sources and Uses Budget'!T85</f>
        <v>0</v>
      </c>
      <c r="I85" s="236"/>
      <c r="J85" s="236"/>
      <c r="K85" s="233"/>
    </row>
    <row r="86" spans="1:11" s="234" customFormat="1">
      <c r="A86" s="171" t="s">
        <v>1710</v>
      </c>
      <c r="B86" s="235">
        <f>'Sources and Uses Budget'!C86</f>
        <v>355000</v>
      </c>
      <c r="C86" s="236"/>
      <c r="D86" s="236"/>
      <c r="E86" s="235">
        <f>'Sources and Uses Budget'!S86</f>
        <v>355000</v>
      </c>
      <c r="F86" s="236"/>
      <c r="G86" s="236"/>
      <c r="H86" s="235">
        <f>'Sources and Uses Budget'!T86</f>
        <v>0</v>
      </c>
      <c r="I86" s="236"/>
      <c r="J86" s="236"/>
      <c r="K86" s="233"/>
    </row>
    <row r="87" spans="1:11" s="234" customFormat="1">
      <c r="A87" s="171" t="s">
        <v>1711</v>
      </c>
      <c r="B87" s="235">
        <f>'Sources and Uses Budget'!C87</f>
        <v>0</v>
      </c>
      <c r="C87" s="236"/>
      <c r="D87" s="236"/>
      <c r="E87" s="235">
        <f>'Sources and Uses Budget'!S87</f>
        <v>0</v>
      </c>
      <c r="F87" s="236"/>
      <c r="G87" s="236"/>
      <c r="H87" s="235">
        <f>'Sources and Uses Budget'!T87</f>
        <v>0</v>
      </c>
      <c r="I87" s="236"/>
      <c r="J87" s="236"/>
      <c r="K87" s="233"/>
    </row>
    <row r="88" spans="1:11" s="234" customFormat="1">
      <c r="A88" s="171" t="s">
        <v>1712</v>
      </c>
      <c r="B88" s="235">
        <f>'Sources and Uses Budget'!C88</f>
        <v>100525</v>
      </c>
      <c r="C88" s="236"/>
      <c r="D88" s="236"/>
      <c r="E88" s="237"/>
      <c r="F88" s="237"/>
      <c r="G88" s="237"/>
      <c r="H88" s="237"/>
      <c r="I88" s="237"/>
      <c r="J88" s="237"/>
      <c r="K88" s="233"/>
    </row>
    <row r="89" spans="1:11" s="234" customFormat="1">
      <c r="A89" s="171" t="s">
        <v>1713</v>
      </c>
      <c r="B89" s="235">
        <f>'Sources and Uses Budget'!C89</f>
        <v>229500</v>
      </c>
      <c r="C89" s="236"/>
      <c r="D89" s="236"/>
      <c r="E89" s="235">
        <f>'Sources and Uses Budget'!S89</f>
        <v>229500</v>
      </c>
      <c r="F89" s="236"/>
      <c r="G89" s="236"/>
      <c r="H89" s="235">
        <f>'Sources and Uses Budget'!T89</f>
        <v>0</v>
      </c>
      <c r="I89" s="236"/>
      <c r="J89" s="236"/>
      <c r="K89" s="233"/>
    </row>
    <row r="90" spans="1:11" s="234" customFormat="1">
      <c r="A90" s="171" t="s">
        <v>1714</v>
      </c>
      <c r="B90" s="235">
        <f>'Sources and Uses Budget'!C90</f>
        <v>21402</v>
      </c>
      <c r="C90" s="236"/>
      <c r="D90" s="236"/>
      <c r="E90" s="235">
        <f>'Sources and Uses Budget'!S90</f>
        <v>0</v>
      </c>
      <c r="F90" s="236"/>
      <c r="G90" s="236"/>
      <c r="H90" s="235">
        <f>'Sources and Uses Budget'!T90</f>
        <v>0</v>
      </c>
      <c r="I90" s="236"/>
      <c r="J90" s="236"/>
      <c r="K90" s="233"/>
    </row>
    <row r="91" spans="1:11" s="234" customFormat="1">
      <c r="A91" s="361" t="s">
        <v>1715</v>
      </c>
      <c r="B91" s="235">
        <f>'Sources and Uses Budget'!C91</f>
        <v>0</v>
      </c>
      <c r="C91" s="236"/>
      <c r="D91" s="236"/>
      <c r="E91" s="235">
        <f>'Sources and Uses Budget'!S91</f>
        <v>0</v>
      </c>
      <c r="F91" s="236"/>
      <c r="G91" s="236"/>
      <c r="H91" s="235">
        <f>'Sources and Uses Budget'!T91</f>
        <v>0</v>
      </c>
      <c r="I91" s="236"/>
      <c r="J91" s="236"/>
      <c r="K91" s="233"/>
    </row>
    <row r="92" spans="1:11" s="234" customFormat="1">
      <c r="A92" s="361" t="s">
        <v>1716</v>
      </c>
      <c r="B92" s="235">
        <f>'Sources and Uses Budget'!C92</f>
        <v>8700</v>
      </c>
      <c r="C92" s="236"/>
      <c r="D92" s="236"/>
      <c r="E92" s="235">
        <f>'Sources and Uses Budget'!S92</f>
        <v>8700</v>
      </c>
      <c r="F92" s="236"/>
      <c r="G92" s="236"/>
      <c r="H92" s="235">
        <f>'Sources and Uses Budget'!T92</f>
        <v>0</v>
      </c>
      <c r="I92" s="236"/>
      <c r="J92" s="236"/>
      <c r="K92" s="233"/>
    </row>
    <row r="93" spans="1:11" s="234" customFormat="1">
      <c r="A93" s="238" t="str">
        <f>'Sources and Uses Budget'!$A93</f>
        <v>Utility Relocation</v>
      </c>
      <c r="B93" s="235">
        <f>'Sources and Uses Budget'!C93</f>
        <v>400000</v>
      </c>
      <c r="C93" s="236"/>
      <c r="D93" s="236"/>
      <c r="E93" s="235">
        <f>'Sources and Uses Budget'!S93</f>
        <v>400000</v>
      </c>
      <c r="F93" s="236"/>
      <c r="G93" s="236"/>
      <c r="H93" s="235">
        <f>'Sources and Uses Budget'!T93</f>
        <v>0</v>
      </c>
      <c r="I93" s="236"/>
      <c r="J93" s="236"/>
      <c r="K93" s="233"/>
    </row>
    <row r="94" spans="1:11" s="234" customFormat="1">
      <c r="A94" s="238" t="str">
        <f>'Sources and Uses Budget'!$A94</f>
        <v>Other: (Specify)</v>
      </c>
      <c r="B94" s="235">
        <f>'Sources and Uses Budget'!C94</f>
        <v>0</v>
      </c>
      <c r="C94" s="236"/>
      <c r="D94" s="236"/>
      <c r="E94" s="235">
        <f>'Sources and Uses Budget'!S94</f>
        <v>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1717</v>
      </c>
      <c r="B96" s="235">
        <f>'Sources and Uses Budget'!C96</f>
        <v>3139857</v>
      </c>
      <c r="C96" s="235">
        <f>SUM(C83:C95)</f>
        <v>0</v>
      </c>
      <c r="D96" s="235">
        <f>SUM(D83:D95)</f>
        <v>0</v>
      </c>
      <c r="E96" s="235">
        <f>'Sources and Uses Budget'!S96</f>
        <v>2001272</v>
      </c>
      <c r="F96" s="241">
        <f>SUM(F84:F87,F89:F95)</f>
        <v>0</v>
      </c>
      <c r="G96" s="241">
        <f>SUM(G84:G87,G89:G95)</f>
        <v>0</v>
      </c>
      <c r="H96" s="235">
        <f>'Sources and Uses Budget'!T96</f>
        <v>0</v>
      </c>
      <c r="I96" s="235">
        <f>SUM(I84:I87,I89:I95)</f>
        <v>0</v>
      </c>
      <c r="J96" s="235">
        <f>SUM(J84:J87,J89:J95)</f>
        <v>0</v>
      </c>
      <c r="K96" s="233"/>
    </row>
    <row r="97" spans="1:11" s="234" customFormat="1">
      <c r="A97" s="239" t="s">
        <v>1771</v>
      </c>
      <c r="B97" s="235">
        <f>'Sources and Uses Budget'!C97</f>
        <v>99878840</v>
      </c>
      <c r="C97" s="235">
        <f>SUM(C63+C70+C77+C81+C96)</f>
        <v>0</v>
      </c>
      <c r="D97" s="235">
        <f>SUM(D63+D70+D77+D81+D96)</f>
        <v>0</v>
      </c>
      <c r="E97" s="235">
        <f>'Sources and Uses Budget'!S97</f>
        <v>85028270</v>
      </c>
      <c r="F97" s="241">
        <f>SUM(+F63+F70+F81+F96)</f>
        <v>0</v>
      </c>
      <c r="G97" s="241">
        <f>SUM(+G63+G70+G81+G96)</f>
        <v>0</v>
      </c>
      <c r="H97" s="235">
        <f>'Sources and Uses Budget'!T97</f>
        <v>0</v>
      </c>
      <c r="I97" s="241">
        <f>SUM(I63+I70+I81+I96)</f>
        <v>0</v>
      </c>
      <c r="J97" s="241">
        <f>SUM(J63+J70+J81+J96)</f>
        <v>0</v>
      </c>
      <c r="K97" s="233"/>
    </row>
    <row r="98" spans="1:11" s="234" customFormat="1">
      <c r="A98" s="231" t="s">
        <v>1719</v>
      </c>
      <c r="B98" s="232"/>
      <c r="C98" s="232"/>
      <c r="D98" s="232"/>
      <c r="E98" s="232"/>
      <c r="F98" s="232"/>
      <c r="G98" s="232"/>
      <c r="H98" s="232"/>
      <c r="I98" s="232"/>
      <c r="J98" s="232"/>
      <c r="K98" s="233"/>
    </row>
    <row r="99" spans="1:11" s="234" customFormat="1">
      <c r="A99" s="171" t="s">
        <v>1720</v>
      </c>
      <c r="B99" s="235">
        <f>'Sources and Uses Budget'!C99</f>
        <v>12728357</v>
      </c>
      <c r="C99" s="236"/>
      <c r="D99" s="236"/>
      <c r="E99" s="235">
        <f>'Sources and Uses Budget'!S99</f>
        <v>12728357</v>
      </c>
      <c r="F99" s="236"/>
      <c r="G99" s="236"/>
      <c r="H99" s="235">
        <f>'Sources and Uses Budget'!T99</f>
        <v>0</v>
      </c>
      <c r="I99" s="236"/>
      <c r="J99" s="236"/>
      <c r="K99" s="233"/>
    </row>
    <row r="100" spans="1:11" s="234" customFormat="1">
      <c r="A100" s="171" t="s">
        <v>1721</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1722</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1723</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1724</v>
      </c>
      <c r="B104" s="235">
        <f>'Sources and Uses Budget'!C104</f>
        <v>12728357</v>
      </c>
      <c r="C104" s="235">
        <f>SUM(C99:C103)</f>
        <v>0</v>
      </c>
      <c r="D104" s="235">
        <f>SUM(D99:D103)</f>
        <v>0</v>
      </c>
      <c r="E104" s="235">
        <f>'Sources and Uses Budget'!S104</f>
        <v>12728357</v>
      </c>
      <c r="F104" s="241">
        <f>SUM(F99:F103)</f>
        <v>0</v>
      </c>
      <c r="G104" s="241">
        <f>SUM(G99:G103)</f>
        <v>0</v>
      </c>
      <c r="H104" s="235">
        <f>'Sources and Uses Budget'!T104</f>
        <v>0</v>
      </c>
      <c r="I104" s="241">
        <f>SUM(I99:I103)</f>
        <v>0</v>
      </c>
      <c r="J104" s="241">
        <f>SUM(J99:J103)</f>
        <v>0</v>
      </c>
      <c r="K104" s="233"/>
    </row>
    <row r="105" spans="1:11" s="234" customFormat="1">
      <c r="A105" s="239" t="s">
        <v>1772</v>
      </c>
      <c r="B105" s="235">
        <f>'Sources and Uses Budget'!C105</f>
        <v>112607197</v>
      </c>
      <c r="C105" s="241">
        <f>SUM(C97+C104)</f>
        <v>0</v>
      </c>
      <c r="D105" s="241">
        <f>SUM(D97+D104)</f>
        <v>0</v>
      </c>
      <c r="E105" s="235">
        <f>'Sources and Uses Budget'!S105</f>
        <v>97756627</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1773</v>
      </c>
      <c r="E107" s="235">
        <f>'Sources and Uses Budget'!S107</f>
        <v>97756627</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8"/>
      <c r="E124" s="1294"/>
      <c r="F124" s="1294"/>
      <c r="G124" s="1294"/>
      <c r="H124" s="1294"/>
      <c r="I124" s="1294"/>
      <c r="J124" s="250"/>
      <c r="K124" s="233"/>
    </row>
    <row r="125" spans="1:11" s="234" customFormat="1" ht="12.75">
      <c r="A125" s="1060"/>
      <c r="B125" s="258"/>
      <c r="C125" s="1060"/>
      <c r="D125" s="1294"/>
      <c r="E125" s="1294"/>
      <c r="F125" s="1294"/>
      <c r="G125" s="1294"/>
      <c r="H125" s="1294"/>
      <c r="I125" s="1294"/>
      <c r="J125" s="250"/>
      <c r="K125" s="233"/>
    </row>
    <row r="126" spans="1:11" s="234" customFormat="1" ht="12.75">
      <c r="A126" s="1060"/>
      <c r="B126" s="258"/>
      <c r="C126" s="1060"/>
      <c r="D126" s="1294"/>
      <c r="E126" s="1294"/>
      <c r="F126" s="1294"/>
      <c r="G126" s="1294"/>
      <c r="H126" s="1294"/>
      <c r="I126" s="1294"/>
      <c r="J126" s="250"/>
      <c r="K126" s="233"/>
    </row>
    <row r="127" spans="1:11" s="234" customFormat="1" ht="12.75">
      <c r="A127" s="1060"/>
      <c r="B127" s="258"/>
      <c r="C127" s="1060"/>
      <c r="D127" s="259"/>
      <c r="E127" s="1060"/>
      <c r="F127" s="1060"/>
      <c r="G127" s="1060"/>
      <c r="J127" s="250"/>
      <c r="K127" s="233"/>
    </row>
    <row r="128" spans="1:11" s="234" customFormat="1" ht="12.75">
      <c r="A128" s="1060"/>
      <c r="B128" s="258"/>
      <c r="C128" s="1060"/>
      <c r="D128" s="259"/>
      <c r="E128" s="1060"/>
      <c r="F128" s="1060"/>
      <c r="G128" s="1060"/>
      <c r="J128" s="250"/>
      <c r="K128" s="233"/>
    </row>
    <row r="129" spans="1:11" s="234" customFormat="1" ht="12.75">
      <c r="A129" s="1060"/>
      <c r="B129" s="258"/>
      <c r="C129" s="1060"/>
      <c r="D129" s="1060"/>
      <c r="E129" s="1060"/>
      <c r="F129" s="1060"/>
      <c r="G129" s="1060"/>
      <c r="J129" s="250"/>
      <c r="K129" s="233"/>
    </row>
    <row r="130" spans="1:11" s="234" customFormat="1" ht="12.75">
      <c r="A130" s="1060"/>
      <c r="B130" s="258"/>
      <c r="C130" s="1060"/>
      <c r="D130" s="1060"/>
      <c r="E130" s="1060"/>
      <c r="F130" s="1060"/>
      <c r="G130" s="1060"/>
      <c r="J130" s="250"/>
      <c r="K130" s="233"/>
    </row>
    <row r="131" spans="1:11" s="234" customFormat="1" ht="12.75">
      <c r="A131" s="1060"/>
      <c r="B131" s="260"/>
      <c r="C131" s="1060"/>
      <c r="D131" s="1060"/>
      <c r="E131" s="1060"/>
      <c r="F131" s="1060"/>
      <c r="G131" s="1060"/>
      <c r="J131" s="250"/>
      <c r="K131" s="233"/>
    </row>
    <row r="132" spans="1:11" s="234" customFormat="1" ht="12.75">
      <c r="A132" s="261"/>
      <c r="B132" s="262"/>
      <c r="C132" s="1060"/>
      <c r="D132" s="263"/>
      <c r="E132" s="1060"/>
      <c r="F132" s="1060"/>
      <c r="G132" s="1060"/>
      <c r="J132" s="250"/>
      <c r="K132" s="233"/>
    </row>
    <row r="133" spans="1:11" s="234" customFormat="1" ht="12.75">
      <c r="A133" s="1114"/>
      <c r="B133" s="1060"/>
      <c r="C133" s="1060"/>
      <c r="D133" s="1060"/>
      <c r="E133" s="1060"/>
      <c r="F133" s="1060"/>
      <c r="G133" s="1060"/>
      <c r="J133" s="250"/>
      <c r="K133" s="233"/>
    </row>
    <row r="134" spans="1:11" s="234" customFormat="1" ht="12.75">
      <c r="A134" s="1114"/>
      <c r="B134" s="1060"/>
      <c r="C134" s="1060"/>
      <c r="D134" s="1060"/>
      <c r="E134" s="1060"/>
      <c r="F134" s="1060"/>
      <c r="G134" s="1060"/>
      <c r="J134" s="250"/>
      <c r="K134" s="233"/>
    </row>
    <row r="135" spans="1:11" s="234" customFormat="1" ht="12.75">
      <c r="A135" s="1052"/>
      <c r="B135" s="1060"/>
      <c r="C135" s="1060"/>
      <c r="D135" s="1060"/>
      <c r="E135" s="1060"/>
      <c r="F135" s="1060"/>
      <c r="G135" s="1060"/>
      <c r="J135" s="250"/>
      <c r="K135" s="233"/>
    </row>
    <row r="136" spans="1:11" s="234" customFormat="1" ht="12.75">
      <c r="A136" s="251"/>
      <c r="B136" s="1060"/>
      <c r="C136" s="1060"/>
      <c r="D136" s="1060"/>
      <c r="E136" s="1060"/>
      <c r="F136" s="1060"/>
      <c r="G136" s="1060"/>
      <c r="J136" s="250"/>
      <c r="K136" s="233"/>
    </row>
    <row r="137" spans="1:11" ht="12.75">
      <c r="A137" s="1114"/>
      <c r="B137" s="1060"/>
      <c r="C137" s="1060"/>
      <c r="D137" s="1060"/>
      <c r="E137" s="1060"/>
      <c r="F137" s="1060"/>
      <c r="G137" s="1060"/>
    </row>
    <row r="138" spans="1:11" ht="12" customHeight="1">
      <c r="A138" s="1114"/>
      <c r="B138" s="1060"/>
      <c r="C138" s="1060"/>
      <c r="D138" s="1060"/>
      <c r="E138" s="1060"/>
      <c r="F138" s="1060"/>
      <c r="G138" s="1060"/>
    </row>
    <row r="139" spans="1:11" ht="12" customHeight="1">
      <c r="A139" s="1809"/>
      <c r="B139" s="1294"/>
      <c r="C139" s="1294"/>
      <c r="D139" s="230"/>
      <c r="E139" s="1060"/>
      <c r="F139" s="1060"/>
      <c r="G139" s="1060"/>
    </row>
    <row r="140" spans="1:11" ht="12" customHeight="1">
      <c r="A140" s="1267"/>
      <c r="B140" s="1267"/>
      <c r="C140" s="1267"/>
      <c r="D140" s="230"/>
      <c r="E140" s="1060"/>
      <c r="F140" s="1060"/>
      <c r="G140" s="1060"/>
    </row>
    <row r="141" spans="1:11" ht="12" customHeight="1">
      <c r="A141" s="1114"/>
      <c r="B141" s="1060"/>
      <c r="C141" s="1060"/>
      <c r="D141" s="230"/>
      <c r="E141" s="1060"/>
      <c r="F141" s="1060"/>
      <c r="G141" s="1060"/>
      <c r="H141" s="265"/>
      <c r="I141" s="265"/>
    </row>
    <row r="142" spans="1:11" ht="12" customHeight="1">
      <c r="A142" s="267"/>
      <c r="B142" s="230"/>
      <c r="C142" s="230"/>
      <c r="D142" s="230"/>
      <c r="E142" s="1060"/>
      <c r="F142" s="1060"/>
      <c r="G142" s="1060"/>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04" zoomScale="85" zoomScaleNormal="85" workbookViewId="0">
      <selection activeCell="BU198" sqref="BU198"/>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42578125" style="983" customWidth="1"/>
    <col min="53" max="53" width="2.7109375" style="983"/>
    <col min="54" max="54" width="4.42578125" style="983" customWidth="1"/>
    <col min="55" max="64" width="2.7109375" style="983"/>
    <col min="65" max="65" width="10.42578125" style="983" hidden="1" customWidth="1"/>
    <col min="66" max="66" width="5.42578125" style="984" bestFit="1" customWidth="1"/>
    <col min="67" max="68" width="5.42578125" style="984" customWidth="1"/>
    <col min="69" max="69" width="8" style="984" customWidth="1"/>
    <col min="70" max="70" width="6" style="984" customWidth="1"/>
    <col min="71" max="71" width="6.140625" style="984" customWidth="1"/>
    <col min="72" max="76" width="5.42578125" style="984" customWidth="1"/>
    <col min="77" max="77" width="6.140625" style="984" bestFit="1" customWidth="1"/>
    <col min="78" max="78" width="5.42578125" style="983" bestFit="1" customWidth="1"/>
    <col min="79" max="16384" width="2.7109375" style="983"/>
  </cols>
  <sheetData>
    <row r="1" spans="1:65" ht="15.75" customHeight="1">
      <c r="A1" s="2252" t="s">
        <v>1774</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1775</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2106" t="s">
        <v>1776</v>
      </c>
      <c r="AY3" s="2107"/>
      <c r="AZ3" s="2107"/>
      <c r="BA3" s="2258"/>
      <c r="BB3" s="2106" t="s">
        <v>1777</v>
      </c>
      <c r="BC3" s="2107"/>
      <c r="BD3" s="2107"/>
      <c r="BE3" s="2258"/>
    </row>
    <row r="4" spans="1:65" ht="15.75" customHeight="1" thickBot="1">
      <c r="A4" s="986"/>
      <c r="B4" s="988" t="s">
        <v>77</v>
      </c>
      <c r="C4" s="988"/>
      <c r="D4" s="988"/>
      <c r="E4" s="988"/>
      <c r="F4" s="988"/>
      <c r="G4" s="987"/>
      <c r="H4" s="987"/>
      <c r="I4" s="987"/>
      <c r="J4" s="987"/>
      <c r="K4" s="987"/>
      <c r="L4" s="2249" t="str">
        <f>IF(Application!H18="","",Application!H18)</f>
        <v>1401 Long Beach</v>
      </c>
      <c r="M4" s="2250"/>
      <c r="N4" s="2250"/>
      <c r="O4" s="2250"/>
      <c r="P4" s="2250"/>
      <c r="Q4" s="2250"/>
      <c r="R4" s="2250"/>
      <c r="S4" s="2250"/>
      <c r="T4" s="2250"/>
      <c r="U4" s="2250"/>
      <c r="V4" s="2250"/>
      <c r="W4" s="2250"/>
      <c r="X4" s="2250"/>
      <c r="Y4" s="2250"/>
      <c r="Z4" s="2250"/>
      <c r="AA4" s="2250"/>
      <c r="AB4" s="2250"/>
      <c r="AC4" s="2251"/>
      <c r="AD4" s="987"/>
      <c r="AE4" s="987"/>
      <c r="AF4" s="2238" t="s">
        <v>1778</v>
      </c>
      <c r="AG4" s="2238"/>
      <c r="AH4" s="2238"/>
      <c r="AI4" s="2238"/>
      <c r="AJ4" s="2238"/>
      <c r="AK4" s="2238"/>
      <c r="AL4" s="2238"/>
      <c r="AM4" s="2238"/>
      <c r="AN4" s="2238"/>
      <c r="AO4" s="2238"/>
      <c r="AP4" s="2239">
        <v>45901</v>
      </c>
      <c r="AQ4" s="2240"/>
      <c r="AR4" s="2240"/>
      <c r="AS4" s="2240"/>
      <c r="AT4" s="2240"/>
      <c r="AU4" s="2240"/>
      <c r="AV4" s="987"/>
      <c r="AW4" s="987"/>
      <c r="AX4" s="2246" t="s">
        <v>1779</v>
      </c>
      <c r="AY4" s="2247"/>
      <c r="AZ4" s="2247"/>
      <c r="BA4" s="2248"/>
      <c r="BB4" s="1221">
        <f t="array" ref="BB4">ROUNDDOWN(SUM(IF((B19:I27&gt;0)*(B19:I27&lt;=30%),J19:O27,0))/J29,2)</f>
        <v>0.3</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2238" t="s">
        <v>1780</v>
      </c>
      <c r="AG5" s="2238"/>
      <c r="AH5" s="2238"/>
      <c r="AI5" s="2238"/>
      <c r="AJ5" s="2238"/>
      <c r="AK5" s="2238"/>
      <c r="AL5" s="2238"/>
      <c r="AM5" s="2238"/>
      <c r="AN5" s="2238"/>
      <c r="AO5" s="2238"/>
      <c r="AP5" s="2239" t="s">
        <v>2756</v>
      </c>
      <c r="AQ5" s="2240"/>
      <c r="AR5" s="2240"/>
      <c r="AS5" s="2240"/>
      <c r="AT5" s="2240"/>
      <c r="AU5" s="2240"/>
      <c r="AV5" s="987"/>
      <c r="AW5" s="987"/>
      <c r="AX5" s="2246" t="s">
        <v>1781</v>
      </c>
      <c r="AY5" s="2247"/>
      <c r="AZ5" s="2247"/>
      <c r="BA5" s="2248"/>
      <c r="BB5" s="1221">
        <f t="array" ref="BB5">ROUNDDOWN(SUM(IF((B19:I27&gt;0%)*(B19:I27&lt;=50%),J19:O27,0))/J29,2)</f>
        <v>0.6</v>
      </c>
      <c r="BC5" s="1222"/>
      <c r="BD5" s="1222"/>
      <c r="BE5" s="1223"/>
    </row>
    <row r="6" spans="1:65" ht="15.75" customHeight="1" thickBot="1">
      <c r="A6" s="986"/>
      <c r="B6" s="988" t="s">
        <v>1782</v>
      </c>
      <c r="C6" s="987"/>
      <c r="D6" s="987"/>
      <c r="E6" s="987"/>
      <c r="F6" s="987"/>
      <c r="G6" s="987"/>
      <c r="H6" s="987"/>
      <c r="I6" s="987"/>
      <c r="J6" s="987"/>
      <c r="K6" s="987"/>
      <c r="L6" s="2249" t="str">
        <f>IF(Application!H16="","",Application!H16)</f>
        <v>1401 Long Beach, L.P.</v>
      </c>
      <c r="M6" s="2250"/>
      <c r="N6" s="2250"/>
      <c r="O6" s="2250"/>
      <c r="P6" s="2250"/>
      <c r="Q6" s="2250"/>
      <c r="R6" s="2250"/>
      <c r="S6" s="2250"/>
      <c r="T6" s="2250"/>
      <c r="U6" s="2250"/>
      <c r="V6" s="2250"/>
      <c r="W6" s="2250"/>
      <c r="X6" s="2250"/>
      <c r="Y6" s="2250"/>
      <c r="Z6" s="2250"/>
      <c r="AA6" s="2250"/>
      <c r="AB6" s="2250"/>
      <c r="AC6" s="2251"/>
      <c r="AD6" s="987"/>
      <c r="AE6" s="987"/>
      <c r="AF6" s="2241" t="s">
        <v>1783</v>
      </c>
      <c r="AG6" s="2241"/>
      <c r="AH6" s="2241"/>
      <c r="AI6" s="2241"/>
      <c r="AJ6" s="2241"/>
      <c r="AK6" s="2241"/>
      <c r="AL6" s="2241"/>
      <c r="AM6" s="2241"/>
      <c r="AN6" s="2241"/>
      <c r="AO6" s="2241"/>
      <c r="AP6" s="2242">
        <v>6</v>
      </c>
      <c r="AQ6" s="2242"/>
      <c r="AR6" s="2242"/>
      <c r="AS6" s="2242"/>
      <c r="AT6" s="2242"/>
      <c r="AU6" s="2242"/>
      <c r="AV6" s="987"/>
      <c r="AW6" s="987"/>
      <c r="AX6" s="2246" t="s">
        <v>1784</v>
      </c>
      <c r="AY6" s="2247"/>
      <c r="AZ6" s="2247"/>
      <c r="BA6" s="2248"/>
      <c r="BB6" s="1221">
        <f t="array" ref="BB6">ROUNDDOWN(SUM(IF((B19:I27&gt;60%)*(B19:I27&lt;=80%),J19:O27,0))/J29,2)</f>
        <v>0.2</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2241" t="s">
        <v>1785</v>
      </c>
      <c r="AG7" s="2241"/>
      <c r="AH7" s="2241"/>
      <c r="AI7" s="2241"/>
      <c r="AJ7" s="2241"/>
      <c r="AK7" s="2241"/>
      <c r="AL7" s="2241"/>
      <c r="AM7" s="2241"/>
      <c r="AN7" s="2241"/>
      <c r="AO7" s="2241"/>
      <c r="AP7" s="2242">
        <v>2</v>
      </c>
      <c r="AQ7" s="2242"/>
      <c r="AR7" s="2242"/>
      <c r="AS7" s="2242"/>
      <c r="AT7" s="2242"/>
      <c r="AU7" s="2242"/>
      <c r="AV7" s="987"/>
      <c r="AW7" s="987"/>
      <c r="AX7" s="987"/>
      <c r="AY7" s="987"/>
      <c r="AZ7" s="987"/>
      <c r="BA7" s="987"/>
      <c r="BB7" s="987"/>
      <c r="BC7" s="987"/>
      <c r="BD7" s="987"/>
      <c r="BE7" s="1115"/>
    </row>
    <row r="8" spans="1:65" thickBot="1">
      <c r="A8" s="986"/>
      <c r="B8" s="988" t="s">
        <v>1786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2243" t="str">
        <f>Application!T197</f>
        <v>No</v>
      </c>
      <c r="AC8" s="2244"/>
      <c r="AD8" s="2245"/>
      <c r="AE8" s="987"/>
      <c r="AF8" s="2241" t="s">
        <v>1787</v>
      </c>
      <c r="AG8" s="2241"/>
      <c r="AH8" s="2241"/>
      <c r="AI8" s="2241"/>
      <c r="AJ8" s="2241"/>
      <c r="AK8" s="2241"/>
      <c r="AL8" s="2241"/>
      <c r="AM8" s="2241"/>
      <c r="AN8" s="2241"/>
      <c r="AO8" s="2241"/>
      <c r="AP8" s="2242" t="s">
        <v>688</v>
      </c>
      <c r="AQ8" s="2242"/>
      <c r="AR8" s="2242"/>
      <c r="AS8" s="2242"/>
      <c r="AT8" s="2242"/>
      <c r="AU8" s="2242"/>
      <c r="AV8" s="987"/>
      <c r="AW8" s="987"/>
      <c r="AX8" s="987"/>
      <c r="AY8" s="987"/>
      <c r="AZ8" s="987"/>
      <c r="BA8" s="987"/>
      <c r="BB8" s="987"/>
      <c r="BC8" s="987"/>
      <c r="BD8" s="987"/>
      <c r="BE8" s="1115"/>
      <c r="BM8" s="983" t="s">
        <v>1788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2238" t="s">
        <v>1789</v>
      </c>
      <c r="AG9" s="2238"/>
      <c r="AH9" s="2238"/>
      <c r="AI9" s="2238"/>
      <c r="AJ9" s="2238"/>
      <c r="AK9" s="2238"/>
      <c r="AL9" s="2238"/>
      <c r="AM9" s="2238"/>
      <c r="AN9" s="2238"/>
      <c r="AO9" s="2238"/>
      <c r="AP9" s="2239">
        <v>47258</v>
      </c>
      <c r="AQ9" s="2240"/>
      <c r="AR9" s="2240"/>
      <c r="AS9" s="2240"/>
      <c r="AT9" s="2240"/>
      <c r="AU9" s="2240"/>
      <c r="AV9" s="987"/>
      <c r="AW9" s="987"/>
      <c r="AX9" s="987"/>
      <c r="AY9" s="987"/>
      <c r="AZ9" s="987"/>
      <c r="BA9" s="987"/>
      <c r="BB9" s="987"/>
      <c r="BC9" s="987"/>
      <c r="BD9" s="987"/>
      <c r="BE9" s="1115"/>
      <c r="BM9" s="983" t="s">
        <v>1790</v>
      </c>
    </row>
    <row r="10" spans="1:65" ht="15">
      <c r="A10" s="986"/>
      <c r="B10" s="988" t="s">
        <v>1791</v>
      </c>
      <c r="C10" s="988"/>
      <c r="D10" s="988"/>
      <c r="E10" s="988"/>
      <c r="F10" s="988"/>
      <c r="G10" s="988"/>
      <c r="H10" s="988"/>
      <c r="I10" s="988"/>
      <c r="J10" s="988"/>
      <c r="K10" s="988"/>
      <c r="L10" s="988"/>
      <c r="M10" s="987"/>
      <c r="N10" s="2237">
        <f>Application!AO635</f>
        <v>21598000</v>
      </c>
      <c r="O10" s="2237"/>
      <c r="P10" s="2237"/>
      <c r="Q10" s="2237"/>
      <c r="R10" s="2237"/>
      <c r="S10" s="2237"/>
      <c r="T10" s="2237"/>
      <c r="U10" s="987"/>
      <c r="V10" s="987"/>
      <c r="W10" s="987"/>
      <c r="X10" s="989"/>
      <c r="Y10" s="989"/>
      <c r="Z10" s="989"/>
      <c r="AA10" s="989"/>
      <c r="AB10" s="989"/>
      <c r="AC10" s="989"/>
      <c r="AD10" s="989"/>
      <c r="AE10" s="989"/>
      <c r="AF10" s="2238" t="s">
        <v>1792</v>
      </c>
      <c r="AG10" s="2238"/>
      <c r="AH10" s="2238"/>
      <c r="AI10" s="2238"/>
      <c r="AJ10" s="2238"/>
      <c r="AK10" s="2238"/>
      <c r="AL10" s="2238"/>
      <c r="AM10" s="2238"/>
      <c r="AN10" s="2238"/>
      <c r="AO10" s="2238"/>
      <c r="AP10" s="2239">
        <v>47258</v>
      </c>
      <c r="AQ10" s="2240"/>
      <c r="AR10" s="2240"/>
      <c r="AS10" s="2240"/>
      <c r="AT10" s="2240"/>
      <c r="AU10" s="2240"/>
      <c r="AV10" s="989"/>
      <c r="AW10" s="989"/>
      <c r="AX10" s="987"/>
      <c r="AY10" s="987"/>
      <c r="AZ10" s="987"/>
      <c r="BA10" s="987"/>
      <c r="BB10" s="987"/>
      <c r="BC10" s="987"/>
      <c r="BD10" s="987"/>
      <c r="BE10" s="1115"/>
      <c r="BM10" s="983" t="s">
        <v>1793</v>
      </c>
    </row>
    <row r="11" spans="1:65" ht="15">
      <c r="A11" s="986"/>
      <c r="B11" s="988" t="s">
        <v>1794</v>
      </c>
      <c r="C11" s="988"/>
      <c r="D11" s="988"/>
      <c r="E11" s="988"/>
      <c r="F11" s="988"/>
      <c r="G11" s="988"/>
      <c r="H11" s="988"/>
      <c r="I11" s="988"/>
      <c r="J11" s="988"/>
      <c r="K11" s="988"/>
      <c r="L11" s="988"/>
      <c r="M11" s="987"/>
      <c r="N11" s="2237">
        <f>Application!AA943</f>
        <v>6000000</v>
      </c>
      <c r="O11" s="2237"/>
      <c r="P11" s="2237"/>
      <c r="Q11" s="2237"/>
      <c r="R11" s="2237"/>
      <c r="S11" s="2237"/>
      <c r="T11" s="2237"/>
      <c r="U11" s="987"/>
      <c r="V11" s="987"/>
      <c r="W11" s="987"/>
      <c r="X11" s="989"/>
      <c r="Y11" s="989"/>
      <c r="Z11" s="989"/>
      <c r="AA11" s="989"/>
      <c r="AB11" s="989"/>
      <c r="AC11" s="989"/>
      <c r="AD11" s="989"/>
      <c r="AE11" s="989"/>
      <c r="AF11" s="2238" t="s">
        <v>1795</v>
      </c>
      <c r="AG11" s="2238"/>
      <c r="AH11" s="2238"/>
      <c r="AI11" s="2238"/>
      <c r="AJ11" s="2238"/>
      <c r="AK11" s="2238"/>
      <c r="AL11" s="2238"/>
      <c r="AM11" s="2238"/>
      <c r="AN11" s="2238"/>
      <c r="AO11" s="2238"/>
      <c r="AP11" s="2239">
        <v>47442</v>
      </c>
      <c r="AQ11" s="2240"/>
      <c r="AR11" s="2240"/>
      <c r="AS11" s="2240"/>
      <c r="AT11" s="2240"/>
      <c r="AU11" s="2240"/>
      <c r="AV11" s="989"/>
      <c r="AW11" s="989"/>
      <c r="AX11" s="987"/>
      <c r="AY11" s="987"/>
      <c r="AZ11" s="987"/>
      <c r="BA11" s="987"/>
      <c r="BB11" s="987"/>
      <c r="BC11" s="987"/>
      <c r="BD11" s="987"/>
      <c r="BE11" s="1115"/>
      <c r="BM11" s="983" t="s">
        <v>688</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1796</v>
      </c>
    </row>
    <row r="13" spans="1:65" thickBot="1">
      <c r="A13" s="987"/>
      <c r="B13" s="2228" t="s">
        <v>1797</v>
      </c>
      <c r="C13" s="2229"/>
      <c r="D13" s="2229"/>
      <c r="E13" s="2229"/>
      <c r="F13" s="2229"/>
      <c r="G13" s="2229"/>
      <c r="H13" s="2229"/>
      <c r="I13" s="2229"/>
      <c r="J13" s="2229"/>
      <c r="K13" s="2229"/>
      <c r="L13" s="2229"/>
      <c r="M13" s="2229"/>
      <c r="N13" s="2229"/>
      <c r="O13" s="2229"/>
      <c r="P13" s="2230"/>
      <c r="Q13" s="2231" t="s">
        <v>696</v>
      </c>
      <c r="R13" s="2232"/>
      <c r="S13" s="2232"/>
      <c r="T13" s="2233"/>
      <c r="U13" s="989"/>
      <c r="V13" s="987"/>
      <c r="W13" s="987"/>
      <c r="X13" s="987"/>
      <c r="Y13" s="987"/>
      <c r="Z13" s="987"/>
      <c r="AA13" s="2218" t="s">
        <v>1798</v>
      </c>
      <c r="AB13" s="2218"/>
      <c r="AC13" s="2218"/>
      <c r="AD13" s="2218"/>
      <c r="AE13" s="2218"/>
      <c r="AF13" s="2218"/>
      <c r="AG13" s="2218"/>
      <c r="AH13" s="2218"/>
      <c r="AI13" s="2218"/>
      <c r="AJ13" s="2218"/>
      <c r="AK13" s="2218"/>
      <c r="AL13" s="2218"/>
      <c r="AM13" s="2218"/>
      <c r="AN13" s="2218"/>
      <c r="AO13" s="2234">
        <f>Application!W481</f>
        <v>40</v>
      </c>
      <c r="AP13" s="2235"/>
      <c r="AQ13" s="2235"/>
      <c r="AR13" s="2235"/>
      <c r="AS13" s="2235"/>
      <c r="AT13" s="989"/>
      <c r="AU13" s="989"/>
      <c r="AV13" s="989"/>
      <c r="AW13" s="989"/>
      <c r="AX13" s="989"/>
      <c r="AY13" s="989"/>
      <c r="AZ13" s="989"/>
      <c r="BA13" s="989"/>
      <c r="BB13" s="989"/>
      <c r="BC13" s="989"/>
      <c r="BD13" s="989"/>
      <c r="BE13" s="990"/>
      <c r="BM13" s="983" t="s">
        <v>1799</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2236" t="s">
        <v>1800</v>
      </c>
      <c r="AB14" s="2236"/>
      <c r="AC14" s="2236"/>
      <c r="AD14" s="2236"/>
      <c r="AE14" s="2236"/>
      <c r="AF14" s="2236"/>
      <c r="AG14" s="2236"/>
      <c r="AH14" s="2236"/>
      <c r="AI14" s="2236"/>
      <c r="AJ14" s="2236"/>
      <c r="AK14" s="2236"/>
      <c r="AL14" s="2236"/>
      <c r="AM14" s="2236"/>
      <c r="AN14" s="2236"/>
      <c r="AO14" s="2219">
        <v>46083</v>
      </c>
      <c r="AP14" s="2220"/>
      <c r="AQ14" s="2220"/>
      <c r="AR14" s="2220"/>
      <c r="AS14" s="2220"/>
      <c r="AT14" s="989"/>
      <c r="AU14" s="989"/>
      <c r="AV14" s="989"/>
      <c r="AW14" s="989"/>
      <c r="AX14" s="989"/>
      <c r="AY14" s="989"/>
      <c r="AZ14" s="989"/>
      <c r="BA14" s="989"/>
      <c r="BB14" s="989"/>
      <c r="BC14" s="989"/>
      <c r="BD14" s="989"/>
      <c r="BE14" s="990"/>
    </row>
    <row r="15" spans="1:65" thickBot="1">
      <c r="A15" s="987"/>
      <c r="B15" s="2213" t="s">
        <v>1801</v>
      </c>
      <c r="C15" s="2214"/>
      <c r="D15" s="2214"/>
      <c r="E15" s="2214"/>
      <c r="F15" s="2214"/>
      <c r="G15" s="2214"/>
      <c r="H15" s="2214"/>
      <c r="I15" s="2214"/>
      <c r="J15" s="2214"/>
      <c r="K15" s="2214"/>
      <c r="L15" s="2214"/>
      <c r="M15" s="2214"/>
      <c r="N15" s="2214"/>
      <c r="O15" s="2214"/>
      <c r="P15" s="2214"/>
      <c r="Q15" s="2214"/>
      <c r="R15" s="2215"/>
      <c r="S15" s="2216" t="str">
        <f>IF(Application!AB215="","",Application!AB215)</f>
        <v/>
      </c>
      <c r="T15" s="2216"/>
      <c r="U15" s="2216"/>
      <c r="V15" s="2216"/>
      <c r="W15" s="2217"/>
      <c r="X15" s="989"/>
      <c r="Y15" s="987"/>
      <c r="Z15" s="987"/>
      <c r="AA15" s="2218" t="s">
        <v>1802</v>
      </c>
      <c r="AB15" s="2218"/>
      <c r="AC15" s="2218"/>
      <c r="AD15" s="2218"/>
      <c r="AE15" s="2218"/>
      <c r="AF15" s="2218"/>
      <c r="AG15" s="2218"/>
      <c r="AH15" s="2218"/>
      <c r="AI15" s="2218"/>
      <c r="AJ15" s="2218"/>
      <c r="AK15" s="2218"/>
      <c r="AL15" s="2218"/>
      <c r="AM15" s="2218"/>
      <c r="AN15" s="2218"/>
      <c r="AO15" s="2219">
        <v>46161</v>
      </c>
      <c r="AP15" s="2220"/>
      <c r="AQ15" s="2220"/>
      <c r="AR15" s="2220"/>
      <c r="AS15" s="2220"/>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2039" t="s">
        <v>1803</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1"/>
      <c r="AZ17" s="987"/>
      <c r="BA17" s="987"/>
      <c r="BB17" s="987"/>
      <c r="BC17" s="987"/>
      <c r="BD17" s="987"/>
      <c r="BE17" s="990"/>
      <c r="BF17" s="985"/>
    </row>
    <row r="18" spans="1:58" ht="15.75" customHeight="1">
      <c r="A18" s="987"/>
      <c r="B18" s="2221" t="s">
        <v>1804</v>
      </c>
      <c r="C18" s="2222"/>
      <c r="D18" s="2222"/>
      <c r="E18" s="2222"/>
      <c r="F18" s="2222"/>
      <c r="G18" s="2222"/>
      <c r="H18" s="2222"/>
      <c r="I18" s="2223"/>
      <c r="J18" s="2224" t="s">
        <v>1805</v>
      </c>
      <c r="K18" s="2225"/>
      <c r="L18" s="2225"/>
      <c r="M18" s="2225"/>
      <c r="N18" s="2225"/>
      <c r="O18" s="2226"/>
      <c r="P18" s="2224" t="s">
        <v>833</v>
      </c>
      <c r="Q18" s="2225"/>
      <c r="R18" s="2225"/>
      <c r="S18" s="2225"/>
      <c r="T18" s="2225"/>
      <c r="U18" s="2226"/>
      <c r="V18" s="2224" t="s">
        <v>834</v>
      </c>
      <c r="W18" s="2225"/>
      <c r="X18" s="2225"/>
      <c r="Y18" s="2225"/>
      <c r="Z18" s="2225"/>
      <c r="AA18" s="2226"/>
      <c r="AB18" s="2224" t="s">
        <v>835</v>
      </c>
      <c r="AC18" s="2225"/>
      <c r="AD18" s="2225"/>
      <c r="AE18" s="2225"/>
      <c r="AF18" s="2225"/>
      <c r="AG18" s="2226"/>
      <c r="AH18" s="2224" t="s">
        <v>836</v>
      </c>
      <c r="AI18" s="2225"/>
      <c r="AJ18" s="2225"/>
      <c r="AK18" s="2225"/>
      <c r="AL18" s="2225"/>
      <c r="AM18" s="2226"/>
      <c r="AN18" s="2224" t="s">
        <v>837</v>
      </c>
      <c r="AO18" s="2225"/>
      <c r="AP18" s="2225"/>
      <c r="AQ18" s="2225"/>
      <c r="AR18" s="2225"/>
      <c r="AS18" s="2226"/>
      <c r="AT18" s="2224" t="s">
        <v>1806</v>
      </c>
      <c r="AU18" s="2225"/>
      <c r="AV18" s="2225"/>
      <c r="AW18" s="2225"/>
      <c r="AX18" s="2225"/>
      <c r="AY18" s="2227"/>
      <c r="AZ18" s="987"/>
      <c r="BA18" s="987"/>
      <c r="BB18" s="987"/>
      <c r="BC18" s="987"/>
      <c r="BD18" s="987"/>
      <c r="BE18" s="990"/>
    </row>
    <row r="19" spans="1:58" ht="15">
      <c r="A19" s="987"/>
      <c r="B19" s="2207">
        <v>0.3</v>
      </c>
      <c r="C19" s="2208"/>
      <c r="D19" s="2208"/>
      <c r="E19" s="2208"/>
      <c r="F19" s="2208"/>
      <c r="G19" s="2208"/>
      <c r="H19" s="2208"/>
      <c r="I19" s="2209"/>
      <c r="J19" s="2210">
        <f t="shared" ref="J19:J24" si="0">SUM(P19:AS19)</f>
        <v>47</v>
      </c>
      <c r="K19" s="2211"/>
      <c r="L19" s="2211"/>
      <c r="M19" s="2211"/>
      <c r="N19" s="2211"/>
      <c r="O19" s="2212"/>
      <c r="P19" s="2210" cm="1">
        <f t="array" ref="P19">SUMPRODUCT((Application!$B$726:$B$760 = 'CalHFA Addendum'!P$18)*(Application!$AC$726:$AC$760 = 'CalHFA Addendum'!$B19),Application!$G$726:$G$760)</f>
        <v>0</v>
      </c>
      <c r="Q19" s="2211"/>
      <c r="R19" s="2211"/>
      <c r="S19" s="2211"/>
      <c r="T19" s="2211"/>
      <c r="U19" s="2212"/>
      <c r="V19" s="2210" cm="1">
        <f t="array" ref="V19">SUMPRODUCT((Application!$B$726:$B$760 = 'CalHFA Addendum'!V$18)*(Application!$AC$726:$AC$760 = 'CalHFA Addendum'!$B19),Application!$G$726:$G$760)</f>
        <v>30</v>
      </c>
      <c r="W19" s="2211"/>
      <c r="X19" s="2211"/>
      <c r="Y19" s="2211"/>
      <c r="Z19" s="2211"/>
      <c r="AA19" s="2212"/>
      <c r="AB19" s="2210" cm="1">
        <f t="array" ref="AB19">SUMPRODUCT((Application!$B$726:$B$760 = 'CalHFA Addendum'!AB$18)*(Application!$AC$726:$AC$760 = 'CalHFA Addendum'!$B19),Application!$G$726:$G$760)</f>
        <v>8</v>
      </c>
      <c r="AC19" s="2211"/>
      <c r="AD19" s="2211"/>
      <c r="AE19" s="2211"/>
      <c r="AF19" s="2211"/>
      <c r="AG19" s="2212"/>
      <c r="AH19" s="2210" cm="1">
        <f t="array" ref="AH19">SUMPRODUCT((Application!$B$726:$B$760 = 'CalHFA Addendum'!AH$18)*(Application!$AC$726:$AC$760 = 'CalHFA Addendum'!$B19),Application!$G$726:$G$760)</f>
        <v>9</v>
      </c>
      <c r="AI19" s="2211"/>
      <c r="AJ19" s="2211"/>
      <c r="AK19" s="2211"/>
      <c r="AL19" s="2211"/>
      <c r="AM19" s="2212"/>
      <c r="AN19" s="2210" cm="1">
        <f t="array" ref="AN19">SUMPRODUCT((Application!$B$726:$B$760 = 'CalHFA Addendum'!AN$18)*(Application!$AC$726:$AC$760 = 'CalHFA Addendum'!$B19),Application!$G$726:$G$760)</f>
        <v>0</v>
      </c>
      <c r="AO19" s="2211"/>
      <c r="AP19" s="2211"/>
      <c r="AQ19" s="2211"/>
      <c r="AR19" s="2211"/>
      <c r="AS19" s="2212"/>
      <c r="AT19" s="2195">
        <f>J19/$J$29</f>
        <v>0.30718954248366015</v>
      </c>
      <c r="AU19" s="2196"/>
      <c r="AV19" s="2196"/>
      <c r="AW19" s="2196"/>
      <c r="AX19" s="2196"/>
      <c r="AY19" s="2197"/>
      <c r="AZ19" s="991"/>
      <c r="BA19" s="987"/>
      <c r="BB19" s="987"/>
      <c r="BC19" s="987"/>
      <c r="BD19" s="987"/>
      <c r="BE19" s="990"/>
    </row>
    <row r="20" spans="1:58" ht="15" customHeight="1">
      <c r="A20" s="987"/>
      <c r="B20" s="2207">
        <v>0.4</v>
      </c>
      <c r="C20" s="2208"/>
      <c r="D20" s="2208"/>
      <c r="E20" s="2208"/>
      <c r="F20" s="2208"/>
      <c r="G20" s="2208"/>
      <c r="H20" s="2208"/>
      <c r="I20" s="2209"/>
      <c r="J20" s="2210">
        <f t="shared" si="0"/>
        <v>0</v>
      </c>
      <c r="K20" s="2211"/>
      <c r="L20" s="2211"/>
      <c r="M20" s="2211"/>
      <c r="N20" s="2211"/>
      <c r="O20" s="2212"/>
      <c r="P20" s="2210" cm="1">
        <f t="array" ref="P20">SUMPRODUCT((Application!$B$726:$B$760 = 'CalHFA Addendum'!P$18)*(Application!$AC$726:$AC$760 = 'CalHFA Addendum'!$B20),Application!$G$726:$G$760)</f>
        <v>0</v>
      </c>
      <c r="Q20" s="2211"/>
      <c r="R20" s="2211"/>
      <c r="S20" s="2211"/>
      <c r="T20" s="2211"/>
      <c r="U20" s="2212"/>
      <c r="V20" s="2210" cm="1">
        <f t="array" ref="V20">SUMPRODUCT((Application!$B$726:$B$760 = 'CalHFA Addendum'!V$18)*(Application!$AC$726:$AC$760 = 'CalHFA Addendum'!$B20),Application!$G$726:$G$760)</f>
        <v>0</v>
      </c>
      <c r="W20" s="2211"/>
      <c r="X20" s="2211"/>
      <c r="Y20" s="2211"/>
      <c r="Z20" s="2211"/>
      <c r="AA20" s="2212"/>
      <c r="AB20" s="2210" cm="1">
        <f t="array" ref="AB20">SUMPRODUCT((Application!$B$726:$B$760 = 'CalHFA Addendum'!AB$18)*(Application!$AC$726:$AC$760 = 'CalHFA Addendum'!$B20),Application!$G$726:$G$760)</f>
        <v>0</v>
      </c>
      <c r="AC20" s="2211"/>
      <c r="AD20" s="2211"/>
      <c r="AE20" s="2211"/>
      <c r="AF20" s="2211"/>
      <c r="AG20" s="2212"/>
      <c r="AH20" s="2210" cm="1">
        <f t="array" ref="AH20">SUMPRODUCT((Application!$B$726:$B$760 = 'CalHFA Addendum'!AH$18)*(Application!$AC$726:$AC$760 = 'CalHFA Addendum'!$B20),Application!$G$726:$G$760)</f>
        <v>0</v>
      </c>
      <c r="AI20" s="2211"/>
      <c r="AJ20" s="2211"/>
      <c r="AK20" s="2211"/>
      <c r="AL20" s="2211"/>
      <c r="AM20" s="2212"/>
      <c r="AN20" s="2210" cm="1">
        <f t="array" ref="AN20">SUMPRODUCT((Application!$B$726:$B$760 = 'CalHFA Addendum'!AN$18)*(Application!$AC$726:$AC$760 = 'CalHFA Addendum'!$B20),Application!$G$726:$G$760)</f>
        <v>0</v>
      </c>
      <c r="AO20" s="2211"/>
      <c r="AP20" s="2211"/>
      <c r="AQ20" s="2211"/>
      <c r="AR20" s="2211"/>
      <c r="AS20" s="2212"/>
      <c r="AT20" s="2195">
        <f t="shared" ref="AT20:AT29" si="1">J20/$J$29</f>
        <v>0</v>
      </c>
      <c r="AU20" s="2196"/>
      <c r="AV20" s="2196"/>
      <c r="AW20" s="2196"/>
      <c r="AX20" s="2196"/>
      <c r="AY20" s="2197"/>
      <c r="AZ20" s="987"/>
      <c r="BA20" s="987"/>
      <c r="BB20" s="987"/>
      <c r="BC20" s="987"/>
      <c r="BD20" s="987"/>
      <c r="BE20" s="990"/>
    </row>
    <row r="21" spans="1:58" ht="15">
      <c r="A21" s="987"/>
      <c r="B21" s="2207">
        <v>0.5</v>
      </c>
      <c r="C21" s="2208"/>
      <c r="D21" s="2208"/>
      <c r="E21" s="2208"/>
      <c r="F21" s="2208"/>
      <c r="G21" s="2208"/>
      <c r="H21" s="2208"/>
      <c r="I21" s="2209"/>
      <c r="J21" s="2210">
        <f t="shared" si="0"/>
        <v>46</v>
      </c>
      <c r="K21" s="2211"/>
      <c r="L21" s="2211"/>
      <c r="M21" s="2211"/>
      <c r="N21" s="2211"/>
      <c r="O21" s="2212"/>
      <c r="P21" s="2210" cm="1">
        <f t="array" ref="P21">SUMPRODUCT((Application!$B$726:$B$760 = 'CalHFA Addendum'!P$18)*(Application!$AC$726:$AC$760 = 'CalHFA Addendum'!$B21),Application!$G$726:$G$760)</f>
        <v>0</v>
      </c>
      <c r="Q21" s="2211"/>
      <c r="R21" s="2211"/>
      <c r="S21" s="2211"/>
      <c r="T21" s="2211"/>
      <c r="U21" s="2212"/>
      <c r="V21" s="2210" cm="1">
        <f t="array" ref="V21">SUMPRODUCT((Application!$B$726:$B$760 = 'CalHFA Addendum'!V$18)*(Application!$AC$726:$AC$760 = 'CalHFA Addendum'!$B21),Application!$G$726:$G$760)</f>
        <v>20</v>
      </c>
      <c r="W21" s="2211"/>
      <c r="X21" s="2211"/>
      <c r="Y21" s="2211"/>
      <c r="Z21" s="2211"/>
      <c r="AA21" s="2212"/>
      <c r="AB21" s="2210" cm="1">
        <f t="array" ref="AB21">SUMPRODUCT((Application!$B$726:$B$760 = 'CalHFA Addendum'!AB$18)*(Application!$AC$726:$AC$760 = 'CalHFA Addendum'!$B21),Application!$G$726:$G$760)</f>
        <v>18</v>
      </c>
      <c r="AC21" s="2211"/>
      <c r="AD21" s="2211"/>
      <c r="AE21" s="2211"/>
      <c r="AF21" s="2211"/>
      <c r="AG21" s="2212"/>
      <c r="AH21" s="2210" cm="1">
        <f t="array" ref="AH21">SUMPRODUCT((Application!$B$726:$B$760 = 'CalHFA Addendum'!AH$18)*(Application!$AC$726:$AC$760 = 'CalHFA Addendum'!$B21),Application!$G$726:$G$760)</f>
        <v>8</v>
      </c>
      <c r="AI21" s="2211"/>
      <c r="AJ21" s="2211"/>
      <c r="AK21" s="2211"/>
      <c r="AL21" s="2211"/>
      <c r="AM21" s="2212"/>
      <c r="AN21" s="2210" cm="1">
        <f t="array" ref="AN21">SUMPRODUCT((Application!$B$726:$B$760 = 'CalHFA Addendum'!AN$18)*(Application!$AC$726:$AC$760 = 'CalHFA Addendum'!$B21),Application!$G$726:$G$760)</f>
        <v>0</v>
      </c>
      <c r="AO21" s="2211"/>
      <c r="AP21" s="2211"/>
      <c r="AQ21" s="2211"/>
      <c r="AR21" s="2211"/>
      <c r="AS21" s="2212"/>
      <c r="AT21" s="2195">
        <f t="shared" si="1"/>
        <v>0.30065359477124182</v>
      </c>
      <c r="AU21" s="2196"/>
      <c r="AV21" s="2196"/>
      <c r="AW21" s="2196"/>
      <c r="AX21" s="2196"/>
      <c r="AY21" s="2197"/>
      <c r="AZ21" s="987"/>
      <c r="BA21" s="987"/>
      <c r="BB21" s="987"/>
      <c r="BC21" s="987"/>
      <c r="BD21" s="987"/>
      <c r="BE21" s="990"/>
    </row>
    <row r="22" spans="1:58" ht="15">
      <c r="A22" s="987"/>
      <c r="B22" s="2207">
        <v>0.6</v>
      </c>
      <c r="C22" s="2208"/>
      <c r="D22" s="2208"/>
      <c r="E22" s="2208"/>
      <c r="F22" s="2208"/>
      <c r="G22" s="2208"/>
      <c r="H22" s="2208"/>
      <c r="I22" s="2209"/>
      <c r="J22" s="2210">
        <f t="shared" si="0"/>
        <v>26</v>
      </c>
      <c r="K22" s="2211"/>
      <c r="L22" s="2211"/>
      <c r="M22" s="2211"/>
      <c r="N22" s="2211"/>
      <c r="O22" s="2212"/>
      <c r="P22" s="2210" cm="1">
        <f t="array" ref="P22">SUMPRODUCT((Application!$B$726:$B$760 = 'CalHFA Addendum'!P$18)*(Application!$AC$726:$AC$760 = 'CalHFA Addendum'!$B22),Application!$G$726:$G$760)</f>
        <v>0</v>
      </c>
      <c r="Q22" s="2211"/>
      <c r="R22" s="2211"/>
      <c r="S22" s="2211"/>
      <c r="T22" s="2211"/>
      <c r="U22" s="2212"/>
      <c r="V22" s="2210" cm="1">
        <f t="array" ref="V22">SUMPRODUCT((Application!$B$726:$B$760 = 'CalHFA Addendum'!V$18)*(Application!$AC$726:$AC$760 = 'CalHFA Addendum'!$B22),Application!$G$726:$G$760)</f>
        <v>12</v>
      </c>
      <c r="W22" s="2211"/>
      <c r="X22" s="2211"/>
      <c r="Y22" s="2211"/>
      <c r="Z22" s="2211"/>
      <c r="AA22" s="2212"/>
      <c r="AB22" s="2210" cm="1">
        <f t="array" ref="AB22">SUMPRODUCT((Application!$B$726:$B$760 = 'CalHFA Addendum'!AB$18)*(Application!$AC$726:$AC$760 = 'CalHFA Addendum'!$B22),Application!$G$726:$G$760)</f>
        <v>7</v>
      </c>
      <c r="AC22" s="2211"/>
      <c r="AD22" s="2211"/>
      <c r="AE22" s="2211"/>
      <c r="AF22" s="2211"/>
      <c r="AG22" s="2212"/>
      <c r="AH22" s="2210" cm="1">
        <f t="array" ref="AH22">SUMPRODUCT((Application!$B$726:$B$760 = 'CalHFA Addendum'!AH$18)*(Application!$AC$726:$AC$760 = 'CalHFA Addendum'!$B22),Application!$G$726:$G$760)</f>
        <v>7</v>
      </c>
      <c r="AI22" s="2211"/>
      <c r="AJ22" s="2211"/>
      <c r="AK22" s="2211"/>
      <c r="AL22" s="2211"/>
      <c r="AM22" s="2212"/>
      <c r="AN22" s="2210" cm="1">
        <f t="array" ref="AN22">SUMPRODUCT((Application!$B$726:$B$760 = 'CalHFA Addendum'!AN$18)*(Application!$AC$726:$AC$760 = 'CalHFA Addendum'!$B22),Application!$G$726:$G$760)</f>
        <v>0</v>
      </c>
      <c r="AO22" s="2211"/>
      <c r="AP22" s="2211"/>
      <c r="AQ22" s="2211"/>
      <c r="AR22" s="2211"/>
      <c r="AS22" s="2212"/>
      <c r="AT22" s="2195">
        <f t="shared" si="1"/>
        <v>0.16993464052287582</v>
      </c>
      <c r="AU22" s="2196"/>
      <c r="AV22" s="2196"/>
      <c r="AW22" s="2196"/>
      <c r="AX22" s="2196"/>
      <c r="AY22" s="2197"/>
      <c r="AZ22" s="987"/>
      <c r="BA22" s="987"/>
      <c r="BB22" s="987"/>
      <c r="BC22" s="987"/>
      <c r="BD22" s="987"/>
      <c r="BE22" s="990"/>
    </row>
    <row r="23" spans="1:58" ht="15">
      <c r="A23" s="987"/>
      <c r="B23" s="2207">
        <v>0.7</v>
      </c>
      <c r="C23" s="2208"/>
      <c r="D23" s="2208"/>
      <c r="E23" s="2208"/>
      <c r="F23" s="2208"/>
      <c r="G23" s="2208"/>
      <c r="H23" s="2208"/>
      <c r="I23" s="2209"/>
      <c r="J23" s="2210">
        <f t="shared" si="0"/>
        <v>32</v>
      </c>
      <c r="K23" s="2211"/>
      <c r="L23" s="2211"/>
      <c r="M23" s="2211"/>
      <c r="N23" s="2211"/>
      <c r="O23" s="2212"/>
      <c r="P23" s="2210" cm="1">
        <f t="array" ref="P23">SUMPRODUCT((Application!$B$726:$B$760 = 'CalHFA Addendum'!P$18)*(Application!$AC$726:$AC$760 = 'CalHFA Addendum'!$B23),Application!$G$726:$G$760)</f>
        <v>0</v>
      </c>
      <c r="Q23" s="2211"/>
      <c r="R23" s="2211"/>
      <c r="S23" s="2211"/>
      <c r="T23" s="2211"/>
      <c r="U23" s="2212"/>
      <c r="V23" s="2210" cm="1">
        <f t="array" ref="V23">SUMPRODUCT((Application!$B$726:$B$760 = 'CalHFA Addendum'!V$18)*(Application!$AC$726:$AC$760 = 'CalHFA Addendum'!$B23),Application!$G$726:$G$760)</f>
        <v>12</v>
      </c>
      <c r="W23" s="2211"/>
      <c r="X23" s="2211"/>
      <c r="Y23" s="2211"/>
      <c r="Z23" s="2211"/>
      <c r="AA23" s="2212"/>
      <c r="AB23" s="2210" cm="1">
        <f t="array" ref="AB23">SUMPRODUCT((Application!$B$726:$B$760 = 'CalHFA Addendum'!AB$18)*(Application!$AC$726:$AC$760 = 'CalHFA Addendum'!$B23),Application!$G$726:$G$760)</f>
        <v>5</v>
      </c>
      <c r="AC23" s="2211"/>
      <c r="AD23" s="2211"/>
      <c r="AE23" s="2211"/>
      <c r="AF23" s="2211"/>
      <c r="AG23" s="2212"/>
      <c r="AH23" s="2210" cm="1">
        <f t="array" ref="AH23">SUMPRODUCT((Application!$B$726:$B$760 = 'CalHFA Addendum'!AH$18)*(Application!$AC$726:$AC$760 = 'CalHFA Addendum'!$B23),Application!$G$726:$G$760)</f>
        <v>15</v>
      </c>
      <c r="AI23" s="2211"/>
      <c r="AJ23" s="2211"/>
      <c r="AK23" s="2211"/>
      <c r="AL23" s="2211"/>
      <c r="AM23" s="2212"/>
      <c r="AN23" s="2210" cm="1">
        <f t="array" ref="AN23">SUMPRODUCT((Application!$B$726:$B$760 = 'CalHFA Addendum'!AN$18)*(Application!$AC$726:$AC$760 = 'CalHFA Addendum'!$B23),Application!$G$726:$G$760)</f>
        <v>0</v>
      </c>
      <c r="AO23" s="2211"/>
      <c r="AP23" s="2211"/>
      <c r="AQ23" s="2211"/>
      <c r="AR23" s="2211"/>
      <c r="AS23" s="2212"/>
      <c r="AT23" s="2195">
        <f t="shared" si="1"/>
        <v>0.20915032679738563</v>
      </c>
      <c r="AU23" s="2196"/>
      <c r="AV23" s="2196"/>
      <c r="AW23" s="2196"/>
      <c r="AX23" s="2196"/>
      <c r="AY23" s="2197"/>
      <c r="AZ23" s="987"/>
      <c r="BA23" s="987"/>
      <c r="BB23" s="987"/>
      <c r="BC23" s="987"/>
      <c r="BD23" s="987"/>
      <c r="BE23" s="990"/>
    </row>
    <row r="24" spans="1:58" ht="15">
      <c r="A24" s="987"/>
      <c r="B24" s="2207">
        <v>0.8</v>
      </c>
      <c r="C24" s="2208"/>
      <c r="D24" s="2208"/>
      <c r="E24" s="2208"/>
      <c r="F24" s="2208"/>
      <c r="G24" s="2208"/>
      <c r="H24" s="2208"/>
      <c r="I24" s="2209"/>
      <c r="J24" s="2210">
        <f t="shared" si="0"/>
        <v>0</v>
      </c>
      <c r="K24" s="2211"/>
      <c r="L24" s="2211"/>
      <c r="M24" s="2211"/>
      <c r="N24" s="2211"/>
      <c r="O24" s="2212"/>
      <c r="P24" s="2210" cm="1">
        <f t="array" ref="P24">SUMPRODUCT((Application!$B$726:$B$760 = 'CalHFA Addendum'!P$18)*(Application!$AC$726:$AC$760 = 'CalHFA Addendum'!$B24),Application!$G$726:$G$760)</f>
        <v>0</v>
      </c>
      <c r="Q24" s="2211"/>
      <c r="R24" s="2211"/>
      <c r="S24" s="2211"/>
      <c r="T24" s="2211"/>
      <c r="U24" s="2212"/>
      <c r="V24" s="2210" cm="1">
        <f t="array" ref="V24">SUMPRODUCT((Application!$B$726:$B$760 = 'CalHFA Addendum'!V$18)*(Application!$AC$726:$AC$760 = 'CalHFA Addendum'!$B24),Application!$G$726:$G$760)</f>
        <v>0</v>
      </c>
      <c r="W24" s="2211"/>
      <c r="X24" s="2211"/>
      <c r="Y24" s="2211"/>
      <c r="Z24" s="2211"/>
      <c r="AA24" s="2212"/>
      <c r="AB24" s="2210" cm="1">
        <f t="array" ref="AB24">SUMPRODUCT((Application!$B$726:$B$760 = 'CalHFA Addendum'!AB$18)*(Application!$AC$726:$AC$760 = 'CalHFA Addendum'!$B24),Application!$G$726:$G$760)</f>
        <v>0</v>
      </c>
      <c r="AC24" s="2211"/>
      <c r="AD24" s="2211"/>
      <c r="AE24" s="2211"/>
      <c r="AF24" s="2211"/>
      <c r="AG24" s="2212"/>
      <c r="AH24" s="2210" cm="1">
        <f t="array" ref="AH24">SUMPRODUCT((Application!$B$726:$B$760 = 'CalHFA Addendum'!AH$18)*(Application!$AC$726:$AC$760 = 'CalHFA Addendum'!$B24),Application!$G$726:$G$760)</f>
        <v>0</v>
      </c>
      <c r="AI24" s="2211"/>
      <c r="AJ24" s="2211"/>
      <c r="AK24" s="2211"/>
      <c r="AL24" s="2211"/>
      <c r="AM24" s="2212"/>
      <c r="AN24" s="2210" cm="1">
        <f t="array" ref="AN24">SUMPRODUCT((Application!$B$726:$B$760 = 'CalHFA Addendum'!AN$18)*(Application!$AC$726:$AC$760 = 'CalHFA Addendum'!$B24),Application!$G$726:$G$760)</f>
        <v>0</v>
      </c>
      <c r="AO24" s="2211"/>
      <c r="AP24" s="2211"/>
      <c r="AQ24" s="2211"/>
      <c r="AR24" s="2211"/>
      <c r="AS24" s="2212"/>
      <c r="AT24" s="2195">
        <f t="shared" si="1"/>
        <v>0</v>
      </c>
      <c r="AU24" s="2196"/>
      <c r="AV24" s="2196"/>
      <c r="AW24" s="2196"/>
      <c r="AX24" s="2196"/>
      <c r="AY24" s="2197"/>
      <c r="AZ24" s="987"/>
      <c r="BA24" s="987"/>
      <c r="BB24" s="987"/>
      <c r="BC24" s="987"/>
      <c r="BD24" s="987"/>
      <c r="BE24" s="990"/>
    </row>
    <row r="25" spans="1:58" ht="15">
      <c r="A25" s="987"/>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987"/>
      <c r="BA25" s="987"/>
      <c r="BB25" s="987"/>
      <c r="BC25" s="987"/>
      <c r="BD25" s="987"/>
      <c r="BE25" s="990"/>
    </row>
    <row r="26" spans="1:58" ht="15">
      <c r="A26" s="987"/>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987"/>
      <c r="BA26" s="987"/>
      <c r="BB26" s="987"/>
      <c r="BC26" s="987"/>
      <c r="BD26" s="987"/>
      <c r="BE26" s="990"/>
    </row>
    <row r="27" spans="1:58" ht="15">
      <c r="A27" s="987"/>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987"/>
      <c r="BA27" s="987"/>
      <c r="BB27" s="987"/>
      <c r="BC27" s="987"/>
      <c r="BD27" s="987"/>
      <c r="BE27" s="990"/>
    </row>
    <row r="28" spans="1:58" thickBot="1">
      <c r="A28" s="987"/>
      <c r="B28" s="2198" t="s">
        <v>1807</v>
      </c>
      <c r="C28" s="2199"/>
      <c r="D28" s="2199"/>
      <c r="E28" s="2199"/>
      <c r="F28" s="2199"/>
      <c r="G28" s="2199"/>
      <c r="H28" s="2199"/>
      <c r="I28" s="2200"/>
      <c r="J28" s="2201">
        <f>SUM(P28:AS28)</f>
        <v>2</v>
      </c>
      <c r="K28" s="2202"/>
      <c r="L28" s="2202"/>
      <c r="M28" s="2202"/>
      <c r="N28" s="2202"/>
      <c r="O28" s="2203"/>
      <c r="P28" s="2201">
        <f>_xlfn.IFNA(VLOOKUP(P$18,Application!$J$781:$S$784,6,FALSE), 0)</f>
        <v>0</v>
      </c>
      <c r="Q28" s="2202"/>
      <c r="R28" s="2202"/>
      <c r="S28" s="2202"/>
      <c r="T28" s="2202"/>
      <c r="U28" s="2203"/>
      <c r="V28" s="2201">
        <f>_xlfn.IFNA(VLOOKUP(V$18,Application!$J$781:$S$784,6,FALSE), 0)</f>
        <v>0</v>
      </c>
      <c r="W28" s="2202"/>
      <c r="X28" s="2202"/>
      <c r="Y28" s="2202"/>
      <c r="Z28" s="2202"/>
      <c r="AA28" s="2203"/>
      <c r="AB28" s="2201">
        <f>_xlfn.IFNA(VLOOKUP(AB$18,Application!$J$781:$S$784,6,FALSE), 0)</f>
        <v>2</v>
      </c>
      <c r="AC28" s="2202"/>
      <c r="AD28" s="2202"/>
      <c r="AE28" s="2202"/>
      <c r="AF28" s="2202"/>
      <c r="AG28" s="2203"/>
      <c r="AH28" s="2201">
        <f>_xlfn.IFNA(VLOOKUP(AH$18,Application!$J$781:$S$784,6,FALSE), 0)</f>
        <v>0</v>
      </c>
      <c r="AI28" s="2202"/>
      <c r="AJ28" s="2202"/>
      <c r="AK28" s="2202"/>
      <c r="AL28" s="2202"/>
      <c r="AM28" s="2203"/>
      <c r="AN28" s="2201">
        <f>_xlfn.IFNA(VLOOKUP(AN$18,Application!$J$781:$S$784,6,FALSE), 0)</f>
        <v>0</v>
      </c>
      <c r="AO28" s="2202"/>
      <c r="AP28" s="2202"/>
      <c r="AQ28" s="2202"/>
      <c r="AR28" s="2202"/>
      <c r="AS28" s="2203"/>
      <c r="AT28" s="2204">
        <f t="shared" si="1"/>
        <v>1.3071895424836602E-2</v>
      </c>
      <c r="AU28" s="2205"/>
      <c r="AV28" s="2205"/>
      <c r="AW28" s="2205"/>
      <c r="AX28" s="2205"/>
      <c r="AY28" s="2206"/>
      <c r="AZ28" s="987"/>
      <c r="BA28" s="987"/>
      <c r="BB28" s="987"/>
      <c r="BC28" s="987"/>
      <c r="BD28" s="987"/>
      <c r="BE28" s="990"/>
    </row>
    <row r="29" spans="1:58" thickBot="1">
      <c r="A29" s="987"/>
      <c r="B29" s="2181" t="s">
        <v>1805</v>
      </c>
      <c r="C29" s="2154"/>
      <c r="D29" s="2154"/>
      <c r="E29" s="2154"/>
      <c r="F29" s="2154"/>
      <c r="G29" s="2154"/>
      <c r="H29" s="2154"/>
      <c r="I29" s="2155"/>
      <c r="J29" s="2153">
        <f>SUM(J19:O28)</f>
        <v>153</v>
      </c>
      <c r="K29" s="2154"/>
      <c r="L29" s="2154"/>
      <c r="M29" s="2154"/>
      <c r="N29" s="2154"/>
      <c r="O29" s="2155"/>
      <c r="P29" s="2153">
        <f>SUM(P19:U28)</f>
        <v>0</v>
      </c>
      <c r="Q29" s="2154"/>
      <c r="R29" s="2154"/>
      <c r="S29" s="2154"/>
      <c r="T29" s="2154"/>
      <c r="U29" s="2155"/>
      <c r="V29" s="2153">
        <f>SUM(V19:AA28)</f>
        <v>74</v>
      </c>
      <c r="W29" s="2154"/>
      <c r="X29" s="2154"/>
      <c r="Y29" s="2154"/>
      <c r="Z29" s="2154"/>
      <c r="AA29" s="2155"/>
      <c r="AB29" s="2153">
        <f>SUM(AB19:AG28)</f>
        <v>40</v>
      </c>
      <c r="AC29" s="2154"/>
      <c r="AD29" s="2154"/>
      <c r="AE29" s="2154"/>
      <c r="AF29" s="2154"/>
      <c r="AG29" s="2155"/>
      <c r="AH29" s="2153">
        <f>SUM(AH19:AM28)</f>
        <v>39</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2159" t="s">
        <v>1808</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990"/>
    </row>
    <row r="32" spans="1:58" thickBot="1">
      <c r="A32" s="987"/>
      <c r="B32" s="2162" t="s">
        <v>1809</v>
      </c>
      <c r="C32" s="2163"/>
      <c r="D32" s="2163"/>
      <c r="E32" s="2163"/>
      <c r="F32" s="2163"/>
      <c r="G32" s="2163"/>
      <c r="H32" s="2163"/>
      <c r="I32" s="2163"/>
      <c r="J32" s="2166" t="s">
        <v>1810</v>
      </c>
      <c r="K32" s="2167"/>
      <c r="L32" s="2167"/>
      <c r="M32" s="2167"/>
      <c r="N32" s="2166" t="s">
        <v>1811</v>
      </c>
      <c r="O32" s="2167"/>
      <c r="P32" s="2167"/>
      <c r="Q32" s="2169"/>
      <c r="R32" s="2171" t="s">
        <v>1812</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990"/>
    </row>
    <row r="33" spans="1:58" ht="15" customHeight="1">
      <c r="A33" s="987"/>
      <c r="B33" s="2164"/>
      <c r="C33" s="2165"/>
      <c r="D33" s="2165"/>
      <c r="E33" s="2165"/>
      <c r="F33" s="2165"/>
      <c r="G33" s="2165"/>
      <c r="H33" s="2165"/>
      <c r="I33" s="2165"/>
      <c r="J33" s="2168"/>
      <c r="K33" s="2168"/>
      <c r="L33" s="2168"/>
      <c r="M33" s="2168"/>
      <c r="N33" s="2168"/>
      <c r="O33" s="2168"/>
      <c r="P33" s="2168"/>
      <c r="Q33" s="2170"/>
      <c r="R33" s="2174" t="s">
        <v>1813</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990"/>
    </row>
    <row r="34" spans="1:58" ht="15.75" customHeight="1" thickBot="1">
      <c r="A34" s="987"/>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990"/>
    </row>
    <row r="35" spans="1:58" ht="15.75" customHeight="1">
      <c r="A35" s="987"/>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1814</v>
      </c>
      <c r="AT35" s="2183"/>
      <c r="AU35" s="2183"/>
      <c r="AV35" s="2183"/>
      <c r="AW35" s="2183"/>
      <c r="AX35" s="2191"/>
      <c r="AY35" s="2182" t="s">
        <v>1815</v>
      </c>
      <c r="AZ35" s="2183"/>
      <c r="BA35" s="2183"/>
      <c r="BB35" s="2183"/>
      <c r="BC35" s="2183"/>
      <c r="BD35" s="2184"/>
      <c r="BE35" s="990"/>
    </row>
    <row r="36" spans="1:58" ht="15.75" customHeight="1">
      <c r="A36" s="987"/>
      <c r="B36" s="2086" t="s">
        <v>1816</v>
      </c>
      <c r="C36" s="2087"/>
      <c r="D36" s="2087"/>
      <c r="E36" s="2087"/>
      <c r="F36" s="2087"/>
      <c r="G36" s="2087"/>
      <c r="H36" s="2087"/>
      <c r="I36" s="2087"/>
      <c r="J36" s="2151" t="s">
        <v>1817</v>
      </c>
      <c r="K36" s="2151"/>
      <c r="L36" s="2151"/>
      <c r="M36" s="2151"/>
      <c r="N36" s="2151">
        <v>55</v>
      </c>
      <c r="O36" s="2151"/>
      <c r="P36" s="2151"/>
      <c r="Q36" s="2151"/>
      <c r="R36" s="2152">
        <v>47</v>
      </c>
      <c r="S36" s="2152"/>
      <c r="T36" s="2152"/>
      <c r="U36" s="2152"/>
      <c r="V36" s="2152"/>
      <c r="W36" s="2152"/>
      <c r="X36" s="2152"/>
      <c r="Y36" s="2152"/>
      <c r="Z36" s="2152">
        <v>46</v>
      </c>
      <c r="AA36" s="2152"/>
      <c r="AB36" s="2152"/>
      <c r="AC36" s="2152"/>
      <c r="AD36" s="2152">
        <v>26</v>
      </c>
      <c r="AE36" s="2152"/>
      <c r="AF36" s="2152"/>
      <c r="AG36" s="2152"/>
      <c r="AH36" s="2152">
        <v>32</v>
      </c>
      <c r="AI36" s="2152"/>
      <c r="AJ36" s="2152"/>
      <c r="AK36" s="2152"/>
      <c r="AL36" s="2136"/>
      <c r="AM36" s="2137"/>
      <c r="AN36" s="2137"/>
      <c r="AO36" s="2138"/>
      <c r="AP36" s="2136"/>
      <c r="AQ36" s="2137"/>
      <c r="AR36" s="2138"/>
      <c r="AS36" s="2139">
        <f t="shared" ref="AS36:AS47" si="2">SUM(R36:AR36)</f>
        <v>151</v>
      </c>
      <c r="AT36" s="2140"/>
      <c r="AU36" s="2140"/>
      <c r="AV36" s="2140"/>
      <c r="AW36" s="2140"/>
      <c r="AX36" s="2141"/>
      <c r="AY36" s="2142">
        <f t="shared" ref="AY36:AY47" si="3">AS36/$J$29</f>
        <v>0.98692810457516345</v>
      </c>
      <c r="AZ36" s="2143"/>
      <c r="BA36" s="2143"/>
      <c r="BB36" s="2143"/>
      <c r="BC36" s="2143"/>
      <c r="BD36" s="2144"/>
      <c r="BE36" s="990"/>
    </row>
    <row r="37" spans="1:58" ht="15.75" customHeight="1">
      <c r="A37" s="987"/>
      <c r="B37" s="2086" t="s">
        <v>1818</v>
      </c>
      <c r="C37" s="2087"/>
      <c r="D37" s="2087"/>
      <c r="E37" s="2087"/>
      <c r="F37" s="2087"/>
      <c r="G37" s="2087"/>
      <c r="H37" s="2087"/>
      <c r="I37" s="2087"/>
      <c r="J37" s="2151" t="s">
        <v>1819</v>
      </c>
      <c r="K37" s="2151"/>
      <c r="L37" s="2151"/>
      <c r="M37" s="2151"/>
      <c r="N37" s="2151">
        <v>55</v>
      </c>
      <c r="O37" s="2151"/>
      <c r="P37" s="2151"/>
      <c r="Q37" s="2151"/>
      <c r="R37" s="2152">
        <v>47</v>
      </c>
      <c r="S37" s="2152"/>
      <c r="T37" s="2152"/>
      <c r="U37" s="2152"/>
      <c r="V37" s="2152"/>
      <c r="W37" s="2152"/>
      <c r="X37" s="2152"/>
      <c r="Y37" s="2152"/>
      <c r="Z37" s="2152">
        <v>46</v>
      </c>
      <c r="AA37" s="2152"/>
      <c r="AB37" s="2152"/>
      <c r="AC37" s="2152"/>
      <c r="AD37" s="2152">
        <v>26</v>
      </c>
      <c r="AE37" s="2152"/>
      <c r="AF37" s="2152"/>
      <c r="AG37" s="2152"/>
      <c r="AH37" s="2152">
        <v>32</v>
      </c>
      <c r="AI37" s="2152"/>
      <c r="AJ37" s="2152"/>
      <c r="AK37" s="2152"/>
      <c r="AL37" s="2136"/>
      <c r="AM37" s="2137"/>
      <c r="AN37" s="2137"/>
      <c r="AO37" s="2138"/>
      <c r="AP37" s="2136"/>
      <c r="AQ37" s="2137"/>
      <c r="AR37" s="2138"/>
      <c r="AS37" s="2139">
        <f t="shared" si="2"/>
        <v>151</v>
      </c>
      <c r="AT37" s="2140"/>
      <c r="AU37" s="2140"/>
      <c r="AV37" s="2140"/>
      <c r="AW37" s="2140"/>
      <c r="AX37" s="2141"/>
      <c r="AY37" s="2142">
        <f t="shared" si="3"/>
        <v>0.98692810457516345</v>
      </c>
      <c r="AZ37" s="2143"/>
      <c r="BA37" s="2143"/>
      <c r="BB37" s="2143"/>
      <c r="BC37" s="2143"/>
      <c r="BD37" s="2144"/>
      <c r="BE37" s="990"/>
    </row>
    <row r="38" spans="1:58" ht="15.75" customHeight="1">
      <c r="A38" s="987"/>
      <c r="B38" s="2086" t="s">
        <v>1820</v>
      </c>
      <c r="C38" s="2087"/>
      <c r="D38" s="2087"/>
      <c r="E38" s="2087"/>
      <c r="F38" s="2087"/>
      <c r="G38" s="2087"/>
      <c r="H38" s="2087"/>
      <c r="I38" s="2087"/>
      <c r="J38" s="2151" t="s">
        <v>1821</v>
      </c>
      <c r="K38" s="2151"/>
      <c r="L38" s="2151"/>
      <c r="M38" s="2151"/>
      <c r="N38" s="2151">
        <v>55</v>
      </c>
      <c r="O38" s="2151"/>
      <c r="P38" s="2151"/>
      <c r="Q38" s="2151"/>
      <c r="R38" s="2152">
        <v>47</v>
      </c>
      <c r="S38" s="2152"/>
      <c r="T38" s="2152"/>
      <c r="U38" s="2152"/>
      <c r="V38" s="2152"/>
      <c r="W38" s="2152"/>
      <c r="X38" s="2152"/>
      <c r="Y38" s="2152"/>
      <c r="Z38" s="2152">
        <v>46</v>
      </c>
      <c r="AA38" s="2152"/>
      <c r="AB38" s="2152"/>
      <c r="AC38" s="2152"/>
      <c r="AD38" s="2152">
        <v>26</v>
      </c>
      <c r="AE38" s="2152"/>
      <c r="AF38" s="2152"/>
      <c r="AG38" s="2152"/>
      <c r="AH38" s="2152">
        <v>32</v>
      </c>
      <c r="AI38" s="2152"/>
      <c r="AJ38" s="2152"/>
      <c r="AK38" s="2152"/>
      <c r="AL38" s="2136"/>
      <c r="AM38" s="2137"/>
      <c r="AN38" s="2137"/>
      <c r="AO38" s="2138"/>
      <c r="AP38" s="2136"/>
      <c r="AQ38" s="2137"/>
      <c r="AR38" s="2138"/>
      <c r="AS38" s="2139">
        <f t="shared" si="2"/>
        <v>151</v>
      </c>
      <c r="AT38" s="2140"/>
      <c r="AU38" s="2140"/>
      <c r="AV38" s="2140"/>
      <c r="AW38" s="2140"/>
      <c r="AX38" s="2141"/>
      <c r="AY38" s="2142">
        <f t="shared" si="3"/>
        <v>0.98692810457516345</v>
      </c>
      <c r="AZ38" s="2143"/>
      <c r="BA38" s="2143"/>
      <c r="BB38" s="2143"/>
      <c r="BC38" s="2143"/>
      <c r="BD38" s="2144"/>
      <c r="BE38" s="990"/>
    </row>
    <row r="39" spans="1:58" ht="15.75" customHeight="1">
      <c r="A39" s="987"/>
      <c r="B39" s="2086" t="s">
        <v>2752</v>
      </c>
      <c r="C39" s="2087"/>
      <c r="D39" s="2087"/>
      <c r="E39" s="2087"/>
      <c r="F39" s="2087"/>
      <c r="G39" s="2087"/>
      <c r="H39" s="2087"/>
      <c r="I39" s="2087"/>
      <c r="J39" s="2151"/>
      <c r="K39" s="2151"/>
      <c r="L39" s="2151"/>
      <c r="M39" s="2151"/>
      <c r="N39" s="2151">
        <v>5</v>
      </c>
      <c r="O39" s="2151"/>
      <c r="P39" s="2151"/>
      <c r="Q39" s="2151"/>
      <c r="R39" s="2152">
        <v>10</v>
      </c>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10</v>
      </c>
      <c r="AT39" s="2140"/>
      <c r="AU39" s="2140"/>
      <c r="AV39" s="2140"/>
      <c r="AW39" s="2140"/>
      <c r="AX39" s="2141"/>
      <c r="AY39" s="2142">
        <f t="shared" si="3"/>
        <v>6.535947712418301E-2</v>
      </c>
      <c r="AZ39" s="2143"/>
      <c r="BA39" s="2143"/>
      <c r="BB39" s="2143"/>
      <c r="BC39" s="2143"/>
      <c r="BD39" s="2144"/>
      <c r="BE39" s="990"/>
    </row>
    <row r="40" spans="1:58" ht="15.75" customHeight="1">
      <c r="A40" s="987"/>
      <c r="B40" s="2086" t="s">
        <v>2638</v>
      </c>
      <c r="C40" s="2087"/>
      <c r="D40" s="2087"/>
      <c r="E40" s="2087"/>
      <c r="F40" s="2087"/>
      <c r="G40" s="2087"/>
      <c r="H40" s="2087"/>
      <c r="I40" s="2087"/>
      <c r="J40" s="2151" t="s">
        <v>2757</v>
      </c>
      <c r="K40" s="2151"/>
      <c r="L40" s="2151"/>
      <c r="M40" s="2151"/>
      <c r="N40" s="2151">
        <v>55</v>
      </c>
      <c r="O40" s="2151"/>
      <c r="P40" s="2151"/>
      <c r="Q40" s="2151"/>
      <c r="R40" s="2152">
        <v>47</v>
      </c>
      <c r="S40" s="2152"/>
      <c r="T40" s="2152"/>
      <c r="U40" s="2152"/>
      <c r="V40" s="2152"/>
      <c r="W40" s="2152"/>
      <c r="X40" s="2152"/>
      <c r="Y40" s="2152"/>
      <c r="Z40" s="2152">
        <v>46</v>
      </c>
      <c r="AA40" s="2152"/>
      <c r="AB40" s="2152"/>
      <c r="AC40" s="2152"/>
      <c r="AD40" s="2152">
        <v>26</v>
      </c>
      <c r="AE40" s="2152"/>
      <c r="AF40" s="2152"/>
      <c r="AG40" s="2152"/>
      <c r="AH40" s="2152">
        <v>32</v>
      </c>
      <c r="AI40" s="2152"/>
      <c r="AJ40" s="2152"/>
      <c r="AK40" s="2152"/>
      <c r="AL40" s="2136"/>
      <c r="AM40" s="2137"/>
      <c r="AN40" s="2137"/>
      <c r="AO40" s="2138"/>
      <c r="AP40" s="2136"/>
      <c r="AQ40" s="2137"/>
      <c r="AR40" s="2138"/>
      <c r="AS40" s="2139">
        <f t="shared" si="2"/>
        <v>151</v>
      </c>
      <c r="AT40" s="2140"/>
      <c r="AU40" s="2140"/>
      <c r="AV40" s="2140"/>
      <c r="AW40" s="2140"/>
      <c r="AX40" s="2141"/>
      <c r="AY40" s="2142">
        <f t="shared" si="3"/>
        <v>0.98692810457516345</v>
      </c>
      <c r="AZ40" s="2143"/>
      <c r="BA40" s="2143"/>
      <c r="BB40" s="2143"/>
      <c r="BC40" s="2143"/>
      <c r="BD40" s="2144"/>
      <c r="BE40" s="990"/>
    </row>
    <row r="41" spans="1:58" ht="15.75" customHeight="1">
      <c r="A41" s="987"/>
      <c r="B41" s="2086" t="s">
        <v>1505</v>
      </c>
      <c r="C41" s="2087"/>
      <c r="D41" s="2087"/>
      <c r="E41" s="2087"/>
      <c r="F41" s="2087"/>
      <c r="G41" s="2087"/>
      <c r="H41" s="2087"/>
      <c r="I41" s="2087"/>
      <c r="J41" s="2151" t="s">
        <v>2758</v>
      </c>
      <c r="K41" s="2151"/>
      <c r="L41" s="2151"/>
      <c r="M41" s="2151"/>
      <c r="N41" s="2151">
        <v>55</v>
      </c>
      <c r="O41" s="2151"/>
      <c r="P41" s="2151"/>
      <c r="Q41" s="2151"/>
      <c r="R41" s="2152">
        <v>47</v>
      </c>
      <c r="S41" s="2152"/>
      <c r="T41" s="2152"/>
      <c r="U41" s="2152"/>
      <c r="V41" s="2152"/>
      <c r="W41" s="2152"/>
      <c r="X41" s="2152"/>
      <c r="Y41" s="2152"/>
      <c r="Z41" s="2152">
        <v>46</v>
      </c>
      <c r="AA41" s="2152"/>
      <c r="AB41" s="2152"/>
      <c r="AC41" s="2152"/>
      <c r="AD41" s="2152">
        <v>26</v>
      </c>
      <c r="AE41" s="2152"/>
      <c r="AF41" s="2152"/>
      <c r="AG41" s="2152"/>
      <c r="AH41" s="2152">
        <v>32</v>
      </c>
      <c r="AI41" s="2152"/>
      <c r="AJ41" s="2152"/>
      <c r="AK41" s="2152"/>
      <c r="AL41" s="2136"/>
      <c r="AM41" s="2137"/>
      <c r="AN41" s="2137"/>
      <c r="AO41" s="2138"/>
      <c r="AP41" s="2136"/>
      <c r="AQ41" s="2137"/>
      <c r="AR41" s="2138"/>
      <c r="AS41" s="2139">
        <f t="shared" si="2"/>
        <v>151</v>
      </c>
      <c r="AT41" s="2140"/>
      <c r="AU41" s="2140"/>
      <c r="AV41" s="2140"/>
      <c r="AW41" s="2140"/>
      <c r="AX41" s="2141"/>
      <c r="AY41" s="2142">
        <f t="shared" si="3"/>
        <v>0.98692810457516345</v>
      </c>
      <c r="AZ41" s="2143"/>
      <c r="BA41" s="2143"/>
      <c r="BB41" s="2143"/>
      <c r="BC41" s="2143"/>
      <c r="BD41" s="2144"/>
      <c r="BE41" s="990"/>
    </row>
    <row r="42" spans="1:58" ht="15.75" customHeight="1">
      <c r="A42" s="987"/>
      <c r="B42" s="2086" t="s">
        <v>2719</v>
      </c>
      <c r="C42" s="2087"/>
      <c r="D42" s="2087"/>
      <c r="E42" s="2087"/>
      <c r="F42" s="2087"/>
      <c r="G42" s="2087"/>
      <c r="H42" s="2087"/>
      <c r="I42" s="2087"/>
      <c r="J42" s="2151" t="s">
        <v>2759</v>
      </c>
      <c r="K42" s="2151"/>
      <c r="L42" s="2151"/>
      <c r="M42" s="2151"/>
      <c r="N42" s="2151">
        <v>55</v>
      </c>
      <c r="O42" s="2151"/>
      <c r="P42" s="2151"/>
      <c r="Q42" s="2151"/>
      <c r="R42" s="2152">
        <v>47</v>
      </c>
      <c r="S42" s="2152"/>
      <c r="T42" s="2152"/>
      <c r="U42" s="2152"/>
      <c r="V42" s="2152"/>
      <c r="W42" s="2152"/>
      <c r="X42" s="2152"/>
      <c r="Y42" s="2152"/>
      <c r="Z42" s="2152">
        <v>46</v>
      </c>
      <c r="AA42" s="2152"/>
      <c r="AB42" s="2152"/>
      <c r="AC42" s="2152"/>
      <c r="AD42" s="2152">
        <v>26</v>
      </c>
      <c r="AE42" s="2152"/>
      <c r="AF42" s="2152"/>
      <c r="AG42" s="2152"/>
      <c r="AH42" s="2152">
        <v>32</v>
      </c>
      <c r="AI42" s="2152"/>
      <c r="AJ42" s="2152"/>
      <c r="AK42" s="2152"/>
      <c r="AL42" s="2136"/>
      <c r="AM42" s="2137"/>
      <c r="AN42" s="2137"/>
      <c r="AO42" s="2138"/>
      <c r="AP42" s="2136"/>
      <c r="AQ42" s="2137"/>
      <c r="AR42" s="2138"/>
      <c r="AS42" s="2139">
        <f t="shared" si="2"/>
        <v>151</v>
      </c>
      <c r="AT42" s="2140"/>
      <c r="AU42" s="2140"/>
      <c r="AV42" s="2140"/>
      <c r="AW42" s="2140"/>
      <c r="AX42" s="2141"/>
      <c r="AY42" s="2142">
        <f t="shared" si="3"/>
        <v>0.98692810457516345</v>
      </c>
      <c r="AZ42" s="2143"/>
      <c r="BA42" s="2143"/>
      <c r="BB42" s="2143"/>
      <c r="BC42" s="2143"/>
      <c r="BD42" s="2144"/>
      <c r="BE42" s="990"/>
    </row>
    <row r="43" spans="1:58" ht="15.75" customHeight="1">
      <c r="A43" s="987"/>
      <c r="B43" s="2091" t="s">
        <v>1822</v>
      </c>
      <c r="C43" s="2092"/>
      <c r="D43" s="2092"/>
      <c r="E43" s="2092"/>
      <c r="F43" s="2092"/>
      <c r="G43" s="2092"/>
      <c r="H43" s="2092"/>
      <c r="I43" s="2092"/>
      <c r="J43" s="2151"/>
      <c r="K43" s="2151"/>
      <c r="L43" s="2151"/>
      <c r="M43" s="2151"/>
      <c r="N43" s="2151">
        <v>15</v>
      </c>
      <c r="O43" s="2151"/>
      <c r="P43" s="2151"/>
      <c r="Q43" s="2151"/>
      <c r="R43" s="2152">
        <v>37</v>
      </c>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37</v>
      </c>
      <c r="AT43" s="2140"/>
      <c r="AU43" s="2140"/>
      <c r="AV43" s="2140"/>
      <c r="AW43" s="2140"/>
      <c r="AX43" s="2141"/>
      <c r="AY43" s="2142">
        <f t="shared" si="3"/>
        <v>0.24183006535947713</v>
      </c>
      <c r="AZ43" s="2143"/>
      <c r="BA43" s="2143"/>
      <c r="BB43" s="2143"/>
      <c r="BC43" s="2143"/>
      <c r="BD43" s="2144"/>
      <c r="BE43" s="990"/>
    </row>
    <row r="44" spans="1:58" ht="15.75" customHeight="1">
      <c r="A44" s="987"/>
      <c r="B44" s="2091" t="s">
        <v>1823</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990"/>
    </row>
    <row r="45" spans="1:58" ht="15.75" customHeight="1">
      <c r="A45" s="987"/>
      <c r="B45" s="2091" t="s">
        <v>1824</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990"/>
    </row>
    <row r="46" spans="1:58" ht="15.75" customHeight="1">
      <c r="A46" s="987"/>
      <c r="B46" s="2091" t="s">
        <v>1825</v>
      </c>
      <c r="C46" s="2092"/>
      <c r="D46" s="2092"/>
      <c r="E46" s="2092"/>
      <c r="F46" s="2092"/>
      <c r="G46" s="2092"/>
      <c r="H46" s="2092"/>
      <c r="I46" s="2092"/>
      <c r="J46" s="2151"/>
      <c r="K46" s="2151"/>
      <c r="L46" s="2151"/>
      <c r="M46" s="2151"/>
      <c r="N46" s="2151"/>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990"/>
    </row>
    <row r="47" spans="1:58" ht="15.75" customHeight="1" thickBot="1">
      <c r="A47" s="987"/>
      <c r="B47" s="2145" t="s">
        <v>2793</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990"/>
    </row>
    <row r="48" spans="1:58" ht="15.75" customHeight="1">
      <c r="A48" s="987"/>
      <c r="B48" s="992" t="s">
        <v>1826</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1827</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2008" t="s">
        <v>1828</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988"/>
      <c r="AQ50" s="988"/>
      <c r="AR50" s="988"/>
      <c r="AS50" s="988"/>
      <c r="AT50" s="988"/>
      <c r="AU50" s="988"/>
      <c r="AV50" s="988"/>
      <c r="AW50" s="988"/>
      <c r="AX50" s="987"/>
      <c r="AY50" s="987"/>
      <c r="AZ50" s="987"/>
      <c r="BA50" s="987"/>
      <c r="BB50" s="987"/>
      <c r="BC50" s="987"/>
      <c r="BD50" s="987"/>
      <c r="BE50" s="990"/>
    </row>
    <row r="51" spans="1:77" ht="33.75" customHeight="1">
      <c r="A51" s="987"/>
      <c r="B51" s="2042" t="s">
        <v>1829</v>
      </c>
      <c r="C51" s="2036"/>
      <c r="D51" s="2036"/>
      <c r="E51" s="2036"/>
      <c r="F51" s="2036"/>
      <c r="G51" s="2036"/>
      <c r="H51" s="2036"/>
      <c r="I51" s="2036"/>
      <c r="J51" s="2036" t="s">
        <v>1830</v>
      </c>
      <c r="K51" s="2036"/>
      <c r="L51" s="2036"/>
      <c r="M51" s="2036"/>
      <c r="N51" s="2036"/>
      <c r="O51" s="2036"/>
      <c r="P51" s="2036"/>
      <c r="Q51" s="2036"/>
      <c r="R51" s="2130" t="s">
        <v>1831</v>
      </c>
      <c r="S51" s="2130"/>
      <c r="T51" s="2130"/>
      <c r="U51" s="2130"/>
      <c r="V51" s="2130"/>
      <c r="W51" s="2130"/>
      <c r="X51" s="2130"/>
      <c r="Y51" s="2130"/>
      <c r="Z51" s="2130" t="s">
        <v>1832</v>
      </c>
      <c r="AA51" s="2130"/>
      <c r="AB51" s="2130"/>
      <c r="AC51" s="2130"/>
      <c r="AD51" s="2130"/>
      <c r="AE51" s="2130"/>
      <c r="AF51" s="2130"/>
      <c r="AG51" s="2130"/>
      <c r="AH51" s="2130" t="s">
        <v>1833</v>
      </c>
      <c r="AI51" s="2130"/>
      <c r="AJ51" s="2130"/>
      <c r="AK51" s="2130"/>
      <c r="AL51" s="2130"/>
      <c r="AM51" s="2130"/>
      <c r="AN51" s="2130"/>
      <c r="AO51" s="2131"/>
      <c r="AP51" s="988"/>
      <c r="AQ51" s="988"/>
      <c r="AR51" s="988"/>
      <c r="AS51" s="988"/>
      <c r="AT51" s="988"/>
      <c r="AU51" s="988"/>
      <c r="AV51" s="988"/>
      <c r="AW51" s="988"/>
      <c r="AX51" s="991"/>
      <c r="AY51" s="987"/>
      <c r="AZ51" s="987"/>
      <c r="BA51" s="987"/>
      <c r="BB51" s="987"/>
      <c r="BC51" s="987"/>
      <c r="BD51" s="987"/>
      <c r="BE51" s="990"/>
    </row>
    <row r="52" spans="1:77" ht="15.75" customHeight="1">
      <c r="A52" s="987"/>
      <c r="B52" s="2091" t="s">
        <v>2760</v>
      </c>
      <c r="C52" s="2092"/>
      <c r="D52" s="2092"/>
      <c r="E52" s="2092"/>
      <c r="F52" s="2092"/>
      <c r="G52" s="2092"/>
      <c r="H52" s="2092"/>
      <c r="I52" s="2092"/>
      <c r="J52" s="1925">
        <v>15</v>
      </c>
      <c r="K52" s="1925"/>
      <c r="L52" s="1925"/>
      <c r="M52" s="1925"/>
      <c r="N52" s="1925"/>
      <c r="O52" s="1925"/>
      <c r="P52" s="1925"/>
      <c r="Q52" s="1925"/>
      <c r="R52" s="2122">
        <v>100000</v>
      </c>
      <c r="S52" s="2122"/>
      <c r="T52" s="2122"/>
      <c r="U52" s="2122"/>
      <c r="V52" s="2122"/>
      <c r="W52" s="2122"/>
      <c r="X52" s="2122"/>
      <c r="Y52" s="2122"/>
      <c r="Z52" s="2123">
        <v>40</v>
      </c>
      <c r="AA52" s="2123"/>
      <c r="AB52" s="2123"/>
      <c r="AC52" s="2123"/>
      <c r="AD52" s="2123"/>
      <c r="AE52" s="2123"/>
      <c r="AF52" s="2123"/>
      <c r="AG52" s="2123"/>
      <c r="AH52" s="2124"/>
      <c r="AI52" s="2124"/>
      <c r="AJ52" s="2124"/>
      <c r="AK52" s="2124"/>
      <c r="AL52" s="2124"/>
      <c r="AM52" s="2124"/>
      <c r="AN52" s="2124"/>
      <c r="AO52" s="2125"/>
      <c r="AP52" s="988"/>
      <c r="AQ52" s="988"/>
      <c r="AR52" s="988"/>
      <c r="AS52" s="988"/>
      <c r="AT52" s="988"/>
      <c r="AU52" s="988"/>
      <c r="AV52" s="988"/>
      <c r="AW52" s="988"/>
      <c r="AX52" s="991"/>
      <c r="AY52" s="987"/>
      <c r="AZ52" s="987"/>
      <c r="BA52" s="987"/>
      <c r="BB52" s="987"/>
      <c r="BC52" s="987"/>
      <c r="BD52" s="987"/>
      <c r="BE52" s="990"/>
    </row>
    <row r="53" spans="1:77" ht="15.75" customHeight="1">
      <c r="A53" s="987"/>
      <c r="B53" s="2091" t="s">
        <v>1834</v>
      </c>
      <c r="C53" s="2092"/>
      <c r="D53" s="2092"/>
      <c r="E53" s="2092"/>
      <c r="F53" s="2092"/>
      <c r="G53" s="2092"/>
      <c r="H53" s="2092"/>
      <c r="I53" s="2092"/>
      <c r="J53" s="1925">
        <v>0</v>
      </c>
      <c r="K53" s="1925"/>
      <c r="L53" s="1925"/>
      <c r="M53" s="1925"/>
      <c r="N53" s="1925"/>
      <c r="O53" s="1925"/>
      <c r="P53" s="1925"/>
      <c r="Q53" s="1925"/>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988"/>
      <c r="AQ53" s="988"/>
      <c r="AR53" s="988"/>
      <c r="AS53" s="988"/>
      <c r="AT53" s="988"/>
      <c r="AU53" s="988"/>
      <c r="AV53" s="988"/>
      <c r="AW53" s="988"/>
      <c r="AX53" s="987"/>
      <c r="AY53" s="987"/>
      <c r="AZ53" s="987"/>
      <c r="BA53" s="987"/>
      <c r="BB53" s="987"/>
      <c r="BC53" s="987"/>
      <c r="BD53" s="987"/>
      <c r="BE53" s="990"/>
    </row>
    <row r="54" spans="1:77" ht="15.75" customHeight="1">
      <c r="A54" s="987"/>
      <c r="B54" s="2091"/>
      <c r="C54" s="2092"/>
      <c r="D54" s="2092"/>
      <c r="E54" s="2092"/>
      <c r="F54" s="2092"/>
      <c r="G54" s="2092"/>
      <c r="H54" s="2092"/>
      <c r="I54" s="2092"/>
      <c r="J54" s="1925"/>
      <c r="K54" s="1925"/>
      <c r="L54" s="1925"/>
      <c r="M54" s="1925"/>
      <c r="N54" s="1925"/>
      <c r="O54" s="1925"/>
      <c r="P54" s="1925"/>
      <c r="Q54" s="1925"/>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988"/>
      <c r="AQ54" s="988"/>
      <c r="AR54" s="988"/>
      <c r="AS54" s="988"/>
      <c r="AT54" s="988"/>
      <c r="AU54" s="988"/>
      <c r="AV54" s="988"/>
      <c r="AW54" s="988"/>
      <c r="AX54" s="987"/>
      <c r="AY54" s="987"/>
      <c r="AZ54" s="987"/>
      <c r="BA54" s="987"/>
      <c r="BB54" s="987"/>
      <c r="BC54" s="987"/>
      <c r="BD54" s="987"/>
      <c r="BE54" s="990"/>
    </row>
    <row r="55" spans="1:77" ht="15.75" customHeight="1">
      <c r="A55" s="987"/>
      <c r="B55" s="2091"/>
      <c r="C55" s="2092"/>
      <c r="D55" s="2092"/>
      <c r="E55" s="2092"/>
      <c r="F55" s="2092"/>
      <c r="G55" s="2092"/>
      <c r="H55" s="2092"/>
      <c r="I55" s="2092"/>
      <c r="J55" s="1925"/>
      <c r="K55" s="1925"/>
      <c r="L55" s="1925"/>
      <c r="M55" s="1925"/>
      <c r="N55" s="1925"/>
      <c r="O55" s="1925"/>
      <c r="P55" s="1925"/>
      <c r="Q55" s="1925"/>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2091"/>
      <c r="C56" s="2092"/>
      <c r="D56" s="2092"/>
      <c r="E56" s="2092"/>
      <c r="F56" s="2092"/>
      <c r="G56" s="2092"/>
      <c r="H56" s="2092"/>
      <c r="I56" s="2092"/>
      <c r="J56" s="1925"/>
      <c r="K56" s="1925"/>
      <c r="L56" s="1925"/>
      <c r="M56" s="1925"/>
      <c r="N56" s="1925"/>
      <c r="O56" s="1925"/>
      <c r="P56" s="1925"/>
      <c r="Q56" s="1925"/>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2070" t="s">
        <v>1805</v>
      </c>
      <c r="C57" s="2071"/>
      <c r="D57" s="2071"/>
      <c r="E57" s="2071"/>
      <c r="F57" s="2071"/>
      <c r="G57" s="2071"/>
      <c r="H57" s="2071"/>
      <c r="I57" s="2071"/>
      <c r="J57" s="2071"/>
      <c r="K57" s="2071"/>
      <c r="L57" s="2071"/>
      <c r="M57" s="2071"/>
      <c r="N57" s="2071"/>
      <c r="O57" s="2071"/>
      <c r="P57" s="2071"/>
      <c r="Q57" s="2071"/>
      <c r="R57" s="2126">
        <f>SUM(R52:Y56)</f>
        <v>100000</v>
      </c>
      <c r="S57" s="2126"/>
      <c r="T57" s="2126"/>
      <c r="U57" s="2126"/>
      <c r="V57" s="2126"/>
      <c r="W57" s="2126"/>
      <c r="X57" s="2126"/>
      <c r="Y57" s="2126"/>
      <c r="Z57" s="2127">
        <f>SUM(Z52:AG56)</f>
        <v>40</v>
      </c>
      <c r="AA57" s="2127"/>
      <c r="AB57" s="2127"/>
      <c r="AC57" s="2127"/>
      <c r="AD57" s="2127"/>
      <c r="AE57" s="2127"/>
      <c r="AF57" s="2127"/>
      <c r="AG57" s="2127"/>
      <c r="AH57" s="2128"/>
      <c r="AI57" s="2128"/>
      <c r="AJ57" s="2128"/>
      <c r="AK57" s="2128"/>
      <c r="AL57" s="2128"/>
      <c r="AM57" s="2128"/>
      <c r="AN57" s="2128"/>
      <c r="AO57" s="2129"/>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2119" t="s">
        <v>1829</v>
      </c>
      <c r="C59" s="2120"/>
      <c r="D59" s="2120"/>
      <c r="E59" s="2120"/>
      <c r="F59" s="2120"/>
      <c r="G59" s="2120"/>
      <c r="H59" s="2120"/>
      <c r="I59" s="2121"/>
      <c r="J59" s="2040" t="s">
        <v>1835</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987"/>
      <c r="AY59" s="987"/>
      <c r="AZ59" s="987"/>
      <c r="BA59" s="987"/>
      <c r="BB59" s="987"/>
      <c r="BC59" s="987"/>
      <c r="BD59" s="987"/>
      <c r="BE59" s="990"/>
    </row>
    <row r="60" spans="1:77" ht="15.75" customHeight="1">
      <c r="A60" s="987"/>
      <c r="B60" s="2111" t="str">
        <f>IF(B52="", "", B52)</f>
        <v>Century Villages at Cabrillo, Inc. – Oasis Residential Services (CORS)</v>
      </c>
      <c r="C60" s="2112"/>
      <c r="D60" s="2112"/>
      <c r="E60" s="2112"/>
      <c r="F60" s="2112"/>
      <c r="G60" s="2112"/>
      <c r="H60" s="2112"/>
      <c r="I60" s="2113"/>
      <c r="J60" s="2114" t="s">
        <v>2761</v>
      </c>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987"/>
      <c r="AY60" s="987"/>
      <c r="AZ60" s="987"/>
      <c r="BA60" s="987"/>
      <c r="BB60" s="987"/>
      <c r="BC60" s="987"/>
      <c r="BD60" s="987"/>
      <c r="BE60" s="990"/>
    </row>
    <row r="61" spans="1:77" ht="15.75" customHeight="1">
      <c r="A61" s="987"/>
      <c r="B61" s="2111" t="str">
        <f>IF(B53="", "", B53)</f>
        <v>Services Company 2</v>
      </c>
      <c r="C61" s="2112"/>
      <c r="D61" s="2112"/>
      <c r="E61" s="2112"/>
      <c r="F61" s="2112"/>
      <c r="G61" s="2112"/>
      <c r="H61" s="2112"/>
      <c r="I61" s="2113"/>
      <c r="J61" s="2114"/>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987"/>
      <c r="AY61" s="987"/>
      <c r="AZ61" s="987"/>
      <c r="BA61" s="987"/>
      <c r="BB61" s="987"/>
      <c r="BC61" s="987"/>
      <c r="BD61" s="987"/>
      <c r="BE61" s="990"/>
    </row>
    <row r="62" spans="1:77" ht="15.75" customHeight="1">
      <c r="A62" s="987"/>
      <c r="B62" s="2111" t="str">
        <f>IF(B54="", "", B54)</f>
        <v/>
      </c>
      <c r="C62" s="2112"/>
      <c r="D62" s="2112"/>
      <c r="E62" s="2112"/>
      <c r="F62" s="2112"/>
      <c r="G62" s="2112"/>
      <c r="H62" s="2112"/>
      <c r="I62" s="2113"/>
      <c r="J62" s="2114"/>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987"/>
      <c r="AY62" s="987"/>
      <c r="AZ62" s="987"/>
      <c r="BA62" s="987"/>
      <c r="BB62" s="987"/>
      <c r="BC62" s="987"/>
      <c r="BD62" s="987"/>
      <c r="BE62" s="990"/>
    </row>
    <row r="63" spans="1:77" ht="15.75" customHeight="1">
      <c r="A63" s="987"/>
      <c r="B63" s="2111" t="str">
        <f>IF(B55="", "", B55)</f>
        <v/>
      </c>
      <c r="C63" s="2112"/>
      <c r="D63" s="2112"/>
      <c r="E63" s="2112"/>
      <c r="F63" s="2112"/>
      <c r="G63" s="2112"/>
      <c r="H63" s="2112"/>
      <c r="I63" s="2113"/>
      <c r="J63" s="2114"/>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987"/>
      <c r="AY63" s="987"/>
      <c r="AZ63" s="987"/>
      <c r="BA63" s="987"/>
      <c r="BB63" s="987"/>
      <c r="BC63" s="987"/>
      <c r="BD63" s="987"/>
      <c r="BE63" s="990"/>
    </row>
    <row r="64" spans="1:77" ht="15.75" customHeight="1" thickBot="1">
      <c r="A64" s="987"/>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1836</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2039" t="s">
        <v>1837</v>
      </c>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40"/>
      <c r="Z68" s="2040"/>
      <c r="AA68" s="2041"/>
      <c r="AB68" s="987"/>
      <c r="AC68" s="1962" t="s">
        <v>1838</v>
      </c>
      <c r="AD68" s="1963"/>
      <c r="AE68" s="1963"/>
      <c r="AF68" s="1963"/>
      <c r="AG68" s="1963"/>
      <c r="AH68" s="1963"/>
      <c r="AI68" s="1963"/>
      <c r="AJ68" s="1963"/>
      <c r="AK68" s="1963"/>
      <c r="AL68" s="1963"/>
      <c r="AM68" s="1963"/>
      <c r="AN68" s="1963"/>
      <c r="AO68" s="1963"/>
      <c r="AP68" s="1963"/>
      <c r="AQ68" s="1963"/>
      <c r="AR68" s="1963"/>
      <c r="AS68" s="1963"/>
      <c r="AT68" s="1963"/>
      <c r="AU68" s="1963"/>
      <c r="AV68" s="2103" t="s">
        <v>696</v>
      </c>
      <c r="AW68" s="2019"/>
      <c r="AX68" s="2019"/>
      <c r="AY68" s="2019"/>
      <c r="AZ68" s="2019"/>
      <c r="BA68" s="2019"/>
      <c r="BB68" s="2019"/>
      <c r="BC68" s="2020"/>
      <c r="BD68" s="987"/>
      <c r="BE68" s="990"/>
      <c r="BM68" s="996" t="s">
        <v>1839</v>
      </c>
    </row>
    <row r="69" spans="1:94" ht="15.75" customHeight="1" thickTop="1" thickBot="1">
      <c r="A69" s="987"/>
      <c r="B69" s="2104" t="s">
        <v>1840</v>
      </c>
      <c r="C69" s="2105"/>
      <c r="D69" s="2105"/>
      <c r="E69" s="2105"/>
      <c r="F69" s="2105"/>
      <c r="G69" s="2105"/>
      <c r="H69" s="2105"/>
      <c r="I69" s="2105"/>
      <c r="J69" s="2105"/>
      <c r="K69" s="2105"/>
      <c r="L69" s="2105"/>
      <c r="M69" s="2105"/>
      <c r="N69" s="2105"/>
      <c r="O69" s="2106" t="s">
        <v>1841</v>
      </c>
      <c r="P69" s="2107"/>
      <c r="Q69" s="2107"/>
      <c r="R69" s="2107"/>
      <c r="S69" s="2107"/>
      <c r="T69" s="2107"/>
      <c r="U69" s="2107"/>
      <c r="V69" s="2107"/>
      <c r="W69" s="2107"/>
      <c r="X69" s="2107"/>
      <c r="Y69" s="2107"/>
      <c r="Z69" s="2107"/>
      <c r="AA69" s="2108"/>
      <c r="AB69" s="987"/>
      <c r="AC69" s="2109" t="s">
        <v>1842</v>
      </c>
      <c r="AD69" s="2110"/>
      <c r="AE69" s="2110"/>
      <c r="AF69" s="2110"/>
      <c r="AG69" s="2110"/>
      <c r="AH69" s="2110"/>
      <c r="AI69" s="2110"/>
      <c r="AJ69" s="2110"/>
      <c r="AK69" s="2110"/>
      <c r="AL69" s="2110"/>
      <c r="AM69" s="2110"/>
      <c r="AN69" s="2110"/>
      <c r="AO69" s="2110"/>
      <c r="AP69" s="2110"/>
      <c r="AQ69" s="2110"/>
      <c r="AR69" s="2110"/>
      <c r="AS69" s="2110"/>
      <c r="AT69" s="2110"/>
      <c r="AU69" s="2110"/>
      <c r="AV69" s="2103" t="s">
        <v>696</v>
      </c>
      <c r="AW69" s="2019"/>
      <c r="AX69" s="2019"/>
      <c r="AY69" s="2019"/>
      <c r="AZ69" s="2019"/>
      <c r="BA69" s="2019"/>
      <c r="BB69" s="2019"/>
      <c r="BC69" s="2020"/>
      <c r="BD69" s="987"/>
      <c r="BE69" s="990"/>
      <c r="BM69" s="997" t="s">
        <v>847</v>
      </c>
    </row>
    <row r="70" spans="1:94" ht="15.75" customHeight="1">
      <c r="A70" s="987"/>
      <c r="B70" s="2086" t="s">
        <v>1843</v>
      </c>
      <c r="C70" s="2087"/>
      <c r="D70" s="2087"/>
      <c r="E70" s="2087"/>
      <c r="F70" s="2087"/>
      <c r="G70" s="2087"/>
      <c r="H70" s="2087"/>
      <c r="I70" s="2087"/>
      <c r="J70" s="2087"/>
      <c r="K70" s="2087"/>
      <c r="L70" s="2087"/>
      <c r="M70" s="2087"/>
      <c r="N70" s="2087"/>
      <c r="O70" s="1970">
        <v>232354</v>
      </c>
      <c r="P70" s="1970"/>
      <c r="Q70" s="1970"/>
      <c r="R70" s="1970"/>
      <c r="S70" s="1970"/>
      <c r="T70" s="1970"/>
      <c r="U70" s="1970"/>
      <c r="V70" s="1970"/>
      <c r="W70" s="1970"/>
      <c r="X70" s="1970"/>
      <c r="Y70" s="1970"/>
      <c r="Z70" s="1970"/>
      <c r="AA70" s="2088"/>
      <c r="AB70" s="987"/>
      <c r="AC70" s="2008" t="s">
        <v>1844</v>
      </c>
      <c r="AD70" s="1964"/>
      <c r="AE70" s="1964"/>
      <c r="AF70" s="2097" t="s">
        <v>2708</v>
      </c>
      <c r="AG70" s="2097"/>
      <c r="AH70" s="2097"/>
      <c r="AI70" s="2097"/>
      <c r="AJ70" s="2097"/>
      <c r="AK70" s="2097"/>
      <c r="AL70" s="2097"/>
      <c r="AM70" s="2097"/>
      <c r="AN70" s="2097"/>
      <c r="AO70" s="2097"/>
      <c r="AP70" s="2097"/>
      <c r="AQ70" s="2097"/>
      <c r="AR70" s="2097"/>
      <c r="AS70" s="2097"/>
      <c r="AT70" s="2097"/>
      <c r="AU70" s="2098"/>
      <c r="AV70" s="987"/>
      <c r="AW70" s="987"/>
      <c r="AX70" s="987"/>
      <c r="AY70" s="987"/>
      <c r="AZ70" s="987"/>
      <c r="BA70" s="987"/>
      <c r="BB70" s="987"/>
      <c r="BC70" s="987"/>
      <c r="BD70" s="987"/>
      <c r="BE70" s="990"/>
      <c r="BM70" s="998" t="s">
        <v>696</v>
      </c>
    </row>
    <row r="71" spans="1:94" ht="15.75" customHeight="1" thickBot="1">
      <c r="A71" s="987"/>
      <c r="B71" s="2086" t="s">
        <v>1845</v>
      </c>
      <c r="C71" s="2087"/>
      <c r="D71" s="2087"/>
      <c r="E71" s="2087"/>
      <c r="F71" s="2087"/>
      <c r="G71" s="2087"/>
      <c r="H71" s="2087"/>
      <c r="I71" s="2087"/>
      <c r="J71" s="2087"/>
      <c r="K71" s="2087"/>
      <c r="L71" s="2087"/>
      <c r="M71" s="2087"/>
      <c r="N71" s="2087"/>
      <c r="O71" s="1970">
        <v>15000</v>
      </c>
      <c r="P71" s="1970"/>
      <c r="Q71" s="1970"/>
      <c r="R71" s="1970"/>
      <c r="S71" s="1970"/>
      <c r="T71" s="1970"/>
      <c r="U71" s="1970"/>
      <c r="V71" s="1970"/>
      <c r="W71" s="1970"/>
      <c r="X71" s="1970"/>
      <c r="Y71" s="1970"/>
      <c r="Z71" s="1970"/>
      <c r="AA71" s="2088"/>
      <c r="AB71" s="987"/>
      <c r="AC71" s="2099" t="s">
        <v>1846</v>
      </c>
      <c r="AD71" s="2100"/>
      <c r="AE71" s="2100"/>
      <c r="AF71" s="2101" t="s">
        <v>2654</v>
      </c>
      <c r="AG71" s="2101"/>
      <c r="AH71" s="2101"/>
      <c r="AI71" s="2101"/>
      <c r="AJ71" s="2101"/>
      <c r="AK71" s="2101"/>
      <c r="AL71" s="2101"/>
      <c r="AM71" s="2101"/>
      <c r="AN71" s="2101"/>
      <c r="AO71" s="2101"/>
      <c r="AP71" s="2101"/>
      <c r="AQ71" s="2101"/>
      <c r="AR71" s="2101"/>
      <c r="AS71" s="2101"/>
      <c r="AT71" s="2101"/>
      <c r="AU71" s="2102"/>
      <c r="AV71" s="987"/>
      <c r="AW71" s="987"/>
      <c r="AX71" s="987"/>
      <c r="AY71" s="987"/>
      <c r="AZ71" s="987"/>
      <c r="BA71" s="987"/>
      <c r="BB71" s="987"/>
      <c r="BC71" s="987"/>
      <c r="BD71" s="987"/>
      <c r="BE71" s="990"/>
      <c r="BM71" s="983" t="s">
        <v>1847</v>
      </c>
    </row>
    <row r="72" spans="1:94" ht="15.75" customHeight="1">
      <c r="A72" s="987"/>
      <c r="B72" s="2086" t="s">
        <v>1848</v>
      </c>
      <c r="C72" s="2087"/>
      <c r="D72" s="2087"/>
      <c r="E72" s="2087"/>
      <c r="F72" s="2087"/>
      <c r="G72" s="2087"/>
      <c r="H72" s="2087"/>
      <c r="I72" s="2087"/>
      <c r="J72" s="2087"/>
      <c r="K72" s="2087"/>
      <c r="L72" s="2087"/>
      <c r="M72" s="2087"/>
      <c r="N72" s="2087"/>
      <c r="O72" s="1970">
        <v>6250</v>
      </c>
      <c r="P72" s="1970"/>
      <c r="Q72" s="1970"/>
      <c r="R72" s="1970"/>
      <c r="S72" s="1970"/>
      <c r="T72" s="1970"/>
      <c r="U72" s="1970"/>
      <c r="V72" s="1970"/>
      <c r="W72" s="1970"/>
      <c r="X72" s="1970"/>
      <c r="Y72" s="1970"/>
      <c r="Z72" s="1970"/>
      <c r="AA72" s="2088"/>
      <c r="AB72" s="987"/>
      <c r="AC72" s="2089" t="s">
        <v>1849</v>
      </c>
      <c r="AD72" s="2090"/>
      <c r="AE72" s="2090"/>
      <c r="AF72" s="2090"/>
      <c r="AG72" s="2090"/>
      <c r="AH72" s="2090"/>
      <c r="AI72" s="2090"/>
      <c r="AJ72" s="2090"/>
      <c r="AK72" s="2090"/>
      <c r="AL72" s="2090"/>
      <c r="AM72" s="2090"/>
      <c r="AN72" s="2090"/>
      <c r="AO72" s="2090"/>
      <c r="AP72" s="2090"/>
      <c r="AQ72" s="2090"/>
      <c r="AR72" s="2090"/>
      <c r="AS72" s="2090"/>
      <c r="AT72" s="2090"/>
      <c r="AU72" s="2090"/>
      <c r="AV72" s="1964"/>
      <c r="AW72" s="1964"/>
      <c r="AX72" s="1964"/>
      <c r="AY72" s="1964"/>
      <c r="AZ72" s="1964"/>
      <c r="BA72" s="1964"/>
      <c r="BB72" s="1964"/>
      <c r="BC72" s="1965"/>
      <c r="BD72" s="987"/>
      <c r="BE72" s="990"/>
    </row>
    <row r="73" spans="1:94" ht="15.75" customHeight="1">
      <c r="A73" s="987"/>
      <c r="B73" s="2091" t="s">
        <v>2808</v>
      </c>
      <c r="C73" s="2092"/>
      <c r="D73" s="2092"/>
      <c r="E73" s="2092"/>
      <c r="F73" s="2092"/>
      <c r="G73" s="2092"/>
      <c r="H73" s="2092"/>
      <c r="I73" s="2092"/>
      <c r="J73" s="2092"/>
      <c r="K73" s="2092"/>
      <c r="L73" s="2092"/>
      <c r="M73" s="2092"/>
      <c r="N73" s="2092"/>
      <c r="O73" s="1970"/>
      <c r="P73" s="1970"/>
      <c r="Q73" s="1970"/>
      <c r="R73" s="1970"/>
      <c r="S73" s="1970"/>
      <c r="T73" s="1970"/>
      <c r="U73" s="1970"/>
      <c r="V73" s="1970"/>
      <c r="W73" s="1970"/>
      <c r="X73" s="1970"/>
      <c r="Y73" s="1970"/>
      <c r="Z73" s="1970"/>
      <c r="AA73" s="2088"/>
      <c r="AB73" s="987"/>
      <c r="AC73" s="1979" t="s">
        <v>2762</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987"/>
      <c r="BE73" s="990"/>
      <c r="CK73" s="985"/>
      <c r="CL73" s="985"/>
      <c r="CM73" s="985"/>
      <c r="CN73" s="985"/>
      <c r="CO73" s="985"/>
      <c r="CP73" s="985"/>
    </row>
    <row r="74" spans="1:94" ht="15.75" customHeight="1">
      <c r="A74" s="987"/>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8"/>
      <c r="AB74" s="987"/>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987"/>
      <c r="BE74" s="990"/>
      <c r="CK74" s="985"/>
      <c r="CL74" s="985"/>
      <c r="CM74" s="985"/>
      <c r="CN74" s="985"/>
      <c r="CO74" s="985"/>
      <c r="CP74" s="985"/>
    </row>
    <row r="75" spans="1:94" ht="15.75" customHeight="1" thickBot="1">
      <c r="A75" s="987"/>
      <c r="B75" s="2093" t="s">
        <v>1374</v>
      </c>
      <c r="C75" s="2094"/>
      <c r="D75" s="2094"/>
      <c r="E75" s="2094"/>
      <c r="F75" s="2094"/>
      <c r="G75" s="2094"/>
      <c r="H75" s="2094"/>
      <c r="I75" s="2094"/>
      <c r="J75" s="2094"/>
      <c r="K75" s="2094"/>
      <c r="L75" s="2094"/>
      <c r="M75" s="2094"/>
      <c r="N75" s="2094"/>
      <c r="O75" s="2095">
        <f>SUM(O70:AA74)</f>
        <v>253604</v>
      </c>
      <c r="P75" s="2095"/>
      <c r="Q75" s="2095"/>
      <c r="R75" s="2095"/>
      <c r="S75" s="2095"/>
      <c r="T75" s="2095"/>
      <c r="U75" s="2095"/>
      <c r="V75" s="2095"/>
      <c r="W75" s="2095"/>
      <c r="X75" s="2095"/>
      <c r="Y75" s="2095"/>
      <c r="Z75" s="2095"/>
      <c r="AA75" s="2096"/>
      <c r="AB75" s="987"/>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987"/>
      <c r="BE77" s="990"/>
      <c r="CK77" s="985"/>
      <c r="CL77" s="985"/>
      <c r="CM77" s="985"/>
      <c r="CN77" s="985"/>
      <c r="CO77" s="985"/>
      <c r="CP77" s="985"/>
    </row>
    <row r="78" spans="1:94" ht="15.75" customHeight="1" thickBot="1">
      <c r="A78" s="987"/>
      <c r="B78" s="999" t="s">
        <v>1850</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1851</v>
      </c>
      <c r="C79" s="1003"/>
      <c r="D79" s="1003"/>
      <c r="E79" s="1004"/>
      <c r="F79" s="2085" t="s">
        <v>2794</v>
      </c>
      <c r="G79" s="2075"/>
      <c r="H79" s="2075"/>
      <c r="I79" s="2075"/>
      <c r="J79" s="2075"/>
      <c r="K79" s="2075"/>
      <c r="L79" s="2075"/>
      <c r="M79" s="2075"/>
      <c r="N79" s="2075"/>
      <c r="O79" s="2075"/>
      <c r="P79" s="2075"/>
      <c r="Q79" s="2075"/>
      <c r="R79" s="2075"/>
      <c r="S79" s="2075"/>
      <c r="T79" s="2076"/>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77" t="s">
        <v>1852</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987"/>
      <c r="AJ81" s="2061" t="s">
        <v>1853</v>
      </c>
      <c r="AK81" s="2062"/>
      <c r="AL81" s="2062"/>
      <c r="AM81" s="2062"/>
      <c r="AN81" s="2062"/>
      <c r="AO81" s="2062"/>
      <c r="AP81" s="2062"/>
      <c r="AQ81" s="2062"/>
      <c r="AR81" s="2062"/>
      <c r="AS81" s="2062"/>
      <c r="AT81" s="2062"/>
      <c r="AU81" s="2062"/>
      <c r="AV81" s="2062"/>
      <c r="AW81" s="2062"/>
      <c r="AX81" s="2062"/>
      <c r="AY81" s="2080" t="s">
        <v>847</v>
      </c>
      <c r="AZ81" s="2080"/>
      <c r="BA81" s="2080"/>
      <c r="BB81" s="2081"/>
      <c r="BC81" s="987"/>
      <c r="BD81" s="987"/>
      <c r="BE81" s="990"/>
      <c r="CK81" s="985"/>
      <c r="CL81" s="985"/>
      <c r="CM81" s="985"/>
      <c r="CN81" s="985"/>
      <c r="CO81" s="985"/>
      <c r="CP81" s="985"/>
    </row>
    <row r="82" spans="1:94" ht="15.75" customHeight="1">
      <c r="A82" s="987"/>
      <c r="B82" s="2042"/>
      <c r="C82" s="2036"/>
      <c r="D82" s="2036"/>
      <c r="E82" s="2036"/>
      <c r="F82" s="2036"/>
      <c r="G82" s="2036"/>
      <c r="H82" s="2036"/>
      <c r="I82" s="2036" t="s">
        <v>1854</v>
      </c>
      <c r="J82" s="2036"/>
      <c r="K82" s="2036"/>
      <c r="L82" s="2036"/>
      <c r="M82" s="2036"/>
      <c r="N82" s="2036"/>
      <c r="O82" s="2036" t="s">
        <v>1855</v>
      </c>
      <c r="P82" s="2036"/>
      <c r="Q82" s="2036"/>
      <c r="R82" s="2036"/>
      <c r="S82" s="2036"/>
      <c r="T82" s="2036"/>
      <c r="U82" s="2036"/>
      <c r="V82" s="2072" t="s">
        <v>1856</v>
      </c>
      <c r="W82" s="2072"/>
      <c r="X82" s="2072"/>
      <c r="Y82" s="2072"/>
      <c r="Z82" s="2072"/>
      <c r="AA82" s="2072"/>
      <c r="AB82" s="2009" t="s">
        <v>1857</v>
      </c>
      <c r="AC82" s="2009"/>
      <c r="AD82" s="2009"/>
      <c r="AE82" s="2009"/>
      <c r="AF82" s="2009"/>
      <c r="AG82" s="2009"/>
      <c r="AH82" s="2073"/>
      <c r="AI82" s="987"/>
      <c r="AJ82" s="2064"/>
      <c r="AK82" s="2065"/>
      <c r="AL82" s="2065"/>
      <c r="AM82" s="2065"/>
      <c r="AN82" s="2065"/>
      <c r="AO82" s="2065"/>
      <c r="AP82" s="2065"/>
      <c r="AQ82" s="2065"/>
      <c r="AR82" s="2065"/>
      <c r="AS82" s="2065"/>
      <c r="AT82" s="2065"/>
      <c r="AU82" s="2065"/>
      <c r="AV82" s="2065"/>
      <c r="AW82" s="2065"/>
      <c r="AX82" s="2065"/>
      <c r="AY82" s="2082"/>
      <c r="AZ82" s="2082"/>
      <c r="BA82" s="2082"/>
      <c r="BB82" s="2083"/>
      <c r="BC82" s="987"/>
      <c r="BD82" s="987"/>
      <c r="BE82" s="990"/>
      <c r="CK82" s="985"/>
      <c r="CL82" s="985"/>
      <c r="CM82" s="985"/>
      <c r="CN82" s="985"/>
      <c r="CO82" s="985"/>
      <c r="CP82" s="985"/>
    </row>
    <row r="83" spans="1:94" ht="15.75" customHeight="1">
      <c r="A83" s="987"/>
      <c r="B83" s="2042"/>
      <c r="C83" s="2036"/>
      <c r="D83" s="2036"/>
      <c r="E83" s="2036"/>
      <c r="F83" s="2036"/>
      <c r="G83" s="2036"/>
      <c r="H83" s="2036"/>
      <c r="I83" s="2036"/>
      <c r="J83" s="2036"/>
      <c r="K83" s="2036"/>
      <c r="L83" s="2036"/>
      <c r="M83" s="2036"/>
      <c r="N83" s="2036"/>
      <c r="O83" s="2036"/>
      <c r="P83" s="2036"/>
      <c r="Q83" s="2036"/>
      <c r="R83" s="2036"/>
      <c r="S83" s="2036"/>
      <c r="T83" s="2036"/>
      <c r="U83" s="2036"/>
      <c r="V83" s="2072"/>
      <c r="W83" s="2072"/>
      <c r="X83" s="2072"/>
      <c r="Y83" s="2072"/>
      <c r="Z83" s="2072"/>
      <c r="AA83" s="2072"/>
      <c r="AB83" s="2009"/>
      <c r="AC83" s="2009"/>
      <c r="AD83" s="2009"/>
      <c r="AE83" s="2009"/>
      <c r="AF83" s="2009"/>
      <c r="AG83" s="2009"/>
      <c r="AH83" s="2073"/>
      <c r="AI83" s="987"/>
      <c r="AJ83" s="2064"/>
      <c r="AK83" s="2065"/>
      <c r="AL83" s="2065"/>
      <c r="AM83" s="2065"/>
      <c r="AN83" s="2065"/>
      <c r="AO83" s="2065"/>
      <c r="AP83" s="2065"/>
      <c r="AQ83" s="2065"/>
      <c r="AR83" s="2065"/>
      <c r="AS83" s="2065"/>
      <c r="AT83" s="2065"/>
      <c r="AU83" s="2065"/>
      <c r="AV83" s="2065"/>
      <c r="AW83" s="2065"/>
      <c r="AX83" s="2065"/>
      <c r="AY83" s="2082"/>
      <c r="AZ83" s="2082"/>
      <c r="BA83" s="2082"/>
      <c r="BB83" s="2083"/>
      <c r="BC83" s="987"/>
      <c r="BD83" s="987"/>
      <c r="BE83" s="990"/>
      <c r="CK83" s="985"/>
      <c r="CL83" s="985"/>
      <c r="CM83" s="985"/>
      <c r="CN83" s="985"/>
      <c r="CO83" s="985"/>
      <c r="CP83" s="985"/>
    </row>
    <row r="84" spans="1:94" ht="15.75" customHeight="1">
      <c r="A84" s="987"/>
      <c r="B84" s="2042" t="s">
        <v>1858</v>
      </c>
      <c r="C84" s="2036"/>
      <c r="D84" s="2036"/>
      <c r="E84" s="2036"/>
      <c r="F84" s="2036"/>
      <c r="G84" s="2036"/>
      <c r="H84" s="2036"/>
      <c r="I84" s="2012">
        <v>14</v>
      </c>
      <c r="J84" s="2012"/>
      <c r="K84" s="2012"/>
      <c r="L84" s="2012"/>
      <c r="M84" s="2012"/>
      <c r="N84" s="2012"/>
      <c r="O84" s="2012">
        <v>2</v>
      </c>
      <c r="P84" s="2012"/>
      <c r="Q84" s="2012"/>
      <c r="R84" s="2012"/>
      <c r="S84" s="2012"/>
      <c r="T84" s="2012"/>
      <c r="U84" s="2012"/>
      <c r="V84" s="2012">
        <v>9</v>
      </c>
      <c r="W84" s="2012"/>
      <c r="X84" s="2012"/>
      <c r="Y84" s="2012"/>
      <c r="Z84" s="2012"/>
      <c r="AA84" s="2012"/>
      <c r="AB84" s="2012">
        <v>0</v>
      </c>
      <c r="AC84" s="2012"/>
      <c r="AD84" s="2012"/>
      <c r="AE84" s="2012"/>
      <c r="AF84" s="2012"/>
      <c r="AG84" s="2012"/>
      <c r="AH84" s="2013"/>
      <c r="AI84" s="987"/>
      <c r="AJ84" s="2064"/>
      <c r="AK84" s="2065"/>
      <c r="AL84" s="2065"/>
      <c r="AM84" s="2065"/>
      <c r="AN84" s="2065"/>
      <c r="AO84" s="2065"/>
      <c r="AP84" s="2065"/>
      <c r="AQ84" s="2065"/>
      <c r="AR84" s="2065"/>
      <c r="AS84" s="2065"/>
      <c r="AT84" s="2065"/>
      <c r="AU84" s="2065"/>
      <c r="AV84" s="2065"/>
      <c r="AW84" s="2065"/>
      <c r="AX84" s="2065"/>
      <c r="AY84" s="2082"/>
      <c r="AZ84" s="2082"/>
      <c r="BA84" s="2082"/>
      <c r="BB84" s="2083"/>
      <c r="BC84" s="987"/>
      <c r="BD84" s="987"/>
      <c r="BE84" s="990"/>
      <c r="CK84" s="985"/>
      <c r="CL84" s="985"/>
      <c r="CM84" s="985"/>
      <c r="CN84" s="985"/>
      <c r="CO84" s="985"/>
      <c r="CP84" s="985"/>
    </row>
    <row r="85" spans="1:94" ht="15.75" customHeight="1">
      <c r="A85" s="987"/>
      <c r="B85" s="2042" t="s">
        <v>1859</v>
      </c>
      <c r="C85" s="2036"/>
      <c r="D85" s="2036"/>
      <c r="E85" s="2036"/>
      <c r="F85" s="2036"/>
      <c r="G85" s="2036"/>
      <c r="H85" s="2036"/>
      <c r="I85" s="2012">
        <v>0</v>
      </c>
      <c r="J85" s="2012"/>
      <c r="K85" s="2012"/>
      <c r="L85" s="2012"/>
      <c r="M85" s="2012"/>
      <c r="N85" s="2012"/>
      <c r="O85" s="2012">
        <v>0</v>
      </c>
      <c r="P85" s="2012"/>
      <c r="Q85" s="2012"/>
      <c r="R85" s="2012"/>
      <c r="S85" s="2012"/>
      <c r="T85" s="2012"/>
      <c r="U85" s="2012"/>
      <c r="V85" s="2012">
        <v>0</v>
      </c>
      <c r="W85" s="2012"/>
      <c r="X85" s="2012"/>
      <c r="Y85" s="2012"/>
      <c r="Z85" s="2012"/>
      <c r="AA85" s="2012"/>
      <c r="AB85" s="2012">
        <v>0</v>
      </c>
      <c r="AC85" s="2012"/>
      <c r="AD85" s="2012"/>
      <c r="AE85" s="2012"/>
      <c r="AF85" s="2012"/>
      <c r="AG85" s="2012"/>
      <c r="AH85" s="2013"/>
      <c r="AI85" s="987"/>
      <c r="AJ85" s="1979" t="s">
        <v>1860</v>
      </c>
      <c r="AK85" s="1980"/>
      <c r="AL85" s="1980"/>
      <c r="AM85" s="1980"/>
      <c r="AN85" s="1980"/>
      <c r="AO85" s="1980"/>
      <c r="AP85" s="1980"/>
      <c r="AQ85" s="1980"/>
      <c r="AR85" s="1980"/>
      <c r="AS85" s="1980"/>
      <c r="AT85" s="1980"/>
      <c r="AU85" s="1980"/>
      <c r="AV85" s="1980"/>
      <c r="AW85" s="1980"/>
      <c r="AX85" s="1980"/>
      <c r="AY85" s="1980"/>
      <c r="AZ85" s="1980"/>
      <c r="BA85" s="1980"/>
      <c r="BB85" s="1981"/>
      <c r="BC85" s="987"/>
      <c r="BD85" s="987"/>
      <c r="BE85" s="990"/>
      <c r="CK85" s="985"/>
      <c r="CL85" s="985"/>
      <c r="CM85" s="985"/>
      <c r="CN85" s="985"/>
      <c r="CO85" s="985"/>
      <c r="CP85" s="985"/>
    </row>
    <row r="86" spans="1:94" ht="15.75" customHeight="1" thickBot="1">
      <c r="A86" s="987"/>
      <c r="B86" s="2070" t="s">
        <v>1861</v>
      </c>
      <c r="C86" s="2071"/>
      <c r="D86" s="2071"/>
      <c r="E86" s="2071"/>
      <c r="F86" s="2071"/>
      <c r="G86" s="2071"/>
      <c r="H86" s="2071"/>
      <c r="I86" s="2084">
        <v>1572</v>
      </c>
      <c r="J86" s="2006"/>
      <c r="K86" s="2006"/>
      <c r="L86" s="2006"/>
      <c r="M86" s="2006"/>
      <c r="N86" s="2006"/>
      <c r="O86" s="2084">
        <v>260</v>
      </c>
      <c r="P86" s="2006"/>
      <c r="Q86" s="2006"/>
      <c r="R86" s="2006"/>
      <c r="S86" s="2006"/>
      <c r="T86" s="2006"/>
      <c r="U86" s="2006"/>
      <c r="V86" s="2006">
        <v>733</v>
      </c>
      <c r="W86" s="2006"/>
      <c r="X86" s="2006"/>
      <c r="Y86" s="2006"/>
      <c r="Z86" s="2006"/>
      <c r="AA86" s="2006"/>
      <c r="AB86" s="2006">
        <v>0</v>
      </c>
      <c r="AC86" s="2006"/>
      <c r="AD86" s="2006"/>
      <c r="AE86" s="2006"/>
      <c r="AF86" s="2006"/>
      <c r="AG86" s="2006"/>
      <c r="AH86" s="2007"/>
      <c r="AI86" s="987"/>
      <c r="AJ86" s="1982"/>
      <c r="AK86" s="1983"/>
      <c r="AL86" s="1983"/>
      <c r="AM86" s="1983"/>
      <c r="AN86" s="1983"/>
      <c r="AO86" s="1983"/>
      <c r="AP86" s="1983"/>
      <c r="AQ86" s="1983"/>
      <c r="AR86" s="1983"/>
      <c r="AS86" s="1983"/>
      <c r="AT86" s="1983"/>
      <c r="AU86" s="1983"/>
      <c r="AV86" s="1983"/>
      <c r="AW86" s="1983"/>
      <c r="AX86" s="1983"/>
      <c r="AY86" s="1983"/>
      <c r="AZ86" s="1983"/>
      <c r="BA86" s="1983"/>
      <c r="BB86" s="1984"/>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1862</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1851</v>
      </c>
      <c r="C90" s="1009"/>
      <c r="D90" s="1010"/>
      <c r="E90" s="1011"/>
      <c r="F90" s="2074"/>
      <c r="G90" s="2075"/>
      <c r="H90" s="2075"/>
      <c r="I90" s="2075"/>
      <c r="J90" s="2075"/>
      <c r="K90" s="2075"/>
      <c r="L90" s="2075"/>
      <c r="M90" s="2075"/>
      <c r="N90" s="2075"/>
      <c r="O90" s="2075"/>
      <c r="P90" s="2075"/>
      <c r="Q90" s="2075"/>
      <c r="R90" s="2075"/>
      <c r="S90" s="2075"/>
      <c r="T90" s="2076"/>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77" t="s">
        <v>1863</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987"/>
      <c r="AJ92" s="2061" t="s">
        <v>1864</v>
      </c>
      <c r="AK92" s="2062"/>
      <c r="AL92" s="2062"/>
      <c r="AM92" s="2062"/>
      <c r="AN92" s="2062"/>
      <c r="AO92" s="2062"/>
      <c r="AP92" s="2062"/>
      <c r="AQ92" s="2062"/>
      <c r="AR92" s="2062"/>
      <c r="AS92" s="2062"/>
      <c r="AT92" s="2062"/>
      <c r="AU92" s="2062"/>
      <c r="AV92" s="2062"/>
      <c r="AW92" s="2062"/>
      <c r="AX92" s="2062"/>
      <c r="AY92" s="2080" t="s">
        <v>847</v>
      </c>
      <c r="AZ92" s="2080"/>
      <c r="BA92" s="2080"/>
      <c r="BB92" s="2081"/>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2042"/>
      <c r="C93" s="2036"/>
      <c r="D93" s="2036"/>
      <c r="E93" s="2036"/>
      <c r="F93" s="2036"/>
      <c r="G93" s="2036"/>
      <c r="H93" s="2036"/>
      <c r="I93" s="2036" t="s">
        <v>1854</v>
      </c>
      <c r="J93" s="2036"/>
      <c r="K93" s="2036"/>
      <c r="L93" s="2036"/>
      <c r="M93" s="2036"/>
      <c r="N93" s="2036"/>
      <c r="O93" s="2036" t="s">
        <v>1855</v>
      </c>
      <c r="P93" s="2036"/>
      <c r="Q93" s="2036"/>
      <c r="R93" s="2036"/>
      <c r="S93" s="2036"/>
      <c r="T93" s="2036"/>
      <c r="U93" s="2036"/>
      <c r="V93" s="2072" t="s">
        <v>1856</v>
      </c>
      <c r="W93" s="2072"/>
      <c r="X93" s="2072"/>
      <c r="Y93" s="2072"/>
      <c r="Z93" s="2072"/>
      <c r="AA93" s="2072"/>
      <c r="AB93" s="2009" t="s">
        <v>1857</v>
      </c>
      <c r="AC93" s="2009"/>
      <c r="AD93" s="2009"/>
      <c r="AE93" s="2009"/>
      <c r="AF93" s="2009"/>
      <c r="AG93" s="2009"/>
      <c r="AH93" s="2073"/>
      <c r="AI93" s="987"/>
      <c r="AJ93" s="2064"/>
      <c r="AK93" s="2065"/>
      <c r="AL93" s="2065"/>
      <c r="AM93" s="2065"/>
      <c r="AN93" s="2065"/>
      <c r="AO93" s="2065"/>
      <c r="AP93" s="2065"/>
      <c r="AQ93" s="2065"/>
      <c r="AR93" s="2065"/>
      <c r="AS93" s="2065"/>
      <c r="AT93" s="2065"/>
      <c r="AU93" s="2065"/>
      <c r="AV93" s="2065"/>
      <c r="AW93" s="2065"/>
      <c r="AX93" s="2065"/>
      <c r="AY93" s="2082"/>
      <c r="AZ93" s="2082"/>
      <c r="BA93" s="2082"/>
      <c r="BB93" s="2083"/>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2042"/>
      <c r="C94" s="2036"/>
      <c r="D94" s="2036"/>
      <c r="E94" s="2036"/>
      <c r="F94" s="2036"/>
      <c r="G94" s="2036"/>
      <c r="H94" s="2036"/>
      <c r="I94" s="2036"/>
      <c r="J94" s="2036"/>
      <c r="K94" s="2036"/>
      <c r="L94" s="2036"/>
      <c r="M94" s="2036"/>
      <c r="N94" s="2036"/>
      <c r="O94" s="2036"/>
      <c r="P94" s="2036"/>
      <c r="Q94" s="2036"/>
      <c r="R94" s="2036"/>
      <c r="S94" s="2036"/>
      <c r="T94" s="2036"/>
      <c r="U94" s="2036"/>
      <c r="V94" s="2072"/>
      <c r="W94" s="2072"/>
      <c r="X94" s="2072"/>
      <c r="Y94" s="2072"/>
      <c r="Z94" s="2072"/>
      <c r="AA94" s="2072"/>
      <c r="AB94" s="2009"/>
      <c r="AC94" s="2009"/>
      <c r="AD94" s="2009"/>
      <c r="AE94" s="2009"/>
      <c r="AF94" s="2009"/>
      <c r="AG94" s="2009"/>
      <c r="AH94" s="2073"/>
      <c r="AI94" s="987"/>
      <c r="AJ94" s="2064"/>
      <c r="AK94" s="2065"/>
      <c r="AL94" s="2065"/>
      <c r="AM94" s="2065"/>
      <c r="AN94" s="2065"/>
      <c r="AO94" s="2065"/>
      <c r="AP94" s="2065"/>
      <c r="AQ94" s="2065"/>
      <c r="AR94" s="2065"/>
      <c r="AS94" s="2065"/>
      <c r="AT94" s="2065"/>
      <c r="AU94" s="2065"/>
      <c r="AV94" s="2065"/>
      <c r="AW94" s="2065"/>
      <c r="AX94" s="2065"/>
      <c r="AY94" s="2082"/>
      <c r="AZ94" s="2082"/>
      <c r="BA94" s="2082"/>
      <c r="BB94" s="2083"/>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2042" t="s">
        <v>1858</v>
      </c>
      <c r="C95" s="2036"/>
      <c r="D95" s="2036"/>
      <c r="E95" s="2036"/>
      <c r="F95" s="2036"/>
      <c r="G95" s="2036"/>
      <c r="H95" s="2036"/>
      <c r="I95" s="2012">
        <v>0</v>
      </c>
      <c r="J95" s="2012"/>
      <c r="K95" s="2012"/>
      <c r="L95" s="2012"/>
      <c r="M95" s="2012"/>
      <c r="N95" s="2012"/>
      <c r="O95" s="2012">
        <v>0</v>
      </c>
      <c r="P95" s="2012"/>
      <c r="Q95" s="2012"/>
      <c r="R95" s="2012"/>
      <c r="S95" s="2012"/>
      <c r="T95" s="2012"/>
      <c r="U95" s="2012"/>
      <c r="V95" s="2012">
        <v>0</v>
      </c>
      <c r="W95" s="2012"/>
      <c r="X95" s="2012"/>
      <c r="Y95" s="2012"/>
      <c r="Z95" s="2012"/>
      <c r="AA95" s="2012"/>
      <c r="AB95" s="2012">
        <v>0</v>
      </c>
      <c r="AC95" s="2012"/>
      <c r="AD95" s="2012"/>
      <c r="AE95" s="2012"/>
      <c r="AF95" s="2012"/>
      <c r="AG95" s="2012"/>
      <c r="AH95" s="2013"/>
      <c r="AI95" s="987"/>
      <c r="AJ95" s="2064"/>
      <c r="AK95" s="2065"/>
      <c r="AL95" s="2065"/>
      <c r="AM95" s="2065"/>
      <c r="AN95" s="2065"/>
      <c r="AO95" s="2065"/>
      <c r="AP95" s="2065"/>
      <c r="AQ95" s="2065"/>
      <c r="AR95" s="2065"/>
      <c r="AS95" s="2065"/>
      <c r="AT95" s="2065"/>
      <c r="AU95" s="2065"/>
      <c r="AV95" s="2065"/>
      <c r="AW95" s="2065"/>
      <c r="AX95" s="2065"/>
      <c r="AY95" s="2082"/>
      <c r="AZ95" s="2082"/>
      <c r="BA95" s="2082"/>
      <c r="BB95" s="2083"/>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2042" t="s">
        <v>1859</v>
      </c>
      <c r="C96" s="2036"/>
      <c r="D96" s="2036"/>
      <c r="E96" s="2036"/>
      <c r="F96" s="2036"/>
      <c r="G96" s="2036"/>
      <c r="H96" s="2036"/>
      <c r="I96" s="2012">
        <v>0</v>
      </c>
      <c r="J96" s="2012"/>
      <c r="K96" s="2012"/>
      <c r="L96" s="2012"/>
      <c r="M96" s="2012"/>
      <c r="N96" s="2012"/>
      <c r="O96" s="2012">
        <v>0</v>
      </c>
      <c r="P96" s="2012"/>
      <c r="Q96" s="2012"/>
      <c r="R96" s="2012"/>
      <c r="S96" s="2012"/>
      <c r="T96" s="2012"/>
      <c r="U96" s="2012"/>
      <c r="V96" s="2012">
        <v>0</v>
      </c>
      <c r="W96" s="2012"/>
      <c r="X96" s="2012"/>
      <c r="Y96" s="2012"/>
      <c r="Z96" s="2012"/>
      <c r="AA96" s="2012"/>
      <c r="AB96" s="2012">
        <v>0</v>
      </c>
      <c r="AC96" s="2012"/>
      <c r="AD96" s="2012"/>
      <c r="AE96" s="2012"/>
      <c r="AF96" s="2012"/>
      <c r="AG96" s="2012"/>
      <c r="AH96" s="2013"/>
      <c r="AI96" s="987"/>
      <c r="AJ96" s="1979" t="s">
        <v>1860</v>
      </c>
      <c r="AK96" s="1980"/>
      <c r="AL96" s="1980"/>
      <c r="AM96" s="1980"/>
      <c r="AN96" s="1980"/>
      <c r="AO96" s="1980"/>
      <c r="AP96" s="1980"/>
      <c r="AQ96" s="1980"/>
      <c r="AR96" s="1980"/>
      <c r="AS96" s="1980"/>
      <c r="AT96" s="1980"/>
      <c r="AU96" s="1980"/>
      <c r="AV96" s="1980"/>
      <c r="AW96" s="1980"/>
      <c r="AX96" s="1980"/>
      <c r="AY96" s="1980"/>
      <c r="AZ96" s="1980"/>
      <c r="BA96" s="1980"/>
      <c r="BB96" s="1981"/>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2070" t="s">
        <v>1861</v>
      </c>
      <c r="C97" s="2071"/>
      <c r="D97" s="2071"/>
      <c r="E97" s="2071"/>
      <c r="F97" s="2071"/>
      <c r="G97" s="2071"/>
      <c r="H97" s="2071"/>
      <c r="I97" s="2006">
        <v>0</v>
      </c>
      <c r="J97" s="2006"/>
      <c r="K97" s="2006"/>
      <c r="L97" s="2006"/>
      <c r="M97" s="2006"/>
      <c r="N97" s="2006"/>
      <c r="O97" s="2006">
        <v>0</v>
      </c>
      <c r="P97" s="2006"/>
      <c r="Q97" s="2006"/>
      <c r="R97" s="2006"/>
      <c r="S97" s="2006"/>
      <c r="T97" s="2006"/>
      <c r="U97" s="2006"/>
      <c r="V97" s="2006">
        <v>0</v>
      </c>
      <c r="W97" s="2006"/>
      <c r="X97" s="2006"/>
      <c r="Y97" s="2006"/>
      <c r="Z97" s="2006"/>
      <c r="AA97" s="2006"/>
      <c r="AB97" s="2006">
        <v>0</v>
      </c>
      <c r="AC97" s="2006"/>
      <c r="AD97" s="2006"/>
      <c r="AE97" s="2006"/>
      <c r="AF97" s="2006"/>
      <c r="AG97" s="2006"/>
      <c r="AH97" s="2007"/>
      <c r="AI97" s="987"/>
      <c r="AJ97" s="1982"/>
      <c r="AK97" s="1983"/>
      <c r="AL97" s="1983"/>
      <c r="AM97" s="1983"/>
      <c r="AN97" s="1983"/>
      <c r="AO97" s="1983"/>
      <c r="AP97" s="1983"/>
      <c r="AQ97" s="1983"/>
      <c r="AR97" s="1983"/>
      <c r="AS97" s="1983"/>
      <c r="AT97" s="1983"/>
      <c r="AU97" s="1983"/>
      <c r="AV97" s="1983"/>
      <c r="AW97" s="1983"/>
      <c r="AX97" s="1983"/>
      <c r="AY97" s="1983"/>
      <c r="AZ97" s="1983"/>
      <c r="BA97" s="1983"/>
      <c r="BB97" s="1984"/>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1865</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1851</v>
      </c>
      <c r="C100" s="1009"/>
      <c r="D100" s="1016"/>
      <c r="E100" s="1017"/>
      <c r="F100" s="2033"/>
      <c r="G100" s="2034"/>
      <c r="H100" s="2034"/>
      <c r="I100" s="2034"/>
      <c r="J100" s="2034"/>
      <c r="K100" s="2034"/>
      <c r="L100" s="2034"/>
      <c r="M100" s="2034"/>
      <c r="N100" s="2034"/>
      <c r="O100" s="2034"/>
      <c r="P100" s="2034"/>
      <c r="Q100" s="2034"/>
      <c r="R100" s="2035"/>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62" t="s">
        <v>1866</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2042"/>
      <c r="C103" s="2036"/>
      <c r="D103" s="2036"/>
      <c r="E103" s="2036"/>
      <c r="F103" s="2036"/>
      <c r="G103" s="2036"/>
      <c r="H103" s="2036"/>
      <c r="I103" s="2036" t="s">
        <v>1854</v>
      </c>
      <c r="J103" s="2036"/>
      <c r="K103" s="2036"/>
      <c r="L103" s="2036"/>
      <c r="M103" s="2036"/>
      <c r="N103" s="2036"/>
      <c r="O103" s="2036" t="s">
        <v>1855</v>
      </c>
      <c r="P103" s="2036"/>
      <c r="Q103" s="2036"/>
      <c r="R103" s="2036"/>
      <c r="S103" s="2036"/>
      <c r="T103" s="2036"/>
      <c r="U103" s="2036"/>
      <c r="V103" s="2072" t="s">
        <v>1856</v>
      </c>
      <c r="W103" s="2072"/>
      <c r="X103" s="2072"/>
      <c r="Y103" s="2072"/>
      <c r="Z103" s="2072"/>
      <c r="AA103" s="2072"/>
      <c r="AB103" s="2009" t="s">
        <v>1857</v>
      </c>
      <c r="AC103" s="2009"/>
      <c r="AD103" s="2009"/>
      <c r="AE103" s="2009"/>
      <c r="AF103" s="2009"/>
      <c r="AG103" s="2009"/>
      <c r="AH103" s="2073"/>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2042"/>
      <c r="C104" s="2036"/>
      <c r="D104" s="2036"/>
      <c r="E104" s="2036"/>
      <c r="F104" s="2036"/>
      <c r="G104" s="2036"/>
      <c r="H104" s="2036"/>
      <c r="I104" s="2036"/>
      <c r="J104" s="2036"/>
      <c r="K104" s="2036"/>
      <c r="L104" s="2036"/>
      <c r="M104" s="2036"/>
      <c r="N104" s="2036"/>
      <c r="O104" s="2036"/>
      <c r="P104" s="2036"/>
      <c r="Q104" s="2036"/>
      <c r="R104" s="2036"/>
      <c r="S104" s="2036"/>
      <c r="T104" s="2036"/>
      <c r="U104" s="2036"/>
      <c r="V104" s="2072"/>
      <c r="W104" s="2072"/>
      <c r="X104" s="2072"/>
      <c r="Y104" s="2072"/>
      <c r="Z104" s="2072"/>
      <c r="AA104" s="2072"/>
      <c r="AB104" s="2009"/>
      <c r="AC104" s="2009"/>
      <c r="AD104" s="2009"/>
      <c r="AE104" s="2009"/>
      <c r="AF104" s="2009"/>
      <c r="AG104" s="2009"/>
      <c r="AH104" s="2073"/>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2042" t="s">
        <v>1858</v>
      </c>
      <c r="C105" s="2036"/>
      <c r="D105" s="2036"/>
      <c r="E105" s="2036"/>
      <c r="F105" s="2036"/>
      <c r="G105" s="2036"/>
      <c r="H105" s="2036"/>
      <c r="I105" s="2012">
        <v>0</v>
      </c>
      <c r="J105" s="2012"/>
      <c r="K105" s="2012"/>
      <c r="L105" s="2012"/>
      <c r="M105" s="2012"/>
      <c r="N105" s="2012"/>
      <c r="O105" s="2012">
        <v>0</v>
      </c>
      <c r="P105" s="2012"/>
      <c r="Q105" s="2012"/>
      <c r="R105" s="2012"/>
      <c r="S105" s="2012"/>
      <c r="T105" s="2012"/>
      <c r="U105" s="2012"/>
      <c r="V105" s="2012">
        <v>0</v>
      </c>
      <c r="W105" s="2012"/>
      <c r="X105" s="2012"/>
      <c r="Y105" s="2012"/>
      <c r="Z105" s="2012"/>
      <c r="AA105" s="2012"/>
      <c r="AB105" s="2012">
        <v>0</v>
      </c>
      <c r="AC105" s="2012"/>
      <c r="AD105" s="2012"/>
      <c r="AE105" s="2012"/>
      <c r="AF105" s="2012"/>
      <c r="AG105" s="2012"/>
      <c r="AH105" s="2013"/>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2042" t="s">
        <v>1859</v>
      </c>
      <c r="C106" s="2036"/>
      <c r="D106" s="2036"/>
      <c r="E106" s="2036"/>
      <c r="F106" s="2036"/>
      <c r="G106" s="2036"/>
      <c r="H106" s="2036"/>
      <c r="I106" s="2012">
        <v>0</v>
      </c>
      <c r="J106" s="2012"/>
      <c r="K106" s="2012"/>
      <c r="L106" s="2012"/>
      <c r="M106" s="2012"/>
      <c r="N106" s="2012"/>
      <c r="O106" s="2012">
        <v>0</v>
      </c>
      <c r="P106" s="2012"/>
      <c r="Q106" s="2012"/>
      <c r="R106" s="2012"/>
      <c r="S106" s="2012"/>
      <c r="T106" s="2012"/>
      <c r="U106" s="2012"/>
      <c r="V106" s="2012">
        <v>0</v>
      </c>
      <c r="W106" s="2012"/>
      <c r="X106" s="2012"/>
      <c r="Y106" s="2012"/>
      <c r="Z106" s="2012"/>
      <c r="AA106" s="2012"/>
      <c r="AB106" s="2012">
        <v>0</v>
      </c>
      <c r="AC106" s="2012"/>
      <c r="AD106" s="2012"/>
      <c r="AE106" s="2012"/>
      <c r="AF106" s="2012"/>
      <c r="AG106" s="2012"/>
      <c r="AH106" s="2013"/>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2070" t="s">
        <v>1861</v>
      </c>
      <c r="C107" s="2071"/>
      <c r="D107" s="2071"/>
      <c r="E107" s="2071"/>
      <c r="F107" s="2071"/>
      <c r="G107" s="2071"/>
      <c r="H107" s="2071"/>
      <c r="I107" s="2006">
        <v>0</v>
      </c>
      <c r="J107" s="2006"/>
      <c r="K107" s="2006"/>
      <c r="L107" s="2006"/>
      <c r="M107" s="2006"/>
      <c r="N107" s="2006"/>
      <c r="O107" s="2006">
        <v>0</v>
      </c>
      <c r="P107" s="2006"/>
      <c r="Q107" s="2006"/>
      <c r="R107" s="2006"/>
      <c r="S107" s="2006"/>
      <c r="T107" s="2006"/>
      <c r="U107" s="2006"/>
      <c r="V107" s="2006">
        <v>0</v>
      </c>
      <c r="W107" s="2006"/>
      <c r="X107" s="2006"/>
      <c r="Y107" s="2006"/>
      <c r="Z107" s="2006"/>
      <c r="AA107" s="2006"/>
      <c r="AB107" s="2006">
        <v>0</v>
      </c>
      <c r="AC107" s="2006"/>
      <c r="AD107" s="2006"/>
      <c r="AE107" s="2006"/>
      <c r="AF107" s="2006"/>
      <c r="AG107" s="2006"/>
      <c r="AH107" s="2007"/>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1867</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1851</v>
      </c>
      <c r="C110" s="1009"/>
      <c r="D110" s="1016"/>
      <c r="E110" s="1017"/>
      <c r="F110" s="2033"/>
      <c r="G110" s="2034"/>
      <c r="H110" s="2034"/>
      <c r="I110" s="2034"/>
      <c r="J110" s="2034"/>
      <c r="K110" s="2034"/>
      <c r="L110" s="2034"/>
      <c r="M110" s="2034"/>
      <c r="N110" s="2034"/>
      <c r="O110" s="2034"/>
      <c r="P110" s="2034"/>
      <c r="Q110" s="2034"/>
      <c r="R110" s="2035"/>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43" t="s">
        <v>1868</v>
      </c>
      <c r="C112" s="2044"/>
      <c r="D112" s="2044"/>
      <c r="E112" s="2044"/>
      <c r="F112" s="2044"/>
      <c r="G112" s="2044"/>
      <c r="H112" s="2044"/>
      <c r="I112" s="2044"/>
      <c r="J112" s="2044"/>
      <c r="K112" s="2044"/>
      <c r="L112" s="2044"/>
      <c r="M112" s="2044"/>
      <c r="N112" s="2044"/>
      <c r="O112" s="2044"/>
      <c r="P112" s="2044"/>
      <c r="Q112" s="2044"/>
      <c r="R112" s="2044"/>
      <c r="S112" s="2044"/>
      <c r="T112" s="2044"/>
      <c r="U112" s="2047" t="s">
        <v>847</v>
      </c>
      <c r="V112" s="2047"/>
      <c r="W112" s="2047"/>
      <c r="X112" s="2048"/>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45"/>
      <c r="C113" s="2046"/>
      <c r="D113" s="2046"/>
      <c r="E113" s="2046"/>
      <c r="F113" s="2046"/>
      <c r="G113" s="2046"/>
      <c r="H113" s="2046"/>
      <c r="I113" s="2046"/>
      <c r="J113" s="2046"/>
      <c r="K113" s="2046"/>
      <c r="L113" s="2046"/>
      <c r="M113" s="2046"/>
      <c r="N113" s="2046"/>
      <c r="O113" s="2046"/>
      <c r="P113" s="2046"/>
      <c r="Q113" s="2046"/>
      <c r="R113" s="2046"/>
      <c r="S113" s="2046"/>
      <c r="T113" s="2046"/>
      <c r="U113" s="2049"/>
      <c r="V113" s="2049"/>
      <c r="W113" s="2049"/>
      <c r="X113" s="2050"/>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45"/>
      <c r="C114" s="2046"/>
      <c r="D114" s="2046"/>
      <c r="E114" s="2046"/>
      <c r="F114" s="2046"/>
      <c r="G114" s="2046"/>
      <c r="H114" s="2046"/>
      <c r="I114" s="2046"/>
      <c r="J114" s="2046"/>
      <c r="K114" s="2046"/>
      <c r="L114" s="2046"/>
      <c r="M114" s="2046"/>
      <c r="N114" s="2046"/>
      <c r="O114" s="2046"/>
      <c r="P114" s="2046"/>
      <c r="Q114" s="2046"/>
      <c r="R114" s="2046"/>
      <c r="S114" s="2046"/>
      <c r="T114" s="2046"/>
      <c r="U114" s="2049"/>
      <c r="V114" s="2049"/>
      <c r="W114" s="2049"/>
      <c r="X114" s="2050"/>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45"/>
      <c r="C115" s="2046"/>
      <c r="D115" s="2046"/>
      <c r="E115" s="2046"/>
      <c r="F115" s="2046"/>
      <c r="G115" s="2046"/>
      <c r="H115" s="2046"/>
      <c r="I115" s="2046"/>
      <c r="J115" s="2046"/>
      <c r="K115" s="2046"/>
      <c r="L115" s="2046"/>
      <c r="M115" s="2046"/>
      <c r="N115" s="2046"/>
      <c r="O115" s="2046"/>
      <c r="P115" s="2046"/>
      <c r="Q115" s="2046"/>
      <c r="R115" s="2046"/>
      <c r="S115" s="2046"/>
      <c r="T115" s="2046"/>
      <c r="U115" s="2049"/>
      <c r="V115" s="2049"/>
      <c r="W115" s="2049"/>
      <c r="X115" s="2050"/>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51" t="s">
        <v>1868</v>
      </c>
      <c r="C116" s="2052"/>
      <c r="D116" s="2052"/>
      <c r="E116" s="2052"/>
      <c r="F116" s="2052"/>
      <c r="G116" s="2052"/>
      <c r="H116" s="2052"/>
      <c r="I116" s="2052"/>
      <c r="J116" s="2052"/>
      <c r="K116" s="2052"/>
      <c r="L116" s="2052"/>
      <c r="M116" s="2052"/>
      <c r="N116" s="2052"/>
      <c r="O116" s="2052"/>
      <c r="P116" s="2052"/>
      <c r="Q116" s="2052"/>
      <c r="R116" s="2052"/>
      <c r="S116" s="2052"/>
      <c r="T116" s="2052"/>
      <c r="U116" s="2055" t="s">
        <v>847</v>
      </c>
      <c r="V116" s="2055"/>
      <c r="W116" s="2055"/>
      <c r="X116" s="2056"/>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53"/>
      <c r="C117" s="2054"/>
      <c r="D117" s="2054"/>
      <c r="E117" s="2054"/>
      <c r="F117" s="2054"/>
      <c r="G117" s="2054"/>
      <c r="H117" s="2054"/>
      <c r="I117" s="2054"/>
      <c r="J117" s="2054"/>
      <c r="K117" s="2054"/>
      <c r="L117" s="2054"/>
      <c r="M117" s="2054"/>
      <c r="N117" s="2054"/>
      <c r="O117" s="2054"/>
      <c r="P117" s="2054"/>
      <c r="Q117" s="2054"/>
      <c r="R117" s="2054"/>
      <c r="S117" s="2054"/>
      <c r="T117" s="2054"/>
      <c r="U117" s="2057"/>
      <c r="V117" s="2057"/>
      <c r="W117" s="2057"/>
      <c r="X117" s="2058"/>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1869</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61" t="s">
        <v>1870</v>
      </c>
      <c r="Y120" s="2062"/>
      <c r="Z120" s="2062"/>
      <c r="AA120" s="2062"/>
      <c r="AB120" s="2062"/>
      <c r="AC120" s="2062"/>
      <c r="AD120" s="2062"/>
      <c r="AE120" s="2062"/>
      <c r="AF120" s="2062"/>
      <c r="AG120" s="2062"/>
      <c r="AH120" s="2062"/>
      <c r="AI120" s="2062"/>
      <c r="AJ120" s="2062"/>
      <c r="AK120" s="2062"/>
      <c r="AL120" s="2062"/>
      <c r="AM120" s="2062"/>
      <c r="AN120" s="2062"/>
      <c r="AO120" s="2062"/>
      <c r="AP120" s="2062"/>
      <c r="AQ120" s="2062"/>
      <c r="AR120" s="2062"/>
      <c r="AS120" s="2062"/>
      <c r="AT120" s="2062"/>
      <c r="AU120" s="2062"/>
      <c r="AV120" s="2062"/>
      <c r="AW120" s="2062"/>
      <c r="AX120" s="2062"/>
      <c r="AY120" s="2062"/>
      <c r="AZ120" s="2062"/>
      <c r="BA120" s="2062"/>
      <c r="BB120" s="2062"/>
      <c r="BC120" s="2062"/>
      <c r="BD120" s="2063"/>
      <c r="BE120" s="990"/>
    </row>
    <row r="121" spans="1:57" ht="15.75" customHeight="1">
      <c r="A121" s="987"/>
      <c r="B121" s="2067" t="s">
        <v>1871</v>
      </c>
      <c r="C121" s="2068"/>
      <c r="D121" s="2068"/>
      <c r="E121" s="2068"/>
      <c r="F121" s="2068"/>
      <c r="G121" s="2068"/>
      <c r="H121" s="2068"/>
      <c r="I121" s="2068"/>
      <c r="J121" s="2068"/>
      <c r="K121" s="2068"/>
      <c r="L121" s="2068"/>
      <c r="M121" s="2068"/>
      <c r="N121" s="2068"/>
      <c r="O121" s="2068"/>
      <c r="P121" s="2068"/>
      <c r="Q121" s="2068"/>
      <c r="R121" s="2068"/>
      <c r="S121" s="2068"/>
      <c r="T121" s="2068"/>
      <c r="U121" s="2069"/>
      <c r="V121" s="987"/>
      <c r="W121" s="987"/>
      <c r="X121" s="2064"/>
      <c r="Y121" s="2065"/>
      <c r="Z121" s="2065"/>
      <c r="AA121" s="2065"/>
      <c r="AB121" s="2065"/>
      <c r="AC121" s="2065"/>
      <c r="AD121" s="2065"/>
      <c r="AE121" s="2065"/>
      <c r="AF121" s="2065"/>
      <c r="AG121" s="2065"/>
      <c r="AH121" s="2065"/>
      <c r="AI121" s="2065"/>
      <c r="AJ121" s="2065"/>
      <c r="AK121" s="2065"/>
      <c r="AL121" s="2065"/>
      <c r="AM121" s="2065"/>
      <c r="AN121" s="2065"/>
      <c r="AO121" s="2065"/>
      <c r="AP121" s="2065"/>
      <c r="AQ121" s="2065"/>
      <c r="AR121" s="2065"/>
      <c r="AS121" s="2065"/>
      <c r="AT121" s="2065"/>
      <c r="AU121" s="2065"/>
      <c r="AV121" s="2065"/>
      <c r="AW121" s="2065"/>
      <c r="AX121" s="2065"/>
      <c r="AY121" s="2065"/>
      <c r="AZ121" s="2065"/>
      <c r="BA121" s="2065"/>
      <c r="BB121" s="2065"/>
      <c r="BC121" s="2065"/>
      <c r="BD121" s="2066"/>
      <c r="BE121" s="990"/>
    </row>
    <row r="122" spans="1:57" ht="15.75" customHeight="1">
      <c r="A122" s="987"/>
      <c r="B122" s="1976"/>
      <c r="C122" s="1977"/>
      <c r="D122" s="1977"/>
      <c r="E122" s="1977"/>
      <c r="F122" s="1977"/>
      <c r="G122" s="1977"/>
      <c r="H122" s="1977"/>
      <c r="I122" s="2036" t="s">
        <v>1872</v>
      </c>
      <c r="J122" s="2036"/>
      <c r="K122" s="2036"/>
      <c r="L122" s="2036"/>
      <c r="M122" s="2036"/>
      <c r="N122" s="2036"/>
      <c r="O122" s="2037" t="s">
        <v>1873</v>
      </c>
      <c r="P122" s="2037"/>
      <c r="Q122" s="2037"/>
      <c r="R122" s="2037"/>
      <c r="S122" s="2037"/>
      <c r="T122" s="2037"/>
      <c r="U122" s="2038"/>
      <c r="V122" s="987"/>
      <c r="W122" s="987"/>
      <c r="X122" s="1979" t="s">
        <v>2763</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990"/>
    </row>
    <row r="123" spans="1:57" ht="15.75" customHeight="1">
      <c r="A123" s="987"/>
      <c r="B123" s="2010" t="s">
        <v>1874</v>
      </c>
      <c r="C123" s="2011"/>
      <c r="D123" s="2011"/>
      <c r="E123" s="2011"/>
      <c r="F123" s="2011"/>
      <c r="G123" s="2011"/>
      <c r="H123" s="2011"/>
      <c r="I123" s="2012">
        <v>14</v>
      </c>
      <c r="J123" s="2012"/>
      <c r="K123" s="2012"/>
      <c r="L123" s="2012"/>
      <c r="M123" s="2012"/>
      <c r="N123" s="2012"/>
      <c r="O123" s="2012">
        <v>0</v>
      </c>
      <c r="P123" s="2012"/>
      <c r="Q123" s="2012"/>
      <c r="R123" s="2012"/>
      <c r="S123" s="2012"/>
      <c r="T123" s="2012"/>
      <c r="U123" s="2013"/>
      <c r="V123" s="987"/>
      <c r="W123" s="987"/>
      <c r="X123" s="1979"/>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990"/>
    </row>
    <row r="124" spans="1:57" ht="15.75" customHeight="1" thickBot="1">
      <c r="A124" s="987"/>
      <c r="B124" s="2004" t="s">
        <v>1875</v>
      </c>
      <c r="C124" s="2005"/>
      <c r="D124" s="2005"/>
      <c r="E124" s="2005"/>
      <c r="F124" s="2005"/>
      <c r="G124" s="2005"/>
      <c r="H124" s="2005"/>
      <c r="I124" s="2006">
        <v>0</v>
      </c>
      <c r="J124" s="2006"/>
      <c r="K124" s="2006"/>
      <c r="L124" s="2006"/>
      <c r="M124" s="2006"/>
      <c r="N124" s="2006"/>
      <c r="O124" s="2059"/>
      <c r="P124" s="2059"/>
      <c r="Q124" s="2059"/>
      <c r="R124" s="2059"/>
      <c r="S124" s="2059"/>
      <c r="T124" s="2059"/>
      <c r="U124" s="2060"/>
      <c r="V124" s="987"/>
      <c r="W124" s="987"/>
      <c r="X124" s="1979"/>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79"/>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990"/>
    </row>
    <row r="126" spans="1:57" ht="15.75" customHeight="1" thickBot="1">
      <c r="A126" s="987"/>
      <c r="B126" s="1006" t="s">
        <v>1876</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79"/>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79"/>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990"/>
    </row>
    <row r="128" spans="1:57" ht="15.75" customHeight="1">
      <c r="A128" s="987"/>
      <c r="B128" s="2039" t="s">
        <v>1877</v>
      </c>
      <c r="C128" s="2040"/>
      <c r="D128" s="2040"/>
      <c r="E128" s="2040"/>
      <c r="F128" s="2040"/>
      <c r="G128" s="2040"/>
      <c r="H128" s="2040"/>
      <c r="I128" s="2040"/>
      <c r="J128" s="2040"/>
      <c r="K128" s="2040"/>
      <c r="L128" s="2040"/>
      <c r="M128" s="2040"/>
      <c r="N128" s="2040"/>
      <c r="O128" s="2040"/>
      <c r="P128" s="2040"/>
      <c r="Q128" s="2040"/>
      <c r="R128" s="2040"/>
      <c r="S128" s="2040"/>
      <c r="T128" s="2040"/>
      <c r="U128" s="2041"/>
      <c r="V128" s="987"/>
      <c r="W128" s="987"/>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990"/>
    </row>
    <row r="129" spans="1:57" ht="15.75" customHeight="1">
      <c r="A129" s="987"/>
      <c r="B129" s="1976"/>
      <c r="C129" s="1977"/>
      <c r="D129" s="1977"/>
      <c r="E129" s="1977"/>
      <c r="F129" s="1977"/>
      <c r="G129" s="1977"/>
      <c r="H129" s="1977"/>
      <c r="I129" s="2014" t="s">
        <v>1855</v>
      </c>
      <c r="J129" s="2014"/>
      <c r="K129" s="2014"/>
      <c r="L129" s="2014"/>
      <c r="M129" s="2014"/>
      <c r="N129" s="2014"/>
      <c r="O129" s="2014"/>
      <c r="P129" s="2014" t="s">
        <v>1856</v>
      </c>
      <c r="Q129" s="2014"/>
      <c r="R129" s="2014"/>
      <c r="S129" s="2014"/>
      <c r="T129" s="2014"/>
      <c r="U129" s="2015"/>
      <c r="V129" s="987"/>
      <c r="W129" s="987"/>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990"/>
    </row>
    <row r="130" spans="1:57" ht="15.75" customHeight="1">
      <c r="A130" s="987"/>
      <c r="B130" s="1976"/>
      <c r="C130" s="1977"/>
      <c r="D130" s="1977"/>
      <c r="E130" s="1977"/>
      <c r="F130" s="1977"/>
      <c r="G130" s="1977"/>
      <c r="H130" s="1977"/>
      <c r="I130" s="2014"/>
      <c r="J130" s="2014"/>
      <c r="K130" s="2014"/>
      <c r="L130" s="2014"/>
      <c r="M130" s="2014"/>
      <c r="N130" s="2014"/>
      <c r="O130" s="2014"/>
      <c r="P130" s="2014"/>
      <c r="Q130" s="2014"/>
      <c r="R130" s="2014"/>
      <c r="S130" s="2014"/>
      <c r="T130" s="2014"/>
      <c r="U130" s="2015"/>
      <c r="V130" s="987"/>
      <c r="W130" s="987"/>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990"/>
    </row>
    <row r="131" spans="1:57" ht="15.75" customHeight="1">
      <c r="A131" s="987"/>
      <c r="B131" s="2010" t="s">
        <v>1874</v>
      </c>
      <c r="C131" s="2011"/>
      <c r="D131" s="2011"/>
      <c r="E131" s="2011"/>
      <c r="F131" s="2011"/>
      <c r="G131" s="2011"/>
      <c r="H131" s="2011"/>
      <c r="I131" s="2012">
        <v>8</v>
      </c>
      <c r="J131" s="2012"/>
      <c r="K131" s="2012"/>
      <c r="L131" s="2012"/>
      <c r="M131" s="2012"/>
      <c r="N131" s="2012"/>
      <c r="O131" s="2012"/>
      <c r="P131" s="2012">
        <v>8</v>
      </c>
      <c r="Q131" s="2012"/>
      <c r="R131" s="2012"/>
      <c r="S131" s="2012"/>
      <c r="T131" s="2012"/>
      <c r="U131" s="2013"/>
      <c r="V131" s="987"/>
      <c r="W131" s="987"/>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990"/>
    </row>
    <row r="132" spans="1:57" ht="15.75" customHeight="1" thickBot="1">
      <c r="A132" s="987"/>
      <c r="B132" s="2004" t="s">
        <v>1875</v>
      </c>
      <c r="C132" s="2005"/>
      <c r="D132" s="2005"/>
      <c r="E132" s="2005"/>
      <c r="F132" s="2005"/>
      <c r="G132" s="2005"/>
      <c r="H132" s="2005"/>
      <c r="I132" s="2006">
        <v>0</v>
      </c>
      <c r="J132" s="2006"/>
      <c r="K132" s="2006"/>
      <c r="L132" s="2006"/>
      <c r="M132" s="2006"/>
      <c r="N132" s="2006"/>
      <c r="O132" s="2006"/>
      <c r="P132" s="2006">
        <v>0</v>
      </c>
      <c r="Q132" s="2006"/>
      <c r="R132" s="2006"/>
      <c r="S132" s="2006"/>
      <c r="T132" s="2006"/>
      <c r="U132" s="2007"/>
      <c r="V132" s="987"/>
      <c r="W132" s="987"/>
      <c r="X132" s="1982"/>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4"/>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31" t="s">
        <v>1878</v>
      </c>
      <c r="C134" s="2032"/>
      <c r="D134" s="2032"/>
      <c r="E134" s="2032"/>
      <c r="F134" s="2032"/>
      <c r="G134" s="2032"/>
      <c r="H134" s="2032"/>
      <c r="I134" s="2032"/>
      <c r="J134" s="2032"/>
      <c r="K134" s="2032"/>
      <c r="L134" s="2032"/>
      <c r="M134" s="2032"/>
      <c r="N134" s="2032"/>
      <c r="O134" s="2032"/>
      <c r="P134" s="2032"/>
      <c r="Q134" s="2032"/>
      <c r="R134" s="2032"/>
      <c r="S134" s="2032"/>
      <c r="T134" s="2032"/>
      <c r="U134" s="2032"/>
      <c r="V134" s="2032"/>
      <c r="W134" s="2032"/>
      <c r="X134" s="2032"/>
      <c r="Y134" s="2032"/>
      <c r="Z134" s="2032"/>
      <c r="AA134" s="2032"/>
      <c r="AB134" s="2032"/>
      <c r="AC134" s="2032"/>
      <c r="AD134" s="2032"/>
      <c r="AE134" s="2032"/>
      <c r="AF134" s="2032"/>
      <c r="AG134" s="2032"/>
      <c r="AH134" s="2019" t="s">
        <v>847</v>
      </c>
      <c r="AI134" s="2019"/>
      <c r="AJ134" s="2019"/>
      <c r="AK134" s="2019"/>
      <c r="AL134" s="2019"/>
      <c r="AM134" s="2019"/>
      <c r="AN134" s="2019"/>
      <c r="AO134" s="2019"/>
      <c r="AP134" s="2019"/>
      <c r="AQ134" s="2019"/>
      <c r="AR134" s="2019"/>
      <c r="AS134" s="2019"/>
      <c r="AT134" s="2019"/>
      <c r="AU134" s="2019"/>
      <c r="AV134" s="2019"/>
      <c r="AW134" s="2019"/>
      <c r="AX134" s="2020"/>
      <c r="AY134" s="987"/>
      <c r="AZ134" s="987"/>
      <c r="BA134" s="987"/>
      <c r="BB134" s="987"/>
      <c r="BC134" s="987"/>
      <c r="BD134" s="987"/>
      <c r="BE134" s="990"/>
    </row>
    <row r="135" spans="1:57" ht="15.75" customHeight="1" thickBot="1">
      <c r="A135" s="987"/>
      <c r="B135" s="2016" t="s">
        <v>1879</v>
      </c>
      <c r="C135" s="2017"/>
      <c r="D135" s="2017"/>
      <c r="E135" s="2017"/>
      <c r="F135" s="2017"/>
      <c r="G135" s="2017"/>
      <c r="H135" s="2017"/>
      <c r="I135" s="2017"/>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8"/>
      <c r="AH135" s="2033" t="s">
        <v>2764</v>
      </c>
      <c r="AI135" s="2034"/>
      <c r="AJ135" s="2034"/>
      <c r="AK135" s="2034"/>
      <c r="AL135" s="2034"/>
      <c r="AM135" s="2034"/>
      <c r="AN135" s="2034"/>
      <c r="AO135" s="2034"/>
      <c r="AP135" s="2034"/>
      <c r="AQ135" s="2034"/>
      <c r="AR135" s="2034"/>
      <c r="AS135" s="2034"/>
      <c r="AT135" s="2034"/>
      <c r="AU135" s="2034"/>
      <c r="AV135" s="2034"/>
      <c r="AW135" s="2034"/>
      <c r="AX135" s="2035"/>
      <c r="AY135" s="987"/>
      <c r="AZ135" s="987"/>
      <c r="BA135" s="987"/>
      <c r="BB135" s="987"/>
      <c r="BC135" s="987"/>
      <c r="BD135" s="987"/>
      <c r="BE135" s="990"/>
    </row>
    <row r="136" spans="1:57" ht="15.75" customHeight="1">
      <c r="A136" s="987"/>
      <c r="B136" s="2016" t="s">
        <v>1880</v>
      </c>
      <c r="C136" s="2017"/>
      <c r="D136" s="2017"/>
      <c r="E136" s="2017"/>
      <c r="F136" s="2017"/>
      <c r="G136" s="2017"/>
      <c r="H136" s="2017"/>
      <c r="I136" s="2017"/>
      <c r="J136" s="2017"/>
      <c r="K136" s="2017"/>
      <c r="L136" s="2017"/>
      <c r="M136" s="2017"/>
      <c r="N136" s="2017"/>
      <c r="O136" s="2017"/>
      <c r="P136" s="2017"/>
      <c r="Q136" s="2017"/>
      <c r="R136" s="2017"/>
      <c r="S136" s="2017"/>
      <c r="T136" s="2017"/>
      <c r="U136" s="2017"/>
      <c r="V136" s="2017"/>
      <c r="W136" s="2017"/>
      <c r="X136" s="2017"/>
      <c r="Y136" s="2017"/>
      <c r="Z136" s="2017"/>
      <c r="AA136" s="2017"/>
      <c r="AB136" s="2017"/>
      <c r="AC136" s="2017"/>
      <c r="AD136" s="2017"/>
      <c r="AE136" s="2017"/>
      <c r="AF136" s="2017"/>
      <c r="AG136" s="2018"/>
      <c r="AH136" s="2019" t="s">
        <v>696</v>
      </c>
      <c r="AI136" s="2019"/>
      <c r="AJ136" s="2019"/>
      <c r="AK136" s="2019"/>
      <c r="AL136" s="2019"/>
      <c r="AM136" s="2019"/>
      <c r="AN136" s="2019"/>
      <c r="AO136" s="2019"/>
      <c r="AP136" s="2019"/>
      <c r="AQ136" s="2019"/>
      <c r="AR136" s="2019"/>
      <c r="AS136" s="2019"/>
      <c r="AT136" s="2019"/>
      <c r="AU136" s="2019"/>
      <c r="AV136" s="2019"/>
      <c r="AW136" s="2019"/>
      <c r="AX136" s="2020"/>
      <c r="AY136" s="987"/>
      <c r="AZ136" s="987"/>
      <c r="BA136" s="987"/>
      <c r="BB136" s="987"/>
      <c r="BC136" s="987"/>
      <c r="BD136" s="987"/>
      <c r="BE136" s="990"/>
    </row>
    <row r="137" spans="1:57" ht="15.75" customHeight="1">
      <c r="A137" s="987"/>
      <c r="B137" s="2021" t="s">
        <v>1881</v>
      </c>
      <c r="C137" s="2022"/>
      <c r="D137" s="2022"/>
      <c r="E137" s="2022"/>
      <c r="F137" s="2022"/>
      <c r="G137" s="2022"/>
      <c r="H137" s="2022"/>
      <c r="I137" s="2022"/>
      <c r="J137" s="2022"/>
      <c r="K137" s="2022"/>
      <c r="L137" s="2022"/>
      <c r="M137" s="2022"/>
      <c r="N137" s="2022"/>
      <c r="O137" s="2022"/>
      <c r="P137" s="2022"/>
      <c r="Q137" s="2022"/>
      <c r="R137" s="2023" t="s">
        <v>1882</v>
      </c>
      <c r="S137" s="2023"/>
      <c r="T137" s="2023"/>
      <c r="U137" s="2023"/>
      <c r="V137" s="2023"/>
      <c r="W137" s="2023"/>
      <c r="X137" s="2023"/>
      <c r="Y137" s="2023"/>
      <c r="Z137" s="2023"/>
      <c r="AA137" s="2023"/>
      <c r="AB137" s="2023"/>
      <c r="AC137" s="2023"/>
      <c r="AD137" s="2023"/>
      <c r="AE137" s="2023"/>
      <c r="AF137" s="2023"/>
      <c r="AG137" s="2023"/>
      <c r="AH137" s="2023"/>
      <c r="AI137" s="2023"/>
      <c r="AJ137" s="2023"/>
      <c r="AK137" s="2023"/>
      <c r="AL137" s="2023"/>
      <c r="AM137" s="2023"/>
      <c r="AN137" s="2023"/>
      <c r="AO137" s="2023"/>
      <c r="AP137" s="2023"/>
      <c r="AQ137" s="2023"/>
      <c r="AR137" s="2023"/>
      <c r="AS137" s="2023"/>
      <c r="AT137" s="2023"/>
      <c r="AU137" s="2023"/>
      <c r="AV137" s="2023"/>
      <c r="AW137" s="2023"/>
      <c r="AX137" s="2024"/>
      <c r="AY137" s="987"/>
      <c r="AZ137" s="987"/>
      <c r="BA137" s="987"/>
      <c r="BB137" s="987"/>
      <c r="BC137" s="987" t="s">
        <v>254</v>
      </c>
      <c r="BD137" s="987"/>
      <c r="BE137" s="990"/>
    </row>
    <row r="138" spans="1:57" ht="15.75" customHeight="1">
      <c r="A138" s="987"/>
      <c r="B138" s="2025" t="s">
        <v>2795</v>
      </c>
      <c r="C138" s="2026"/>
      <c r="D138" s="2026"/>
      <c r="E138" s="2026"/>
      <c r="F138" s="2026"/>
      <c r="G138" s="2026"/>
      <c r="H138" s="2026"/>
      <c r="I138" s="2026"/>
      <c r="J138" s="2026"/>
      <c r="K138" s="2026"/>
      <c r="L138" s="2026"/>
      <c r="M138" s="2026"/>
      <c r="N138" s="2026"/>
      <c r="O138" s="2026"/>
      <c r="P138" s="2026"/>
      <c r="Q138" s="2026"/>
      <c r="R138" s="2026"/>
      <c r="S138" s="2026"/>
      <c r="T138" s="2026"/>
      <c r="U138" s="2026"/>
      <c r="V138" s="2026"/>
      <c r="W138" s="2026"/>
      <c r="X138" s="2026"/>
      <c r="Y138" s="2026"/>
      <c r="Z138" s="2026"/>
      <c r="AA138" s="2026"/>
      <c r="AB138" s="2026"/>
      <c r="AC138" s="2026"/>
      <c r="AD138" s="2026"/>
      <c r="AE138" s="2026"/>
      <c r="AF138" s="2026"/>
      <c r="AG138" s="2026"/>
      <c r="AH138" s="2026"/>
      <c r="AI138" s="2026"/>
      <c r="AJ138" s="2026"/>
      <c r="AK138" s="2026"/>
      <c r="AL138" s="2026"/>
      <c r="AM138" s="2026"/>
      <c r="AN138" s="2026"/>
      <c r="AO138" s="2026"/>
      <c r="AP138" s="2026"/>
      <c r="AQ138" s="2026"/>
      <c r="AR138" s="2026"/>
      <c r="AS138" s="2026"/>
      <c r="AT138" s="2026"/>
      <c r="AU138" s="2026"/>
      <c r="AV138" s="2026"/>
      <c r="AW138" s="2026"/>
      <c r="AX138" s="2027"/>
      <c r="AY138" s="987"/>
      <c r="AZ138" s="987"/>
      <c r="BA138" s="987"/>
      <c r="BB138" s="987"/>
      <c r="BC138" s="987"/>
      <c r="BD138" s="987"/>
      <c r="BE138" s="990"/>
    </row>
    <row r="139" spans="1:57" ht="15.75" customHeight="1">
      <c r="A139" s="987"/>
      <c r="B139" s="2025"/>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26"/>
      <c r="AI139" s="2026"/>
      <c r="AJ139" s="2026"/>
      <c r="AK139" s="2026"/>
      <c r="AL139" s="2026"/>
      <c r="AM139" s="2026"/>
      <c r="AN139" s="2026"/>
      <c r="AO139" s="2026"/>
      <c r="AP139" s="2026"/>
      <c r="AQ139" s="2026"/>
      <c r="AR139" s="2026"/>
      <c r="AS139" s="2026"/>
      <c r="AT139" s="2026"/>
      <c r="AU139" s="2026"/>
      <c r="AV139" s="2026"/>
      <c r="AW139" s="2026"/>
      <c r="AX139" s="2027"/>
      <c r="AY139" s="987"/>
      <c r="AZ139" s="987"/>
      <c r="BA139" s="987"/>
      <c r="BB139" s="987"/>
      <c r="BC139" s="987"/>
      <c r="BD139" s="987"/>
      <c r="BE139" s="990"/>
    </row>
    <row r="140" spans="1:57" ht="15.75" customHeight="1">
      <c r="A140" s="987"/>
      <c r="B140" s="2025"/>
      <c r="C140" s="2026"/>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7"/>
      <c r="AY140" s="987"/>
      <c r="AZ140" s="987"/>
      <c r="BA140" s="987"/>
      <c r="BB140" s="987"/>
      <c r="BC140" s="987"/>
      <c r="BD140" s="987"/>
      <c r="BE140" s="990"/>
    </row>
    <row r="141" spans="1:57" ht="15.75" customHeight="1">
      <c r="A141" s="987"/>
      <c r="B141" s="2025"/>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c r="AG141" s="2026"/>
      <c r="AH141" s="2026"/>
      <c r="AI141" s="2026"/>
      <c r="AJ141" s="2026"/>
      <c r="AK141" s="2026"/>
      <c r="AL141" s="2026"/>
      <c r="AM141" s="2026"/>
      <c r="AN141" s="2026"/>
      <c r="AO141" s="2026"/>
      <c r="AP141" s="2026"/>
      <c r="AQ141" s="2026"/>
      <c r="AR141" s="2026"/>
      <c r="AS141" s="2026"/>
      <c r="AT141" s="2026"/>
      <c r="AU141" s="2026"/>
      <c r="AV141" s="2026"/>
      <c r="AW141" s="2026"/>
      <c r="AX141" s="2027"/>
      <c r="AY141" s="987"/>
      <c r="AZ141" s="987"/>
      <c r="BA141" s="987"/>
      <c r="BB141" s="987"/>
      <c r="BC141" s="987"/>
      <c r="BD141" s="987"/>
      <c r="BE141" s="990"/>
    </row>
    <row r="142" spans="1:57" ht="15.75" customHeight="1">
      <c r="A142" s="987"/>
      <c r="B142" s="2025"/>
      <c r="C142" s="2026"/>
      <c r="D142" s="2026"/>
      <c r="E142" s="2026"/>
      <c r="F142" s="2026"/>
      <c r="G142" s="2026"/>
      <c r="H142" s="2026"/>
      <c r="I142" s="2026"/>
      <c r="J142" s="2026"/>
      <c r="K142" s="2026"/>
      <c r="L142" s="2026"/>
      <c r="M142" s="2026"/>
      <c r="N142" s="2026"/>
      <c r="O142" s="2026"/>
      <c r="P142" s="2026"/>
      <c r="Q142" s="2026"/>
      <c r="R142" s="2026"/>
      <c r="S142" s="2026"/>
      <c r="T142" s="2026"/>
      <c r="U142" s="2026"/>
      <c r="V142" s="2026"/>
      <c r="W142" s="2026"/>
      <c r="X142" s="2026"/>
      <c r="Y142" s="2026"/>
      <c r="Z142" s="2026"/>
      <c r="AA142" s="2026"/>
      <c r="AB142" s="2026"/>
      <c r="AC142" s="2026"/>
      <c r="AD142" s="2026"/>
      <c r="AE142" s="2026"/>
      <c r="AF142" s="2026"/>
      <c r="AG142" s="2026"/>
      <c r="AH142" s="2026"/>
      <c r="AI142" s="2026"/>
      <c r="AJ142" s="2026"/>
      <c r="AK142" s="2026"/>
      <c r="AL142" s="2026"/>
      <c r="AM142" s="2026"/>
      <c r="AN142" s="2026"/>
      <c r="AO142" s="2026"/>
      <c r="AP142" s="2026"/>
      <c r="AQ142" s="2026"/>
      <c r="AR142" s="2026"/>
      <c r="AS142" s="2026"/>
      <c r="AT142" s="2026"/>
      <c r="AU142" s="2026"/>
      <c r="AV142" s="2026"/>
      <c r="AW142" s="2026"/>
      <c r="AX142" s="2027"/>
      <c r="AY142" s="987"/>
      <c r="AZ142" s="987"/>
      <c r="BA142" s="987"/>
      <c r="BB142" s="987"/>
      <c r="BC142" s="987"/>
      <c r="BD142" s="987"/>
      <c r="BE142" s="990"/>
    </row>
    <row r="143" spans="1:57" ht="15.75" customHeight="1">
      <c r="A143" s="987"/>
      <c r="B143" s="2025"/>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987"/>
      <c r="AZ143" s="987"/>
      <c r="BA143" s="987"/>
      <c r="BB143" s="987"/>
      <c r="BC143" s="987"/>
      <c r="BD143" s="987"/>
      <c r="BE143" s="990"/>
    </row>
    <row r="144" spans="1:57" ht="15.75" customHeight="1">
      <c r="A144" s="987"/>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987"/>
      <c r="AZ144" s="987"/>
      <c r="BA144" s="987"/>
      <c r="BB144" s="987"/>
      <c r="BC144" s="987"/>
      <c r="BD144" s="987"/>
      <c r="BE144" s="990"/>
    </row>
    <row r="145" spans="1:57" ht="15.75" customHeight="1">
      <c r="A145" s="987"/>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987"/>
      <c r="AZ145" s="987"/>
      <c r="BA145" s="987"/>
      <c r="BB145" s="987"/>
      <c r="BC145" s="987"/>
      <c r="BD145" s="987"/>
      <c r="BE145" s="990"/>
    </row>
    <row r="146" spans="1:57" ht="15.75" customHeight="1">
      <c r="A146" s="987"/>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987"/>
      <c r="AZ146" s="987"/>
      <c r="BA146" s="987"/>
      <c r="BB146" s="987"/>
      <c r="BC146" s="987"/>
      <c r="BD146" s="987"/>
      <c r="BE146" s="990"/>
    </row>
    <row r="147" spans="1:57" ht="15.75" customHeight="1" thickBot="1">
      <c r="A147" s="987"/>
      <c r="B147" s="2028"/>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J147" s="2029"/>
      <c r="AK147" s="2029"/>
      <c r="AL147" s="2029"/>
      <c r="AM147" s="2029"/>
      <c r="AN147" s="2029"/>
      <c r="AO147" s="2029"/>
      <c r="AP147" s="2029"/>
      <c r="AQ147" s="2029"/>
      <c r="AR147" s="2029"/>
      <c r="AS147" s="2029"/>
      <c r="AT147" s="2029"/>
      <c r="AU147" s="2029"/>
      <c r="AV147" s="2029"/>
      <c r="AW147" s="2029"/>
      <c r="AX147" s="2030"/>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1883</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1884</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2008" t="s">
        <v>1885</v>
      </c>
      <c r="C151" s="1964"/>
      <c r="D151" s="1964"/>
      <c r="E151" s="1964"/>
      <c r="F151" s="1964"/>
      <c r="G151" s="1964"/>
      <c r="H151" s="1964"/>
      <c r="I151" s="1964"/>
      <c r="J151" s="1964"/>
      <c r="K151" s="1964"/>
      <c r="L151" s="1964"/>
      <c r="M151" s="1964"/>
      <c r="N151" s="1964"/>
      <c r="O151" s="1964"/>
      <c r="P151" s="1964"/>
      <c r="Q151" s="1964"/>
      <c r="R151" s="1964"/>
      <c r="S151" s="1964"/>
      <c r="T151" s="1964"/>
      <c r="U151" s="1965"/>
      <c r="V151" s="987"/>
      <c r="W151" s="988"/>
      <c r="X151" s="2008" t="s">
        <v>1886</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987"/>
      <c r="AS151" s="987"/>
      <c r="AT151" s="987"/>
      <c r="AU151" s="987"/>
      <c r="AV151" s="987"/>
      <c r="AW151" s="987"/>
      <c r="AX151" s="987"/>
      <c r="AY151" s="987"/>
      <c r="AZ151" s="987"/>
      <c r="BA151" s="987"/>
      <c r="BB151" s="987"/>
      <c r="BC151" s="987"/>
      <c r="BD151" s="987"/>
      <c r="BE151" s="990"/>
    </row>
    <row r="152" spans="1:57" ht="15.75" customHeight="1">
      <c r="A152" s="987"/>
      <c r="B152" s="1976"/>
      <c r="C152" s="1977"/>
      <c r="D152" s="1977"/>
      <c r="E152" s="1977"/>
      <c r="F152" s="1977"/>
      <c r="G152" s="1977"/>
      <c r="H152" s="1977"/>
      <c r="I152" s="2014" t="s">
        <v>1855</v>
      </c>
      <c r="J152" s="2014"/>
      <c r="K152" s="2014"/>
      <c r="L152" s="2014"/>
      <c r="M152" s="2014"/>
      <c r="N152" s="2014"/>
      <c r="O152" s="2014"/>
      <c r="P152" s="2014" t="s">
        <v>1887</v>
      </c>
      <c r="Q152" s="2014"/>
      <c r="R152" s="2014"/>
      <c r="S152" s="2014"/>
      <c r="T152" s="2014"/>
      <c r="U152" s="2015"/>
      <c r="V152" s="987"/>
      <c r="W152" s="987"/>
      <c r="X152" s="1976"/>
      <c r="Y152" s="1977"/>
      <c r="Z152" s="1977"/>
      <c r="AA152" s="1977"/>
      <c r="AB152" s="1977"/>
      <c r="AC152" s="1977"/>
      <c r="AD152" s="1977"/>
      <c r="AE152" s="2014" t="s">
        <v>1855</v>
      </c>
      <c r="AF152" s="2014"/>
      <c r="AG152" s="2014"/>
      <c r="AH152" s="2014"/>
      <c r="AI152" s="2014"/>
      <c r="AJ152" s="2014"/>
      <c r="AK152" s="2014"/>
      <c r="AL152" s="2014" t="s">
        <v>1856</v>
      </c>
      <c r="AM152" s="2014"/>
      <c r="AN152" s="2014"/>
      <c r="AO152" s="2014"/>
      <c r="AP152" s="2014"/>
      <c r="AQ152" s="2015"/>
      <c r="AR152" s="987"/>
      <c r="AS152" s="987"/>
      <c r="AT152" s="987"/>
      <c r="AU152" s="987"/>
      <c r="AV152" s="987"/>
      <c r="AW152" s="987"/>
      <c r="AX152" s="987"/>
      <c r="AY152" s="987"/>
      <c r="AZ152" s="987"/>
      <c r="BA152" s="987"/>
      <c r="BB152" s="987"/>
      <c r="BC152" s="987"/>
      <c r="BD152" s="987"/>
      <c r="BE152" s="990"/>
    </row>
    <row r="153" spans="1:57" ht="15.75" customHeight="1">
      <c r="A153" s="987"/>
      <c r="B153" s="1976"/>
      <c r="C153" s="1977"/>
      <c r="D153" s="1977"/>
      <c r="E153" s="1977"/>
      <c r="F153" s="1977"/>
      <c r="G153" s="1977"/>
      <c r="H153" s="1977"/>
      <c r="I153" s="2014"/>
      <c r="J153" s="2014"/>
      <c r="K153" s="2014"/>
      <c r="L153" s="2014"/>
      <c r="M153" s="2014"/>
      <c r="N153" s="2014"/>
      <c r="O153" s="2014"/>
      <c r="P153" s="2014"/>
      <c r="Q153" s="2014"/>
      <c r="R153" s="2014"/>
      <c r="S153" s="2014"/>
      <c r="T153" s="2014"/>
      <c r="U153" s="2015"/>
      <c r="V153" s="987"/>
      <c r="W153" s="987"/>
      <c r="X153" s="1976"/>
      <c r="Y153" s="1977"/>
      <c r="Z153" s="1977"/>
      <c r="AA153" s="1977"/>
      <c r="AB153" s="1977"/>
      <c r="AC153" s="1977"/>
      <c r="AD153" s="1977"/>
      <c r="AE153" s="2014"/>
      <c r="AF153" s="2014"/>
      <c r="AG153" s="2014"/>
      <c r="AH153" s="2014"/>
      <c r="AI153" s="2014"/>
      <c r="AJ153" s="2014"/>
      <c r="AK153" s="2014"/>
      <c r="AL153" s="2014"/>
      <c r="AM153" s="2014"/>
      <c r="AN153" s="2014"/>
      <c r="AO153" s="2014"/>
      <c r="AP153" s="2014"/>
      <c r="AQ153" s="2015"/>
      <c r="AR153" s="987"/>
      <c r="AS153" s="987"/>
      <c r="AT153" s="987"/>
      <c r="AU153" s="987"/>
      <c r="AV153" s="987"/>
      <c r="AW153" s="987"/>
      <c r="AX153" s="987"/>
      <c r="AY153" s="987"/>
      <c r="AZ153" s="987"/>
      <c r="BA153" s="987"/>
      <c r="BB153" s="987"/>
      <c r="BC153" s="987"/>
      <c r="BD153" s="987"/>
      <c r="BE153" s="990"/>
    </row>
    <row r="154" spans="1:57" ht="15.75" customHeight="1" thickBot="1">
      <c r="A154" s="987"/>
      <c r="B154" s="2010" t="s">
        <v>1874</v>
      </c>
      <c r="C154" s="2011"/>
      <c r="D154" s="2011"/>
      <c r="E154" s="2011"/>
      <c r="F154" s="2011"/>
      <c r="G154" s="2011"/>
      <c r="H154" s="2011"/>
      <c r="I154" s="2012">
        <v>7</v>
      </c>
      <c r="J154" s="2012"/>
      <c r="K154" s="2012"/>
      <c r="L154" s="2012"/>
      <c r="M154" s="2012"/>
      <c r="N154" s="2012"/>
      <c r="O154" s="2012"/>
      <c r="P154" s="2012">
        <v>10</v>
      </c>
      <c r="Q154" s="2012"/>
      <c r="R154" s="2012"/>
      <c r="S154" s="2012"/>
      <c r="T154" s="2012"/>
      <c r="U154" s="2013"/>
      <c r="V154" s="987"/>
      <c r="W154" s="987"/>
      <c r="X154" s="2004" t="s">
        <v>1874</v>
      </c>
      <c r="Y154" s="2005"/>
      <c r="Z154" s="2005"/>
      <c r="AA154" s="2005"/>
      <c r="AB154" s="2005"/>
      <c r="AC154" s="2005"/>
      <c r="AD154" s="2005"/>
      <c r="AE154" s="2006">
        <v>0</v>
      </c>
      <c r="AF154" s="2006"/>
      <c r="AG154" s="2006"/>
      <c r="AH154" s="2006"/>
      <c r="AI154" s="2006"/>
      <c r="AJ154" s="2006"/>
      <c r="AK154" s="2006"/>
      <c r="AL154" s="2006">
        <v>0</v>
      </c>
      <c r="AM154" s="2006"/>
      <c r="AN154" s="2006"/>
      <c r="AO154" s="2006"/>
      <c r="AP154" s="2006"/>
      <c r="AQ154" s="2007"/>
      <c r="AR154" s="987"/>
      <c r="AS154" s="987"/>
      <c r="AT154" s="987"/>
      <c r="AU154" s="987"/>
      <c r="AV154" s="987"/>
      <c r="AW154" s="987"/>
      <c r="AX154" s="987"/>
      <c r="AY154" s="987"/>
      <c r="AZ154" s="987"/>
      <c r="BA154" s="987"/>
      <c r="BB154" s="987"/>
      <c r="BC154" s="987"/>
      <c r="BD154" s="987"/>
      <c r="BE154" s="990"/>
    </row>
    <row r="155" spans="1:57" ht="15.75" customHeight="1" thickBot="1">
      <c r="A155" s="987"/>
      <c r="B155" s="2004" t="s">
        <v>1875</v>
      </c>
      <c r="C155" s="2005"/>
      <c r="D155" s="2005"/>
      <c r="E155" s="2005"/>
      <c r="F155" s="2005"/>
      <c r="G155" s="2005"/>
      <c r="H155" s="2005"/>
      <c r="I155" s="2006">
        <v>3</v>
      </c>
      <c r="J155" s="2006"/>
      <c r="K155" s="2006"/>
      <c r="L155" s="2006"/>
      <c r="M155" s="2006"/>
      <c r="N155" s="2006"/>
      <c r="O155" s="2006"/>
      <c r="P155" s="2006">
        <v>7</v>
      </c>
      <c r="Q155" s="2006"/>
      <c r="R155" s="2006"/>
      <c r="S155" s="2006"/>
      <c r="T155" s="2006"/>
      <c r="U155" s="2007"/>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2008" t="s">
        <v>1888</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1976" t="s">
        <v>1889</v>
      </c>
      <c r="D158" s="1977"/>
      <c r="E158" s="1977"/>
      <c r="F158" s="1977"/>
      <c r="G158" s="1977"/>
      <c r="H158" s="1977"/>
      <c r="I158" s="1977"/>
      <c r="J158" s="1977"/>
      <c r="K158" s="1977"/>
      <c r="L158" s="1977"/>
      <c r="M158" s="1977"/>
      <c r="N158" s="1977"/>
      <c r="O158" s="1977"/>
      <c r="P158" s="1977"/>
      <c r="Q158" s="1977" t="s">
        <v>1890</v>
      </c>
      <c r="R158" s="1977"/>
      <c r="S158" s="1977"/>
      <c r="T158" s="2009" t="s">
        <v>1891</v>
      </c>
      <c r="U158" s="2009"/>
      <c r="V158" s="2009"/>
      <c r="W158" s="2009"/>
      <c r="X158" s="2009"/>
      <c r="Y158" s="2009"/>
      <c r="Z158" s="2009"/>
      <c r="AA158" s="2009"/>
      <c r="AB158" s="1977" t="s">
        <v>1892</v>
      </c>
      <c r="AC158" s="1977"/>
      <c r="AD158" s="1977"/>
      <c r="AE158" s="1977"/>
      <c r="AF158" s="1977"/>
      <c r="AG158" s="1978"/>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1991" t="s">
        <v>1893</v>
      </c>
      <c r="D159" s="1992"/>
      <c r="E159" s="1992"/>
      <c r="F159" s="1992"/>
      <c r="G159" s="1992"/>
      <c r="H159" s="1992"/>
      <c r="I159" s="1992"/>
      <c r="J159" s="1992"/>
      <c r="K159" s="1992"/>
      <c r="L159" s="1992"/>
      <c r="M159" s="1992"/>
      <c r="N159" s="1992"/>
      <c r="O159" s="1992"/>
      <c r="P159" s="1992"/>
      <c r="Q159" s="1934">
        <v>55</v>
      </c>
      <c r="R159" s="1934"/>
      <c r="S159" s="1934"/>
      <c r="T159" s="1985"/>
      <c r="U159" s="1985"/>
      <c r="V159" s="1985"/>
      <c r="W159" s="1985"/>
      <c r="X159" s="1985"/>
      <c r="Y159" s="1985"/>
      <c r="Z159" s="1985"/>
      <c r="AA159" s="1985"/>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1991" t="s">
        <v>1894</v>
      </c>
      <c r="D160" s="1992"/>
      <c r="E160" s="1992"/>
      <c r="F160" s="1992"/>
      <c r="G160" s="1992"/>
      <c r="H160" s="1992"/>
      <c r="I160" s="1992"/>
      <c r="J160" s="1992"/>
      <c r="K160" s="1992"/>
      <c r="L160" s="1992"/>
      <c r="M160" s="1992"/>
      <c r="N160" s="1992"/>
      <c r="O160" s="1992"/>
      <c r="P160" s="1992"/>
      <c r="Q160" s="1934">
        <v>55</v>
      </c>
      <c r="R160" s="1934"/>
      <c r="S160" s="1934"/>
      <c r="T160" s="1994"/>
      <c r="U160" s="1994"/>
      <c r="V160" s="1994"/>
      <c r="W160" s="1994"/>
      <c r="X160" s="1994"/>
      <c r="Y160" s="1994"/>
      <c r="Z160" s="1994"/>
      <c r="AA160" s="1994"/>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1991" t="s">
        <v>1895</v>
      </c>
      <c r="D161" s="1992"/>
      <c r="E161" s="1992"/>
      <c r="F161" s="1992"/>
      <c r="G161" s="1992"/>
      <c r="H161" s="1992"/>
      <c r="I161" s="1992"/>
      <c r="J161" s="1992"/>
      <c r="K161" s="1992"/>
      <c r="L161" s="1992"/>
      <c r="M161" s="1992"/>
      <c r="N161" s="1992"/>
      <c r="O161" s="1992"/>
      <c r="P161" s="1992"/>
      <c r="Q161" s="1934">
        <v>55</v>
      </c>
      <c r="R161" s="1934"/>
      <c r="S161" s="1934"/>
      <c r="T161" s="1985">
        <v>45621</v>
      </c>
      <c r="U161" s="1985"/>
      <c r="V161" s="1985"/>
      <c r="W161" s="1985"/>
      <c r="X161" s="1985"/>
      <c r="Y161" s="1985"/>
      <c r="Z161" s="1985"/>
      <c r="AA161" s="1985"/>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1991" t="s">
        <v>1825</v>
      </c>
      <c r="D162" s="1992"/>
      <c r="E162" s="1992"/>
      <c r="F162" s="1992"/>
      <c r="G162" s="1992"/>
      <c r="H162" s="1992"/>
      <c r="I162" s="1992"/>
      <c r="J162" s="1992"/>
      <c r="K162" s="1992"/>
      <c r="L162" s="1992"/>
      <c r="M162" s="1992"/>
      <c r="N162" s="1992"/>
      <c r="O162" s="1992"/>
      <c r="P162" s="1992"/>
      <c r="Q162" s="1934">
        <v>55</v>
      </c>
      <c r="R162" s="1934"/>
      <c r="S162" s="1934"/>
      <c r="T162" s="1985" t="s">
        <v>816</v>
      </c>
      <c r="U162" s="1985"/>
      <c r="V162" s="1985"/>
      <c r="W162" s="1985"/>
      <c r="X162" s="1985"/>
      <c r="Y162" s="1985"/>
      <c r="Z162" s="1985"/>
      <c r="AA162" s="1985"/>
      <c r="AB162" s="1995">
        <v>0</v>
      </c>
      <c r="AC162" s="1995"/>
      <c r="AD162" s="1995"/>
      <c r="AE162" s="1995"/>
      <c r="AF162" s="1995"/>
      <c r="AG162" s="1996"/>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1991" t="s">
        <v>233</v>
      </c>
      <c r="D163" s="1992"/>
      <c r="E163" s="1992"/>
      <c r="F163" s="1993" t="s">
        <v>1896</v>
      </c>
      <c r="G163" s="1993"/>
      <c r="H163" s="1993"/>
      <c r="I163" s="1993"/>
      <c r="J163" s="1993"/>
      <c r="K163" s="1993"/>
      <c r="L163" s="1993"/>
      <c r="M163" s="1993"/>
      <c r="N163" s="1993"/>
      <c r="O163" s="1993"/>
      <c r="P163" s="1993"/>
      <c r="Q163" s="1934">
        <v>55</v>
      </c>
      <c r="R163" s="1934"/>
      <c r="S163" s="1934"/>
      <c r="T163" s="1994"/>
      <c r="U163" s="1994"/>
      <c r="V163" s="1994"/>
      <c r="W163" s="1994"/>
      <c r="X163" s="1994"/>
      <c r="Y163" s="1994"/>
      <c r="Z163" s="1994"/>
      <c r="AA163" s="1994"/>
      <c r="AB163" s="1995">
        <v>0</v>
      </c>
      <c r="AC163" s="1995"/>
      <c r="AD163" s="1995"/>
      <c r="AE163" s="1995"/>
      <c r="AF163" s="1995"/>
      <c r="AG163" s="1996"/>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1991" t="s">
        <v>233</v>
      </c>
      <c r="D164" s="1992"/>
      <c r="E164" s="1992"/>
      <c r="F164" s="1993" t="s">
        <v>1896</v>
      </c>
      <c r="G164" s="1993"/>
      <c r="H164" s="1993"/>
      <c r="I164" s="1993"/>
      <c r="J164" s="1993"/>
      <c r="K164" s="1993"/>
      <c r="L164" s="1993"/>
      <c r="M164" s="1993"/>
      <c r="N164" s="1993"/>
      <c r="O164" s="1993"/>
      <c r="P164" s="1993"/>
      <c r="Q164" s="1934">
        <v>55</v>
      </c>
      <c r="R164" s="1934"/>
      <c r="S164" s="1934"/>
      <c r="T164" s="1994"/>
      <c r="U164" s="1994"/>
      <c r="V164" s="1994"/>
      <c r="W164" s="1994"/>
      <c r="X164" s="1994"/>
      <c r="Y164" s="1994"/>
      <c r="Z164" s="1994"/>
      <c r="AA164" s="1994"/>
      <c r="AB164" s="1995">
        <v>0</v>
      </c>
      <c r="AC164" s="1995"/>
      <c r="AD164" s="1995"/>
      <c r="AE164" s="1995"/>
      <c r="AF164" s="1995"/>
      <c r="AG164" s="1996"/>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1997" t="s">
        <v>233</v>
      </c>
      <c r="D165" s="1998"/>
      <c r="E165" s="1998"/>
      <c r="F165" s="1999" t="s">
        <v>1896</v>
      </c>
      <c r="G165" s="1999"/>
      <c r="H165" s="1999"/>
      <c r="I165" s="1999"/>
      <c r="J165" s="1999"/>
      <c r="K165" s="1999"/>
      <c r="L165" s="1999"/>
      <c r="M165" s="1999"/>
      <c r="N165" s="1999"/>
      <c r="O165" s="1999"/>
      <c r="P165" s="1999"/>
      <c r="Q165" s="2000">
        <v>55</v>
      </c>
      <c r="R165" s="2000"/>
      <c r="S165" s="2000"/>
      <c r="T165" s="2001"/>
      <c r="U165" s="2001"/>
      <c r="V165" s="2001"/>
      <c r="W165" s="2001"/>
      <c r="X165" s="2001"/>
      <c r="Y165" s="2001"/>
      <c r="Z165" s="2001"/>
      <c r="AA165" s="2001"/>
      <c r="AB165" s="2002">
        <v>0</v>
      </c>
      <c r="AC165" s="2002"/>
      <c r="AD165" s="2002"/>
      <c r="AE165" s="2002"/>
      <c r="AF165" s="2002"/>
      <c r="AG165" s="2003"/>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62" t="s">
        <v>1897</v>
      </c>
      <c r="D167" s="1963"/>
      <c r="E167" s="1963"/>
      <c r="F167" s="1963"/>
      <c r="G167" s="1963"/>
      <c r="H167" s="1963"/>
      <c r="I167" s="1963"/>
      <c r="J167" s="1963"/>
      <c r="K167" s="1963"/>
      <c r="L167" s="1963"/>
      <c r="M167" s="1963"/>
      <c r="N167" s="1972"/>
      <c r="O167" s="987"/>
      <c r="P167" s="1973" t="s">
        <v>1898</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1976" t="s">
        <v>1899</v>
      </c>
      <c r="D168" s="1977"/>
      <c r="E168" s="1977"/>
      <c r="F168" s="1977"/>
      <c r="G168" s="1977"/>
      <c r="H168" s="1977"/>
      <c r="I168" s="1977" t="s">
        <v>1900</v>
      </c>
      <c r="J168" s="1977"/>
      <c r="K168" s="1977"/>
      <c r="L168" s="1977"/>
      <c r="M168" s="1977"/>
      <c r="N168" s="1978"/>
      <c r="O168" s="987"/>
      <c r="P168" s="1979" t="s">
        <v>2767</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1924" t="s">
        <v>2765</v>
      </c>
      <c r="D169" s="1925"/>
      <c r="E169" s="1925"/>
      <c r="F169" s="1925"/>
      <c r="G169" s="1925"/>
      <c r="H169" s="1925"/>
      <c r="I169" s="1985">
        <v>45509</v>
      </c>
      <c r="J169" s="1985"/>
      <c r="K169" s="1985"/>
      <c r="L169" s="1985"/>
      <c r="M169" s="1985"/>
      <c r="N169" s="1986"/>
      <c r="O169" s="987"/>
      <c r="P169" s="1979"/>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1924" t="s">
        <v>2766</v>
      </c>
      <c r="D170" s="1925"/>
      <c r="E170" s="1925"/>
      <c r="F170" s="1925"/>
      <c r="G170" s="1925"/>
      <c r="H170" s="1925"/>
      <c r="I170" s="1985">
        <v>46073</v>
      </c>
      <c r="J170" s="1985"/>
      <c r="K170" s="1985"/>
      <c r="L170" s="1985"/>
      <c r="M170" s="1985"/>
      <c r="N170" s="1986"/>
      <c r="O170" s="987"/>
      <c r="P170" s="1979"/>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1924"/>
      <c r="D171" s="1925"/>
      <c r="E171" s="1925"/>
      <c r="F171" s="1925"/>
      <c r="G171" s="1925"/>
      <c r="H171" s="1925"/>
      <c r="I171" s="1985"/>
      <c r="J171" s="1985"/>
      <c r="K171" s="1985"/>
      <c r="L171" s="1985"/>
      <c r="M171" s="1985"/>
      <c r="N171" s="1986"/>
      <c r="O171" s="987"/>
      <c r="P171" s="1979"/>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1924"/>
      <c r="D172" s="1925"/>
      <c r="E172" s="1925"/>
      <c r="F172" s="1925"/>
      <c r="G172" s="1925"/>
      <c r="H172" s="1925"/>
      <c r="I172" s="1985"/>
      <c r="J172" s="1985"/>
      <c r="K172" s="1985"/>
      <c r="L172" s="1985"/>
      <c r="M172" s="1985"/>
      <c r="N172" s="1986"/>
      <c r="O172" s="987"/>
      <c r="P172" s="1979"/>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1924"/>
      <c r="D173" s="1925"/>
      <c r="E173" s="1925"/>
      <c r="F173" s="1925"/>
      <c r="G173" s="1925"/>
      <c r="H173" s="1925"/>
      <c r="I173" s="1985"/>
      <c r="J173" s="1985"/>
      <c r="K173" s="1985"/>
      <c r="L173" s="1985"/>
      <c r="M173" s="1985"/>
      <c r="N173" s="1986"/>
      <c r="O173" s="987"/>
      <c r="P173" s="1979"/>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1924"/>
      <c r="D174" s="1925"/>
      <c r="E174" s="1925"/>
      <c r="F174" s="1925"/>
      <c r="G174" s="1925"/>
      <c r="H174" s="1925"/>
      <c r="I174" s="1985"/>
      <c r="J174" s="1985"/>
      <c r="K174" s="1985"/>
      <c r="L174" s="1985"/>
      <c r="M174" s="1985"/>
      <c r="N174" s="1986"/>
      <c r="O174" s="987"/>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1987"/>
      <c r="D175" s="1988"/>
      <c r="E175" s="1988"/>
      <c r="F175" s="1988"/>
      <c r="G175" s="1988"/>
      <c r="H175" s="1988"/>
      <c r="I175" s="1989"/>
      <c r="J175" s="1989"/>
      <c r="K175" s="1989"/>
      <c r="L175" s="1989"/>
      <c r="M175" s="1989"/>
      <c r="N175" s="1990"/>
      <c r="O175" s="987"/>
      <c r="P175" s="1982"/>
      <c r="Q175" s="1983"/>
      <c r="R175" s="1983"/>
      <c r="S175" s="1983"/>
      <c r="T175" s="1983"/>
      <c r="U175" s="1983"/>
      <c r="V175" s="1983"/>
      <c r="W175" s="1983"/>
      <c r="X175" s="1983"/>
      <c r="Y175" s="1983"/>
      <c r="Z175" s="1983"/>
      <c r="AA175" s="1983"/>
      <c r="AB175" s="1983"/>
      <c r="AC175" s="1983"/>
      <c r="AD175" s="1983"/>
      <c r="AE175" s="1983"/>
      <c r="AF175" s="1983"/>
      <c r="AG175" s="1983"/>
      <c r="AH175" s="1983"/>
      <c r="AI175" s="1983"/>
      <c r="AJ175" s="1983"/>
      <c r="AK175" s="1983"/>
      <c r="AL175" s="1983"/>
      <c r="AM175" s="1983"/>
      <c r="AN175" s="1983"/>
      <c r="AO175" s="1984"/>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1953" t="s">
        <v>1901</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987"/>
      <c r="AG177" s="987"/>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8"/>
      <c r="BB177" s="1838"/>
      <c r="BC177" s="1838"/>
      <c r="BD177" s="1838"/>
      <c r="BE177" s="1838"/>
    </row>
    <row r="178" spans="1:57" ht="15.75" customHeight="1" thickBot="1">
      <c r="A178" s="987"/>
      <c r="B178" s="987"/>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987"/>
      <c r="AG178" s="987"/>
      <c r="AH178" s="1838"/>
      <c r="AI178" s="1838"/>
      <c r="AJ178" s="1838"/>
      <c r="AK178" s="1838"/>
      <c r="AL178" s="1838"/>
      <c r="AM178" s="1838"/>
      <c r="AN178" s="1838"/>
      <c r="AO178" s="1838"/>
      <c r="AP178" s="1838"/>
      <c r="AQ178" s="1838"/>
      <c r="AR178" s="1838"/>
      <c r="AS178" s="1838"/>
      <c r="AT178" s="1838"/>
      <c r="AU178" s="1838"/>
      <c r="AV178" s="1838"/>
      <c r="AW178" s="1838"/>
      <c r="AX178" s="1838"/>
      <c r="AY178" s="1838"/>
      <c r="AZ178" s="1838"/>
      <c r="BA178" s="1838"/>
      <c r="BB178" s="1838"/>
      <c r="BC178" s="1838"/>
      <c r="BD178" s="1838"/>
      <c r="BE178" s="1838"/>
    </row>
    <row r="179" spans="1:57" ht="15.75" customHeight="1">
      <c r="A179" s="987"/>
      <c r="B179" s="987"/>
      <c r="C179" s="1962" t="s">
        <v>1889</v>
      </c>
      <c r="D179" s="1963"/>
      <c r="E179" s="1963"/>
      <c r="F179" s="1963"/>
      <c r="G179" s="1963"/>
      <c r="H179" s="1963"/>
      <c r="I179" s="1963"/>
      <c r="J179" s="1963"/>
      <c r="K179" s="1963"/>
      <c r="L179" s="1963"/>
      <c r="M179" s="1963"/>
      <c r="N179" s="1963" t="s">
        <v>1902</v>
      </c>
      <c r="O179" s="1963"/>
      <c r="P179" s="1963"/>
      <c r="Q179" s="1963"/>
      <c r="R179" s="1963"/>
      <c r="S179" s="1963"/>
      <c r="T179" s="1963"/>
      <c r="U179" s="1964" t="s">
        <v>1889</v>
      </c>
      <c r="V179" s="1964"/>
      <c r="W179" s="1964"/>
      <c r="X179" s="1964"/>
      <c r="Y179" s="1964"/>
      <c r="Z179" s="1964"/>
      <c r="AA179" s="1964"/>
      <c r="AB179" s="1964"/>
      <c r="AC179" s="1964"/>
      <c r="AD179" s="1964"/>
      <c r="AE179" s="1965"/>
      <c r="AF179" s="987"/>
      <c r="AG179" s="987"/>
      <c r="AH179" s="1838"/>
      <c r="AI179" s="1838"/>
      <c r="AJ179" s="1838"/>
      <c r="AK179" s="1838"/>
      <c r="AL179" s="1838"/>
      <c r="AM179" s="1838"/>
      <c r="AN179" s="1838"/>
      <c r="AO179" s="1838"/>
      <c r="AP179" s="1838"/>
      <c r="AQ179" s="1838"/>
      <c r="AR179" s="1838"/>
      <c r="AS179" s="1838"/>
      <c r="AT179" s="1838"/>
      <c r="AU179" s="1838"/>
      <c r="AV179" s="1838"/>
      <c r="AW179" s="1838"/>
      <c r="AX179" s="1838"/>
      <c r="AY179" s="1838"/>
      <c r="AZ179" s="1838"/>
      <c r="BA179" s="1838"/>
      <c r="BB179" s="1838"/>
      <c r="BC179" s="1838"/>
      <c r="BD179" s="1838"/>
      <c r="BE179" s="1838"/>
    </row>
    <row r="180" spans="1:57" ht="15.75" customHeight="1">
      <c r="A180" s="987"/>
      <c r="B180" s="987"/>
      <c r="C180" s="1941" t="s">
        <v>1903</v>
      </c>
      <c r="D180" s="1942"/>
      <c r="E180" s="1942"/>
      <c r="F180" s="1942"/>
      <c r="G180" s="1942"/>
      <c r="H180" s="1942"/>
      <c r="I180" s="1942"/>
      <c r="J180" s="1942"/>
      <c r="K180" s="1942"/>
      <c r="L180" s="1942"/>
      <c r="M180" s="1942"/>
      <c r="N180" s="1952">
        <f>'Sources and Uses Budget'!B105</f>
        <v>112607197</v>
      </c>
      <c r="O180" s="1952"/>
      <c r="P180" s="1952"/>
      <c r="Q180" s="1952"/>
      <c r="R180" s="1952"/>
      <c r="S180" s="1952"/>
      <c r="T180" s="1952"/>
      <c r="U180" s="1966"/>
      <c r="V180" s="1966"/>
      <c r="W180" s="1966"/>
      <c r="X180" s="1966"/>
      <c r="Y180" s="1966"/>
      <c r="Z180" s="1966"/>
      <c r="AA180" s="1966"/>
      <c r="AB180" s="1966"/>
      <c r="AC180" s="1966"/>
      <c r="AD180" s="1966"/>
      <c r="AE180" s="1967"/>
      <c r="AF180" s="987"/>
      <c r="AG180" s="987"/>
      <c r="AH180" s="1838"/>
      <c r="AI180" s="1838"/>
      <c r="AJ180" s="1838"/>
      <c r="AK180" s="1838"/>
      <c r="AL180" s="1838"/>
      <c r="AM180" s="1838"/>
      <c r="AN180" s="1838"/>
      <c r="AO180" s="1838"/>
      <c r="AP180" s="1838"/>
      <c r="AQ180" s="1838"/>
      <c r="AR180" s="1838"/>
      <c r="AS180" s="1838"/>
      <c r="AT180" s="1838"/>
      <c r="AU180" s="1838"/>
      <c r="AV180" s="1838"/>
      <c r="AW180" s="1838"/>
      <c r="AX180" s="1838"/>
      <c r="AY180" s="1838"/>
      <c r="AZ180" s="1838"/>
      <c r="BA180" s="1838"/>
      <c r="BB180" s="1838"/>
      <c r="BC180" s="1838"/>
      <c r="BD180" s="1838"/>
      <c r="BE180" s="1838"/>
    </row>
    <row r="181" spans="1:57" ht="15.75" customHeight="1">
      <c r="A181" s="987"/>
      <c r="B181" s="987"/>
      <c r="C181" s="1941" t="s">
        <v>1904</v>
      </c>
      <c r="D181" s="1942"/>
      <c r="E181" s="1942"/>
      <c r="F181" s="1942"/>
      <c r="G181" s="1942"/>
      <c r="H181" s="1942"/>
      <c r="I181" s="1942"/>
      <c r="J181" s="1942"/>
      <c r="K181" s="1942"/>
      <c r="L181" s="1942"/>
      <c r="M181" s="1942"/>
      <c r="N181" s="1952">
        <f>N180/J29</f>
        <v>735994.75163398695</v>
      </c>
      <c r="O181" s="1952"/>
      <c r="P181" s="1952"/>
      <c r="Q181" s="1952"/>
      <c r="R181" s="1952"/>
      <c r="S181" s="1952"/>
      <c r="T181" s="1952"/>
      <c r="U181" s="1116"/>
      <c r="V181" s="1116"/>
      <c r="W181" s="1116"/>
      <c r="X181" s="1116"/>
      <c r="Y181" s="1116"/>
      <c r="Z181" s="1116"/>
      <c r="AA181" s="1116"/>
      <c r="AB181" s="1116"/>
      <c r="AC181" s="1116"/>
      <c r="AD181" s="1116"/>
      <c r="AE181" s="1117"/>
      <c r="AF181" s="987"/>
      <c r="AG181" s="987"/>
      <c r="AH181" s="1838"/>
      <c r="AI181" s="1838"/>
      <c r="AJ181" s="1838"/>
      <c r="AK181" s="1838"/>
      <c r="AL181" s="1838"/>
      <c r="AM181" s="1838"/>
      <c r="AN181" s="1838"/>
      <c r="AO181" s="1838"/>
      <c r="AP181" s="1838"/>
      <c r="AQ181" s="1838"/>
      <c r="AR181" s="1838"/>
      <c r="AS181" s="1838"/>
      <c r="AT181" s="1838"/>
      <c r="AU181" s="1838"/>
      <c r="AV181" s="1838"/>
      <c r="AW181" s="1838"/>
      <c r="AX181" s="1838"/>
      <c r="AY181" s="1838"/>
      <c r="AZ181" s="1838"/>
      <c r="BA181" s="1838"/>
      <c r="BB181" s="1838"/>
      <c r="BC181" s="1838"/>
      <c r="BD181" s="1838"/>
      <c r="BE181" s="1838"/>
    </row>
    <row r="182" spans="1:57" ht="15.75" customHeight="1">
      <c r="A182" s="987"/>
      <c r="B182" s="987"/>
      <c r="C182" s="1968" t="s">
        <v>1905</v>
      </c>
      <c r="D182" s="1969"/>
      <c r="E182" s="1969"/>
      <c r="F182" s="1969"/>
      <c r="G182" s="1969"/>
      <c r="H182" s="1969"/>
      <c r="I182" s="1969"/>
      <c r="J182" s="1969"/>
      <c r="K182" s="1969"/>
      <c r="L182" s="1969"/>
      <c r="M182" s="1969"/>
      <c r="N182" s="1970">
        <v>9177455</v>
      </c>
      <c r="O182" s="1970"/>
      <c r="P182" s="1970"/>
      <c r="Q182" s="1970"/>
      <c r="R182" s="1970"/>
      <c r="S182" s="1970"/>
      <c r="T182" s="1970"/>
      <c r="U182" s="1928" t="s">
        <v>2804</v>
      </c>
      <c r="V182" s="1928"/>
      <c r="W182" s="1928"/>
      <c r="X182" s="1928"/>
      <c r="Y182" s="1928"/>
      <c r="Z182" s="1928"/>
      <c r="AA182" s="1928"/>
      <c r="AB182" s="1928"/>
      <c r="AC182" s="1928"/>
      <c r="AD182" s="1928"/>
      <c r="AE182" s="1929"/>
      <c r="AF182" s="987"/>
      <c r="AG182" s="987"/>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987"/>
      <c r="B183" s="987"/>
      <c r="C183" s="1941" t="s">
        <v>1906</v>
      </c>
      <c r="D183" s="1942"/>
      <c r="E183" s="1942"/>
      <c r="F183" s="1942"/>
      <c r="G183" s="1942"/>
      <c r="H183" s="1942"/>
      <c r="I183" s="1942"/>
      <c r="J183" s="1942"/>
      <c r="K183" s="1942"/>
      <c r="L183" s="1942"/>
      <c r="M183" s="1942"/>
      <c r="N183" s="1971">
        <f>SUM('Sources and Uses Budget'!B85:B86)</f>
        <v>2211297</v>
      </c>
      <c r="O183" s="1971"/>
      <c r="P183" s="1971"/>
      <c r="Q183" s="1971"/>
      <c r="R183" s="1971"/>
      <c r="S183" s="1971"/>
      <c r="T183" s="1971"/>
      <c r="U183" s="1928" t="s">
        <v>2768</v>
      </c>
      <c r="V183" s="1928"/>
      <c r="W183" s="1928"/>
      <c r="X183" s="1928"/>
      <c r="Y183" s="1928"/>
      <c r="Z183" s="1928"/>
      <c r="AA183" s="1928"/>
      <c r="AB183" s="1928"/>
      <c r="AC183" s="1928"/>
      <c r="AD183" s="1928"/>
      <c r="AE183" s="1929"/>
      <c r="AF183" s="987"/>
      <c r="AG183" s="987"/>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thickBot="1">
      <c r="A184" s="987"/>
      <c r="B184" s="987"/>
      <c r="C184" s="1941" t="s">
        <v>1907</v>
      </c>
      <c r="D184" s="1942"/>
      <c r="E184" s="1942"/>
      <c r="F184" s="1942"/>
      <c r="G184" s="1942"/>
      <c r="H184" s="1942"/>
      <c r="I184" s="1942"/>
      <c r="J184" s="1942"/>
      <c r="K184" s="1942"/>
      <c r="L184" s="1942"/>
      <c r="M184" s="1942"/>
      <c r="N184" s="1971">
        <f>'Sources and Uses Budget'!B8</f>
        <v>6500000</v>
      </c>
      <c r="O184" s="1971"/>
      <c r="P184" s="1971"/>
      <c r="Q184" s="1971"/>
      <c r="R184" s="1971"/>
      <c r="S184" s="1971"/>
      <c r="T184" s="1971"/>
      <c r="U184" s="1928"/>
      <c r="V184" s="1928"/>
      <c r="W184" s="1928"/>
      <c r="X184" s="1928"/>
      <c r="Y184" s="1928"/>
      <c r="Z184" s="1928"/>
      <c r="AA184" s="1928"/>
      <c r="AB184" s="1928"/>
      <c r="AC184" s="1928"/>
      <c r="AD184" s="1928"/>
      <c r="AE184" s="1929"/>
      <c r="AF184" s="987"/>
      <c r="AG184" s="987"/>
      <c r="AH184" s="1938" t="s">
        <v>1908</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987"/>
      <c r="B185" s="987"/>
      <c r="C185" s="1941" t="s">
        <v>1909</v>
      </c>
      <c r="D185" s="1942"/>
      <c r="E185" s="1942"/>
      <c r="F185" s="1942"/>
      <c r="G185" s="1942"/>
      <c r="H185" s="1942"/>
      <c r="I185" s="1942"/>
      <c r="J185" s="1942"/>
      <c r="K185" s="1942"/>
      <c r="L185" s="1942"/>
      <c r="M185" s="1942"/>
      <c r="N185" s="1927">
        <f>'Sources and Uses Budget'!B13</f>
        <v>253604</v>
      </c>
      <c r="O185" s="1927"/>
      <c r="P185" s="1927"/>
      <c r="Q185" s="1927"/>
      <c r="R185" s="1927"/>
      <c r="S185" s="1927"/>
      <c r="T185" s="1927"/>
      <c r="U185" s="1928"/>
      <c r="V185" s="1928"/>
      <c r="W185" s="1928"/>
      <c r="X185" s="1928"/>
      <c r="Y185" s="1928"/>
      <c r="Z185" s="1928"/>
      <c r="AA185" s="1928"/>
      <c r="AB185" s="1928"/>
      <c r="AC185" s="1928"/>
      <c r="AD185" s="1928"/>
      <c r="AE185" s="1929"/>
      <c r="AF185" s="987"/>
      <c r="AG185" s="987"/>
      <c r="AH185" s="1943" t="s">
        <v>1908</v>
      </c>
      <c r="AI185" s="1944"/>
      <c r="AJ185" s="1944"/>
      <c r="AK185" s="1944"/>
      <c r="AL185" s="1944"/>
      <c r="AM185" s="1944"/>
      <c r="AN185" s="1944"/>
      <c r="AO185" s="1944"/>
      <c r="AP185" s="1944"/>
      <c r="AQ185" s="1944"/>
      <c r="AR185" s="1944"/>
      <c r="AS185" s="1944"/>
      <c r="AT185" s="1944"/>
      <c r="AU185" s="1945">
        <f>Application!AO643</f>
        <v>8350037</v>
      </c>
      <c r="AV185" s="1945"/>
      <c r="AW185" s="1945"/>
      <c r="AX185" s="1945"/>
      <c r="AY185" s="1945"/>
      <c r="AZ185" s="1945"/>
      <c r="BA185" s="1945"/>
      <c r="BB185" s="1945"/>
      <c r="BC185" s="1946"/>
      <c r="BD185" s="1947"/>
      <c r="BE185" s="1948"/>
    </row>
    <row r="186" spans="1:57" ht="15.75" customHeight="1">
      <c r="A186" s="987"/>
      <c r="B186" s="987"/>
      <c r="C186" s="1941" t="s">
        <v>1910</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987"/>
      <c r="AG186" s="987"/>
      <c r="AH186" s="1959" t="s">
        <v>1911</v>
      </c>
      <c r="AI186" s="1960"/>
      <c r="AJ186" s="1960"/>
      <c r="AK186" s="1960"/>
      <c r="AL186" s="1960"/>
      <c r="AM186" s="1960"/>
      <c r="AN186" s="1960"/>
      <c r="AO186" s="1960"/>
      <c r="AP186" s="1960"/>
      <c r="AQ186" s="1960"/>
      <c r="AR186" s="1960"/>
      <c r="AS186" s="1960"/>
      <c r="AT186" s="1960"/>
      <c r="AU186" s="1961">
        <v>2427988</v>
      </c>
      <c r="AV186" s="1961"/>
      <c r="AW186" s="1961"/>
      <c r="AX186" s="1961"/>
      <c r="AY186" s="1961"/>
      <c r="AZ186" s="1961"/>
      <c r="BA186" s="1961"/>
      <c r="BB186" s="1961"/>
      <c r="BC186" s="1949"/>
      <c r="BD186" s="1950"/>
      <c r="BE186" s="1951"/>
    </row>
    <row r="187" spans="1:57" ht="15.75" customHeight="1">
      <c r="A187" s="987"/>
      <c r="B187" s="987"/>
      <c r="C187" s="1933" t="s">
        <v>1051</v>
      </c>
      <c r="D187" s="1934"/>
      <c r="E187" s="1926" t="s">
        <v>2769</v>
      </c>
      <c r="F187" s="1926"/>
      <c r="G187" s="1926"/>
      <c r="H187" s="1926"/>
      <c r="I187" s="1926"/>
      <c r="J187" s="1926"/>
      <c r="K187" s="1926"/>
      <c r="L187" s="1926"/>
      <c r="M187" s="1926"/>
      <c r="N187" s="1927">
        <v>6728246</v>
      </c>
      <c r="O187" s="1927"/>
      <c r="P187" s="1927"/>
      <c r="Q187" s="1927"/>
      <c r="R187" s="1927"/>
      <c r="S187" s="1927"/>
      <c r="T187" s="1927"/>
      <c r="U187" s="1928" t="s">
        <v>2770</v>
      </c>
      <c r="V187" s="1928"/>
      <c r="W187" s="1928"/>
      <c r="X187" s="1928"/>
      <c r="Y187" s="1928"/>
      <c r="Z187" s="1928"/>
      <c r="AA187" s="1928"/>
      <c r="AB187" s="1928"/>
      <c r="AC187" s="1928"/>
      <c r="AD187" s="1928"/>
      <c r="AE187" s="1929"/>
      <c r="AF187" s="987"/>
      <c r="AG187" s="987"/>
      <c r="AH187" s="1935" t="s">
        <v>1912</v>
      </c>
      <c r="AI187" s="1936"/>
      <c r="AJ187" s="1936"/>
      <c r="AK187" s="1936"/>
      <c r="AL187" s="1936"/>
      <c r="AM187" s="1936"/>
      <c r="AN187" s="1936"/>
      <c r="AO187" s="1936"/>
      <c r="AP187" s="1936"/>
      <c r="AQ187" s="1936"/>
      <c r="AR187" s="1936"/>
      <c r="AS187" s="1936"/>
      <c r="AT187" s="1936"/>
      <c r="AU187" s="1937">
        <f>SUM(AU185:BB186)</f>
        <v>10778025</v>
      </c>
      <c r="AV187" s="1937"/>
      <c r="AW187" s="1937"/>
      <c r="AX187" s="1937"/>
      <c r="AY187" s="1937"/>
      <c r="AZ187" s="1937"/>
      <c r="BA187" s="1937"/>
      <c r="BB187" s="1937"/>
      <c r="BC187" s="1949"/>
      <c r="BD187" s="1950"/>
      <c r="BE187" s="1951"/>
    </row>
    <row r="188" spans="1:57" ht="15.75" customHeight="1" thickBot="1">
      <c r="A188" s="987"/>
      <c r="B188" s="987"/>
      <c r="C188" s="1924" t="s">
        <v>1051</v>
      </c>
      <c r="D188" s="1925"/>
      <c r="E188" s="1926"/>
      <c r="F188" s="1926"/>
      <c r="G188" s="1926"/>
      <c r="H188" s="1926"/>
      <c r="I188" s="1926"/>
      <c r="J188" s="1926"/>
      <c r="K188" s="1926"/>
      <c r="L188" s="1926"/>
      <c r="M188" s="1926"/>
      <c r="N188" s="1927"/>
      <c r="O188" s="1927"/>
      <c r="P188" s="1927"/>
      <c r="Q188" s="1927"/>
      <c r="R188" s="1927"/>
      <c r="S188" s="1927"/>
      <c r="T188" s="1927"/>
      <c r="U188" s="1928"/>
      <c r="V188" s="1928"/>
      <c r="W188" s="1928"/>
      <c r="X188" s="1928"/>
      <c r="Y188" s="1928"/>
      <c r="Z188" s="1928"/>
      <c r="AA188" s="1928"/>
      <c r="AB188" s="1928"/>
      <c r="AC188" s="1928"/>
      <c r="AD188" s="1928"/>
      <c r="AE188" s="1929"/>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1930"/>
      <c r="BD188" s="1931"/>
      <c r="BE188" s="1932"/>
    </row>
    <row r="189" spans="1:57" ht="15.75" customHeight="1" thickBot="1">
      <c r="A189" s="987"/>
      <c r="B189" s="987"/>
      <c r="C189" s="1912" t="s">
        <v>1051</v>
      </c>
      <c r="D189" s="1913"/>
      <c r="E189" s="1914"/>
      <c r="F189" s="1914"/>
      <c r="G189" s="1914"/>
      <c r="H189" s="1914"/>
      <c r="I189" s="1914"/>
      <c r="J189" s="1914"/>
      <c r="K189" s="1914"/>
      <c r="L189" s="1914"/>
      <c r="M189" s="1915"/>
      <c r="N189" s="1916"/>
      <c r="O189" s="1916"/>
      <c r="P189" s="1916"/>
      <c r="Q189" s="1916"/>
      <c r="R189" s="1916"/>
      <c r="S189" s="1916"/>
      <c r="T189" s="1917"/>
      <c r="U189" s="1918"/>
      <c r="V189" s="1919"/>
      <c r="W189" s="1919"/>
      <c r="X189" s="1919"/>
      <c r="Y189" s="1919"/>
      <c r="Z189" s="1919"/>
      <c r="AA189" s="1919"/>
      <c r="AB189" s="1919"/>
      <c r="AC189" s="1919"/>
      <c r="AD189" s="1919"/>
      <c r="AE189" s="1920"/>
      <c r="AF189" s="987"/>
      <c r="AG189" s="987"/>
      <c r="AH189" s="1921" t="s">
        <v>1913</v>
      </c>
      <c r="AI189" s="1922"/>
      <c r="AJ189" s="1922"/>
      <c r="AK189" s="1922"/>
      <c r="AL189" s="1922"/>
      <c r="AM189" s="1922"/>
      <c r="AN189" s="1922"/>
      <c r="AO189" s="1922"/>
      <c r="AP189" s="1922"/>
      <c r="AQ189" s="1922"/>
      <c r="AR189" s="1922"/>
      <c r="AS189" s="1922"/>
      <c r="AT189" s="1922"/>
      <c r="AU189" s="1923">
        <f>Application!AO640</f>
        <v>1950332</v>
      </c>
      <c r="AV189" s="1923"/>
      <c r="AW189" s="1923"/>
      <c r="AX189" s="1923"/>
      <c r="AY189" s="1923"/>
      <c r="AZ189" s="1923"/>
      <c r="BA189" s="1923"/>
      <c r="BB189" s="1923"/>
      <c r="BC189" s="944"/>
      <c r="BD189" s="944"/>
      <c r="BE189" s="1025"/>
    </row>
    <row r="190" spans="1:57" ht="15.75" customHeight="1">
      <c r="A190" s="987"/>
      <c r="B190" s="987"/>
      <c r="C190" s="1895" t="s">
        <v>1914</v>
      </c>
      <c r="D190" s="1896"/>
      <c r="E190" s="1896"/>
      <c r="F190" s="1896"/>
      <c r="G190" s="1896"/>
      <c r="H190" s="1896"/>
      <c r="I190" s="1896"/>
      <c r="J190" s="1896"/>
      <c r="K190" s="1896"/>
      <c r="L190" s="1896"/>
      <c r="M190" s="1896"/>
      <c r="N190" s="1897">
        <f>SUM(N182:T189)</f>
        <v>24870602</v>
      </c>
      <c r="O190" s="1897"/>
      <c r="P190" s="1897"/>
      <c r="Q190" s="1897"/>
      <c r="R190" s="1897"/>
      <c r="S190" s="1897"/>
      <c r="T190" s="1898"/>
      <c r="U190" s="987"/>
      <c r="V190" s="987"/>
      <c r="W190" s="987"/>
      <c r="X190" s="987"/>
      <c r="Y190" s="987"/>
      <c r="Z190" s="987"/>
      <c r="AA190" s="987"/>
      <c r="AB190" s="987"/>
      <c r="AC190" s="987"/>
      <c r="AD190" s="987"/>
      <c r="AE190" s="987"/>
      <c r="AF190" s="987"/>
      <c r="AG190" s="987"/>
      <c r="AH190" s="1899" t="s">
        <v>1915</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987"/>
      <c r="B191" s="987"/>
      <c r="C191" s="1905" t="s">
        <v>1916</v>
      </c>
      <c r="D191" s="1906"/>
      <c r="E191" s="1906"/>
      <c r="F191" s="1906"/>
      <c r="G191" s="1906"/>
      <c r="H191" s="1906"/>
      <c r="I191" s="1906"/>
      <c r="J191" s="1906"/>
      <c r="K191" s="1906"/>
      <c r="L191" s="1906"/>
      <c r="M191" s="1906"/>
      <c r="N191" s="1907">
        <f>(N180-N190)/J29</f>
        <v>573441.79738562088</v>
      </c>
      <c r="O191" s="1908"/>
      <c r="P191" s="1908"/>
      <c r="Q191" s="1908"/>
      <c r="R191" s="1908"/>
      <c r="S191" s="1908"/>
      <c r="T191" s="1909"/>
      <c r="U191" s="991"/>
      <c r="V191" s="987"/>
      <c r="W191" s="987"/>
      <c r="X191" s="987"/>
      <c r="Y191" s="987"/>
      <c r="Z191" s="987"/>
      <c r="AA191" s="987"/>
      <c r="AB191" s="987"/>
      <c r="AC191" s="987"/>
      <c r="AD191" s="987"/>
      <c r="AE191" s="987"/>
      <c r="AF191" s="987"/>
      <c r="AG191" s="987"/>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1890" t="s">
        <v>1917</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1893" t="s">
        <v>1918</v>
      </c>
      <c r="D195" s="1893"/>
      <c r="E195" s="1893"/>
      <c r="F195" s="1893"/>
      <c r="G195" s="1893"/>
      <c r="H195" s="1893"/>
      <c r="I195" s="1893"/>
      <c r="J195" s="1893"/>
      <c r="K195" s="1893"/>
      <c r="L195" s="1893"/>
      <c r="M195" s="1893"/>
      <c r="N195" s="1893"/>
      <c r="O195" s="1894" t="s">
        <v>1919</v>
      </c>
      <c r="P195" s="1894"/>
      <c r="Q195" s="1894"/>
      <c r="R195" s="1894"/>
      <c r="S195" s="1894"/>
      <c r="T195" s="1894"/>
      <c r="U195" s="1894"/>
      <c r="V195" s="1894"/>
      <c r="W195" s="1894"/>
      <c r="X195" s="1894" t="s">
        <v>1920</v>
      </c>
      <c r="Y195" s="1894"/>
      <c r="Z195" s="1894"/>
      <c r="AA195" s="1894"/>
      <c r="AB195" s="1894"/>
      <c r="AC195" s="1894"/>
      <c r="AD195" s="1894"/>
      <c r="AE195" s="1894"/>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1885" t="s">
        <v>1921</v>
      </c>
      <c r="D196" s="1885"/>
      <c r="E196" s="1885"/>
      <c r="F196" s="1885"/>
      <c r="G196" s="1885"/>
      <c r="H196" s="1885"/>
      <c r="I196" s="1885"/>
      <c r="J196" s="1885"/>
      <c r="K196" s="1885"/>
      <c r="L196" s="1885"/>
      <c r="M196" s="1885"/>
      <c r="N196" s="1885"/>
      <c r="O196" s="1886">
        <v>5000</v>
      </c>
      <c r="P196" s="1886"/>
      <c r="Q196" s="1886"/>
      <c r="R196" s="1886"/>
      <c r="S196" s="1886"/>
      <c r="T196" s="1886"/>
      <c r="U196" s="1886"/>
      <c r="V196" s="1886"/>
      <c r="W196" s="1886"/>
      <c r="X196" s="1887">
        <v>0.03</v>
      </c>
      <c r="Y196" s="1887"/>
      <c r="Z196" s="1887"/>
      <c r="AA196" s="1887"/>
      <c r="AB196" s="1887"/>
      <c r="AC196" s="1887"/>
      <c r="AD196" s="1887"/>
      <c r="AE196" s="1887"/>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1885" t="s">
        <v>1922</v>
      </c>
      <c r="D197" s="1885"/>
      <c r="E197" s="1885"/>
      <c r="F197" s="1885"/>
      <c r="G197" s="1885"/>
      <c r="H197" s="1885"/>
      <c r="I197" s="1885"/>
      <c r="J197" s="1885"/>
      <c r="K197" s="1885"/>
      <c r="L197" s="1885"/>
      <c r="M197" s="1885"/>
      <c r="N197" s="1885"/>
      <c r="O197" s="1886">
        <v>20000</v>
      </c>
      <c r="P197" s="1886"/>
      <c r="Q197" s="1886"/>
      <c r="R197" s="1886"/>
      <c r="S197" s="1886"/>
      <c r="T197" s="1886"/>
      <c r="U197" s="1886"/>
      <c r="V197" s="1886"/>
      <c r="W197" s="1886"/>
      <c r="X197" s="1887">
        <v>0.03</v>
      </c>
      <c r="Y197" s="1887"/>
      <c r="Z197" s="1887"/>
      <c r="AA197" s="1887"/>
      <c r="AB197" s="1887"/>
      <c r="AC197" s="1887"/>
      <c r="AD197" s="1887"/>
      <c r="AE197" s="1887"/>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1885" t="s">
        <v>1923</v>
      </c>
      <c r="D198" s="1885"/>
      <c r="E198" s="1885"/>
      <c r="F198" s="1885"/>
      <c r="G198" s="1885"/>
      <c r="H198" s="1885"/>
      <c r="I198" s="1885"/>
      <c r="J198" s="1885"/>
      <c r="K198" s="1885"/>
      <c r="L198" s="1885"/>
      <c r="M198" s="1885"/>
      <c r="N198" s="1885"/>
      <c r="O198" s="1888">
        <f>SUM(O196:W197)</f>
        <v>25000</v>
      </c>
      <c r="P198" s="1889"/>
      <c r="Q198" s="1889"/>
      <c r="R198" s="1889"/>
      <c r="S198" s="1889"/>
      <c r="T198" s="1889"/>
      <c r="U198" s="1889"/>
      <c r="V198" s="1889"/>
      <c r="W198" s="1889"/>
      <c r="X198" s="1889" t="s">
        <v>1924</v>
      </c>
      <c r="Y198" s="1889"/>
      <c r="Z198" s="1889"/>
      <c r="AA198" s="1889"/>
      <c r="AB198" s="1889"/>
      <c r="AC198" s="1889"/>
      <c r="AD198" s="1889"/>
      <c r="AE198" s="1889"/>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1859" t="s">
        <v>1925</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1860" t="s">
        <v>1926</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1863" t="s">
        <v>1927</v>
      </c>
      <c r="D202" s="1864"/>
      <c r="E202" s="1864"/>
      <c r="F202" s="1865"/>
      <c r="G202" s="1869" t="s">
        <v>1928</v>
      </c>
      <c r="H202" s="1864"/>
      <c r="I202" s="1864"/>
      <c r="J202" s="1864"/>
      <c r="K202" s="1864"/>
      <c r="L202" s="1864"/>
      <c r="M202" s="1864"/>
      <c r="N202" s="1864"/>
      <c r="O202" s="1865"/>
      <c r="P202" s="1871" t="s">
        <v>1929</v>
      </c>
      <c r="Q202" s="1872"/>
      <c r="R202" s="1872"/>
      <c r="S202" s="1872"/>
      <c r="T202" s="1873"/>
      <c r="U202" s="1877" t="s">
        <v>1930</v>
      </c>
      <c r="V202" s="1878"/>
      <c r="W202" s="1878"/>
      <c r="X202" s="1879"/>
      <c r="Y202" s="1877" t="s">
        <v>1931</v>
      </c>
      <c r="Z202" s="1878"/>
      <c r="AA202" s="1878"/>
      <c r="AB202" s="1879"/>
      <c r="AC202" s="1877" t="s">
        <v>1932</v>
      </c>
      <c r="AD202" s="1878"/>
      <c r="AE202" s="1878"/>
      <c r="AF202" s="1879"/>
      <c r="AG202" s="1869" t="s">
        <v>1933</v>
      </c>
      <c r="AH202" s="1864"/>
      <c r="AI202" s="1864"/>
      <c r="AJ202" s="1864"/>
      <c r="AK202" s="1883"/>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1852">
        <v>1</v>
      </c>
      <c r="D204" s="1853"/>
      <c r="E204" s="1853"/>
      <c r="F204" s="1853"/>
      <c r="G204" s="1854" t="s">
        <v>2771</v>
      </c>
      <c r="H204" s="1854"/>
      <c r="I204" s="1854"/>
      <c r="J204" s="1854"/>
      <c r="K204" s="1854"/>
      <c r="L204" s="1854"/>
      <c r="M204" s="1854"/>
      <c r="N204" s="1854"/>
      <c r="O204" s="1854"/>
      <c r="P204" s="1855">
        <v>46438</v>
      </c>
      <c r="Q204" s="1858"/>
      <c r="R204" s="1858"/>
      <c r="S204" s="1858"/>
      <c r="T204" s="1858"/>
      <c r="U204" s="1856">
        <v>5055737</v>
      </c>
      <c r="V204" s="1856"/>
      <c r="W204" s="1856"/>
      <c r="X204" s="1856"/>
      <c r="Y204" s="1856">
        <v>1000000</v>
      </c>
      <c r="Z204" s="1856"/>
      <c r="AA204" s="1856"/>
      <c r="AB204" s="1856"/>
      <c r="AC204" s="1857">
        <v>0.41188061393276798</v>
      </c>
      <c r="AD204" s="1857"/>
      <c r="AE204" s="1857"/>
      <c r="AF204" s="1857"/>
      <c r="AG204" s="1841" t="s">
        <v>2772</v>
      </c>
      <c r="AH204" s="1842"/>
      <c r="AI204" s="1842"/>
      <c r="AJ204" s="1842"/>
      <c r="AK204" s="1843"/>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1852">
        <v>2</v>
      </c>
      <c r="D205" s="1853"/>
      <c r="E205" s="1853"/>
      <c r="F205" s="1853"/>
      <c r="G205" s="1854" t="s">
        <v>2773</v>
      </c>
      <c r="H205" s="1854"/>
      <c r="I205" s="1854"/>
      <c r="J205" s="1854"/>
      <c r="K205" s="1854"/>
      <c r="L205" s="1854"/>
      <c r="M205" s="1854"/>
      <c r="N205" s="1854"/>
      <c r="O205" s="1854"/>
      <c r="P205" s="1855">
        <v>47258</v>
      </c>
      <c r="Q205" s="1855"/>
      <c r="R205" s="1855"/>
      <c r="S205" s="1855"/>
      <c r="T205" s="1855"/>
      <c r="U205" s="1856">
        <v>0</v>
      </c>
      <c r="V205" s="1856"/>
      <c r="W205" s="1856"/>
      <c r="X205" s="1856"/>
      <c r="Y205" s="1856">
        <v>300000</v>
      </c>
      <c r="Z205" s="1856"/>
      <c r="AA205" s="1856"/>
      <c r="AB205" s="1856"/>
      <c r="AC205" s="1857">
        <v>0.12356418417983001</v>
      </c>
      <c r="AD205" s="1857"/>
      <c r="AE205" s="1857"/>
      <c r="AF205" s="1857"/>
      <c r="AG205" s="1841" t="s">
        <v>2772</v>
      </c>
      <c r="AH205" s="1842"/>
      <c r="AI205" s="1842"/>
      <c r="AJ205" s="1842"/>
      <c r="AK205" s="1843"/>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1852">
        <v>3</v>
      </c>
      <c r="D206" s="1853"/>
      <c r="E206" s="1853"/>
      <c r="F206" s="1853"/>
      <c r="G206" s="1854" t="s">
        <v>2774</v>
      </c>
      <c r="H206" s="1854"/>
      <c r="I206" s="1854"/>
      <c r="J206" s="1854"/>
      <c r="K206" s="1854"/>
      <c r="L206" s="1854"/>
      <c r="M206" s="1854"/>
      <c r="N206" s="1854"/>
      <c r="O206" s="1854"/>
      <c r="P206" s="1855">
        <v>47562</v>
      </c>
      <c r="Q206" s="1855"/>
      <c r="R206" s="1855"/>
      <c r="S206" s="1855"/>
      <c r="T206" s="1855"/>
      <c r="U206" s="1856">
        <v>45251637</v>
      </c>
      <c r="V206" s="1856"/>
      <c r="W206" s="1856"/>
      <c r="X206" s="1856"/>
      <c r="Y206" s="1856">
        <v>877888</v>
      </c>
      <c r="Z206" s="1856"/>
      <c r="AA206" s="1856"/>
      <c r="AB206" s="1856"/>
      <c r="AC206" s="1857">
        <v>0.36158504840421002</v>
      </c>
      <c r="AD206" s="1857"/>
      <c r="AE206" s="1857"/>
      <c r="AF206" s="1857"/>
      <c r="AG206" s="1841" t="s">
        <v>2772</v>
      </c>
      <c r="AH206" s="1842"/>
      <c r="AI206" s="1842"/>
      <c r="AJ206" s="1842"/>
      <c r="AK206" s="1843"/>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1852">
        <v>4</v>
      </c>
      <c r="D207" s="1853"/>
      <c r="E207" s="1853"/>
      <c r="F207" s="1853"/>
      <c r="G207" s="1854" t="s">
        <v>2775</v>
      </c>
      <c r="H207" s="1854"/>
      <c r="I207" s="1854"/>
      <c r="J207" s="1854"/>
      <c r="K207" s="1854"/>
      <c r="L207" s="1854"/>
      <c r="M207" s="1854"/>
      <c r="N207" s="1854"/>
      <c r="O207" s="1854"/>
      <c r="P207" s="1855">
        <v>47654</v>
      </c>
      <c r="Q207" s="1855"/>
      <c r="R207" s="1855"/>
      <c r="S207" s="1855"/>
      <c r="T207" s="1855"/>
      <c r="U207" s="1856">
        <v>250000</v>
      </c>
      <c r="V207" s="1856"/>
      <c r="W207" s="1856"/>
      <c r="X207" s="1856"/>
      <c r="Y207" s="1856">
        <v>250000</v>
      </c>
      <c r="Z207" s="1856"/>
      <c r="AA207" s="1856"/>
      <c r="AB207" s="1856"/>
      <c r="AC207" s="1857">
        <v>0.102970153483192</v>
      </c>
      <c r="AD207" s="1857"/>
      <c r="AE207" s="1857"/>
      <c r="AF207" s="1857"/>
      <c r="AG207" s="1841" t="s">
        <v>2772</v>
      </c>
      <c r="AH207" s="1842"/>
      <c r="AI207" s="1842"/>
      <c r="AJ207" s="1842"/>
      <c r="AK207" s="1843"/>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1852">
        <v>5</v>
      </c>
      <c r="D208" s="1853"/>
      <c r="E208" s="1853"/>
      <c r="F208" s="1853"/>
      <c r="G208" s="1854"/>
      <c r="H208" s="1854"/>
      <c r="I208" s="1854"/>
      <c r="J208" s="1854"/>
      <c r="K208" s="1854"/>
      <c r="L208" s="1854"/>
      <c r="M208" s="1854"/>
      <c r="N208" s="1854"/>
      <c r="O208" s="1854"/>
      <c r="P208" s="1855"/>
      <c r="Q208" s="1855"/>
      <c r="R208" s="1855"/>
      <c r="S208" s="1855"/>
      <c r="T208" s="1855"/>
      <c r="U208" s="1856" t="s">
        <v>1934</v>
      </c>
      <c r="V208" s="1856"/>
      <c r="W208" s="1856"/>
      <c r="X208" s="1856"/>
      <c r="Y208" s="1856"/>
      <c r="Z208" s="1856"/>
      <c r="AA208" s="1856"/>
      <c r="AB208" s="1856"/>
      <c r="AC208" s="1857" t="s">
        <v>1934</v>
      </c>
      <c r="AD208" s="1857"/>
      <c r="AE208" s="1857"/>
      <c r="AF208" s="1857"/>
      <c r="AG208" s="1841"/>
      <c r="AH208" s="1842"/>
      <c r="AI208" s="1842"/>
      <c r="AJ208" s="1842"/>
      <c r="AK208" s="1843"/>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1852">
        <v>6</v>
      </c>
      <c r="D209" s="1853"/>
      <c r="E209" s="1853"/>
      <c r="F209" s="1853"/>
      <c r="G209" s="1854" t="s">
        <v>1934</v>
      </c>
      <c r="H209" s="1854"/>
      <c r="I209" s="1854"/>
      <c r="J209" s="1854"/>
      <c r="K209" s="1854"/>
      <c r="L209" s="1854"/>
      <c r="M209" s="1854"/>
      <c r="N209" s="1854"/>
      <c r="O209" s="1854"/>
      <c r="P209" s="1855"/>
      <c r="Q209" s="1855"/>
      <c r="R209" s="1855"/>
      <c r="S209" s="1855"/>
      <c r="T209" s="1855"/>
      <c r="U209" s="1856"/>
      <c r="V209" s="1856"/>
      <c r="W209" s="1856"/>
      <c r="X209" s="1856"/>
      <c r="Y209" s="1856"/>
      <c r="Z209" s="1856"/>
      <c r="AA209" s="1856"/>
      <c r="AB209" s="1856"/>
      <c r="AC209" s="1857" t="s">
        <v>1934</v>
      </c>
      <c r="AD209" s="1857"/>
      <c r="AE209" s="1857"/>
      <c r="AF209" s="1857"/>
      <c r="AG209" s="1841"/>
      <c r="AH209" s="1842"/>
      <c r="AI209" s="1842"/>
      <c r="AJ209" s="1842"/>
      <c r="AK209" s="1843"/>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1852">
        <v>7</v>
      </c>
      <c r="D210" s="1853"/>
      <c r="E210" s="1853"/>
      <c r="F210" s="1853"/>
      <c r="G210" s="1854"/>
      <c r="H210" s="1854"/>
      <c r="I210" s="1854"/>
      <c r="J210" s="1854"/>
      <c r="K210" s="1854"/>
      <c r="L210" s="1854"/>
      <c r="M210" s="1854"/>
      <c r="N210" s="1854"/>
      <c r="O210" s="1854"/>
      <c r="P210" s="1855"/>
      <c r="Q210" s="1855"/>
      <c r="R210" s="1855"/>
      <c r="S210" s="1855"/>
      <c r="T210" s="1855"/>
      <c r="U210" s="1856"/>
      <c r="V210" s="1856"/>
      <c r="W210" s="1856"/>
      <c r="X210" s="1856"/>
      <c r="Y210" s="1856"/>
      <c r="Z210" s="1856"/>
      <c r="AA210" s="1856"/>
      <c r="AB210" s="1856"/>
      <c r="AC210" s="1857" t="s">
        <v>1934</v>
      </c>
      <c r="AD210" s="1857"/>
      <c r="AE210" s="1857"/>
      <c r="AF210" s="1857"/>
      <c r="AG210" s="1841"/>
      <c r="AH210" s="1842"/>
      <c r="AI210" s="1842"/>
      <c r="AJ210" s="1842"/>
      <c r="AK210" s="1843"/>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1844" t="s">
        <v>1935</v>
      </c>
      <c r="D211" s="1845"/>
      <c r="E211" s="1845"/>
      <c r="F211" s="1845"/>
      <c r="G211" s="1845"/>
      <c r="H211" s="1845"/>
      <c r="I211" s="1845"/>
      <c r="J211" s="1845"/>
      <c r="K211" s="1845"/>
      <c r="L211" s="1845"/>
      <c r="M211" s="1845"/>
      <c r="N211" s="1845"/>
      <c r="O211" s="1845"/>
      <c r="P211" s="1846"/>
      <c r="Q211" s="1846"/>
      <c r="R211" s="1846"/>
      <c r="S211" s="1846"/>
      <c r="T211" s="1846"/>
      <c r="U211" s="1847">
        <f>-SUM(U204:U210)</f>
        <v>-50557374</v>
      </c>
      <c r="V211" s="1847"/>
      <c r="W211" s="1847"/>
      <c r="X211" s="1847"/>
      <c r="Y211" s="1847">
        <f>-SUM(Y204:Y210)</f>
        <v>-2427888</v>
      </c>
      <c r="Z211" s="1847"/>
      <c r="AA211" s="1847"/>
      <c r="AB211" s="1847"/>
      <c r="AC211" s="1848">
        <f>-SUM(AC204:AC210)</f>
        <v>-1</v>
      </c>
      <c r="AD211" s="1848"/>
      <c r="AE211" s="1848"/>
      <c r="AF211" s="1848"/>
      <c r="AG211" s="1849"/>
      <c r="AH211" s="1850"/>
      <c r="AI211" s="1850"/>
      <c r="AJ211" s="1850"/>
      <c r="AK211" s="1851"/>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1936</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1828" t="s">
        <v>1937</v>
      </c>
      <c r="C216" s="1829"/>
      <c r="D216" s="1829"/>
      <c r="E216" s="1829"/>
      <c r="F216" s="1829"/>
      <c r="G216" s="1829"/>
      <c r="H216" s="1829"/>
      <c r="I216" s="1829"/>
      <c r="J216" s="1829"/>
      <c r="K216" s="1829"/>
      <c r="L216" s="1829"/>
      <c r="M216" s="1829"/>
      <c r="N216" s="1829"/>
      <c r="O216" s="1829"/>
      <c r="P216" s="1829"/>
      <c r="Q216" s="1829"/>
      <c r="R216" s="1829"/>
      <c r="S216" s="1829"/>
      <c r="T216" s="1829"/>
      <c r="U216" s="1829"/>
      <c r="V216" s="1829"/>
      <c r="W216" s="1829"/>
      <c r="X216" s="1829"/>
      <c r="Y216" s="1829"/>
      <c r="Z216" s="1829"/>
      <c r="AA216" s="1829"/>
      <c r="AB216" s="1829"/>
      <c r="AC216" s="1829"/>
      <c r="AD216" s="1829"/>
      <c r="AE216" s="1829"/>
      <c r="AF216" s="1829"/>
      <c r="AG216" s="1829"/>
      <c r="AH216" s="1829"/>
      <c r="AI216" s="1829"/>
      <c r="AJ216" s="1829"/>
      <c r="AK216" s="1829"/>
      <c r="AL216" s="1829"/>
      <c r="AM216" s="1829"/>
      <c r="AN216" s="1829"/>
      <c r="AO216" s="1829"/>
      <c r="AP216" s="1829"/>
      <c r="AQ216" s="1829"/>
      <c r="AR216" s="1829"/>
      <c r="AS216" s="1829"/>
      <c r="AT216" s="1829"/>
      <c r="AU216" s="1829"/>
      <c r="AV216" s="1829"/>
      <c r="AW216" s="1829"/>
      <c r="AX216" s="1829"/>
      <c r="AY216" s="1829"/>
      <c r="AZ216" s="1829"/>
      <c r="BA216" s="1829"/>
      <c r="BB216" s="1829"/>
      <c r="BC216" s="1829"/>
      <c r="BD216" s="1830"/>
      <c r="BE216" s="990"/>
    </row>
    <row r="217" spans="1:57" ht="15.75" customHeight="1">
      <c r="A217" s="987"/>
      <c r="B217" s="1831"/>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1832"/>
      <c r="AY217" s="1832"/>
      <c r="AZ217" s="1832"/>
      <c r="BA217" s="1832"/>
      <c r="BB217" s="1832"/>
      <c r="BC217" s="1832"/>
      <c r="BD217" s="1833"/>
      <c r="BE217" s="990"/>
    </row>
    <row r="218" spans="1:57" ht="15.75" customHeight="1">
      <c r="A218" s="987"/>
      <c r="B218" s="1834" t="s">
        <v>1938</v>
      </c>
      <c r="C218" s="1835"/>
      <c r="D218" s="1835"/>
      <c r="E218" s="1835"/>
      <c r="F218" s="1835"/>
      <c r="G218" s="1835"/>
      <c r="H218" s="1835"/>
      <c r="I218" s="1835"/>
      <c r="J218" s="1835"/>
      <c r="K218" s="1835"/>
      <c r="L218" s="1835"/>
      <c r="M218" s="1835"/>
      <c r="N218" s="1835"/>
      <c r="O218" s="1835"/>
      <c r="P218" s="1835"/>
      <c r="Q218" s="1835"/>
      <c r="R218" s="1835"/>
      <c r="S218" s="1835"/>
      <c r="T218" s="1835"/>
      <c r="U218" s="1835"/>
      <c r="V218" s="1835"/>
      <c r="W218" s="1835"/>
      <c r="X218" s="1835"/>
      <c r="Y218" s="1835"/>
      <c r="Z218" s="1835"/>
      <c r="AA218" s="1835"/>
      <c r="AB218" s="1835"/>
      <c r="AC218" s="1835"/>
      <c r="AD218" s="1835"/>
      <c r="AE218" s="1835"/>
      <c r="AF218" s="1835"/>
      <c r="AG218" s="1835"/>
      <c r="AH218" s="1835"/>
      <c r="AI218" s="1835"/>
      <c r="AJ218" s="1835"/>
      <c r="AK218" s="1835"/>
      <c r="AL218" s="1835"/>
      <c r="AM218" s="1835"/>
      <c r="AN218" s="1835"/>
      <c r="AO218" s="1835"/>
      <c r="AP218" s="1835"/>
      <c r="AQ218" s="1835"/>
      <c r="AR218" s="1835"/>
      <c r="AS218" s="1835"/>
      <c r="AT218" s="1835"/>
      <c r="AU218" s="1835"/>
      <c r="AV218" s="1835"/>
      <c r="AW218" s="1835"/>
      <c r="AX218" s="1835"/>
      <c r="AY218" s="1835"/>
      <c r="AZ218" s="1835"/>
      <c r="BA218" s="1835"/>
      <c r="BB218" s="1835"/>
      <c r="BC218" s="1835"/>
      <c r="BD218" s="1836"/>
      <c r="BE218" s="990"/>
    </row>
    <row r="219" spans="1:57" ht="15.75" customHeight="1">
      <c r="A219" s="987"/>
      <c r="B219" s="1834" t="s">
        <v>1939</v>
      </c>
      <c r="C219" s="1835"/>
      <c r="D219" s="1835"/>
      <c r="E219" s="1835"/>
      <c r="F219" s="1835"/>
      <c r="G219" s="1835"/>
      <c r="H219" s="1835"/>
      <c r="I219" s="1835"/>
      <c r="J219" s="1835"/>
      <c r="K219" s="1835"/>
      <c r="L219" s="1835"/>
      <c r="M219" s="1835"/>
      <c r="N219" s="1835"/>
      <c r="O219" s="1835"/>
      <c r="P219" s="1835"/>
      <c r="Q219" s="1835"/>
      <c r="R219" s="1835"/>
      <c r="S219" s="1835"/>
      <c r="T219" s="1835"/>
      <c r="U219" s="1835"/>
      <c r="V219" s="1835"/>
      <c r="W219" s="1835"/>
      <c r="X219" s="1835"/>
      <c r="Y219" s="1835"/>
      <c r="Z219" s="1835"/>
      <c r="AA219" s="1835"/>
      <c r="AB219" s="1835"/>
      <c r="AC219" s="1835"/>
      <c r="AD219" s="1835"/>
      <c r="AE219" s="1835"/>
      <c r="AF219" s="1835"/>
      <c r="AG219" s="1835"/>
      <c r="AH219" s="1835"/>
      <c r="AI219" s="1835"/>
      <c r="AJ219" s="1835"/>
      <c r="AK219" s="1835"/>
      <c r="AL219" s="1835"/>
      <c r="AM219" s="1835"/>
      <c r="AN219" s="1835"/>
      <c r="AO219" s="1835"/>
      <c r="AP219" s="1835"/>
      <c r="AQ219" s="1835"/>
      <c r="AR219" s="1835"/>
      <c r="AS219" s="1835"/>
      <c r="AT219" s="1835"/>
      <c r="AU219" s="1835"/>
      <c r="AV219" s="1835"/>
      <c r="AW219" s="1835"/>
      <c r="AX219" s="1835"/>
      <c r="AY219" s="1835"/>
      <c r="AZ219" s="1835"/>
      <c r="BA219" s="1835"/>
      <c r="BB219" s="1835"/>
      <c r="BC219" s="1835"/>
      <c r="BD219" s="1836"/>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1837" t="s">
        <v>1940</v>
      </c>
      <c r="C221" s="1838"/>
      <c r="D221" s="1838"/>
      <c r="E221" s="1838"/>
      <c r="F221" s="1838"/>
      <c r="G221" s="1838"/>
      <c r="H221" s="1838"/>
      <c r="I221" s="1838"/>
      <c r="J221" s="1838"/>
      <c r="K221" s="1838"/>
      <c r="L221" s="1838"/>
      <c r="M221" s="1838"/>
      <c r="N221" s="1838"/>
      <c r="O221" s="1838"/>
      <c r="P221" s="1838"/>
      <c r="Q221" s="1838"/>
      <c r="R221" s="1838"/>
      <c r="S221" s="1838"/>
      <c r="T221" s="1838"/>
      <c r="U221" s="1838"/>
      <c r="V221" s="1838"/>
      <c r="W221" s="1838"/>
      <c r="X221" s="1838"/>
      <c r="Y221" s="1838"/>
      <c r="Z221" s="1838"/>
      <c r="AA221" s="1838"/>
      <c r="AB221" s="1838"/>
      <c r="AC221" s="1838"/>
      <c r="AD221" s="1838"/>
      <c r="AE221" s="1838"/>
      <c r="AF221" s="1838"/>
      <c r="AG221" s="1838"/>
      <c r="AH221" s="1838"/>
      <c r="AI221" s="1838"/>
      <c r="AJ221" s="1838"/>
      <c r="AK221" s="1838"/>
      <c r="AL221" s="1838"/>
      <c r="AM221" s="1838"/>
      <c r="AN221" s="1838"/>
      <c r="AO221" s="1838"/>
      <c r="AP221" s="1838"/>
      <c r="AQ221" s="1838"/>
      <c r="AR221" s="1838"/>
      <c r="AS221" s="1838"/>
      <c r="AT221" s="1838"/>
      <c r="AU221" s="1838"/>
      <c r="AV221" s="1838"/>
      <c r="AW221" s="1838"/>
      <c r="AX221" s="1838"/>
      <c r="AY221" s="1838"/>
      <c r="AZ221" s="1838"/>
      <c r="BA221" s="1838"/>
      <c r="BB221" s="1838"/>
      <c r="BC221" s="1838"/>
      <c r="BD221" s="1839"/>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1941</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1840" t="s">
        <v>1942</v>
      </c>
      <c r="I225" s="1840"/>
      <c r="J225" s="1840"/>
      <c r="K225" s="1840"/>
      <c r="L225" s="1840"/>
      <c r="M225" s="1840"/>
      <c r="N225" s="1840"/>
      <c r="O225" s="1840"/>
      <c r="P225" s="1840"/>
      <c r="Q225" s="1840"/>
      <c r="R225" s="1840"/>
      <c r="S225" s="1840"/>
      <c r="T225" s="1840"/>
      <c r="U225" s="1840"/>
      <c r="V225" s="1840"/>
      <c r="W225" s="1840"/>
      <c r="X225" s="1840"/>
      <c r="Y225" s="1840"/>
      <c r="Z225" s="1840"/>
      <c r="AA225" s="1840"/>
      <c r="AB225" s="1840"/>
      <c r="AC225" s="1840"/>
      <c r="AD225" s="1840"/>
      <c r="AE225" s="1840"/>
      <c r="AF225" s="1840"/>
      <c r="AG225" s="1840"/>
      <c r="AH225" s="1840"/>
      <c r="AI225" s="1840"/>
      <c r="AJ225" s="1840"/>
      <c r="AK225" s="1840"/>
      <c r="AL225" s="1840"/>
      <c r="AM225" s="1840"/>
      <c r="AN225" s="1840"/>
      <c r="AO225" s="1840"/>
      <c r="AP225" s="1840"/>
      <c r="AQ225" s="1840"/>
      <c r="AR225" s="1840"/>
      <c r="AS225" s="1840"/>
      <c r="AT225" s="1840"/>
      <c r="AU225" s="1840"/>
      <c r="AV225" s="1840"/>
      <c r="AW225" s="1840"/>
      <c r="AX225" s="1840"/>
      <c r="AY225" s="1840"/>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1823" t="s">
        <v>1943</v>
      </c>
      <c r="I227" s="1823"/>
      <c r="J227" s="1823"/>
      <c r="K227" s="1823"/>
      <c r="L227" s="1823"/>
      <c r="M227" s="1823"/>
      <c r="N227" s="1823"/>
      <c r="O227" s="1823"/>
      <c r="P227" s="1823"/>
      <c r="Q227" s="1823"/>
      <c r="R227" s="1823"/>
      <c r="S227" s="1823"/>
      <c r="T227" s="1823"/>
      <c r="U227" s="1823"/>
      <c r="V227" s="1823"/>
      <c r="W227" s="1823"/>
      <c r="X227" s="1823"/>
      <c r="Y227" s="1823"/>
      <c r="Z227" s="1823"/>
      <c r="AA227" s="1823"/>
      <c r="AB227" s="1823"/>
      <c r="AC227" s="1823"/>
      <c r="AD227" s="1823"/>
      <c r="AE227" s="1823"/>
      <c r="AF227" s="1823"/>
      <c r="AG227" s="1823"/>
      <c r="AH227" s="1823"/>
      <c r="AI227" s="1823"/>
      <c r="AJ227" s="1823"/>
      <c r="AK227" s="1823"/>
      <c r="AL227" s="1823"/>
      <c r="AM227" s="1823"/>
      <c r="AN227" s="1823"/>
      <c r="AO227" s="1823"/>
      <c r="AP227" s="1823"/>
      <c r="AQ227" s="1823"/>
      <c r="AR227" s="1823"/>
      <c r="AS227" s="1823"/>
      <c r="AT227" s="1823"/>
      <c r="AU227" s="1823"/>
      <c r="AV227" s="1823"/>
      <c r="AW227" s="1823"/>
      <c r="AX227" s="1823"/>
      <c r="AY227" s="1823"/>
      <c r="AZ227" s="1823"/>
      <c r="BA227" s="987"/>
      <c r="BB227" s="987"/>
      <c r="BC227" s="987"/>
      <c r="BD227" s="990"/>
      <c r="BE227" s="990"/>
    </row>
    <row r="228" spans="1:57" ht="15.75" customHeight="1">
      <c r="A228" s="987"/>
      <c r="B228" s="986"/>
      <c r="C228" s="987"/>
      <c r="D228" s="987"/>
      <c r="E228" s="987"/>
      <c r="F228" s="987"/>
      <c r="G228" s="987"/>
      <c r="H228" s="1823"/>
      <c r="I228" s="1823"/>
      <c r="J228" s="1823"/>
      <c r="K228" s="1823"/>
      <c r="L228" s="1823"/>
      <c r="M228" s="1823"/>
      <c r="N228" s="1823"/>
      <c r="O228" s="1823"/>
      <c r="P228" s="1823"/>
      <c r="Q228" s="1823"/>
      <c r="R228" s="1823"/>
      <c r="S228" s="1823"/>
      <c r="T228" s="1823"/>
      <c r="U228" s="1823"/>
      <c r="V228" s="1823"/>
      <c r="W228" s="1823"/>
      <c r="X228" s="1823"/>
      <c r="Y228" s="1823"/>
      <c r="Z228" s="1823"/>
      <c r="AA228" s="1823"/>
      <c r="AB228" s="1823"/>
      <c r="AC228" s="1823"/>
      <c r="AD228" s="1823"/>
      <c r="AE228" s="1823"/>
      <c r="AF228" s="1823"/>
      <c r="AG228" s="1823"/>
      <c r="AH228" s="1823"/>
      <c r="AI228" s="1823"/>
      <c r="AJ228" s="1823"/>
      <c r="AK228" s="1823"/>
      <c r="AL228" s="1823"/>
      <c r="AM228" s="1823"/>
      <c r="AN228" s="1823"/>
      <c r="AO228" s="1823"/>
      <c r="AP228" s="1823"/>
      <c r="AQ228" s="1823"/>
      <c r="AR228" s="1823"/>
      <c r="AS228" s="1823"/>
      <c r="AT228" s="1823"/>
      <c r="AU228" s="1823"/>
      <c r="AV228" s="1823"/>
      <c r="AW228" s="1823"/>
      <c r="AX228" s="1823"/>
      <c r="AY228" s="1823"/>
      <c r="AZ228" s="1823"/>
      <c r="BA228" s="987"/>
      <c r="BB228" s="987"/>
      <c r="BC228" s="987"/>
      <c r="BD228" s="990"/>
      <c r="BE228" s="990"/>
    </row>
    <row r="229" spans="1:57" ht="15.75" customHeight="1">
      <c r="A229" s="987"/>
      <c r="B229" s="986"/>
      <c r="C229" s="987"/>
      <c r="D229" s="987"/>
      <c r="E229" s="987"/>
      <c r="F229" s="987"/>
      <c r="G229" s="987"/>
      <c r="H229" s="1823"/>
      <c r="I229" s="1823"/>
      <c r="J229" s="1823"/>
      <c r="K229" s="1823"/>
      <c r="L229" s="1823"/>
      <c r="M229" s="1823"/>
      <c r="N229" s="1823"/>
      <c r="O229" s="1823"/>
      <c r="P229" s="1823"/>
      <c r="Q229" s="1823"/>
      <c r="R229" s="1823"/>
      <c r="S229" s="1823"/>
      <c r="T229" s="1823"/>
      <c r="U229" s="1823"/>
      <c r="V229" s="1823"/>
      <c r="W229" s="1823"/>
      <c r="X229" s="1823"/>
      <c r="Y229" s="1823"/>
      <c r="Z229" s="1823"/>
      <c r="AA229" s="1823"/>
      <c r="AB229" s="1823"/>
      <c r="AC229" s="1823"/>
      <c r="AD229" s="1823"/>
      <c r="AE229" s="1823"/>
      <c r="AF229" s="1823"/>
      <c r="AG229" s="1823"/>
      <c r="AH229" s="1823"/>
      <c r="AI229" s="1823"/>
      <c r="AJ229" s="1823"/>
      <c r="AK229" s="1823"/>
      <c r="AL229" s="1823"/>
      <c r="AM229" s="1823"/>
      <c r="AN229" s="1823"/>
      <c r="AO229" s="1823"/>
      <c r="AP229" s="1823"/>
      <c r="AQ229" s="1823"/>
      <c r="AR229" s="1823"/>
      <c r="AS229" s="1823"/>
      <c r="AT229" s="1823"/>
      <c r="AU229" s="1823"/>
      <c r="AV229" s="1823"/>
      <c r="AW229" s="1823"/>
      <c r="AX229" s="1823"/>
      <c r="AY229" s="1823"/>
      <c r="AZ229" s="1823"/>
      <c r="BA229" s="987"/>
      <c r="BB229" s="987"/>
      <c r="BC229" s="987"/>
      <c r="BD229" s="990"/>
      <c r="BE229" s="990"/>
    </row>
    <row r="230" spans="1:57" ht="15.75" customHeight="1">
      <c r="A230" s="987"/>
      <c r="B230" s="986"/>
      <c r="C230" s="987"/>
      <c r="D230" s="987"/>
      <c r="E230" s="987"/>
      <c r="F230" s="987"/>
      <c r="G230" s="987"/>
      <c r="H230" s="1823"/>
      <c r="I230" s="1823"/>
      <c r="J230" s="1823"/>
      <c r="K230" s="1823"/>
      <c r="L230" s="1823"/>
      <c r="M230" s="1823"/>
      <c r="N230" s="1823"/>
      <c r="O230" s="1823"/>
      <c r="P230" s="1823"/>
      <c r="Q230" s="1823"/>
      <c r="R230" s="1823"/>
      <c r="S230" s="1823"/>
      <c r="T230" s="1823"/>
      <c r="U230" s="1823"/>
      <c r="V230" s="1823"/>
      <c r="W230" s="1823"/>
      <c r="X230" s="1823"/>
      <c r="Y230" s="1823"/>
      <c r="Z230" s="1823"/>
      <c r="AA230" s="1823"/>
      <c r="AB230" s="1823"/>
      <c r="AC230" s="1823"/>
      <c r="AD230" s="1823"/>
      <c r="AE230" s="1823"/>
      <c r="AF230" s="1823"/>
      <c r="AG230" s="1823"/>
      <c r="AH230" s="1823"/>
      <c r="AI230" s="1823"/>
      <c r="AJ230" s="1823"/>
      <c r="AK230" s="1823"/>
      <c r="AL230" s="1823"/>
      <c r="AM230" s="1823"/>
      <c r="AN230" s="1823"/>
      <c r="AO230" s="1823"/>
      <c r="AP230" s="1823"/>
      <c r="AQ230" s="1823"/>
      <c r="AR230" s="1823"/>
      <c r="AS230" s="1823"/>
      <c r="AT230" s="1823"/>
      <c r="AU230" s="1823"/>
      <c r="AV230" s="1823"/>
      <c r="AW230" s="1823"/>
      <c r="AX230" s="1823"/>
      <c r="AY230" s="1823"/>
      <c r="AZ230" s="1823"/>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1824" t="s">
        <v>1944</v>
      </c>
      <c r="I232" s="1824"/>
      <c r="J232" s="1824"/>
      <c r="K232" s="1824"/>
      <c r="L232" s="1824"/>
      <c r="M232" s="1824"/>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L232" s="1824"/>
      <c r="AM232" s="1824"/>
      <c r="AN232" s="1824"/>
      <c r="AO232" s="1824"/>
      <c r="AP232" s="1824"/>
      <c r="AQ232" s="1824"/>
      <c r="AR232" s="1824"/>
      <c r="AS232" s="1824"/>
      <c r="AT232" s="1824"/>
      <c r="AU232" s="1824"/>
      <c r="AV232" s="1824"/>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1813" t="s">
        <v>1945</v>
      </c>
      <c r="I234" s="1813"/>
      <c r="J234" s="1813"/>
      <c r="K234" s="1813"/>
      <c r="L234" s="1032"/>
      <c r="M234" s="1032"/>
      <c r="N234" s="1032"/>
      <c r="O234" s="1032"/>
      <c r="P234" s="1032"/>
      <c r="Q234" s="1032"/>
      <c r="R234" s="1032"/>
      <c r="S234" s="1825"/>
      <c r="T234" s="1826"/>
      <c r="U234" s="1826"/>
      <c r="V234" s="1826"/>
      <c r="W234" s="1826"/>
      <c r="X234" s="1826"/>
      <c r="Y234" s="1826"/>
      <c r="Z234" s="1826"/>
      <c r="AA234" s="1826"/>
      <c r="AB234" s="1826"/>
      <c r="AC234" s="1826"/>
      <c r="AD234" s="1826"/>
      <c r="AE234" s="1826"/>
      <c r="AF234" s="1826"/>
      <c r="AG234" s="1826"/>
      <c r="AH234" s="1826"/>
      <c r="AI234" s="1826"/>
      <c r="AJ234" s="1827"/>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1813" t="s">
        <v>1851</v>
      </c>
      <c r="I236" s="1813"/>
      <c r="J236" s="1813"/>
      <c r="K236" s="1034"/>
      <c r="L236" s="1032"/>
      <c r="M236" s="1032"/>
      <c r="N236" s="1032"/>
      <c r="O236" s="1032"/>
      <c r="P236" s="1032"/>
      <c r="Q236" s="1032"/>
      <c r="R236" s="1032"/>
      <c r="S236" s="1814" t="s">
        <v>2740</v>
      </c>
      <c r="T236" s="1815"/>
      <c r="U236" s="1815"/>
      <c r="V236" s="1815"/>
      <c r="W236" s="1815"/>
      <c r="X236" s="1815"/>
      <c r="Y236" s="1815"/>
      <c r="Z236" s="1815"/>
      <c r="AA236" s="1815"/>
      <c r="AB236" s="1815"/>
      <c r="AC236" s="1815"/>
      <c r="AD236" s="1815"/>
      <c r="AE236" s="1815"/>
      <c r="AF236" s="1815"/>
      <c r="AG236" s="1815"/>
      <c r="AH236" s="1815"/>
      <c r="AI236" s="1815"/>
      <c r="AJ236" s="1816"/>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1813" t="s">
        <v>814</v>
      </c>
      <c r="I238" s="1813"/>
      <c r="J238" s="1034"/>
      <c r="K238" s="1034"/>
      <c r="L238" s="1032"/>
      <c r="M238" s="1032"/>
      <c r="N238" s="1032"/>
      <c r="O238" s="1032"/>
      <c r="P238" s="1032"/>
      <c r="Q238" s="1032"/>
      <c r="R238" s="1032"/>
      <c r="S238" s="1814" t="s">
        <v>2776</v>
      </c>
      <c r="T238" s="1815"/>
      <c r="U238" s="1815"/>
      <c r="V238" s="1815"/>
      <c r="W238" s="1815"/>
      <c r="X238" s="1815"/>
      <c r="Y238" s="1815"/>
      <c r="Z238" s="1815"/>
      <c r="AA238" s="1815"/>
      <c r="AB238" s="1815"/>
      <c r="AC238" s="1815"/>
      <c r="AD238" s="1815"/>
      <c r="AE238" s="1815"/>
      <c r="AF238" s="1815"/>
      <c r="AG238" s="1815"/>
      <c r="AH238" s="1815"/>
      <c r="AI238" s="1815"/>
      <c r="AJ238" s="1816"/>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1817" t="s">
        <v>1946</v>
      </c>
      <c r="I240" s="1817"/>
      <c r="J240" s="1817"/>
      <c r="K240" s="1817"/>
      <c r="L240" s="1817"/>
      <c r="M240" s="1817"/>
      <c r="N240" s="1817"/>
      <c r="O240" s="1817"/>
      <c r="P240" s="1032"/>
      <c r="Q240" s="1032"/>
      <c r="R240" s="1032"/>
      <c r="S240" s="1818" t="s">
        <v>2777</v>
      </c>
      <c r="T240" s="1815"/>
      <c r="U240" s="1815"/>
      <c r="V240" s="1815"/>
      <c r="W240" s="1815"/>
      <c r="X240" s="1815"/>
      <c r="Y240" s="1815"/>
      <c r="Z240" s="1815"/>
      <c r="AA240" s="1815"/>
      <c r="AB240" s="1815"/>
      <c r="AC240" s="1815"/>
      <c r="AD240" s="1815"/>
      <c r="AE240" s="1815"/>
      <c r="AF240" s="1815"/>
      <c r="AG240" s="1815"/>
      <c r="AH240" s="1815"/>
      <c r="AI240" s="1815"/>
      <c r="AJ240" s="1816"/>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1819" t="s">
        <v>1947</v>
      </c>
      <c r="I242" s="1819"/>
      <c r="J242" s="1032"/>
      <c r="K242" s="1032"/>
      <c r="L242" s="1032"/>
      <c r="M242" s="1032"/>
      <c r="N242" s="1032"/>
      <c r="O242" s="1032"/>
      <c r="P242" s="1032"/>
      <c r="Q242" s="1032"/>
      <c r="R242" s="1032"/>
      <c r="S242" s="1820">
        <v>46079</v>
      </c>
      <c r="T242" s="1821"/>
      <c r="U242" s="1821"/>
      <c r="V242" s="1821"/>
      <c r="W242" s="1821"/>
      <c r="X242" s="1821"/>
      <c r="Y242" s="1821"/>
      <c r="Z242" s="1821"/>
      <c r="AA242" s="1821"/>
      <c r="AB242" s="1821"/>
      <c r="AC242" s="1821"/>
      <c r="AD242" s="1821"/>
      <c r="AE242" s="1821"/>
      <c r="AF242" s="1821"/>
      <c r="AG242" s="1821"/>
      <c r="AH242" s="1821"/>
      <c r="AI242" s="1821"/>
      <c r="AJ242" s="1822"/>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AG205:AK205"/>
    <mergeCell ref="C204:F204"/>
    <mergeCell ref="G204:O204"/>
    <mergeCell ref="P204:T204"/>
    <mergeCell ref="U204:X204"/>
    <mergeCell ref="Y205:AB205"/>
    <mergeCell ref="AC205:AF205"/>
    <mergeCell ref="Y204:AB204"/>
    <mergeCell ref="AC204:AF204"/>
    <mergeCell ref="AG206:AK206"/>
    <mergeCell ref="C207:F207"/>
    <mergeCell ref="G207:O207"/>
    <mergeCell ref="P207:T207"/>
    <mergeCell ref="U207:X207"/>
    <mergeCell ref="AG207:AK207"/>
    <mergeCell ref="C206:F206"/>
    <mergeCell ref="G206:O206"/>
    <mergeCell ref="P206:T206"/>
    <mergeCell ref="U206:X206"/>
    <mergeCell ref="Y207:AB207"/>
    <mergeCell ref="AC207:AF207"/>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140" zoomScaleNormal="140" workbookViewId="0">
      <selection activeCell="AB51" sqref="AB51"/>
    </sheetView>
  </sheetViews>
  <sheetFormatPr defaultColWidth="0" defaultRowHeight="13.15" customHeight="1" zeroHeight="1"/>
  <cols>
    <col min="1" max="1" width="1.42578125" style="273" customWidth="1"/>
    <col min="2" max="2" width="0.85546875" style="273" customWidth="1"/>
    <col min="3" max="18" width="2.42578125" style="273" customWidth="1"/>
    <col min="19" max="19" width="6.28515625" style="273" customWidth="1"/>
    <col min="20" max="39" width="2.7109375" style="273" customWidth="1"/>
    <col min="40" max="40" width="1.42578125" style="273" customWidth="1"/>
    <col min="41" max="256" width="2.42578125" style="273" hidden="1"/>
    <col min="257" max="257" width="1.42578125" style="273" hidden="1" customWidth="1"/>
    <col min="258" max="258" width="0.85546875" style="273" hidden="1" customWidth="1"/>
    <col min="259" max="274" width="2.42578125" style="273" hidden="1" customWidth="1"/>
    <col min="275" max="275" width="4" style="273" hidden="1" customWidth="1"/>
    <col min="276" max="295" width="2.42578125" style="273" hidden="1" customWidth="1"/>
    <col min="296" max="296" width="1.42578125" style="273" hidden="1" customWidth="1"/>
    <col min="297" max="512" width="2.42578125" style="273" hidden="1"/>
    <col min="513" max="513" width="1.42578125" style="273" hidden="1" customWidth="1"/>
    <col min="514" max="514" width="0.85546875" style="273" hidden="1" customWidth="1"/>
    <col min="515" max="530" width="2.42578125" style="273" hidden="1" customWidth="1"/>
    <col min="531" max="531" width="4" style="273" hidden="1" customWidth="1"/>
    <col min="532" max="551" width="2.42578125" style="273" hidden="1" customWidth="1"/>
    <col min="552" max="552" width="1.42578125" style="273" hidden="1" customWidth="1"/>
    <col min="553" max="768" width="2.42578125" style="273" hidden="1"/>
    <col min="769" max="769" width="1.42578125" style="273" hidden="1" customWidth="1"/>
    <col min="770" max="770" width="0.85546875" style="273" hidden="1" customWidth="1"/>
    <col min="771" max="786" width="2.42578125" style="273" hidden="1" customWidth="1"/>
    <col min="787" max="787" width="4" style="273" hidden="1" customWidth="1"/>
    <col min="788" max="807" width="2.42578125" style="273" hidden="1" customWidth="1"/>
    <col min="808" max="808" width="1.42578125" style="273" hidden="1" customWidth="1"/>
    <col min="809" max="1024" width="2.42578125" style="273" hidden="1"/>
    <col min="1025" max="1025" width="1.42578125" style="273" hidden="1" customWidth="1"/>
    <col min="1026" max="1026" width="0.85546875" style="273" hidden="1" customWidth="1"/>
    <col min="1027" max="1042" width="2.42578125" style="273" hidden="1" customWidth="1"/>
    <col min="1043" max="1043" width="4" style="273" hidden="1" customWidth="1"/>
    <col min="1044" max="1063" width="2.42578125" style="273" hidden="1" customWidth="1"/>
    <col min="1064" max="1064" width="1.42578125" style="273" hidden="1" customWidth="1"/>
    <col min="1065" max="1280" width="2.42578125" style="273" hidden="1"/>
    <col min="1281" max="1281" width="1.42578125" style="273" hidden="1" customWidth="1"/>
    <col min="1282" max="1282" width="0.85546875" style="273" hidden="1" customWidth="1"/>
    <col min="1283" max="1298" width="2.42578125" style="273" hidden="1" customWidth="1"/>
    <col min="1299" max="1299" width="4" style="273" hidden="1" customWidth="1"/>
    <col min="1300" max="1319" width="2.42578125" style="273" hidden="1" customWidth="1"/>
    <col min="1320" max="1320" width="1.42578125" style="273" hidden="1" customWidth="1"/>
    <col min="1321" max="1536" width="2.42578125" style="273" hidden="1"/>
    <col min="1537" max="1537" width="1.42578125" style="273" hidden="1" customWidth="1"/>
    <col min="1538" max="1538" width="0.85546875" style="273" hidden="1" customWidth="1"/>
    <col min="1539" max="1554" width="2.42578125" style="273" hidden="1" customWidth="1"/>
    <col min="1555" max="1555" width="4" style="273" hidden="1" customWidth="1"/>
    <col min="1556" max="1575" width="2.42578125" style="273" hidden="1" customWidth="1"/>
    <col min="1576" max="1576" width="1.42578125" style="273" hidden="1" customWidth="1"/>
    <col min="1577" max="1792" width="2.42578125" style="273" hidden="1"/>
    <col min="1793" max="1793" width="1.42578125" style="273" hidden="1" customWidth="1"/>
    <col min="1794" max="1794" width="0.85546875" style="273" hidden="1" customWidth="1"/>
    <col min="1795" max="1810" width="2.42578125" style="273" hidden="1" customWidth="1"/>
    <col min="1811" max="1811" width="4" style="273" hidden="1" customWidth="1"/>
    <col min="1812" max="1831" width="2.42578125" style="273" hidden="1" customWidth="1"/>
    <col min="1832" max="1832" width="1.42578125" style="273" hidden="1" customWidth="1"/>
    <col min="1833" max="2048" width="2.42578125" style="273" hidden="1"/>
    <col min="2049" max="2049" width="1.42578125" style="273" hidden="1" customWidth="1"/>
    <col min="2050" max="2050" width="0.85546875" style="273" hidden="1" customWidth="1"/>
    <col min="2051" max="2066" width="2.42578125" style="273" hidden="1" customWidth="1"/>
    <col min="2067" max="2067" width="4" style="273" hidden="1" customWidth="1"/>
    <col min="2068" max="2087" width="2.42578125" style="273" hidden="1" customWidth="1"/>
    <col min="2088" max="2088" width="1.42578125" style="273" hidden="1" customWidth="1"/>
    <col min="2089" max="2304" width="2.42578125" style="273" hidden="1"/>
    <col min="2305" max="2305" width="1.42578125" style="273" hidden="1" customWidth="1"/>
    <col min="2306" max="2306" width="0.85546875" style="273" hidden="1" customWidth="1"/>
    <col min="2307" max="2322" width="2.42578125" style="273" hidden="1" customWidth="1"/>
    <col min="2323" max="2323" width="4" style="273" hidden="1" customWidth="1"/>
    <col min="2324" max="2343" width="2.42578125" style="273" hidden="1" customWidth="1"/>
    <col min="2344" max="2344" width="1.42578125" style="273" hidden="1" customWidth="1"/>
    <col min="2345" max="2560" width="2.42578125" style="273" hidden="1"/>
    <col min="2561" max="2561" width="1.42578125" style="273" hidden="1" customWidth="1"/>
    <col min="2562" max="2562" width="0.85546875" style="273" hidden="1" customWidth="1"/>
    <col min="2563" max="2578" width="2.42578125" style="273" hidden="1" customWidth="1"/>
    <col min="2579" max="2579" width="4" style="273" hidden="1" customWidth="1"/>
    <col min="2580" max="2599" width="2.42578125" style="273" hidden="1" customWidth="1"/>
    <col min="2600" max="2600" width="1.42578125" style="273" hidden="1" customWidth="1"/>
    <col min="2601" max="2816" width="2.42578125" style="273" hidden="1"/>
    <col min="2817" max="2817" width="1.42578125" style="273" hidden="1" customWidth="1"/>
    <col min="2818" max="2818" width="0.85546875" style="273" hidden="1" customWidth="1"/>
    <col min="2819" max="2834" width="2.42578125" style="273" hidden="1" customWidth="1"/>
    <col min="2835" max="2835" width="4" style="273" hidden="1" customWidth="1"/>
    <col min="2836" max="2855" width="2.42578125" style="273" hidden="1" customWidth="1"/>
    <col min="2856" max="2856" width="1.42578125" style="273" hidden="1" customWidth="1"/>
    <col min="2857" max="3072" width="2.42578125" style="273" hidden="1"/>
    <col min="3073" max="3073" width="1.42578125" style="273" hidden="1" customWidth="1"/>
    <col min="3074" max="3074" width="0.85546875" style="273" hidden="1" customWidth="1"/>
    <col min="3075" max="3090" width="2.42578125" style="273" hidden="1" customWidth="1"/>
    <col min="3091" max="3091" width="4" style="273" hidden="1" customWidth="1"/>
    <col min="3092" max="3111" width="2.42578125" style="273" hidden="1" customWidth="1"/>
    <col min="3112" max="3112" width="1.42578125" style="273" hidden="1" customWidth="1"/>
    <col min="3113" max="3328" width="2.42578125" style="273" hidden="1"/>
    <col min="3329" max="3329" width="1.42578125" style="273" hidden="1" customWidth="1"/>
    <col min="3330" max="3330" width="0.85546875" style="273" hidden="1" customWidth="1"/>
    <col min="3331" max="3346" width="2.42578125" style="273" hidden="1" customWidth="1"/>
    <col min="3347" max="3347" width="4" style="273" hidden="1" customWidth="1"/>
    <col min="3348" max="3367" width="2.42578125" style="273" hidden="1" customWidth="1"/>
    <col min="3368" max="3368" width="1.42578125" style="273" hidden="1" customWidth="1"/>
    <col min="3369" max="3584" width="2.42578125" style="273" hidden="1"/>
    <col min="3585" max="3585" width="1.42578125" style="273" hidden="1" customWidth="1"/>
    <col min="3586" max="3586" width="0.85546875" style="273" hidden="1" customWidth="1"/>
    <col min="3587" max="3602" width="2.42578125" style="273" hidden="1" customWidth="1"/>
    <col min="3603" max="3603" width="4" style="273" hidden="1" customWidth="1"/>
    <col min="3604" max="3623" width="2.42578125" style="273" hidden="1" customWidth="1"/>
    <col min="3624" max="3624" width="1.42578125" style="273" hidden="1" customWidth="1"/>
    <col min="3625" max="3840" width="2.42578125" style="273" hidden="1"/>
    <col min="3841" max="3841" width="1.42578125" style="273" hidden="1" customWidth="1"/>
    <col min="3842" max="3842" width="0.85546875" style="273" hidden="1" customWidth="1"/>
    <col min="3843" max="3858" width="2.42578125" style="273" hidden="1" customWidth="1"/>
    <col min="3859" max="3859" width="4" style="273" hidden="1" customWidth="1"/>
    <col min="3860" max="3879" width="2.42578125" style="273" hidden="1" customWidth="1"/>
    <col min="3880" max="3880" width="1.42578125" style="273" hidden="1" customWidth="1"/>
    <col min="3881" max="4096" width="2.42578125" style="273" hidden="1"/>
    <col min="4097" max="4097" width="1.42578125" style="273" hidden="1" customWidth="1"/>
    <col min="4098" max="4098" width="0.85546875" style="273" hidden="1" customWidth="1"/>
    <col min="4099" max="4114" width="2.42578125" style="273" hidden="1" customWidth="1"/>
    <col min="4115" max="4115" width="4" style="273" hidden="1" customWidth="1"/>
    <col min="4116" max="4135" width="2.42578125" style="273" hidden="1" customWidth="1"/>
    <col min="4136" max="4136" width="1.42578125" style="273" hidden="1" customWidth="1"/>
    <col min="4137" max="4352" width="2.42578125" style="273" hidden="1"/>
    <col min="4353" max="4353" width="1.42578125" style="273" hidden="1" customWidth="1"/>
    <col min="4354" max="4354" width="0.85546875" style="273" hidden="1" customWidth="1"/>
    <col min="4355" max="4370" width="2.42578125" style="273" hidden="1" customWidth="1"/>
    <col min="4371" max="4371" width="4" style="273" hidden="1" customWidth="1"/>
    <col min="4372" max="4391" width="2.42578125" style="273" hidden="1" customWidth="1"/>
    <col min="4392" max="4392" width="1.42578125" style="273" hidden="1" customWidth="1"/>
    <col min="4393" max="4608" width="2.42578125" style="273" hidden="1"/>
    <col min="4609" max="4609" width="1.42578125" style="273" hidden="1" customWidth="1"/>
    <col min="4610" max="4610" width="0.85546875" style="273" hidden="1" customWidth="1"/>
    <col min="4611" max="4626" width="2.42578125" style="273" hidden="1" customWidth="1"/>
    <col min="4627" max="4627" width="4" style="273" hidden="1" customWidth="1"/>
    <col min="4628" max="4647" width="2.42578125" style="273" hidden="1" customWidth="1"/>
    <col min="4648" max="4648" width="1.42578125" style="273" hidden="1" customWidth="1"/>
    <col min="4649" max="4864" width="2.42578125" style="273" hidden="1"/>
    <col min="4865" max="4865" width="1.42578125" style="273" hidden="1" customWidth="1"/>
    <col min="4866" max="4866" width="0.85546875" style="273" hidden="1" customWidth="1"/>
    <col min="4867" max="4882" width="2.42578125" style="273" hidden="1" customWidth="1"/>
    <col min="4883" max="4883" width="4" style="273" hidden="1" customWidth="1"/>
    <col min="4884" max="4903" width="2.42578125" style="273" hidden="1" customWidth="1"/>
    <col min="4904" max="4904" width="1.42578125" style="273" hidden="1" customWidth="1"/>
    <col min="4905" max="5120" width="2.42578125" style="273" hidden="1"/>
    <col min="5121" max="5121" width="1.42578125" style="273" hidden="1" customWidth="1"/>
    <col min="5122" max="5122" width="0.85546875" style="273" hidden="1" customWidth="1"/>
    <col min="5123" max="5138" width="2.42578125" style="273" hidden="1" customWidth="1"/>
    <col min="5139" max="5139" width="4" style="273" hidden="1" customWidth="1"/>
    <col min="5140" max="5159" width="2.42578125" style="273" hidden="1" customWidth="1"/>
    <col min="5160" max="5160" width="1.42578125" style="273" hidden="1" customWidth="1"/>
    <col min="5161" max="5376" width="2.42578125" style="273" hidden="1"/>
    <col min="5377" max="5377" width="1.42578125" style="273" hidden="1" customWidth="1"/>
    <col min="5378" max="5378" width="0.85546875" style="273" hidden="1" customWidth="1"/>
    <col min="5379" max="5394" width="2.42578125" style="273" hidden="1" customWidth="1"/>
    <col min="5395" max="5395" width="4" style="273" hidden="1" customWidth="1"/>
    <col min="5396" max="5415" width="2.42578125" style="273" hidden="1" customWidth="1"/>
    <col min="5416" max="5416" width="1.42578125" style="273" hidden="1" customWidth="1"/>
    <col min="5417" max="5632" width="2.42578125" style="273" hidden="1"/>
    <col min="5633" max="5633" width="1.42578125" style="273" hidden="1" customWidth="1"/>
    <col min="5634" max="5634" width="0.85546875" style="273" hidden="1" customWidth="1"/>
    <col min="5635" max="5650" width="2.42578125" style="273" hidden="1" customWidth="1"/>
    <col min="5651" max="5651" width="4" style="273" hidden="1" customWidth="1"/>
    <col min="5652" max="5671" width="2.42578125" style="273" hidden="1" customWidth="1"/>
    <col min="5672" max="5672" width="1.42578125" style="273" hidden="1" customWidth="1"/>
    <col min="5673" max="5888" width="2.42578125" style="273" hidden="1"/>
    <col min="5889" max="5889" width="1.42578125" style="273" hidden="1" customWidth="1"/>
    <col min="5890" max="5890" width="0.85546875" style="273" hidden="1" customWidth="1"/>
    <col min="5891" max="5906" width="2.42578125" style="273" hidden="1" customWidth="1"/>
    <col min="5907" max="5907" width="4" style="273" hidden="1" customWidth="1"/>
    <col min="5908" max="5927" width="2.42578125" style="273" hidden="1" customWidth="1"/>
    <col min="5928" max="5928" width="1.42578125" style="273" hidden="1" customWidth="1"/>
    <col min="5929" max="6144" width="2.42578125" style="273" hidden="1"/>
    <col min="6145" max="6145" width="1.42578125" style="273" hidden="1" customWidth="1"/>
    <col min="6146" max="6146" width="0.85546875" style="273" hidden="1" customWidth="1"/>
    <col min="6147" max="6162" width="2.42578125" style="273" hidden="1" customWidth="1"/>
    <col min="6163" max="6163" width="4" style="273" hidden="1" customWidth="1"/>
    <col min="6164" max="6183" width="2.42578125" style="273" hidden="1" customWidth="1"/>
    <col min="6184" max="6184" width="1.42578125" style="273" hidden="1" customWidth="1"/>
    <col min="6185" max="6400" width="2.42578125" style="273" hidden="1"/>
    <col min="6401" max="6401" width="1.42578125" style="273" hidden="1" customWidth="1"/>
    <col min="6402" max="6402" width="0.85546875" style="273" hidden="1" customWidth="1"/>
    <col min="6403" max="6418" width="2.42578125" style="273" hidden="1" customWidth="1"/>
    <col min="6419" max="6419" width="4" style="273" hidden="1" customWidth="1"/>
    <col min="6420" max="6439" width="2.42578125" style="273" hidden="1" customWidth="1"/>
    <col min="6440" max="6440" width="1.42578125" style="273" hidden="1" customWidth="1"/>
    <col min="6441" max="6656" width="2.42578125" style="273" hidden="1"/>
    <col min="6657" max="6657" width="1.42578125" style="273" hidden="1" customWidth="1"/>
    <col min="6658" max="6658" width="0.85546875" style="273" hidden="1" customWidth="1"/>
    <col min="6659" max="6674" width="2.42578125" style="273" hidden="1" customWidth="1"/>
    <col min="6675" max="6675" width="4" style="273" hidden="1" customWidth="1"/>
    <col min="6676" max="6695" width="2.42578125" style="273" hidden="1" customWidth="1"/>
    <col min="6696" max="6696" width="1.42578125" style="273" hidden="1" customWidth="1"/>
    <col min="6697" max="6912" width="2.42578125" style="273" hidden="1"/>
    <col min="6913" max="6913" width="1.42578125" style="273" hidden="1" customWidth="1"/>
    <col min="6914" max="6914" width="0.85546875" style="273" hidden="1" customWidth="1"/>
    <col min="6915" max="6930" width="2.42578125" style="273" hidden="1" customWidth="1"/>
    <col min="6931" max="6931" width="4" style="273" hidden="1" customWidth="1"/>
    <col min="6932" max="6951" width="2.42578125" style="273" hidden="1" customWidth="1"/>
    <col min="6952" max="6952" width="1.42578125" style="273" hidden="1" customWidth="1"/>
    <col min="6953" max="7168" width="2.42578125" style="273" hidden="1"/>
    <col min="7169" max="7169" width="1.42578125" style="273" hidden="1" customWidth="1"/>
    <col min="7170" max="7170" width="0.85546875" style="273" hidden="1" customWidth="1"/>
    <col min="7171" max="7186" width="2.42578125" style="273" hidden="1" customWidth="1"/>
    <col min="7187" max="7187" width="4" style="273" hidden="1" customWidth="1"/>
    <col min="7188" max="7207" width="2.42578125" style="273" hidden="1" customWidth="1"/>
    <col min="7208" max="7208" width="1.42578125" style="273" hidden="1" customWidth="1"/>
    <col min="7209" max="7424" width="2.42578125" style="273" hidden="1"/>
    <col min="7425" max="7425" width="1.42578125" style="273" hidden="1" customWidth="1"/>
    <col min="7426" max="7426" width="0.85546875" style="273" hidden="1" customWidth="1"/>
    <col min="7427" max="7442" width="2.42578125" style="273" hidden="1" customWidth="1"/>
    <col min="7443" max="7443" width="4" style="273" hidden="1" customWidth="1"/>
    <col min="7444" max="7463" width="2.42578125" style="273" hidden="1" customWidth="1"/>
    <col min="7464" max="7464" width="1.42578125" style="273" hidden="1" customWidth="1"/>
    <col min="7465" max="7680" width="2.42578125" style="273" hidden="1"/>
    <col min="7681" max="7681" width="1.42578125" style="273" hidden="1" customWidth="1"/>
    <col min="7682" max="7682" width="0.85546875" style="273" hidden="1" customWidth="1"/>
    <col min="7683" max="7698" width="2.42578125" style="273" hidden="1" customWidth="1"/>
    <col min="7699" max="7699" width="4" style="273" hidden="1" customWidth="1"/>
    <col min="7700" max="7719" width="2.42578125" style="273" hidden="1" customWidth="1"/>
    <col min="7720" max="7720" width="1.42578125" style="273" hidden="1" customWidth="1"/>
    <col min="7721" max="7936" width="2.42578125" style="273" hidden="1"/>
    <col min="7937" max="7937" width="1.42578125" style="273" hidden="1" customWidth="1"/>
    <col min="7938" max="7938" width="0.85546875" style="273" hidden="1" customWidth="1"/>
    <col min="7939" max="7954" width="2.42578125" style="273" hidden="1" customWidth="1"/>
    <col min="7955" max="7955" width="4" style="273" hidden="1" customWidth="1"/>
    <col min="7956" max="7975" width="2.42578125" style="273" hidden="1" customWidth="1"/>
    <col min="7976" max="7976" width="1.42578125" style="273" hidden="1" customWidth="1"/>
    <col min="7977" max="8192" width="2.42578125" style="273" hidden="1"/>
    <col min="8193" max="8193" width="1.42578125" style="273" hidden="1" customWidth="1"/>
    <col min="8194" max="8194" width="0.85546875" style="273" hidden="1" customWidth="1"/>
    <col min="8195" max="8210" width="2.42578125" style="273" hidden="1" customWidth="1"/>
    <col min="8211" max="8211" width="4" style="273" hidden="1" customWidth="1"/>
    <col min="8212" max="8231" width="2.42578125" style="273" hidden="1" customWidth="1"/>
    <col min="8232" max="8232" width="1.42578125" style="273" hidden="1" customWidth="1"/>
    <col min="8233" max="8448" width="2.42578125" style="273" hidden="1"/>
    <col min="8449" max="8449" width="1.42578125" style="273" hidden="1" customWidth="1"/>
    <col min="8450" max="8450" width="0.85546875" style="273" hidden="1" customWidth="1"/>
    <col min="8451" max="8466" width="2.42578125" style="273" hidden="1" customWidth="1"/>
    <col min="8467" max="8467" width="4" style="273" hidden="1" customWidth="1"/>
    <col min="8468" max="8487" width="2.42578125" style="273" hidden="1" customWidth="1"/>
    <col min="8488" max="8488" width="1.42578125" style="273" hidden="1" customWidth="1"/>
    <col min="8489" max="8704" width="2.42578125" style="273" hidden="1"/>
    <col min="8705" max="8705" width="1.42578125" style="273" hidden="1" customWidth="1"/>
    <col min="8706" max="8706" width="0.85546875" style="273" hidden="1" customWidth="1"/>
    <col min="8707" max="8722" width="2.42578125" style="273" hidden="1" customWidth="1"/>
    <col min="8723" max="8723" width="4" style="273" hidden="1" customWidth="1"/>
    <col min="8724" max="8743" width="2.42578125" style="273" hidden="1" customWidth="1"/>
    <col min="8744" max="8744" width="1.42578125" style="273" hidden="1" customWidth="1"/>
    <col min="8745" max="8960" width="2.42578125" style="273" hidden="1"/>
    <col min="8961" max="8961" width="1.42578125" style="273" hidden="1" customWidth="1"/>
    <col min="8962" max="8962" width="0.85546875" style="273" hidden="1" customWidth="1"/>
    <col min="8963" max="8978" width="2.42578125" style="273" hidden="1" customWidth="1"/>
    <col min="8979" max="8979" width="4" style="273" hidden="1" customWidth="1"/>
    <col min="8980" max="8999" width="2.42578125" style="273" hidden="1" customWidth="1"/>
    <col min="9000" max="9000" width="1.42578125" style="273" hidden="1" customWidth="1"/>
    <col min="9001" max="9216" width="2.42578125" style="273" hidden="1"/>
    <col min="9217" max="9217" width="1.42578125" style="273" hidden="1" customWidth="1"/>
    <col min="9218" max="9218" width="0.85546875" style="273" hidden="1" customWidth="1"/>
    <col min="9219" max="9234" width="2.42578125" style="273" hidden="1" customWidth="1"/>
    <col min="9235" max="9235" width="4" style="273" hidden="1" customWidth="1"/>
    <col min="9236" max="9255" width="2.42578125" style="273" hidden="1" customWidth="1"/>
    <col min="9256" max="9256" width="1.42578125" style="273" hidden="1" customWidth="1"/>
    <col min="9257" max="9472" width="2.42578125" style="273" hidden="1"/>
    <col min="9473" max="9473" width="1.42578125" style="273" hidden="1" customWidth="1"/>
    <col min="9474" max="9474" width="0.85546875" style="273" hidden="1" customWidth="1"/>
    <col min="9475" max="9490" width="2.42578125" style="273" hidden="1" customWidth="1"/>
    <col min="9491" max="9491" width="4" style="273" hidden="1" customWidth="1"/>
    <col min="9492" max="9511" width="2.42578125" style="273" hidden="1" customWidth="1"/>
    <col min="9512" max="9512" width="1.42578125" style="273" hidden="1" customWidth="1"/>
    <col min="9513" max="9728" width="2.42578125" style="273" hidden="1"/>
    <col min="9729" max="9729" width="1.42578125" style="273" hidden="1" customWidth="1"/>
    <col min="9730" max="9730" width="0.85546875" style="273" hidden="1" customWidth="1"/>
    <col min="9731" max="9746" width="2.42578125" style="273" hidden="1" customWidth="1"/>
    <col min="9747" max="9747" width="4" style="273" hidden="1" customWidth="1"/>
    <col min="9748" max="9767" width="2.42578125" style="273" hidden="1" customWidth="1"/>
    <col min="9768" max="9768" width="1.42578125" style="273" hidden="1" customWidth="1"/>
    <col min="9769" max="9984" width="2.42578125" style="273" hidden="1"/>
    <col min="9985" max="9985" width="1.42578125" style="273" hidden="1" customWidth="1"/>
    <col min="9986" max="9986" width="0.85546875" style="273" hidden="1" customWidth="1"/>
    <col min="9987" max="10002" width="2.42578125" style="273" hidden="1" customWidth="1"/>
    <col min="10003" max="10003" width="4" style="273" hidden="1" customWidth="1"/>
    <col min="10004" max="10023" width="2.42578125" style="273" hidden="1" customWidth="1"/>
    <col min="10024" max="10024" width="1.42578125" style="273" hidden="1" customWidth="1"/>
    <col min="10025" max="10240" width="2.42578125" style="273" hidden="1"/>
    <col min="10241" max="10241" width="1.42578125" style="273" hidden="1" customWidth="1"/>
    <col min="10242" max="10242" width="0.85546875" style="273" hidden="1" customWidth="1"/>
    <col min="10243" max="10258" width="2.42578125" style="273" hidden="1" customWidth="1"/>
    <col min="10259" max="10259" width="4" style="273" hidden="1" customWidth="1"/>
    <col min="10260" max="10279" width="2.42578125" style="273" hidden="1" customWidth="1"/>
    <col min="10280" max="10280" width="1.42578125" style="273" hidden="1" customWidth="1"/>
    <col min="10281" max="10496" width="2.42578125" style="273" hidden="1"/>
    <col min="10497" max="10497" width="1.42578125" style="273" hidden="1" customWidth="1"/>
    <col min="10498" max="10498" width="0.85546875" style="273" hidden="1" customWidth="1"/>
    <col min="10499" max="10514" width="2.42578125" style="273" hidden="1" customWidth="1"/>
    <col min="10515" max="10515" width="4" style="273" hidden="1" customWidth="1"/>
    <col min="10516" max="10535" width="2.42578125" style="273" hidden="1" customWidth="1"/>
    <col min="10536" max="10536" width="1.42578125" style="273" hidden="1" customWidth="1"/>
    <col min="10537" max="10752" width="2.42578125" style="273" hidden="1"/>
    <col min="10753" max="10753" width="1.42578125" style="273" hidden="1" customWidth="1"/>
    <col min="10754" max="10754" width="0.85546875" style="273" hidden="1" customWidth="1"/>
    <col min="10755" max="10770" width="2.42578125" style="273" hidden="1" customWidth="1"/>
    <col min="10771" max="10771" width="4" style="273" hidden="1" customWidth="1"/>
    <col min="10772" max="10791" width="2.42578125" style="273" hidden="1" customWidth="1"/>
    <col min="10792" max="10792" width="1.42578125" style="273" hidden="1" customWidth="1"/>
    <col min="10793" max="11008" width="2.42578125" style="273" hidden="1"/>
    <col min="11009" max="11009" width="1.42578125" style="273" hidden="1" customWidth="1"/>
    <col min="11010" max="11010" width="0.85546875" style="273" hidden="1" customWidth="1"/>
    <col min="11011" max="11026" width="2.42578125" style="273" hidden="1" customWidth="1"/>
    <col min="11027" max="11027" width="4" style="273" hidden="1" customWidth="1"/>
    <col min="11028" max="11047" width="2.42578125" style="273" hidden="1" customWidth="1"/>
    <col min="11048" max="11048" width="1.42578125" style="273" hidden="1" customWidth="1"/>
    <col min="11049" max="11264" width="2.42578125" style="273" hidden="1"/>
    <col min="11265" max="11265" width="1.42578125" style="273" hidden="1" customWidth="1"/>
    <col min="11266" max="11266" width="0.85546875" style="273" hidden="1" customWidth="1"/>
    <col min="11267" max="11282" width="2.42578125" style="273" hidden="1" customWidth="1"/>
    <col min="11283" max="11283" width="4" style="273" hidden="1" customWidth="1"/>
    <col min="11284" max="11303" width="2.42578125" style="273" hidden="1" customWidth="1"/>
    <col min="11304" max="11304" width="1.42578125" style="273" hidden="1" customWidth="1"/>
    <col min="11305" max="11520" width="2.42578125" style="273" hidden="1"/>
    <col min="11521" max="11521" width="1.42578125" style="273" hidden="1" customWidth="1"/>
    <col min="11522" max="11522" width="0.85546875" style="273" hidden="1" customWidth="1"/>
    <col min="11523" max="11538" width="2.42578125" style="273" hidden="1" customWidth="1"/>
    <col min="11539" max="11539" width="4" style="273" hidden="1" customWidth="1"/>
    <col min="11540" max="11559" width="2.42578125" style="273" hidden="1" customWidth="1"/>
    <col min="11560" max="11560" width="1.42578125" style="273" hidden="1" customWidth="1"/>
    <col min="11561" max="11776" width="2.42578125" style="273" hidden="1"/>
    <col min="11777" max="11777" width="1.42578125" style="273" hidden="1" customWidth="1"/>
    <col min="11778" max="11778" width="0.85546875" style="273" hidden="1" customWidth="1"/>
    <col min="11779" max="11794" width="2.42578125" style="273" hidden="1" customWidth="1"/>
    <col min="11795" max="11795" width="4" style="273" hidden="1" customWidth="1"/>
    <col min="11796" max="11815" width="2.42578125" style="273" hidden="1" customWidth="1"/>
    <col min="11816" max="11816" width="1.42578125" style="273" hidden="1" customWidth="1"/>
    <col min="11817" max="12032" width="2.42578125" style="273" hidden="1"/>
    <col min="12033" max="12033" width="1.42578125" style="273" hidden="1" customWidth="1"/>
    <col min="12034" max="12034" width="0.85546875" style="273" hidden="1" customWidth="1"/>
    <col min="12035" max="12050" width="2.42578125" style="273" hidden="1" customWidth="1"/>
    <col min="12051" max="12051" width="4" style="273" hidden="1" customWidth="1"/>
    <col min="12052" max="12071" width="2.42578125" style="273" hidden="1" customWidth="1"/>
    <col min="12072" max="12072" width="1.42578125" style="273" hidden="1" customWidth="1"/>
    <col min="12073" max="12288" width="2.42578125" style="273" hidden="1"/>
    <col min="12289" max="12289" width="1.42578125" style="273" hidden="1" customWidth="1"/>
    <col min="12290" max="12290" width="0.85546875" style="273" hidden="1" customWidth="1"/>
    <col min="12291" max="12306" width="2.42578125" style="273" hidden="1" customWidth="1"/>
    <col min="12307" max="12307" width="4" style="273" hidden="1" customWidth="1"/>
    <col min="12308" max="12327" width="2.42578125" style="273" hidden="1" customWidth="1"/>
    <col min="12328" max="12328" width="1.42578125" style="273" hidden="1" customWidth="1"/>
    <col min="12329" max="12544" width="2.42578125" style="273" hidden="1"/>
    <col min="12545" max="12545" width="1.42578125" style="273" hidden="1" customWidth="1"/>
    <col min="12546" max="12546" width="0.85546875" style="273" hidden="1" customWidth="1"/>
    <col min="12547" max="12562" width="2.42578125" style="273" hidden="1" customWidth="1"/>
    <col min="12563" max="12563" width="4" style="273" hidden="1" customWidth="1"/>
    <col min="12564" max="12583" width="2.42578125" style="273" hidden="1" customWidth="1"/>
    <col min="12584" max="12584" width="1.42578125" style="273" hidden="1" customWidth="1"/>
    <col min="12585" max="12800" width="2.42578125" style="273" hidden="1"/>
    <col min="12801" max="12801" width="1.42578125" style="273" hidden="1" customWidth="1"/>
    <col min="12802" max="12802" width="0.85546875" style="273" hidden="1" customWidth="1"/>
    <col min="12803" max="12818" width="2.42578125" style="273" hidden="1" customWidth="1"/>
    <col min="12819" max="12819" width="4" style="273" hidden="1" customWidth="1"/>
    <col min="12820" max="12839" width="2.42578125" style="273" hidden="1" customWidth="1"/>
    <col min="12840" max="12840" width="1.42578125" style="273" hidden="1" customWidth="1"/>
    <col min="12841" max="13056" width="2.42578125" style="273" hidden="1"/>
    <col min="13057" max="13057" width="1.42578125" style="273" hidden="1" customWidth="1"/>
    <col min="13058" max="13058" width="0.85546875" style="273" hidden="1" customWidth="1"/>
    <col min="13059" max="13074" width="2.42578125" style="273" hidden="1" customWidth="1"/>
    <col min="13075" max="13075" width="4" style="273" hidden="1" customWidth="1"/>
    <col min="13076" max="13095" width="2.42578125" style="273" hidden="1" customWidth="1"/>
    <col min="13096" max="13096" width="1.42578125" style="273" hidden="1" customWidth="1"/>
    <col min="13097" max="13312" width="2.42578125" style="273" hidden="1"/>
    <col min="13313" max="13313" width="1.42578125" style="273" hidden="1" customWidth="1"/>
    <col min="13314" max="13314" width="0.85546875" style="273" hidden="1" customWidth="1"/>
    <col min="13315" max="13330" width="2.42578125" style="273" hidden="1" customWidth="1"/>
    <col min="13331" max="13331" width="4" style="273" hidden="1" customWidth="1"/>
    <col min="13332" max="13351" width="2.42578125" style="273" hidden="1" customWidth="1"/>
    <col min="13352" max="13352" width="1.42578125" style="273" hidden="1" customWidth="1"/>
    <col min="13353" max="13568" width="2.42578125" style="273" hidden="1"/>
    <col min="13569" max="13569" width="1.42578125" style="273" hidden="1" customWidth="1"/>
    <col min="13570" max="13570" width="0.85546875" style="273" hidden="1" customWidth="1"/>
    <col min="13571" max="13586" width="2.42578125" style="273" hidden="1" customWidth="1"/>
    <col min="13587" max="13587" width="4" style="273" hidden="1" customWidth="1"/>
    <col min="13588" max="13607" width="2.42578125" style="273" hidden="1" customWidth="1"/>
    <col min="13608" max="13608" width="1.42578125" style="273" hidden="1" customWidth="1"/>
    <col min="13609" max="13824" width="2.42578125" style="273" hidden="1"/>
    <col min="13825" max="13825" width="1.42578125" style="273" hidden="1" customWidth="1"/>
    <col min="13826" max="13826" width="0.85546875" style="273" hidden="1" customWidth="1"/>
    <col min="13827" max="13842" width="2.42578125" style="273" hidden="1" customWidth="1"/>
    <col min="13843" max="13843" width="4" style="273" hidden="1" customWidth="1"/>
    <col min="13844" max="13863" width="2.42578125" style="273" hidden="1" customWidth="1"/>
    <col min="13864" max="13864" width="1.42578125" style="273" hidden="1" customWidth="1"/>
    <col min="13865" max="14080" width="2.42578125" style="273" hidden="1"/>
    <col min="14081" max="14081" width="1.42578125" style="273" hidden="1" customWidth="1"/>
    <col min="14082" max="14082" width="0.85546875" style="273" hidden="1" customWidth="1"/>
    <col min="14083" max="14098" width="2.42578125" style="273" hidden="1" customWidth="1"/>
    <col min="14099" max="14099" width="4" style="273" hidden="1" customWidth="1"/>
    <col min="14100" max="14119" width="2.42578125" style="273" hidden="1" customWidth="1"/>
    <col min="14120" max="14120" width="1.42578125" style="273" hidden="1" customWidth="1"/>
    <col min="14121" max="14336" width="2.42578125" style="273" hidden="1"/>
    <col min="14337" max="14337" width="1.42578125" style="273" hidden="1" customWidth="1"/>
    <col min="14338" max="14338" width="0.85546875" style="273" hidden="1" customWidth="1"/>
    <col min="14339" max="14354" width="2.42578125" style="273" hidden="1" customWidth="1"/>
    <col min="14355" max="14355" width="4" style="273" hidden="1" customWidth="1"/>
    <col min="14356" max="14375" width="2.42578125" style="273" hidden="1" customWidth="1"/>
    <col min="14376" max="14376" width="1.42578125" style="273" hidden="1" customWidth="1"/>
    <col min="14377" max="14592" width="2.42578125" style="273" hidden="1"/>
    <col min="14593" max="14593" width="1.42578125" style="273" hidden="1" customWidth="1"/>
    <col min="14594" max="14594" width="0.85546875" style="273" hidden="1" customWidth="1"/>
    <col min="14595" max="14610" width="2.42578125" style="273" hidden="1" customWidth="1"/>
    <col min="14611" max="14611" width="4" style="273" hidden="1" customWidth="1"/>
    <col min="14612" max="14631" width="2.42578125" style="273" hidden="1" customWidth="1"/>
    <col min="14632" max="14632" width="1.42578125" style="273" hidden="1" customWidth="1"/>
    <col min="14633" max="14848" width="2.42578125" style="273" hidden="1"/>
    <col min="14849" max="14849" width="1.42578125" style="273" hidden="1" customWidth="1"/>
    <col min="14850" max="14850" width="0.85546875" style="273" hidden="1" customWidth="1"/>
    <col min="14851" max="14866" width="2.42578125" style="273" hidden="1" customWidth="1"/>
    <col min="14867" max="14867" width="4" style="273" hidden="1" customWidth="1"/>
    <col min="14868" max="14887" width="2.42578125" style="273" hidden="1" customWidth="1"/>
    <col min="14888" max="14888" width="1.42578125" style="273" hidden="1" customWidth="1"/>
    <col min="14889" max="15104" width="2.42578125" style="273" hidden="1"/>
    <col min="15105" max="15105" width="1.42578125" style="273" hidden="1" customWidth="1"/>
    <col min="15106" max="15106" width="0.85546875" style="273" hidden="1" customWidth="1"/>
    <col min="15107" max="15122" width="2.42578125" style="273" hidden="1" customWidth="1"/>
    <col min="15123" max="15123" width="4" style="273" hidden="1" customWidth="1"/>
    <col min="15124" max="15143" width="2.42578125" style="273" hidden="1" customWidth="1"/>
    <col min="15144" max="15144" width="1.42578125" style="273" hidden="1" customWidth="1"/>
    <col min="15145" max="15360" width="2.42578125" style="273" hidden="1"/>
    <col min="15361" max="15361" width="1.42578125" style="273" hidden="1" customWidth="1"/>
    <col min="15362" max="15362" width="0.85546875" style="273" hidden="1" customWidth="1"/>
    <col min="15363" max="15378" width="2.42578125" style="273" hidden="1" customWidth="1"/>
    <col min="15379" max="15379" width="4" style="273" hidden="1" customWidth="1"/>
    <col min="15380" max="15399" width="2.42578125" style="273" hidden="1" customWidth="1"/>
    <col min="15400" max="15400" width="1.42578125" style="273" hidden="1" customWidth="1"/>
    <col min="15401" max="15616" width="2.42578125" style="273" hidden="1"/>
    <col min="15617" max="15617" width="1.42578125" style="273" hidden="1" customWidth="1"/>
    <col min="15618" max="15618" width="0.85546875" style="273" hidden="1" customWidth="1"/>
    <col min="15619" max="15634" width="2.42578125" style="273" hidden="1" customWidth="1"/>
    <col min="15635" max="15635" width="4" style="273" hidden="1" customWidth="1"/>
    <col min="15636" max="15655" width="2.42578125" style="273" hidden="1" customWidth="1"/>
    <col min="15656" max="15656" width="1.42578125" style="273" hidden="1" customWidth="1"/>
    <col min="15657" max="15872" width="2.42578125" style="273" hidden="1"/>
    <col min="15873" max="15873" width="1.42578125" style="273" hidden="1" customWidth="1"/>
    <col min="15874" max="15874" width="0.85546875" style="273" hidden="1" customWidth="1"/>
    <col min="15875" max="15890" width="2.42578125" style="273" hidden="1" customWidth="1"/>
    <col min="15891" max="15891" width="4" style="273" hidden="1" customWidth="1"/>
    <col min="15892" max="15911" width="2.42578125" style="273" hidden="1" customWidth="1"/>
    <col min="15912" max="15912" width="1.42578125" style="273" hidden="1" customWidth="1"/>
    <col min="15913" max="16128" width="2.42578125" style="273" hidden="1"/>
    <col min="16129" max="16129" width="1.42578125" style="273" hidden="1" customWidth="1"/>
    <col min="16130" max="16130" width="0.85546875" style="273" hidden="1" customWidth="1"/>
    <col min="16131" max="16146" width="2.42578125" style="273" hidden="1" customWidth="1"/>
    <col min="16147" max="16147" width="4" style="273" hidden="1" customWidth="1"/>
    <col min="16148" max="16167" width="2.42578125" style="273" hidden="1" customWidth="1"/>
    <col min="16168" max="16168" width="1.42578125" style="273" hidden="1" customWidth="1"/>
    <col min="16169" max="16384" width="2.42578125" style="273" hidden="1"/>
  </cols>
  <sheetData>
    <row r="1" spans="1:40" ht="13.15" customHeight="1">
      <c r="A1" s="2290" t="s">
        <v>1948</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15" customHeight="1"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1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3.15" customHeight="1">
      <c r="A4" s="275"/>
    </row>
    <row r="5" spans="1:40" ht="13.15" customHeight="1">
      <c r="A5" s="275" t="s">
        <v>872</v>
      </c>
      <c r="C5" s="275" t="s">
        <v>270</v>
      </c>
      <c r="F5" s="275"/>
    </row>
    <row r="6" spans="1:40" ht="13.15" customHeight="1">
      <c r="A6" s="275"/>
      <c r="C6" s="273" t="s">
        <v>1949</v>
      </c>
    </row>
    <row r="7" spans="1:40" ht="13.15" customHeight="1">
      <c r="B7" s="276"/>
      <c r="C7" s="277"/>
      <c r="D7" s="277"/>
      <c r="E7" s="277"/>
      <c r="F7" s="277"/>
      <c r="G7" s="277"/>
      <c r="H7" s="277"/>
      <c r="I7" s="277"/>
      <c r="J7" s="277"/>
      <c r="K7" s="277"/>
      <c r="L7" s="277"/>
      <c r="M7" s="277"/>
      <c r="N7" s="277"/>
      <c r="O7" s="277"/>
      <c r="P7" s="277"/>
      <c r="Q7" s="277"/>
      <c r="R7" s="277"/>
      <c r="S7" s="277"/>
      <c r="T7" s="2292" t="str">
        <f xml:space="preserve"> IF(T25=100%,'Sources and Basis Breakdown'!G2,'Sources and Basis Breakdown'!F2)</f>
        <v>30% PVC for New Const/
Rehabilitation
DDA/QCT
Building(s)</v>
      </c>
      <c r="U7" s="2292"/>
      <c r="V7" s="2292"/>
      <c r="W7" s="2292"/>
      <c r="X7" s="2292"/>
      <c r="Y7" s="2292" t="str">
        <f>IF(T25=100%,"",'Sources and Basis Breakdown'!G2)</f>
        <v>30% PVC for New Const/
Rehabilitation
NON-DDA/
NON-QCT Building(s)</v>
      </c>
      <c r="Z7" s="2292"/>
      <c r="AA7" s="2292"/>
      <c r="AB7" s="2292"/>
      <c r="AC7" s="2292"/>
      <c r="AD7" s="2292" t="str">
        <f xml:space="preserve"> IF(T25=100%, 'Sources and Basis Breakdown'!J2,'Sources and Basis Breakdown'!I2)</f>
        <v>30% PVC for Acquisition
DDA/QCT Building(s)</v>
      </c>
      <c r="AE7" s="2292"/>
      <c r="AF7" s="2292"/>
      <c r="AG7" s="2292"/>
      <c r="AH7" s="2292"/>
      <c r="AI7" s="2292" t="str">
        <f>IF(T25=100%,"",'Sources and Basis Breakdown'!J2)</f>
        <v>30% PVC for Acquisition
NON-DDA/
NON-QCT Building(s)</v>
      </c>
      <c r="AJ7" s="2292"/>
      <c r="AK7" s="2292"/>
      <c r="AL7" s="2292"/>
      <c r="AM7" s="2292"/>
    </row>
    <row r="8" spans="1:40" ht="13.15" customHeight="1">
      <c r="B8" s="278"/>
      <c r="T8" s="2292"/>
      <c r="U8" s="2292"/>
      <c r="V8" s="2292"/>
      <c r="W8" s="2292"/>
      <c r="X8" s="2292"/>
      <c r="Y8" s="2292"/>
      <c r="Z8" s="2292"/>
      <c r="AA8" s="2292"/>
      <c r="AB8" s="2292"/>
      <c r="AC8" s="2292"/>
      <c r="AD8" s="2292"/>
      <c r="AE8" s="2292"/>
      <c r="AF8" s="2292"/>
      <c r="AG8" s="2292"/>
      <c r="AH8" s="2292"/>
      <c r="AI8" s="2292"/>
      <c r="AJ8" s="2292"/>
      <c r="AK8" s="2292"/>
      <c r="AL8" s="2292"/>
      <c r="AM8" s="2292"/>
    </row>
    <row r="9" spans="1:40" ht="13.15" customHeight="1">
      <c r="B9" s="278"/>
      <c r="T9" s="2292"/>
      <c r="U9" s="2292"/>
      <c r="V9" s="2292"/>
      <c r="W9" s="2292"/>
      <c r="X9" s="2292"/>
      <c r="Y9" s="2292"/>
      <c r="Z9" s="2292"/>
      <c r="AA9" s="2292"/>
      <c r="AB9" s="2292"/>
      <c r="AC9" s="2292"/>
      <c r="AD9" s="2292"/>
      <c r="AE9" s="2292"/>
      <c r="AF9" s="2292"/>
      <c r="AG9" s="2292"/>
      <c r="AH9" s="2292"/>
      <c r="AI9" s="2292"/>
      <c r="AJ9" s="2292"/>
      <c r="AK9" s="2292"/>
      <c r="AL9" s="2292"/>
      <c r="AM9" s="2292"/>
    </row>
    <row r="10" spans="1:40" ht="13.15" customHeight="1">
      <c r="B10" s="279"/>
      <c r="C10" s="280"/>
      <c r="D10" s="280"/>
      <c r="E10" s="280"/>
      <c r="F10" s="280"/>
      <c r="G10" s="280"/>
      <c r="H10" s="280"/>
      <c r="I10" s="280"/>
      <c r="J10" s="280"/>
      <c r="K10" s="280"/>
      <c r="L10" s="280"/>
      <c r="M10" s="280"/>
      <c r="N10" s="280"/>
      <c r="O10" s="280"/>
      <c r="P10" s="280"/>
      <c r="Q10" s="280"/>
      <c r="R10" s="280"/>
      <c r="S10" s="280"/>
      <c r="T10" s="2292"/>
      <c r="U10" s="2292"/>
      <c r="V10" s="2292"/>
      <c r="W10" s="2292"/>
      <c r="X10" s="2292"/>
      <c r="Y10" s="2292"/>
      <c r="Z10" s="2292"/>
      <c r="AA10" s="2292"/>
      <c r="AB10" s="2292"/>
      <c r="AC10" s="2292"/>
      <c r="AD10" s="2292"/>
      <c r="AE10" s="2292"/>
      <c r="AF10" s="2292"/>
      <c r="AG10" s="2292"/>
      <c r="AH10" s="2292"/>
      <c r="AI10" s="2292"/>
      <c r="AJ10" s="2292"/>
      <c r="AK10" s="2292"/>
      <c r="AL10" s="2292"/>
      <c r="AM10" s="2292"/>
    </row>
    <row r="11" spans="1:40" ht="13.15" customHeight="1">
      <c r="B11" s="2271" t="s">
        <v>1773</v>
      </c>
      <c r="C11" s="2272"/>
      <c r="D11" s="2272"/>
      <c r="E11" s="2272"/>
      <c r="F11" s="2272"/>
      <c r="G11" s="2272"/>
      <c r="H11" s="2272"/>
      <c r="I11" s="2272"/>
      <c r="J11" s="2272"/>
      <c r="K11" s="2272"/>
      <c r="L11" s="2272"/>
      <c r="M11" s="2272"/>
      <c r="N11" s="2272"/>
      <c r="O11" s="2272"/>
      <c r="P11" s="2272"/>
      <c r="Q11" s="2272"/>
      <c r="R11" s="2272"/>
      <c r="S11" s="2273"/>
      <c r="T11" s="2293">
        <f>IF('Sources and Basis Breakdown'!F107=0,'Sources and Basis Breakdown'!E107,'Sources and Basis Breakdown'!F107)</f>
        <v>97756627</v>
      </c>
      <c r="U11" s="2294"/>
      <c r="V11" s="2294"/>
      <c r="W11" s="2294"/>
      <c r="X11" s="2294"/>
      <c r="Y11" s="2293">
        <f>IF(Y7="",0,IF('Sources and Basis Breakdown'!G107+'Sources and Basis Breakdown'!F107='Sources and Basis Breakdown'!E107,'Sources and Basis Breakdown'!G107,0))</f>
        <v>0</v>
      </c>
      <c r="Z11" s="2294"/>
      <c r="AA11" s="2294"/>
      <c r="AB11" s="2294"/>
      <c r="AC11" s="2294"/>
      <c r="AD11" s="2294">
        <f>IF('Sources and Basis Breakdown'!I107=0,'Sources and Basis Breakdown'!H107,'Sources and Basis Breakdown'!I107)</f>
        <v>0</v>
      </c>
      <c r="AE11" s="2294"/>
      <c r="AF11" s="2294"/>
      <c r="AG11" s="2294"/>
      <c r="AH11" s="2294"/>
      <c r="AI11" s="2294">
        <f>IF(Y7="",0,IF('Sources and Basis Breakdown'!I107+'Sources and Basis Breakdown'!J107='Sources and Basis Breakdown'!H107,'Sources and Basis Breakdown'!J107,0))</f>
        <v>0</v>
      </c>
      <c r="AJ11" s="2294"/>
      <c r="AK11" s="2294"/>
      <c r="AL11" s="2294"/>
      <c r="AM11" s="2294"/>
    </row>
    <row r="12" spans="1:40" ht="13.15" customHeight="1">
      <c r="B12" s="2286" t="s">
        <v>1950</v>
      </c>
      <c r="C12" s="1270"/>
      <c r="D12" s="1270"/>
      <c r="E12" s="1270"/>
      <c r="F12" s="1270"/>
      <c r="G12" s="1270"/>
      <c r="H12" s="1270"/>
      <c r="I12" s="1270"/>
      <c r="J12" s="1270"/>
      <c r="K12" s="1270"/>
      <c r="L12" s="1270"/>
      <c r="M12" s="1270"/>
      <c r="N12" s="1270"/>
      <c r="O12" s="1270"/>
      <c r="P12" s="1270"/>
      <c r="Q12" s="1270"/>
      <c r="R12" s="1270"/>
      <c r="S12" s="2287"/>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3.15" customHeight="1">
      <c r="B13" s="304"/>
      <c r="C13" s="2288" t="s">
        <v>1951</v>
      </c>
      <c r="D13" s="2288"/>
      <c r="E13" s="2288"/>
      <c r="F13" s="2288"/>
      <c r="G13" s="2288"/>
      <c r="H13" s="2288"/>
      <c r="I13" s="2288"/>
      <c r="J13" s="2288"/>
      <c r="K13" s="2288"/>
      <c r="L13" s="2288"/>
      <c r="M13" s="2288"/>
      <c r="N13" s="2288"/>
      <c r="O13" s="2288"/>
      <c r="P13" s="2288"/>
      <c r="Q13" s="2288"/>
      <c r="R13" s="2288"/>
      <c r="S13" s="2289"/>
      <c r="T13" s="2295"/>
      <c r="U13" s="2296"/>
      <c r="V13" s="2296"/>
      <c r="W13" s="2296"/>
      <c r="X13" s="2296"/>
      <c r="Y13" s="2295"/>
      <c r="Z13" s="2296"/>
      <c r="AA13" s="2296"/>
      <c r="AB13" s="2296"/>
      <c r="AC13" s="2296"/>
      <c r="AD13" s="2296"/>
      <c r="AE13" s="2296"/>
      <c r="AF13" s="2296"/>
      <c r="AG13" s="2296"/>
      <c r="AH13" s="2296"/>
      <c r="AI13" s="2296"/>
      <c r="AJ13" s="2296"/>
      <c r="AK13" s="2296"/>
      <c r="AL13" s="2296"/>
      <c r="AM13" s="2296"/>
    </row>
    <row r="14" spans="1:40" ht="13.15" customHeight="1">
      <c r="B14" s="304"/>
      <c r="C14" s="2288" t="s">
        <v>1952</v>
      </c>
      <c r="D14" s="2288"/>
      <c r="E14" s="2288"/>
      <c r="F14" s="2288"/>
      <c r="G14" s="2288"/>
      <c r="H14" s="2288"/>
      <c r="I14" s="2288"/>
      <c r="J14" s="2288"/>
      <c r="K14" s="2288"/>
      <c r="L14" s="2288"/>
      <c r="M14" s="2288"/>
      <c r="N14" s="2288"/>
      <c r="O14" s="2288"/>
      <c r="P14" s="2288"/>
      <c r="Q14" s="2288"/>
      <c r="R14" s="2288"/>
      <c r="S14" s="2289"/>
      <c r="T14" s="2262"/>
      <c r="U14" s="2263"/>
      <c r="V14" s="2263"/>
      <c r="W14" s="2263"/>
      <c r="X14" s="2263"/>
      <c r="Y14" s="2262"/>
      <c r="Z14" s="2263"/>
      <c r="AA14" s="2263"/>
      <c r="AB14" s="2263"/>
      <c r="AC14" s="2263"/>
      <c r="AD14" s="2263"/>
      <c r="AE14" s="2263"/>
      <c r="AF14" s="2263"/>
      <c r="AG14" s="2263"/>
      <c r="AH14" s="2263"/>
      <c r="AI14" s="2263"/>
      <c r="AJ14" s="2263"/>
      <c r="AK14" s="2263"/>
      <c r="AL14" s="2263"/>
      <c r="AM14" s="2263"/>
    </row>
    <row r="15" spans="1:40" ht="13.15" customHeight="1">
      <c r="B15" s="304"/>
      <c r="C15" s="2288" t="s">
        <v>1953</v>
      </c>
      <c r="D15" s="2288"/>
      <c r="E15" s="2288"/>
      <c r="F15" s="2288"/>
      <c r="G15" s="2288"/>
      <c r="H15" s="2288"/>
      <c r="I15" s="2288"/>
      <c r="J15" s="2288"/>
      <c r="K15" s="2288"/>
      <c r="L15" s="2288"/>
      <c r="M15" s="2288"/>
      <c r="N15" s="2288"/>
      <c r="O15" s="2288"/>
      <c r="P15" s="2288"/>
      <c r="Q15" s="2288"/>
      <c r="R15" s="2288"/>
      <c r="S15" s="2289"/>
      <c r="T15" s="2262"/>
      <c r="U15" s="2263"/>
      <c r="V15" s="2263"/>
      <c r="W15" s="2263"/>
      <c r="X15" s="2263"/>
      <c r="Y15" s="2262"/>
      <c r="Z15" s="2263"/>
      <c r="AA15" s="2263"/>
      <c r="AB15" s="2263"/>
      <c r="AC15" s="2263"/>
      <c r="AD15" s="2263"/>
      <c r="AE15" s="2263"/>
      <c r="AF15" s="2263"/>
      <c r="AG15" s="2263"/>
      <c r="AH15" s="2263"/>
      <c r="AI15" s="2263"/>
      <c r="AJ15" s="2263"/>
      <c r="AK15" s="2263"/>
      <c r="AL15" s="2263"/>
      <c r="AM15" s="2263"/>
    </row>
    <row r="16" spans="1:40" ht="13.15" customHeight="1">
      <c r="B16" s="304"/>
      <c r="C16" s="2288" t="s">
        <v>1954</v>
      </c>
      <c r="D16" s="2288"/>
      <c r="E16" s="2288"/>
      <c r="F16" s="2288"/>
      <c r="G16" s="2288"/>
      <c r="H16" s="2288"/>
      <c r="I16" s="2288"/>
      <c r="J16" s="2288"/>
      <c r="K16" s="2288"/>
      <c r="L16" s="2288"/>
      <c r="M16" s="2288"/>
      <c r="N16" s="2288"/>
      <c r="O16" s="2288"/>
      <c r="P16" s="2288"/>
      <c r="Q16" s="2288"/>
      <c r="R16" s="2288"/>
      <c r="S16" s="2289"/>
      <c r="T16" s="2262"/>
      <c r="U16" s="2263"/>
      <c r="V16" s="2263"/>
      <c r="W16" s="2263"/>
      <c r="X16" s="2263"/>
      <c r="Y16" s="2262"/>
      <c r="Z16" s="2263"/>
      <c r="AA16" s="2263"/>
      <c r="AB16" s="2263"/>
      <c r="AC16" s="2263"/>
      <c r="AD16" s="2263"/>
      <c r="AE16" s="2263"/>
      <c r="AF16" s="2263"/>
      <c r="AG16" s="2263"/>
      <c r="AH16" s="2263"/>
      <c r="AI16" s="2263"/>
      <c r="AJ16" s="2263"/>
      <c r="AK16" s="2263"/>
      <c r="AL16" s="2263"/>
      <c r="AM16" s="2263"/>
    </row>
    <row r="17" spans="1:40" ht="13.15" customHeight="1">
      <c r="B17" s="304"/>
      <c r="C17" s="2288" t="s">
        <v>1955</v>
      </c>
      <c r="D17" s="2288"/>
      <c r="E17" s="2288"/>
      <c r="F17" s="2288"/>
      <c r="G17" s="2288"/>
      <c r="H17" s="2288"/>
      <c r="I17" s="2288"/>
      <c r="J17" s="2288"/>
      <c r="K17" s="2288"/>
      <c r="L17" s="2288"/>
      <c r="M17" s="2288"/>
      <c r="N17" s="2288"/>
      <c r="O17" s="2288"/>
      <c r="P17" s="2288"/>
      <c r="Q17" s="2288"/>
      <c r="R17" s="2288"/>
      <c r="S17" s="2289"/>
      <c r="T17" s="2262"/>
      <c r="U17" s="2263"/>
      <c r="V17" s="2263"/>
      <c r="W17" s="2263"/>
      <c r="X17" s="2263"/>
      <c r="Y17" s="2262"/>
      <c r="Z17" s="2263"/>
      <c r="AA17" s="2263"/>
      <c r="AB17" s="2263"/>
      <c r="AC17" s="2263"/>
      <c r="AD17" s="2263"/>
      <c r="AE17" s="2263"/>
      <c r="AF17" s="2263"/>
      <c r="AG17" s="2263"/>
      <c r="AH17" s="2263"/>
      <c r="AI17" s="2263"/>
      <c r="AJ17" s="2263"/>
      <c r="AK17" s="2263"/>
      <c r="AL17" s="2263"/>
      <c r="AM17" s="2263"/>
    </row>
    <row r="18" spans="1:40" ht="13.15" customHeight="1">
      <c r="A18"/>
      <c r="B18" s="926"/>
      <c r="C18" s="1756" t="s">
        <v>1956</v>
      </c>
      <c r="D18" s="1756"/>
      <c r="E18" s="1756"/>
      <c r="F18" s="1756"/>
      <c r="G18" s="1756"/>
      <c r="H18" s="1756"/>
      <c r="I18" s="1756"/>
      <c r="J18" s="1756"/>
      <c r="K18" s="1756"/>
      <c r="L18" s="1756"/>
      <c r="M18" s="1756"/>
      <c r="N18" s="1756"/>
      <c r="O18" s="1756"/>
      <c r="P18" s="1756"/>
      <c r="Q18" s="1756"/>
      <c r="R18" s="1756"/>
      <c r="S18" s="1757"/>
      <c r="T18" s="2262"/>
      <c r="U18" s="2263"/>
      <c r="V18" s="2263"/>
      <c r="W18" s="2263"/>
      <c r="X18" s="2263"/>
      <c r="Y18" s="2262"/>
      <c r="Z18" s="2263"/>
      <c r="AA18" s="2263"/>
      <c r="AB18" s="2263"/>
      <c r="AC18" s="2263"/>
      <c r="AD18" s="2263"/>
      <c r="AE18" s="2263"/>
      <c r="AF18" s="2263"/>
      <c r="AG18" s="2263"/>
      <c r="AH18" s="2263"/>
      <c r="AI18" s="2263"/>
      <c r="AJ18" s="2263"/>
      <c r="AK18" s="2263"/>
      <c r="AL18" s="2263"/>
      <c r="AM18" s="2263"/>
    </row>
    <row r="19" spans="1:40" ht="13.15" customHeight="1">
      <c r="B19" s="926"/>
      <c r="C19" s="1756" t="s">
        <v>1956</v>
      </c>
      <c r="D19" s="1756"/>
      <c r="E19" s="1756"/>
      <c r="F19" s="1756"/>
      <c r="G19" s="1756"/>
      <c r="H19" s="1756"/>
      <c r="I19" s="1756"/>
      <c r="J19" s="1756"/>
      <c r="K19" s="1756"/>
      <c r="L19" s="1756"/>
      <c r="M19" s="1756"/>
      <c r="N19" s="1756"/>
      <c r="O19" s="1756"/>
      <c r="P19" s="1756"/>
      <c r="Q19" s="1756"/>
      <c r="R19" s="1756"/>
      <c r="S19" s="1757"/>
      <c r="T19" s="2262"/>
      <c r="U19" s="2263"/>
      <c r="V19" s="2263"/>
      <c r="W19" s="2263"/>
      <c r="X19" s="2263"/>
      <c r="Y19" s="2262"/>
      <c r="Z19" s="2263"/>
      <c r="AA19" s="2263"/>
      <c r="AB19" s="2263"/>
      <c r="AC19" s="2263"/>
      <c r="AD19" s="2263"/>
      <c r="AE19" s="2263"/>
      <c r="AF19" s="2263"/>
      <c r="AG19" s="2263"/>
      <c r="AH19" s="2263"/>
      <c r="AI19" s="2263"/>
      <c r="AJ19" s="2263"/>
      <c r="AK19" s="2263"/>
      <c r="AL19" s="2263"/>
      <c r="AM19" s="2263"/>
    </row>
    <row r="20" spans="1:40" ht="13.15" customHeight="1">
      <c r="B20" s="2271" t="s">
        <v>1957</v>
      </c>
      <c r="C20" s="2272"/>
      <c r="D20" s="2272"/>
      <c r="E20" s="2272"/>
      <c r="F20" s="2272"/>
      <c r="G20" s="2272"/>
      <c r="H20" s="2272"/>
      <c r="I20" s="2272"/>
      <c r="J20" s="2272"/>
      <c r="K20" s="2272"/>
      <c r="L20" s="2272"/>
      <c r="M20" s="2272"/>
      <c r="N20" s="2272"/>
      <c r="O20" s="2272"/>
      <c r="P20" s="2272"/>
      <c r="Q20" s="2272"/>
      <c r="R20" s="2272"/>
      <c r="S20" s="2273"/>
      <c r="T20" s="2264">
        <f>SUM(T13:X19)</f>
        <v>0</v>
      </c>
      <c r="U20" s="2265"/>
      <c r="V20" s="2265"/>
      <c r="W20" s="2265"/>
      <c r="X20" s="2265"/>
      <c r="Y20" s="2264">
        <f>SUM(Y13:AC19)</f>
        <v>0</v>
      </c>
      <c r="Z20" s="2265"/>
      <c r="AA20" s="2265"/>
      <c r="AB20" s="2265"/>
      <c r="AC20" s="2265"/>
      <c r="AD20" s="2266">
        <f>SUM(AD13:AH19)</f>
        <v>0</v>
      </c>
      <c r="AE20" s="2267"/>
      <c r="AF20" s="2267"/>
      <c r="AG20" s="2267"/>
      <c r="AH20" s="2264"/>
      <c r="AI20" s="2266">
        <f>SUM(AI13:AM19)</f>
        <v>0</v>
      </c>
      <c r="AJ20" s="2267"/>
      <c r="AK20" s="2267"/>
      <c r="AL20" s="2267"/>
      <c r="AM20" s="2264"/>
    </row>
    <row r="21" spans="1:40" ht="13.15" customHeight="1">
      <c r="B21" s="2271" t="s">
        <v>1958</v>
      </c>
      <c r="C21" s="2272"/>
      <c r="D21" s="2272"/>
      <c r="E21" s="2272"/>
      <c r="F21" s="2272"/>
      <c r="G21" s="2272"/>
      <c r="H21" s="2272"/>
      <c r="I21" s="2272"/>
      <c r="J21" s="2272"/>
      <c r="K21" s="2272"/>
      <c r="L21" s="2272"/>
      <c r="M21" s="2272"/>
      <c r="N21" s="2272"/>
      <c r="O21" s="2272"/>
      <c r="P21" s="2272"/>
      <c r="Q21" s="2272"/>
      <c r="R21" s="2272"/>
      <c r="S21" s="2273"/>
      <c r="T21" s="2262">
        <v>0</v>
      </c>
      <c r="U21" s="2263"/>
      <c r="V21" s="2263"/>
      <c r="W21" s="2263"/>
      <c r="X21" s="2263"/>
      <c r="Y21" s="2262"/>
      <c r="Z21" s="2263"/>
      <c r="AA21" s="2263"/>
      <c r="AB21" s="2263"/>
      <c r="AC21" s="2263"/>
      <c r="AD21" s="2259"/>
      <c r="AE21" s="2260"/>
      <c r="AF21" s="2260"/>
      <c r="AG21" s="2260"/>
      <c r="AH21" s="2261"/>
      <c r="AI21" s="2259"/>
      <c r="AJ21" s="2260"/>
      <c r="AK21" s="2260"/>
      <c r="AL21" s="2260"/>
      <c r="AM21" s="2261"/>
    </row>
    <row r="22" spans="1:40" ht="13.15" customHeight="1">
      <c r="B22" s="2271" t="s">
        <v>1959</v>
      </c>
      <c r="C22" s="2272"/>
      <c r="D22" s="2272"/>
      <c r="E22" s="2272"/>
      <c r="F22" s="2272"/>
      <c r="G22" s="2272"/>
      <c r="H22" s="2272"/>
      <c r="I22" s="2272"/>
      <c r="J22" s="2272"/>
      <c r="K22" s="2272"/>
      <c r="L22" s="2272"/>
      <c r="M22" s="2272"/>
      <c r="N22" s="2272"/>
      <c r="O22" s="2272"/>
      <c r="P22" s="2272"/>
      <c r="Q22" s="2272"/>
      <c r="R22" s="2272"/>
      <c r="S22" s="2273"/>
      <c r="T22" s="2297">
        <f>(ABS(T20)+ABS(T21))*-1</f>
        <v>0</v>
      </c>
      <c r="U22" s="2298"/>
      <c r="V22" s="2298"/>
      <c r="W22" s="2298"/>
      <c r="X22" s="2298"/>
      <c r="Y22" s="2297">
        <f>(Y20+Y21)*-1</f>
        <v>0</v>
      </c>
      <c r="Z22" s="2298"/>
      <c r="AA22" s="2298"/>
      <c r="AB22" s="2298"/>
      <c r="AC22" s="2298"/>
      <c r="AD22" s="2299">
        <f>(AD20)*-1</f>
        <v>0</v>
      </c>
      <c r="AE22" s="2300"/>
      <c r="AF22" s="2300"/>
      <c r="AG22" s="2300"/>
      <c r="AH22" s="2297"/>
      <c r="AI22" s="2299">
        <f>(AI20)*-1</f>
        <v>0</v>
      </c>
      <c r="AJ22" s="2300"/>
      <c r="AK22" s="2300"/>
      <c r="AL22" s="2300"/>
      <c r="AM22" s="2297"/>
    </row>
    <row r="23" spans="1:40" ht="13.15" customHeight="1">
      <c r="B23" s="2271" t="s">
        <v>1960</v>
      </c>
      <c r="C23" s="2272"/>
      <c r="D23" s="2272"/>
      <c r="E23" s="2272"/>
      <c r="F23" s="2272"/>
      <c r="G23" s="2272"/>
      <c r="H23" s="2272"/>
      <c r="I23" s="2272"/>
      <c r="J23" s="2272"/>
      <c r="K23" s="2272"/>
      <c r="L23" s="2272"/>
      <c r="M23" s="2272"/>
      <c r="N23" s="2272"/>
      <c r="O23" s="2272"/>
      <c r="P23" s="2272"/>
      <c r="Q23" s="2272"/>
      <c r="R23" s="2272"/>
      <c r="S23" s="2273"/>
      <c r="T23" s="2264">
        <f>T11+T22</f>
        <v>97756627</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40" ht="13.15" customHeight="1">
      <c r="B24" s="2271" t="s">
        <v>1961</v>
      </c>
      <c r="C24" s="2272"/>
      <c r="D24" s="2272"/>
      <c r="E24" s="2272"/>
      <c r="F24" s="2272"/>
      <c r="G24" s="2272"/>
      <c r="H24" s="2272"/>
      <c r="I24" s="2272"/>
      <c r="J24" s="2272"/>
      <c r="K24" s="2272"/>
      <c r="L24" s="2272"/>
      <c r="M24" s="2272"/>
      <c r="N24" s="2272"/>
      <c r="O24" s="2272"/>
      <c r="P24" s="2272"/>
      <c r="Q24" s="2272"/>
      <c r="R24" s="2272"/>
      <c r="S24" s="2273"/>
      <c r="T24" s="2266">
        <f>Application!AJ1062</f>
        <v>223858629.92000002</v>
      </c>
      <c r="U24" s="2267"/>
      <c r="V24" s="2267"/>
      <c r="W24" s="2267"/>
      <c r="X24" s="2267"/>
      <c r="Y24" s="2267"/>
      <c r="Z24" s="2267"/>
      <c r="AA24" s="2267"/>
      <c r="AB24" s="2267"/>
      <c r="AC24" s="2267"/>
      <c r="AD24" s="2267"/>
      <c r="AE24" s="2267"/>
      <c r="AF24" s="2267"/>
      <c r="AG24" s="2267"/>
      <c r="AH24" s="2267"/>
      <c r="AI24" s="2267"/>
      <c r="AJ24" s="2267"/>
      <c r="AK24" s="2267"/>
      <c r="AL24" s="2267"/>
      <c r="AM24" s="2264"/>
    </row>
    <row r="25" spans="1:40" ht="13.15" customHeight="1">
      <c r="B25" s="2275" t="s">
        <v>1962</v>
      </c>
      <c r="C25" s="2276"/>
      <c r="D25" s="2276"/>
      <c r="E25" s="2276"/>
      <c r="F25" s="2276"/>
      <c r="G25" s="2276"/>
      <c r="H25" s="2276"/>
      <c r="I25" s="2276"/>
      <c r="J25" s="2276"/>
      <c r="K25" s="2276"/>
      <c r="L25" s="2276"/>
      <c r="M25" s="2276"/>
      <c r="N25" s="2276"/>
      <c r="O25" s="2276"/>
      <c r="P25" s="2276"/>
      <c r="Q25" s="2276"/>
      <c r="R25" s="2276"/>
      <c r="S25" s="2277"/>
      <c r="T25" s="2301">
        <f>IF(OR(Application!T196="yes",Application!T195="yes"),1.3,1)</f>
        <v>1.3</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3.15" customHeight="1">
      <c r="B26" s="2271" t="s">
        <v>1963</v>
      </c>
      <c r="C26" s="2272"/>
      <c r="D26" s="2272"/>
      <c r="E26" s="2272"/>
      <c r="F26" s="2272"/>
      <c r="G26" s="2272"/>
      <c r="H26" s="2272"/>
      <c r="I26" s="2272"/>
      <c r="J26" s="2272"/>
      <c r="K26" s="2272"/>
      <c r="L26" s="2272"/>
      <c r="M26" s="2272"/>
      <c r="N26" s="2272"/>
      <c r="O26" s="2272"/>
      <c r="P26" s="2272"/>
      <c r="Q26" s="2272"/>
      <c r="R26" s="2272"/>
      <c r="S26" s="2273"/>
      <c r="T26" s="2264">
        <f>T23*T25</f>
        <v>127083615.10000001</v>
      </c>
      <c r="U26" s="2265"/>
      <c r="V26" s="2265"/>
      <c r="W26" s="2265"/>
      <c r="X26" s="2265"/>
      <c r="Y26" s="2264">
        <f>Y23*Y25</f>
        <v>0</v>
      </c>
      <c r="Z26" s="2265"/>
      <c r="AA26" s="2265"/>
      <c r="AB26" s="2265"/>
      <c r="AC26" s="2265"/>
      <c r="AD26" s="2264">
        <f>AD23*AD25</f>
        <v>0</v>
      </c>
      <c r="AE26" s="2265"/>
      <c r="AF26" s="2265"/>
      <c r="AG26" s="2265"/>
      <c r="AH26" s="2265"/>
      <c r="AI26" s="2264">
        <f>AI23*AI25</f>
        <v>0</v>
      </c>
      <c r="AJ26" s="2265"/>
      <c r="AK26" s="2265"/>
      <c r="AL26" s="2265"/>
      <c r="AM26" s="2265"/>
    </row>
    <row r="27" spans="1:40" ht="13.15" customHeight="1">
      <c r="A27" s="281"/>
      <c r="B27" s="2278" t="s">
        <v>1964</v>
      </c>
      <c r="C27" s="2279"/>
      <c r="D27" s="2279"/>
      <c r="E27" s="2279"/>
      <c r="F27" s="2279"/>
      <c r="G27" s="2279"/>
      <c r="H27" s="2279"/>
      <c r="I27" s="2279"/>
      <c r="J27" s="2279"/>
      <c r="K27" s="2279"/>
      <c r="L27" s="2279"/>
      <c r="M27" s="2279"/>
      <c r="N27" s="2279"/>
      <c r="O27" s="2279"/>
      <c r="P27" s="2279"/>
      <c r="Q27" s="2279"/>
      <c r="R27" s="2279"/>
      <c r="S27" s="2280"/>
      <c r="T27" s="2284">
        <f>Application!$AG$454</f>
        <v>1</v>
      </c>
      <c r="U27" s="2285"/>
      <c r="V27" s="2285"/>
      <c r="W27" s="2285"/>
      <c r="X27" s="2285"/>
      <c r="Y27" s="2284">
        <f>Application!$AG$454</f>
        <v>1</v>
      </c>
      <c r="Z27" s="2285"/>
      <c r="AA27" s="2285"/>
      <c r="AB27" s="2285"/>
      <c r="AC27" s="2285"/>
      <c r="AD27" s="2284">
        <f>Application!$AG$454</f>
        <v>1</v>
      </c>
      <c r="AE27" s="2285"/>
      <c r="AF27" s="2285"/>
      <c r="AG27" s="2285"/>
      <c r="AH27" s="2285"/>
      <c r="AI27" s="2284">
        <f>Application!$AG$454</f>
        <v>1</v>
      </c>
      <c r="AJ27" s="2285"/>
      <c r="AK27" s="2285"/>
      <c r="AL27" s="2285"/>
      <c r="AM27" s="2285"/>
    </row>
    <row r="28" spans="1:40" ht="13.15" customHeight="1">
      <c r="A28" s="275"/>
      <c r="B28" s="2271" t="s">
        <v>1965</v>
      </c>
      <c r="C28" s="2272"/>
      <c r="D28" s="2272"/>
      <c r="E28" s="2272"/>
      <c r="F28" s="2272"/>
      <c r="G28" s="2272"/>
      <c r="H28" s="2272"/>
      <c r="I28" s="2272"/>
      <c r="J28" s="2272"/>
      <c r="K28" s="2272"/>
      <c r="L28" s="2272"/>
      <c r="M28" s="2272"/>
      <c r="N28" s="2272"/>
      <c r="O28" s="2272"/>
      <c r="P28" s="2272"/>
      <c r="Q28" s="2272"/>
      <c r="R28" s="2272"/>
      <c r="S28" s="2273"/>
      <c r="T28" s="2264">
        <f>IF(ISERROR((T26*T27)),0,(T26*T27))</f>
        <v>127083615.10000001</v>
      </c>
      <c r="U28" s="2265"/>
      <c r="V28" s="2265"/>
      <c r="W28" s="2265"/>
      <c r="X28" s="2265"/>
      <c r="Y28" s="2264">
        <f>IF(ISERROR((Y26*Y27)),0,(Y26*Y27))</f>
        <v>0</v>
      </c>
      <c r="Z28" s="2265"/>
      <c r="AA28" s="2265"/>
      <c r="AB28" s="2265"/>
      <c r="AC28" s="2265"/>
      <c r="AD28" s="2264">
        <f>IF(ISERROR((AD26*AD27)),0,(AD26*AD27))</f>
        <v>0</v>
      </c>
      <c r="AE28" s="2265"/>
      <c r="AF28" s="2265"/>
      <c r="AG28" s="2265"/>
      <c r="AH28" s="2265"/>
      <c r="AI28" s="2264">
        <f>IF(ISERROR((AI26*AI27)),0,(AI26*AI27))</f>
        <v>0</v>
      </c>
      <c r="AJ28" s="2265"/>
      <c r="AK28" s="2265"/>
      <c r="AL28" s="2265"/>
      <c r="AM28" s="2265"/>
    </row>
    <row r="29" spans="1:40" ht="13.15" customHeight="1">
      <c r="B29" s="2271" t="s">
        <v>1966</v>
      </c>
      <c r="C29" s="2272"/>
      <c r="D29" s="2272"/>
      <c r="E29" s="2272"/>
      <c r="F29" s="2272"/>
      <c r="G29" s="2272"/>
      <c r="H29" s="2272"/>
      <c r="I29" s="2272"/>
      <c r="J29" s="2272"/>
      <c r="K29" s="2272"/>
      <c r="L29" s="2272"/>
      <c r="M29" s="2272"/>
      <c r="N29" s="2272"/>
      <c r="O29" s="2272"/>
      <c r="P29" s="2272"/>
      <c r="Q29" s="2272"/>
      <c r="R29" s="2272"/>
      <c r="S29" s="2273"/>
      <c r="T29" s="2266">
        <f>T28+Y28+AD28+AI28</f>
        <v>127083615.10000001</v>
      </c>
      <c r="U29" s="2267"/>
      <c r="V29" s="2267"/>
      <c r="W29" s="2267"/>
      <c r="X29" s="2267"/>
      <c r="Y29" s="2267"/>
      <c r="Z29" s="2267"/>
      <c r="AA29" s="2267"/>
      <c r="AB29" s="2267"/>
      <c r="AC29" s="2267"/>
      <c r="AD29" s="2267"/>
      <c r="AE29" s="2267"/>
      <c r="AF29" s="2267"/>
      <c r="AG29" s="2267"/>
      <c r="AH29" s="2267"/>
      <c r="AI29" s="2267"/>
      <c r="AJ29" s="2267"/>
      <c r="AK29" s="2267"/>
      <c r="AL29" s="2267"/>
      <c r="AM29" s="2264"/>
    </row>
    <row r="30" spans="1:40" ht="13.15" customHeight="1">
      <c r="B30" s="2274" t="s">
        <v>1967</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40" ht="13.15" customHeight="1">
      <c r="B31" s="2274" t="s">
        <v>1968</v>
      </c>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370"/>
    </row>
    <row r="32" spans="1:40" ht="13.15" customHeight="1">
      <c r="B32" s="1118"/>
      <c r="C32" s="363" t="s">
        <v>1969</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3.15" customHeight="1"/>
    <row r="34" spans="1:76" ht="13.15" customHeight="1">
      <c r="A34" s="275" t="s">
        <v>913</v>
      </c>
      <c r="C34" s="275" t="s">
        <v>279</v>
      </c>
    </row>
    <row r="35" spans="1:76" ht="13.1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2" t="s">
        <v>1970</v>
      </c>
      <c r="Z35" s="2292"/>
      <c r="AA35" s="2292"/>
      <c r="AB35" s="2292"/>
      <c r="AC35" s="2292"/>
      <c r="AD35" s="2312" t="s">
        <v>1971</v>
      </c>
      <c r="AE35" s="2312"/>
      <c r="AF35" s="2312"/>
      <c r="AG35" s="2312"/>
      <c r="AH35" s="2312"/>
    </row>
    <row r="36" spans="1:76" ht="13.15" customHeight="1">
      <c r="B36" s="278"/>
      <c r="X36" s="283"/>
      <c r="Y36" s="2292"/>
      <c r="Z36" s="2292"/>
      <c r="AA36" s="2292"/>
      <c r="AB36" s="2292"/>
      <c r="AC36" s="2292"/>
      <c r="AD36" s="2312"/>
      <c r="AE36" s="2312"/>
      <c r="AF36" s="2312"/>
      <c r="AG36" s="2312"/>
      <c r="AH36" s="2312"/>
    </row>
    <row r="37" spans="1:76" ht="13.1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2"/>
      <c r="Z37" s="2292"/>
      <c r="AA37" s="2292"/>
      <c r="AB37" s="2292"/>
      <c r="AC37" s="2292"/>
      <c r="AD37" s="2312"/>
      <c r="AE37" s="2312"/>
      <c r="AF37" s="2312"/>
      <c r="AG37" s="2312"/>
      <c r="AH37" s="2312"/>
    </row>
    <row r="38" spans="1:76" ht="13.15" customHeight="1">
      <c r="A38" s="275"/>
      <c r="B38" s="2271" t="s">
        <v>1965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127083615.10000001</v>
      </c>
      <c r="Z38" s="2265"/>
      <c r="AA38" s="2265"/>
      <c r="AB38" s="2265"/>
      <c r="AC38" s="2265"/>
      <c r="AD38" s="2265">
        <f>IF(T24&gt;=(T23+Y23+AD23+AI23),AD28+AI28,0)</f>
        <v>0</v>
      </c>
      <c r="AE38" s="2265"/>
      <c r="AF38" s="2265"/>
      <c r="AG38" s="2265"/>
      <c r="AH38" s="2265"/>
    </row>
    <row r="39" spans="1:76" ht="13.15" customHeight="1">
      <c r="B39" s="2271" t="s">
        <v>1972</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313">
        <v>0.04</v>
      </c>
      <c r="Z39" s="2313"/>
      <c r="AA39" s="2313"/>
      <c r="AB39" s="2313"/>
      <c r="AC39" s="2313"/>
      <c r="AD39" s="2313">
        <v>0.04</v>
      </c>
      <c r="AE39" s="2313"/>
      <c r="AF39" s="2313"/>
      <c r="AG39" s="2313"/>
      <c r="AH39" s="2313"/>
    </row>
    <row r="40" spans="1:76" ht="13.15" customHeight="1">
      <c r="A40" s="275"/>
      <c r="B40" s="2271" t="s">
        <v>1973</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5083345</v>
      </c>
      <c r="Z40" s="2265"/>
      <c r="AA40" s="2265"/>
      <c r="AB40" s="2265"/>
      <c r="AC40" s="2265"/>
      <c r="AD40" s="2264">
        <f>ROUND(AD38*AD39,0)</f>
        <v>0</v>
      </c>
      <c r="AE40" s="2265"/>
      <c r="AF40" s="2265"/>
      <c r="AG40" s="2265"/>
      <c r="AH40" s="2265"/>
    </row>
    <row r="41" spans="1:76" ht="13.15" customHeight="1">
      <c r="B41" s="2271" t="s">
        <v>1974</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6">
        <f>Y40+AD40</f>
        <v>5083345</v>
      </c>
      <c r="Z41" s="2267"/>
      <c r="AA41" s="2267"/>
      <c r="AB41" s="2267"/>
      <c r="AC41" s="2267"/>
      <c r="AD41" s="2267"/>
      <c r="AE41" s="2267"/>
      <c r="AF41" s="2267"/>
      <c r="AG41" s="2267"/>
      <c r="AH41" s="2264"/>
    </row>
    <row r="42" spans="1:76" ht="13.1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3.1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3.15" customHeight="1" thickBot="1">
      <c r="A44" s="2269" t="s">
        <v>1975</v>
      </c>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c r="AS44" s="2269"/>
      <c r="AT44" s="2269"/>
      <c r="AU44" s="2269"/>
      <c r="AV44" s="2269"/>
      <c r="AW44" s="2269"/>
      <c r="AX44" s="2269"/>
      <c r="AY44" s="2269"/>
      <c r="AZ44" s="2269"/>
      <c r="BA44" s="2269"/>
      <c r="BB44" s="2269"/>
      <c r="BC44" s="2269"/>
      <c r="BD44" s="2269"/>
      <c r="BE44" s="2269"/>
      <c r="BF44" s="2269"/>
      <c r="BG44" s="2269"/>
      <c r="BH44" s="2269"/>
      <c r="BI44" s="2269"/>
      <c r="BJ44" s="2269"/>
      <c r="BK44" s="2269"/>
      <c r="BL44" s="2269"/>
      <c r="BM44" s="2269"/>
      <c r="BN44" s="2269"/>
      <c r="BO44" s="2269"/>
      <c r="BP44" s="2269"/>
      <c r="BQ44" s="2269"/>
      <c r="BR44" s="2269"/>
      <c r="BS44" s="2269"/>
      <c r="BT44" s="2269"/>
      <c r="BU44" s="2269"/>
      <c r="BV44" s="2269"/>
      <c r="BW44" s="2269"/>
      <c r="BX44" s="2269"/>
    </row>
    <row r="45" spans="1:76" s="114" customFormat="1" ht="13.15" customHeight="1" thickTop="1"/>
    <row r="46" spans="1:76" ht="13.15" customHeight="1">
      <c r="A46" s="275" t="s">
        <v>989</v>
      </c>
      <c r="C46" s="275" t="s">
        <v>282</v>
      </c>
    </row>
    <row r="47" spans="1:76" ht="13.15" customHeight="1">
      <c r="D47" s="275" t="s">
        <v>679</v>
      </c>
      <c r="AB47" s="2281">
        <f>'Sources and Uses Budget'!B105-MAX(IF('Sources and Uses Budget'!B15="",0,'Sources and Uses Budget'!B15),IF(Application!AG403="",0,Application!AG403))</f>
        <v>112607197</v>
      </c>
      <c r="AC47" s="2282"/>
      <c r="AD47" s="2282"/>
      <c r="AE47" s="2282"/>
      <c r="AF47" s="2283"/>
    </row>
    <row r="48" spans="1:76" ht="13.15" customHeight="1">
      <c r="D48" s="275" t="s">
        <v>175</v>
      </c>
      <c r="AB48" s="2281">
        <f>Application!AO647-MAX(IF('Sources and Uses Budget'!B15="",0,'Sources and Uses Budget'!B15),IF(Application!AG403="",0,Application!AG403))</f>
        <v>62049823</v>
      </c>
      <c r="AC48" s="2282"/>
      <c r="AD48" s="2282"/>
      <c r="AE48" s="2282"/>
      <c r="AF48" s="2283"/>
    </row>
    <row r="49" spans="1:76" ht="13.15" customHeight="1">
      <c r="D49" s="275" t="s">
        <v>1976</v>
      </c>
      <c r="AB49" s="2281">
        <f>AB47-AB48</f>
        <v>50557374</v>
      </c>
      <c r="AC49" s="2282"/>
      <c r="AD49" s="2282"/>
      <c r="AE49" s="2282"/>
      <c r="AF49" s="2283"/>
    </row>
    <row r="50" spans="1:76" ht="13.15" customHeight="1">
      <c r="D50" s="275" t="s">
        <v>1977</v>
      </c>
      <c r="AA50" s="286"/>
      <c r="AB50" s="2308">
        <v>0.88613228100788</v>
      </c>
      <c r="AC50" s="2309"/>
      <c r="AD50" s="2309"/>
      <c r="AE50" s="2309"/>
      <c r="AF50" s="2310"/>
    </row>
    <row r="51" spans="1:76" s="287" customFormat="1" ht="13.15" customHeight="1">
      <c r="A51" s="273"/>
      <c r="B51" s="273"/>
      <c r="C51" s="273"/>
      <c r="D51" s="273"/>
      <c r="E51" s="2311" t="s">
        <v>1978</v>
      </c>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1045"/>
      <c r="AB51" s="1045"/>
      <c r="AC51" s="1045"/>
      <c r="AD51" s="1045"/>
      <c r="AE51" s="1045"/>
      <c r="AF51" s="1045"/>
      <c r="AG51" s="273"/>
      <c r="AH51" s="273"/>
      <c r="AI51" s="273"/>
      <c r="AJ51" s="273"/>
      <c r="AK51" s="273"/>
      <c r="AL51" s="273"/>
      <c r="AM51" s="273"/>
      <c r="AN51" s="273"/>
    </row>
    <row r="52" spans="1:76" s="287" customFormat="1" ht="13.15" customHeight="1">
      <c r="A52" s="273"/>
      <c r="B52" s="273"/>
      <c r="C52" s="273"/>
      <c r="D52" s="273"/>
      <c r="E52" s="2311"/>
      <c r="F52" s="2311"/>
      <c r="G52" s="2311"/>
      <c r="H52" s="2311"/>
      <c r="I52" s="2311"/>
      <c r="J52" s="2311"/>
      <c r="K52" s="2311"/>
      <c r="L52" s="2311"/>
      <c r="M52" s="2311"/>
      <c r="N52" s="2311"/>
      <c r="O52" s="2311"/>
      <c r="P52" s="2311"/>
      <c r="Q52" s="2311"/>
      <c r="R52" s="2311"/>
      <c r="S52" s="2311"/>
      <c r="T52" s="2311"/>
      <c r="U52" s="2311"/>
      <c r="V52" s="2311"/>
      <c r="W52" s="2311"/>
      <c r="X52" s="2311"/>
      <c r="Y52" s="2311"/>
      <c r="Z52" s="2311"/>
      <c r="AA52" s="288"/>
      <c r="AB52" s="288"/>
      <c r="AC52" s="288"/>
      <c r="AD52" s="288"/>
      <c r="AE52" s="288"/>
      <c r="AF52" s="288"/>
      <c r="AG52" s="289"/>
      <c r="AH52" s="273"/>
      <c r="AI52" s="273"/>
      <c r="AJ52" s="273"/>
      <c r="AK52" s="273"/>
      <c r="AL52" s="273"/>
      <c r="AM52" s="273"/>
      <c r="AN52" s="273"/>
    </row>
    <row r="53" spans="1:76" ht="13.1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3.15" customHeight="1">
      <c r="D54" s="275" t="s">
        <v>1979</v>
      </c>
      <c r="AB54" s="2281">
        <f>ROUND(IF(ISERROR((AB49/AB50)),0,(AB49/AB50)),0)</f>
        <v>57053981</v>
      </c>
      <c r="AC54" s="2282"/>
      <c r="AD54" s="2282"/>
      <c r="AE54" s="2282"/>
      <c r="AF54" s="2283"/>
    </row>
    <row r="55" spans="1:76" ht="13.15" customHeight="1">
      <c r="D55" s="275" t="s">
        <v>1980</v>
      </c>
      <c r="AB55" s="2281">
        <f>(AB54/10)</f>
        <v>5705398.0999999996</v>
      </c>
      <c r="AC55" s="2282"/>
      <c r="AD55" s="2282"/>
      <c r="AE55" s="2282"/>
      <c r="AF55" s="2283"/>
    </row>
    <row r="56" spans="1:76" ht="13.15" customHeight="1">
      <c r="D56" s="275" t="s">
        <v>1981</v>
      </c>
      <c r="AB56" s="2281">
        <f>ROUND((IF((Y41&lt;AB55),Y41,AB55)),0)</f>
        <v>5083345</v>
      </c>
      <c r="AC56" s="2282"/>
      <c r="AD56" s="2282"/>
      <c r="AE56" s="2282"/>
      <c r="AF56" s="2283"/>
    </row>
    <row r="57" spans="1:76" ht="13.15" customHeight="1">
      <c r="D57" s="275" t="s">
        <v>1982</v>
      </c>
      <c r="AB57" s="2281">
        <f>ROUND((10*AB56*AB50),0)</f>
        <v>45045161</v>
      </c>
      <c r="AC57" s="2282"/>
      <c r="AD57" s="2282"/>
      <c r="AE57" s="2282"/>
      <c r="AF57" s="2283"/>
    </row>
    <row r="58" spans="1:76" ht="13.15" customHeight="1">
      <c r="D58" s="275"/>
      <c r="AB58" s="293"/>
      <c r="AC58" s="293"/>
      <c r="AD58" s="293"/>
      <c r="AE58" s="293"/>
      <c r="AF58" s="293"/>
    </row>
    <row r="59" spans="1:76" ht="13.15" customHeight="1">
      <c r="D59" s="275" t="s">
        <v>1983</v>
      </c>
      <c r="AB59" s="2304">
        <f>AB49-AB57</f>
        <v>5512213</v>
      </c>
      <c r="AC59" s="2304"/>
      <c r="AD59" s="2304"/>
      <c r="AE59" s="2304"/>
      <c r="AF59" s="2304"/>
    </row>
    <row r="60" spans="1:76" ht="13.15" customHeight="1">
      <c r="D60" s="275"/>
      <c r="AB60" s="293"/>
      <c r="AC60" s="293"/>
      <c r="AD60" s="293"/>
      <c r="AE60" s="293"/>
      <c r="AF60" s="293"/>
    </row>
    <row r="61" spans="1:76" s="114" customFormat="1" ht="13.15" customHeight="1" thickBot="1">
      <c r="A61" s="2269" t="str">
        <f>IF(Application!AP205="yes","Farmworker State Credit", "State Credit" )</f>
        <v>State Credit</v>
      </c>
      <c r="B61" s="2269"/>
      <c r="C61" s="2269"/>
      <c r="D61" s="2269"/>
      <c r="E61" s="2269"/>
      <c r="F61" s="2269"/>
      <c r="G61" s="2269"/>
      <c r="H61" s="2269"/>
      <c r="I61" s="2269"/>
      <c r="J61" s="2269"/>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69"/>
      <c r="AX61" s="2269"/>
      <c r="AY61" s="2269"/>
      <c r="AZ61" s="2269"/>
      <c r="BA61" s="2269"/>
      <c r="BB61" s="2269"/>
      <c r="BC61" s="2269"/>
      <c r="BD61" s="2269"/>
      <c r="BE61" s="2269"/>
      <c r="BF61" s="2269"/>
      <c r="BG61" s="2269"/>
      <c r="BH61" s="2269"/>
      <c r="BI61" s="2269"/>
      <c r="BJ61" s="2269"/>
      <c r="BK61" s="2269"/>
      <c r="BL61" s="2269"/>
      <c r="BM61" s="2269"/>
      <c r="BN61" s="2269"/>
      <c r="BO61" s="2269"/>
      <c r="BP61" s="2269"/>
      <c r="BQ61" s="2269"/>
      <c r="BR61" s="2269"/>
      <c r="BS61" s="2269"/>
      <c r="BT61" s="2269"/>
      <c r="BU61" s="2269"/>
      <c r="BV61" s="2269"/>
      <c r="BW61" s="2269"/>
      <c r="BX61" s="2269"/>
    </row>
    <row r="62" spans="1:76" s="114" customFormat="1" ht="13.15" customHeight="1" thickTop="1"/>
    <row r="63" spans="1:76" ht="13.15" customHeight="1">
      <c r="A63" s="275" t="s">
        <v>1007</v>
      </c>
      <c r="C63" s="115" t="s">
        <v>1984</v>
      </c>
      <c r="Y63" s="2305" t="s">
        <v>1985</v>
      </c>
      <c r="Z63" s="2305"/>
      <c r="AA63" s="2305"/>
      <c r="AB63" s="2305"/>
      <c r="AC63" s="2305"/>
      <c r="AD63" s="2305" t="s">
        <v>1971</v>
      </c>
      <c r="AE63" s="2305"/>
      <c r="AF63" s="2305"/>
      <c r="AG63" s="2305"/>
      <c r="AH63" s="2305"/>
    </row>
    <row r="64" spans="1:76" ht="13.15" customHeight="1">
      <c r="C64" s="275"/>
      <c r="D64" s="251" t="s">
        <v>1986</v>
      </c>
      <c r="E64" s="290"/>
      <c r="F64" s="290"/>
      <c r="G64" s="290"/>
      <c r="H64" s="290"/>
      <c r="I64" s="290"/>
      <c r="J64" s="290"/>
      <c r="K64" s="290"/>
      <c r="L64" s="290"/>
      <c r="M64" s="290"/>
      <c r="N64" s="290"/>
      <c r="O64" s="290"/>
      <c r="P64" s="290"/>
      <c r="Q64" s="290"/>
      <c r="R64" s="290"/>
      <c r="S64" s="290"/>
      <c r="T64" s="290"/>
      <c r="U64" s="290"/>
      <c r="V64" s="290"/>
      <c r="W64" s="290"/>
      <c r="X64" s="290"/>
      <c r="Y64" s="2266">
        <f>IF(Application!$Z$205="(select)",0,((T23*T27)+Y28))</f>
        <v>97756627</v>
      </c>
      <c r="Z64" s="2306"/>
      <c r="AA64" s="2306"/>
      <c r="AB64" s="2306"/>
      <c r="AC64" s="2307"/>
      <c r="AD64" s="2266">
        <f>IF(AND(OR(Application!D211="At-Risk",Application!D211="At-Risk and Special Needs"),Application!M367="yes"),AD28+AI28,0)</f>
        <v>0</v>
      </c>
      <c r="AE64" s="2306"/>
      <c r="AF64" s="2306"/>
      <c r="AG64" s="2306"/>
      <c r="AH64" s="2307"/>
    </row>
    <row r="65" spans="1:37" ht="13.15" customHeight="1">
      <c r="C65" s="275"/>
      <c r="E65" s="800" t="s">
        <v>1987</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1988</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3.15" customHeight="1">
      <c r="C67" s="275"/>
      <c r="D67" s="275" t="s">
        <v>1989</v>
      </c>
      <c r="E67" s="291"/>
      <c r="F67" s="291"/>
      <c r="G67" s="291"/>
      <c r="H67" s="291"/>
      <c r="I67" s="291"/>
      <c r="J67" s="291"/>
      <c r="K67" s="291"/>
      <c r="L67" s="291"/>
      <c r="M67" s="291"/>
      <c r="N67" s="291"/>
      <c r="O67" s="291"/>
      <c r="P67" s="291"/>
      <c r="Q67" s="291"/>
      <c r="R67" s="291"/>
      <c r="S67" s="291"/>
      <c r="T67" s="291"/>
      <c r="U67" s="291"/>
      <c r="V67" s="291"/>
      <c r="W67" s="291"/>
      <c r="X67" s="291"/>
      <c r="Y67" s="2319">
        <f>IF(OR(Application!Z205="State Farmworker Credit",Application!Z205="$500M (Farmworker Housing)"),0.75,IF(Application!Z205="15% set-aside",0.13,IF(Application!Z205="15% set-aside with qualifying low value rehab",0.95,IF(Application!Z205="$500M",0.3,0))))</f>
        <v>0.3</v>
      </c>
      <c r="Z67" s="2319"/>
      <c r="AA67" s="2319"/>
      <c r="AB67" s="2319"/>
      <c r="AC67" s="2319"/>
      <c r="AD67" s="2319">
        <f>IF(Application!Z205="15% set-aside with qualifying low value rehab", 0.95,IF(OR(Application!D211="At-Risk",'Points System'!B26="Yes"),0.13,0))</f>
        <v>0</v>
      </c>
      <c r="AE67" s="2319"/>
      <c r="AF67" s="2319"/>
      <c r="AG67" s="2319"/>
      <c r="AH67" s="2319"/>
    </row>
    <row r="68" spans="1:37" ht="13.15" customHeight="1">
      <c r="C68" s="275"/>
      <c r="D68" s="115" t="s">
        <v>1990</v>
      </c>
      <c r="Y68" s="2265">
        <f>IF(AND(T25=1.3,OR(Y67=0.13,Y67=0.95),NOT(Application!T212&gt;=50%)),0,ROUND(Y64*Y67,0))</f>
        <v>29326988</v>
      </c>
      <c r="Z68" s="2320"/>
      <c r="AA68" s="2320"/>
      <c r="AB68" s="2320"/>
      <c r="AC68" s="2320"/>
      <c r="AD68" s="2265">
        <f>IF(AND(T25=1.3,AD67&gt;0,NOT(Application!T212&gt;=50%)),0,ROUND(AD64*AD67,0))</f>
        <v>0</v>
      </c>
      <c r="AE68" s="2320"/>
      <c r="AF68" s="2320"/>
      <c r="AG68" s="2320"/>
      <c r="AH68" s="2320"/>
      <c r="AK68" s="971"/>
    </row>
    <row r="69" spans="1:37" ht="13.15" customHeight="1">
      <c r="C69" s="275"/>
      <c r="D69" s="115" t="s">
        <v>1991</v>
      </c>
      <c r="Y69" s="2265">
        <f>IF(OR(Application!Z205="State Farmworker Credit",Application!Z205="$500M (Farmworker Housing)"),Y68+AD68,MIN(Y68+AD68,200000*(Application!G761+Application!O785)))</f>
        <v>29326988</v>
      </c>
      <c r="Z69" s="2265"/>
      <c r="AA69" s="2265"/>
      <c r="AB69" s="2265"/>
      <c r="AC69" s="2265"/>
      <c r="AD69" s="2265"/>
      <c r="AE69" s="2265"/>
      <c r="AF69" s="2265"/>
      <c r="AG69" s="2265"/>
      <c r="AH69" s="2265"/>
    </row>
    <row r="70" spans="1:37" ht="13.15" customHeight="1">
      <c r="C70" s="275"/>
      <c r="E70" s="275"/>
      <c r="AB70" s="292"/>
      <c r="AC70" s="292"/>
      <c r="AD70" s="292"/>
      <c r="AE70" s="292"/>
      <c r="AF70" s="292"/>
    </row>
    <row r="71" spans="1:37" ht="13.15" customHeight="1">
      <c r="A71" s="275" t="s">
        <v>1018</v>
      </c>
      <c r="C71" s="115" t="s">
        <v>288</v>
      </c>
    </row>
    <row r="72" spans="1:37" ht="13.15" customHeight="1">
      <c r="A72" s="275"/>
      <c r="C72" s="275"/>
      <c r="D72" s="115" t="s">
        <v>733</v>
      </c>
      <c r="AB72" s="2308">
        <v>0.83999991466223201</v>
      </c>
      <c r="AC72" s="2309"/>
      <c r="AD72" s="2309"/>
      <c r="AE72" s="2309"/>
      <c r="AF72" s="2310"/>
    </row>
    <row r="73" spans="1:37" ht="13.15" customHeight="1">
      <c r="A73" s="275"/>
      <c r="C73" s="275"/>
      <c r="D73" s="275"/>
      <c r="E73" s="2321" t="s">
        <v>1992</v>
      </c>
      <c r="F73" s="2321"/>
      <c r="G73" s="2321"/>
      <c r="H73" s="2321"/>
      <c r="I73" s="2321"/>
      <c r="J73" s="2321"/>
      <c r="K73" s="2321"/>
      <c r="L73" s="2321"/>
      <c r="M73" s="2321"/>
      <c r="N73" s="2321"/>
      <c r="O73" s="2321"/>
      <c r="P73" s="2321"/>
      <c r="Q73" s="2321"/>
      <c r="R73" s="2321"/>
      <c r="S73" s="2321"/>
      <c r="T73" s="2321"/>
      <c r="U73" s="2321"/>
      <c r="V73" s="2321"/>
      <c r="W73" s="2321"/>
      <c r="X73" s="2321"/>
      <c r="Y73" s="2321"/>
      <c r="Z73" s="2321"/>
      <c r="AA73" s="2321"/>
      <c r="AB73" s="307"/>
      <c r="AC73" s="307"/>
    </row>
    <row r="74" spans="1:37" ht="13.15" customHeight="1">
      <c r="A74" s="275"/>
      <c r="C74" s="275"/>
      <c r="D74" s="275"/>
      <c r="E74" s="2321"/>
      <c r="F74" s="2321"/>
      <c r="G74" s="2321"/>
      <c r="H74" s="2321"/>
      <c r="I74" s="2321"/>
      <c r="J74" s="2321"/>
      <c r="K74" s="2321"/>
      <c r="L74" s="2321"/>
      <c r="M74" s="2321"/>
      <c r="N74" s="2321"/>
      <c r="O74" s="2321"/>
      <c r="P74" s="2321"/>
      <c r="Q74" s="2321"/>
      <c r="R74" s="2321"/>
      <c r="S74" s="2321"/>
      <c r="T74" s="2321"/>
      <c r="U74" s="2321"/>
      <c r="V74" s="2321"/>
      <c r="W74" s="2321"/>
      <c r="X74" s="2321"/>
      <c r="Y74" s="2321"/>
      <c r="Z74" s="2321"/>
      <c r="AA74" s="2321"/>
      <c r="AB74" s="307"/>
      <c r="AC74" s="307"/>
    </row>
    <row r="75" spans="1:37" ht="13.15" customHeight="1">
      <c r="A75" s="275"/>
      <c r="C75" s="275"/>
      <c r="D75" s="275"/>
      <c r="E75" s="2321"/>
      <c r="F75" s="2321"/>
      <c r="G75" s="2321"/>
      <c r="H75" s="2321"/>
      <c r="I75" s="2321"/>
      <c r="J75" s="2321"/>
      <c r="K75" s="2321"/>
      <c r="L75" s="2321"/>
      <c r="M75" s="2321"/>
      <c r="N75" s="2321"/>
      <c r="O75" s="2321"/>
      <c r="P75" s="2321"/>
      <c r="Q75" s="2321"/>
      <c r="R75" s="2321"/>
      <c r="S75" s="2321"/>
      <c r="T75" s="2321"/>
      <c r="U75" s="2321"/>
      <c r="V75" s="2321"/>
      <c r="W75" s="2321"/>
      <c r="X75" s="2321"/>
      <c r="Y75" s="2321"/>
      <c r="Z75" s="2321"/>
      <c r="AA75" s="2321"/>
      <c r="AB75" s="307"/>
      <c r="AC75" s="307"/>
    </row>
    <row r="76" spans="1:37" ht="13.1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3.15" customHeight="1">
      <c r="C77" s="275"/>
      <c r="D77" s="115" t="s">
        <v>1993</v>
      </c>
      <c r="AB77" s="2314">
        <f>ROUND(IF(ISERROR((AB59/AB72)),0,(AB59/AB72)),0)</f>
        <v>6562159</v>
      </c>
      <c r="AC77" s="2314"/>
      <c r="AD77" s="2314"/>
      <c r="AE77" s="2314"/>
      <c r="AF77" s="2314"/>
    </row>
    <row r="78" spans="1:37" ht="13.15" customHeight="1">
      <c r="C78" s="275"/>
      <c r="D78" s="115" t="s">
        <v>1994</v>
      </c>
      <c r="AB78" s="2315">
        <f>ROUNDUP(MIN(Y69,AB77),0)</f>
        <v>6562159</v>
      </c>
      <c r="AC78" s="2316"/>
      <c r="AD78" s="2316"/>
      <c r="AE78" s="2316"/>
      <c r="AF78" s="2317"/>
    </row>
    <row r="79" spans="1:37" ht="13.15" customHeight="1">
      <c r="C79" s="275"/>
      <c r="D79" s="115" t="s">
        <v>1995</v>
      </c>
      <c r="AB79" s="2318">
        <f>AB78*AB72</f>
        <v>5512212.9999999981</v>
      </c>
      <c r="AC79" s="2318"/>
      <c r="AD79" s="2318"/>
      <c r="AE79" s="2318"/>
      <c r="AF79" s="2318"/>
    </row>
    <row r="80" spans="1:37" ht="13.15" customHeight="1">
      <c r="C80" s="275"/>
      <c r="D80" s="275"/>
      <c r="AB80" s="295"/>
      <c r="AC80" s="295"/>
      <c r="AD80" s="295"/>
      <c r="AE80" s="295"/>
      <c r="AF80" s="295"/>
    </row>
    <row r="81" spans="1:78" ht="13.15" customHeight="1">
      <c r="D81" s="275" t="s">
        <v>1983</v>
      </c>
      <c r="AB81" s="2304">
        <f>AB49-(AB57+AB79)</f>
        <v>0</v>
      </c>
      <c r="AC81" s="2304"/>
      <c r="AD81" s="2304"/>
      <c r="AE81" s="2304"/>
      <c r="AF81" s="2304"/>
    </row>
    <row r="82" spans="1:78" ht="13.15" customHeight="1">
      <c r="F82" s="373"/>
      <c r="J82" s="373" t="str">
        <f>IF(AB81&gt;0,"FUNDING GAP MUST NOT EXCEED ZERO","")</f>
        <v/>
      </c>
    </row>
    <row r="83" spans="1:78" ht="13.15" customHeight="1">
      <c r="D83" s="374"/>
    </row>
    <row r="84" spans="1:78" ht="13.15" customHeight="1" thickBot="1">
      <c r="A84" s="2269"/>
      <c r="B84" s="2269"/>
      <c r="C84" s="2269"/>
      <c r="D84" s="2269"/>
      <c r="E84" s="2269"/>
      <c r="F84" s="2269"/>
      <c r="G84" s="2269"/>
      <c r="H84" s="2269"/>
      <c r="I84" s="2269"/>
      <c r="J84" s="2269"/>
      <c r="K84" s="2269"/>
      <c r="L84" s="2269"/>
      <c r="M84" s="2269"/>
      <c r="N84" s="2269"/>
      <c r="O84" s="2269"/>
      <c r="P84" s="2269"/>
      <c r="Q84" s="2269"/>
      <c r="R84" s="2269"/>
      <c r="S84" s="2269"/>
      <c r="T84" s="2269"/>
      <c r="U84" s="2269"/>
      <c r="V84" s="2269"/>
      <c r="W84" s="2269"/>
      <c r="X84" s="2269"/>
      <c r="Y84" s="2269"/>
      <c r="Z84" s="2269"/>
      <c r="AA84" s="2269"/>
      <c r="AB84" s="2269"/>
      <c r="AC84" s="2269"/>
      <c r="AD84" s="2269"/>
      <c r="AE84" s="2269"/>
      <c r="AF84" s="2269"/>
      <c r="AG84" s="2269"/>
      <c r="AH84" s="2269"/>
      <c r="AI84" s="2269"/>
      <c r="AJ84" s="2269"/>
      <c r="AK84" s="2269"/>
      <c r="AL84" s="2269"/>
      <c r="AM84" s="2269"/>
      <c r="AN84" s="2269"/>
      <c r="AO84" s="2269"/>
      <c r="AP84" s="2269"/>
      <c r="AQ84" s="2269"/>
      <c r="AR84" s="2269"/>
      <c r="AS84" s="2269"/>
      <c r="AT84" s="2269"/>
      <c r="AU84" s="2269"/>
      <c r="AV84" s="2269"/>
      <c r="AW84" s="2269"/>
      <c r="AX84" s="2269"/>
      <c r="AY84" s="2269"/>
      <c r="AZ84" s="2269"/>
      <c r="BA84" s="2269"/>
      <c r="BB84" s="2269"/>
      <c r="BC84" s="2269"/>
      <c r="BD84" s="2269"/>
      <c r="BE84" s="2269"/>
      <c r="BF84" s="2269"/>
      <c r="BG84" s="2269"/>
      <c r="BH84" s="2269"/>
      <c r="BI84" s="2269"/>
      <c r="BJ84" s="2269"/>
      <c r="BK84" s="2269"/>
      <c r="BL84" s="2269"/>
      <c r="BM84" s="2269"/>
      <c r="BN84" s="2269"/>
      <c r="BO84" s="2269"/>
      <c r="BP84" s="2269"/>
      <c r="BQ84" s="2269"/>
      <c r="BR84" s="2269"/>
      <c r="BS84" s="2269"/>
      <c r="BT84" s="2269"/>
      <c r="BU84" s="2269"/>
      <c r="BV84" s="2269"/>
      <c r="BW84" s="2269"/>
      <c r="BX84" s="2269"/>
    </row>
    <row r="85" spans="1:78" ht="13.15" customHeight="1" thickTop="1"/>
    <row r="86" spans="1:78" ht="13.15" hidden="1" customHeight="1">
      <c r="A86" s="275"/>
      <c r="C86" s="115"/>
    </row>
    <row r="87" spans="1:78" ht="13.15" hidden="1" customHeight="1">
      <c r="D87" s="115"/>
      <c r="AB87" s="2270"/>
      <c r="AC87" s="2270"/>
      <c r="AD87" s="2270"/>
      <c r="AE87" s="2270"/>
      <c r="AF87" s="2270"/>
    </row>
    <row r="88" spans="1:78" ht="13.15" hidden="1" customHeight="1" thickBot="1">
      <c r="D88" s="115"/>
      <c r="AB88" s="2268"/>
      <c r="AC88" s="2268"/>
      <c r="AD88" s="2268"/>
      <c r="AE88" s="2268"/>
      <c r="AF88" s="2268"/>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3.1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4" zoomScale="170" zoomScaleNormal="170" workbookViewId="0">
      <selection activeCell="T127" sqref="T127"/>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42578125" style="11" customWidth="1"/>
    <col min="19" max="19" width="3.28515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84" customWidth="1"/>
    <col min="41" max="41" width="5.42578125" style="23" hidden="1" customWidth="1"/>
    <col min="42" max="45" width="5.42578125" style="11" hidden="1" customWidth="1"/>
    <col min="46" max="46" width="10.85546875" style="11" hidden="1" customWidth="1"/>
    <col min="47" max="48" width="5.42578125" style="11" hidden="1" customWidth="1"/>
    <col min="49" max="49" width="8.7109375" style="11" hidden="1" customWidth="1"/>
    <col min="50" max="50" width="7.42578125" style="11" hidden="1" customWidth="1"/>
    <col min="51" max="55" width="5.42578125" style="11" hidden="1" customWidth="1"/>
    <col min="56" max="60" width="5.42578125" style="25" hidden="1" customWidth="1"/>
    <col min="61" max="81" width="5.42578125" style="11" hidden="1" customWidth="1"/>
    <col min="82" max="16384" width="9.140625" style="11" hidden="1"/>
  </cols>
  <sheetData>
    <row r="1" spans="1:41" ht="15.75" customHeight="1">
      <c r="A1" s="2553" t="s">
        <v>1996</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row>
    <row r="2" spans="1:41" s="386" customFormat="1" ht="12.75" customHeight="1" thickBot="1">
      <c r="A2" s="2554"/>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1997</v>
      </c>
      <c r="B4" s="389" t="s">
        <v>1998</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1999</v>
      </c>
      <c r="B7" s="389" t="s">
        <v>2000</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82" t="s">
        <v>2001</v>
      </c>
      <c r="AF7" s="2382"/>
      <c r="AG7" s="2382"/>
      <c r="AH7" s="2382"/>
      <c r="AI7" s="2382"/>
      <c r="AJ7" s="2382"/>
      <c r="AK7" s="2382"/>
      <c r="AL7" s="390"/>
      <c r="AM7" s="390"/>
      <c r="AN7" s="385"/>
    </row>
    <row r="8" spans="1:41" s="386" customFormat="1" ht="12.75" customHeight="1">
      <c r="A8" s="388"/>
      <c r="B8" s="389" t="s">
        <v>2002</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7"/>
      <c r="AF8" s="1127"/>
      <c r="AG8" s="1127"/>
      <c r="AH8" s="1127"/>
      <c r="AI8" s="1127"/>
      <c r="AJ8" s="1127"/>
      <c r="AK8" s="1127"/>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7"/>
      <c r="AF9" s="1127"/>
      <c r="AG9" s="1127"/>
      <c r="AH9" s="1127"/>
      <c r="AI9" s="1127"/>
      <c r="AJ9" s="1127"/>
      <c r="AK9" s="1127"/>
      <c r="AL9" s="390"/>
      <c r="AM9" s="390"/>
      <c r="AN9" s="385"/>
    </row>
    <row r="10" spans="1:41" s="386" customFormat="1" ht="12.75" customHeight="1">
      <c r="A10" s="389"/>
      <c r="B10" s="389" t="s">
        <v>2003</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524" t="s">
        <v>816</v>
      </c>
      <c r="C12" s="2524"/>
      <c r="D12" s="390"/>
      <c r="E12" s="2385" t="s">
        <v>2004</v>
      </c>
      <c r="F12" s="2386"/>
      <c r="G12" s="2386"/>
      <c r="H12" s="2386"/>
      <c r="I12" s="2386"/>
      <c r="J12" s="2386"/>
      <c r="K12" s="2386"/>
      <c r="L12" s="2386"/>
      <c r="M12" s="2386"/>
      <c r="N12" s="2386"/>
      <c r="O12" s="2386"/>
      <c r="P12" s="2386"/>
      <c r="Q12" s="2386"/>
      <c r="R12" s="2386"/>
      <c r="S12" s="2386"/>
      <c r="T12" s="2386"/>
      <c r="U12" s="2386"/>
      <c r="V12" s="2386"/>
      <c r="W12" s="2386"/>
      <c r="X12" s="2386"/>
      <c r="Y12" s="2386"/>
      <c r="Z12" s="2386"/>
      <c r="AA12" s="2386"/>
      <c r="AB12" s="2386"/>
      <c r="AC12" s="2386"/>
      <c r="AD12" s="2386"/>
      <c r="AE12" s="2386"/>
      <c r="AF12" s="2386"/>
      <c r="AG12" s="2386"/>
      <c r="AH12" s="2386"/>
      <c r="AI12" s="2386"/>
      <c r="AJ12" s="2387"/>
      <c r="AK12" s="390"/>
      <c r="AL12" s="390"/>
      <c r="AM12" s="390"/>
      <c r="AN12" s="385"/>
      <c r="AO12" s="404"/>
    </row>
    <row r="13" spans="1:41" s="386" customFormat="1" ht="12.75" customHeight="1">
      <c r="A13" s="390"/>
      <c r="D13" s="395"/>
      <c r="E13" s="2388"/>
      <c r="F13" s="2389"/>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90"/>
      <c r="AK13" s="390"/>
      <c r="AL13" s="390"/>
      <c r="AM13" s="390"/>
      <c r="AN13" s="385"/>
      <c r="AO13" s="404"/>
    </row>
    <row r="14" spans="1:41" s="386" customFormat="1" ht="12.75" customHeight="1">
      <c r="A14" s="390"/>
      <c r="D14" s="390"/>
      <c r="E14" s="2541"/>
      <c r="F14" s="2542"/>
      <c r="G14" s="2542"/>
      <c r="H14" s="2542"/>
      <c r="I14" s="2542"/>
      <c r="J14" s="2542"/>
      <c r="K14" s="2542"/>
      <c r="L14" s="2542"/>
      <c r="M14" s="2542"/>
      <c r="N14" s="2542"/>
      <c r="O14" s="2542"/>
      <c r="P14" s="2542"/>
      <c r="Q14" s="2542"/>
      <c r="R14" s="2542"/>
      <c r="S14" s="2542"/>
      <c r="T14" s="2542"/>
      <c r="U14" s="2542"/>
      <c r="V14" s="2542"/>
      <c r="W14" s="2542"/>
      <c r="X14" s="2542"/>
      <c r="Y14" s="2542"/>
      <c r="Z14" s="2542"/>
      <c r="AA14" s="2542"/>
      <c r="AB14" s="2542"/>
      <c r="AC14" s="2542"/>
      <c r="AD14" s="2542"/>
      <c r="AE14" s="2542"/>
      <c r="AF14" s="2542"/>
      <c r="AG14" s="2542"/>
      <c r="AH14" s="2542"/>
      <c r="AI14" s="2542"/>
      <c r="AJ14" s="2543"/>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524" t="s">
        <v>816</v>
      </c>
      <c r="C16" s="2524"/>
      <c r="D16" s="390"/>
      <c r="E16" s="2385" t="s">
        <v>2005</v>
      </c>
      <c r="F16" s="2386"/>
      <c r="G16" s="2386"/>
      <c r="H16" s="2386"/>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7"/>
      <c r="AK16" s="390"/>
      <c r="AL16" s="390"/>
      <c r="AM16" s="390"/>
      <c r="AN16" s="385"/>
    </row>
    <row r="17" spans="1:50" s="386" customFormat="1" ht="12.75" customHeight="1">
      <c r="A17" s="390"/>
      <c r="B17" s="390"/>
      <c r="C17" s="390"/>
      <c r="D17" s="390"/>
      <c r="E17" s="2388"/>
      <c r="F17" s="2389"/>
      <c r="G17" s="2389"/>
      <c r="H17" s="2389"/>
      <c r="I17" s="2389"/>
      <c r="J17" s="2389"/>
      <c r="K17" s="238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90"/>
      <c r="AK17" s="390"/>
      <c r="AL17" s="390"/>
      <c r="AM17" s="390"/>
      <c r="AN17" s="385"/>
    </row>
    <row r="18" spans="1:50" s="386" customFormat="1" ht="12.75" customHeight="1">
      <c r="A18" s="390"/>
      <c r="B18" s="390"/>
      <c r="C18" s="917"/>
      <c r="D18" s="390"/>
      <c r="E18" s="2541"/>
      <c r="F18" s="2542"/>
      <c r="G18" s="2542"/>
      <c r="H18" s="2542"/>
      <c r="I18" s="2542"/>
      <c r="J18" s="2542"/>
      <c r="K18" s="2542"/>
      <c r="L18" s="2542"/>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3"/>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524" t="s">
        <v>816</v>
      </c>
      <c r="C20" s="2524"/>
      <c r="D20" s="390"/>
      <c r="E20" s="2385" t="s">
        <v>2006</v>
      </c>
      <c r="F20" s="2386"/>
      <c r="G20" s="2386"/>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7"/>
      <c r="AK20" s="390"/>
      <c r="AL20" s="390"/>
      <c r="AM20" s="390"/>
      <c r="AN20" s="385"/>
    </row>
    <row r="21" spans="1:50" s="386" customFormat="1" ht="12.75" customHeight="1">
      <c r="A21" s="390"/>
      <c r="B21" s="395"/>
      <c r="C21" s="395"/>
      <c r="D21" s="395"/>
      <c r="E21" s="2541"/>
      <c r="F21" s="2542"/>
      <c r="G21" s="2542"/>
      <c r="H21" s="2542"/>
      <c r="I21" s="2542"/>
      <c r="J21" s="2542"/>
      <c r="K21" s="2542"/>
      <c r="L21" s="2542"/>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3"/>
      <c r="AK21" s="390"/>
      <c r="AL21" s="390"/>
      <c r="AM21" s="390"/>
      <c r="AN21" s="385"/>
      <c r="AO21" s="386">
        <f>IF(AND(B12="Yes",B16="Yes",B20="Yes"),10,0)</f>
        <v>0</v>
      </c>
      <c r="AP21" s="386" t="s">
        <v>2007</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2008</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7"/>
      <c r="AF23" s="1127"/>
      <c r="AG23" s="1127"/>
      <c r="AH23" s="1127"/>
      <c r="AI23" s="1127"/>
      <c r="AJ23" s="1127"/>
      <c r="AK23" s="1127"/>
      <c r="AL23" s="390"/>
      <c r="AM23" s="390"/>
      <c r="AN23" s="385"/>
    </row>
    <row r="24" spans="1:50" s="386" customFormat="1" ht="12.75" customHeight="1">
      <c r="A24" s="390"/>
      <c r="C24" s="977" t="s">
        <v>2009</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56"/>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524" t="s">
        <v>816</v>
      </c>
      <c r="C26" s="2524"/>
      <c r="D26" s="395"/>
      <c r="E26" s="396" t="s">
        <v>2010</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555"/>
      <c r="AH26" s="2555"/>
      <c r="AI26" s="2555"/>
      <c r="AJ26" s="2556"/>
      <c r="AK26" s="390"/>
      <c r="AL26" s="390"/>
      <c r="AM26" s="390"/>
      <c r="AN26" s="385"/>
      <c r="AO26" s="386">
        <f>IF($B26="yes",20,0)</f>
        <v>0</v>
      </c>
      <c r="AP26" s="11" t="s">
        <v>2007</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2011</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524" t="s">
        <v>816</v>
      </c>
      <c r="C30" s="2524"/>
      <c r="D30" s="395"/>
      <c r="E30" s="2557" t="s">
        <v>2012</v>
      </c>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9"/>
      <c r="AK30" s="390"/>
      <c r="AL30" s="390"/>
      <c r="AM30" s="390"/>
      <c r="AN30" s="385"/>
      <c r="AO30" s="398">
        <f>IF($B30="yes",9,0)</f>
        <v>0</v>
      </c>
    </row>
    <row r="31" spans="1:50" s="386" customFormat="1" ht="12.75" customHeight="1">
      <c r="A31" s="390"/>
      <c r="B31" s="390"/>
      <c r="C31" s="390"/>
      <c r="E31" s="2563"/>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2564"/>
      <c r="AD31" s="2564"/>
      <c r="AE31" s="2564"/>
      <c r="AF31" s="2564"/>
      <c r="AG31" s="2564"/>
      <c r="AH31" s="2564"/>
      <c r="AI31" s="2564"/>
      <c r="AJ31" s="2565"/>
      <c r="AK31" s="390"/>
      <c r="AL31" s="390"/>
      <c r="AM31" s="390"/>
      <c r="AN31" s="385"/>
      <c r="AO31" s="398">
        <f>IF($B33="yes",9,0)</f>
        <v>0</v>
      </c>
    </row>
    <row r="32" spans="1:50" s="386" customFormat="1" ht="12.75" customHeight="1">
      <c r="A32" s="390"/>
      <c r="B32" s="390"/>
      <c r="C32" s="390"/>
      <c r="F32" s="1153"/>
      <c r="G32" s="1153"/>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390"/>
      <c r="AL32" s="390"/>
      <c r="AM32" s="390"/>
      <c r="AN32" s="385"/>
      <c r="AO32" s="398">
        <f>IF($B37="yes",9,0)</f>
        <v>0</v>
      </c>
    </row>
    <row r="33" spans="1:43" s="386" customFormat="1" ht="12.75" customHeight="1">
      <c r="A33" s="390"/>
      <c r="B33" s="2524" t="s">
        <v>816</v>
      </c>
      <c r="C33" s="2524"/>
      <c r="D33" s="395"/>
      <c r="E33" s="2557" t="s">
        <v>2013</v>
      </c>
      <c r="F33" s="2558"/>
      <c r="G33" s="2558"/>
      <c r="H33" s="2558"/>
      <c r="I33" s="2558"/>
      <c r="J33" s="2558"/>
      <c r="K33" s="2558"/>
      <c r="L33" s="2558"/>
      <c r="M33" s="2558"/>
      <c r="N33" s="2558"/>
      <c r="O33" s="2558"/>
      <c r="P33" s="2558"/>
      <c r="Q33" s="2558"/>
      <c r="R33" s="2558"/>
      <c r="S33" s="2558"/>
      <c r="T33" s="2558"/>
      <c r="U33" s="2558"/>
      <c r="V33" s="2558"/>
      <c r="W33" s="2558"/>
      <c r="X33" s="2558"/>
      <c r="Y33" s="2558"/>
      <c r="Z33" s="2558"/>
      <c r="AA33" s="2558"/>
      <c r="AB33" s="2558"/>
      <c r="AC33" s="2558"/>
      <c r="AD33" s="2558"/>
      <c r="AE33" s="2558"/>
      <c r="AF33" s="2558"/>
      <c r="AG33" s="2558"/>
      <c r="AH33" s="2558"/>
      <c r="AI33" s="2558"/>
      <c r="AJ33" s="2559"/>
      <c r="AK33" s="390"/>
      <c r="AL33" s="390"/>
      <c r="AM33" s="390"/>
      <c r="AN33" s="385"/>
      <c r="AO33" s="398">
        <f>IF($B39="yes",9,0)</f>
        <v>0</v>
      </c>
    </row>
    <row r="34" spans="1:43" s="386" customFormat="1" ht="12.75" customHeight="1">
      <c r="A34" s="390"/>
      <c r="B34" s="390"/>
      <c r="C34" s="390"/>
      <c r="D34" s="395"/>
      <c r="E34" s="2560"/>
      <c r="F34" s="2561"/>
      <c r="G34" s="2561"/>
      <c r="H34" s="2561"/>
      <c r="I34" s="2561"/>
      <c r="J34" s="2561"/>
      <c r="K34" s="2561"/>
      <c r="L34" s="256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2"/>
      <c r="AK34" s="390"/>
      <c r="AL34" s="390"/>
      <c r="AM34" s="390"/>
      <c r="AN34" s="385"/>
      <c r="AO34" s="386">
        <f>MAX(AO30,AO31,AO32,AO33)</f>
        <v>0</v>
      </c>
      <c r="AP34" s="386" t="s">
        <v>2007</v>
      </c>
    </row>
    <row r="35" spans="1:43" s="386" customFormat="1" ht="12.75" customHeight="1">
      <c r="A35" s="390"/>
      <c r="B35" s="390"/>
      <c r="C35" s="390"/>
      <c r="E35" s="2563"/>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64"/>
      <c r="AB35" s="2564"/>
      <c r="AC35" s="2564"/>
      <c r="AD35" s="2564"/>
      <c r="AE35" s="2564"/>
      <c r="AF35" s="2564"/>
      <c r="AG35" s="2564"/>
      <c r="AH35" s="2564"/>
      <c r="AI35" s="2564"/>
      <c r="AJ35" s="2565"/>
      <c r="AK35" s="390"/>
      <c r="AL35" s="390"/>
      <c r="AM35" s="390"/>
      <c r="AN35" s="385"/>
    </row>
    <row r="36" spans="1:43" s="386" customFormat="1" ht="12.75" customHeight="1">
      <c r="A36" s="390"/>
      <c r="B36" s="390"/>
      <c r="C36" s="390"/>
      <c r="F36" s="1153"/>
      <c r="G36" s="1153"/>
      <c r="H36" s="1153"/>
      <c r="I36" s="1153"/>
      <c r="J36" s="1153"/>
      <c r="K36" s="1153"/>
      <c r="L36" s="115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390"/>
      <c r="AL36" s="390"/>
      <c r="AM36" s="390"/>
      <c r="AN36" s="385"/>
    </row>
    <row r="37" spans="1:43" s="386" customFormat="1" ht="12.75" customHeight="1">
      <c r="A37" s="390"/>
      <c r="B37" s="2524" t="s">
        <v>816</v>
      </c>
      <c r="C37" s="2524"/>
      <c r="D37" s="918"/>
      <c r="E37" s="2550" t="s">
        <v>2014</v>
      </c>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524" t="s">
        <v>816</v>
      </c>
      <c r="C39" s="2524"/>
      <c r="D39" s="918"/>
      <c r="E39" s="2550" t="s">
        <v>2015</v>
      </c>
      <c r="F39" s="2551"/>
      <c r="G39" s="2551"/>
      <c r="H39" s="2551"/>
      <c r="I39" s="2551"/>
      <c r="J39" s="2551"/>
      <c r="K39" s="2551"/>
      <c r="L39" s="2551"/>
      <c r="M39" s="2551"/>
      <c r="N39" s="2551"/>
      <c r="O39" s="2551"/>
      <c r="P39" s="2551"/>
      <c r="Q39" s="2551"/>
      <c r="R39" s="2551"/>
      <c r="S39" s="2551"/>
      <c r="T39" s="2551"/>
      <c r="U39" s="2551"/>
      <c r="V39" s="2551"/>
      <c r="W39" s="2551"/>
      <c r="X39" s="2551"/>
      <c r="Y39" s="2551"/>
      <c r="Z39" s="2551"/>
      <c r="AA39" s="2551"/>
      <c r="AB39" s="2551"/>
      <c r="AC39" s="2551"/>
      <c r="AD39" s="2551"/>
      <c r="AE39" s="2551"/>
      <c r="AF39" s="2551"/>
      <c r="AG39" s="2551"/>
      <c r="AH39" s="2551"/>
      <c r="AI39" s="2551"/>
      <c r="AJ39" s="2552"/>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2016</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524" t="s">
        <v>816</v>
      </c>
      <c r="C43" s="2524"/>
      <c r="D43" s="395"/>
      <c r="E43" s="2525" t="s">
        <v>2017</v>
      </c>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7"/>
      <c r="AK43" s="390"/>
      <c r="AL43" s="390"/>
      <c r="AM43" s="390"/>
      <c r="AN43" s="385"/>
      <c r="AO43" s="398">
        <f>IF($B43="yes",8,0)</f>
        <v>0</v>
      </c>
      <c r="AP43" s="11"/>
    </row>
    <row r="44" spans="1:43" s="386" customFormat="1" ht="12.75" customHeight="1">
      <c r="A44" s="390"/>
      <c r="B44" s="390"/>
      <c r="C44" s="390"/>
      <c r="D44" s="399"/>
      <c r="E44" s="2566"/>
      <c r="F44" s="2567"/>
      <c r="G44" s="2567"/>
      <c r="H44" s="2567"/>
      <c r="I44" s="2567"/>
      <c r="J44" s="2567"/>
      <c r="K44" s="2567"/>
      <c r="L44" s="2567"/>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8"/>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524" t="s">
        <v>816</v>
      </c>
      <c r="C46" s="2524"/>
      <c r="D46" s="395"/>
      <c r="E46" s="2557" t="s">
        <v>2018</v>
      </c>
      <c r="F46" s="2558"/>
      <c r="G46" s="2558"/>
      <c r="H46" s="2558"/>
      <c r="I46" s="2558"/>
      <c r="J46" s="2558"/>
      <c r="K46" s="2558"/>
      <c r="L46" s="2558"/>
      <c r="M46" s="2558"/>
      <c r="N46" s="2558"/>
      <c r="O46" s="2558"/>
      <c r="P46" s="2558"/>
      <c r="Q46" s="2558"/>
      <c r="R46" s="2558"/>
      <c r="S46" s="2558"/>
      <c r="T46" s="2558"/>
      <c r="U46" s="2558"/>
      <c r="V46" s="2558"/>
      <c r="W46" s="2558"/>
      <c r="X46" s="2558"/>
      <c r="Y46" s="2558"/>
      <c r="Z46" s="2558"/>
      <c r="AA46" s="2558"/>
      <c r="AB46" s="2558"/>
      <c r="AC46" s="2558"/>
      <c r="AD46" s="2558"/>
      <c r="AE46" s="2558"/>
      <c r="AF46" s="2558"/>
      <c r="AG46" s="2558"/>
      <c r="AH46" s="2558"/>
      <c r="AI46" s="2558"/>
      <c r="AJ46" s="2559"/>
      <c r="AK46" s="390"/>
      <c r="AL46" s="390"/>
      <c r="AM46" s="390"/>
      <c r="AN46" s="385"/>
      <c r="AO46" s="398">
        <f>IF($B52="yes",8,0)</f>
        <v>0</v>
      </c>
    </row>
    <row r="47" spans="1:43" s="386" customFormat="1" ht="12.75" customHeight="1">
      <c r="A47" s="390"/>
      <c r="B47" s="390"/>
      <c r="C47" s="390"/>
      <c r="D47" s="398"/>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390"/>
      <c r="AL47" s="390"/>
      <c r="AM47" s="390"/>
      <c r="AN47" s="385"/>
      <c r="AO47" s="386">
        <f>MAX(AO43,AO44,AO45,AO46)</f>
        <v>0</v>
      </c>
      <c r="AP47" s="386" t="s">
        <v>2007</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524" t="s">
        <v>816</v>
      </c>
      <c r="C49" s="2524"/>
      <c r="D49" s="395"/>
      <c r="E49" s="2385" t="s">
        <v>2019</v>
      </c>
      <c r="F49" s="2386"/>
      <c r="G49" s="2386"/>
      <c r="H49" s="2386"/>
      <c r="I49" s="2386"/>
      <c r="J49" s="2386"/>
      <c r="K49" s="2386"/>
      <c r="L49" s="2386"/>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7"/>
      <c r="AK49" s="390"/>
      <c r="AL49" s="390"/>
      <c r="AM49" s="390"/>
      <c r="AN49" s="385"/>
      <c r="AO49" s="398"/>
    </row>
    <row r="50" spans="1:42" s="386" customFormat="1" ht="12.75" customHeight="1">
      <c r="A50" s="390"/>
      <c r="B50" s="390"/>
      <c r="C50" s="390"/>
      <c r="D50" s="398"/>
      <c r="E50" s="2541"/>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3"/>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524" t="s">
        <v>816</v>
      </c>
      <c r="C52" s="2524"/>
      <c r="D52" s="395"/>
      <c r="E52" s="2550" t="s">
        <v>2020</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2021</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524" t="s">
        <v>816</v>
      </c>
      <c r="C56" s="2524"/>
      <c r="D56" s="395"/>
      <c r="E56" s="2385" t="s">
        <v>2022</v>
      </c>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7"/>
      <c r="AK56" s="390"/>
      <c r="AL56" s="390"/>
      <c r="AM56" s="390"/>
      <c r="AN56" s="385"/>
      <c r="AO56" s="398">
        <f>IF($B59="yes",7,0)</f>
        <v>0</v>
      </c>
    </row>
    <row r="57" spans="1:42" s="386" customFormat="1" ht="12.75" customHeight="1">
      <c r="A57" s="390"/>
      <c r="B57" s="390"/>
      <c r="C57" s="390"/>
      <c r="D57" s="398"/>
      <c r="E57" s="2541"/>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3"/>
      <c r="AK57" s="390"/>
      <c r="AL57" s="390"/>
      <c r="AM57" s="390"/>
      <c r="AN57" s="385"/>
      <c r="AO57" s="386">
        <f>MAX(AO55:AO56)</f>
        <v>0</v>
      </c>
      <c r="AP57" s="386" t="s">
        <v>2007</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524" t="s">
        <v>816</v>
      </c>
      <c r="C59" s="2524"/>
      <c r="D59" s="395"/>
      <c r="E59" s="2550" t="s">
        <v>2023</v>
      </c>
      <c r="F59" s="2551"/>
      <c r="G59" s="2551"/>
      <c r="H59" s="2551"/>
      <c r="I59" s="2551"/>
      <c r="J59" s="2551"/>
      <c r="K59" s="2551"/>
      <c r="L59" s="2551"/>
      <c r="M59" s="2551"/>
      <c r="N59" s="2551"/>
      <c r="O59" s="2551"/>
      <c r="P59" s="2551"/>
      <c r="Q59" s="2551"/>
      <c r="R59" s="2551"/>
      <c r="S59" s="2551"/>
      <c r="T59" s="2551"/>
      <c r="U59" s="2551"/>
      <c r="V59" s="2551"/>
      <c r="W59" s="2551"/>
      <c r="X59" s="2551"/>
      <c r="Y59" s="2551"/>
      <c r="Z59" s="2551"/>
      <c r="AA59" s="2551"/>
      <c r="AB59" s="2551"/>
      <c r="AC59" s="2551"/>
      <c r="AD59" s="2551"/>
      <c r="AE59" s="2551"/>
      <c r="AF59" s="2551"/>
      <c r="AG59" s="2551"/>
      <c r="AH59" s="2551"/>
      <c r="AI59" s="2551"/>
      <c r="AJ59" s="2552"/>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SUM(AO21,MAX(AO26,AO34,AO47,AO57))</f>
        <v>0</v>
      </c>
      <c r="AP60" s="386" t="s">
        <v>2007</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2024</v>
      </c>
      <c r="AK61" s="2516">
        <f>AO60</f>
        <v>0</v>
      </c>
      <c r="AL61" s="2517"/>
      <c r="AM61" s="2518"/>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26"/>
      <c r="J63" s="1126"/>
      <c r="K63" s="1126"/>
      <c r="L63" s="1126"/>
      <c r="M63" s="1126"/>
      <c r="N63" s="1126"/>
      <c r="O63" s="1126"/>
      <c r="P63" s="1126"/>
      <c r="Q63" s="1126"/>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2025</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82" t="s">
        <v>2026</v>
      </c>
      <c r="AF64" s="2382"/>
      <c r="AG64" s="2382"/>
      <c r="AH64" s="2382"/>
      <c r="AI64" s="2382"/>
      <c r="AJ64" s="2382"/>
      <c r="AK64" s="2382"/>
      <c r="AL64" s="390"/>
      <c r="AM64" s="390"/>
      <c r="AN64" s="385"/>
    </row>
    <row r="65" spans="1:42" s="386" customFormat="1" ht="12.75" customHeight="1">
      <c r="A65" s="388"/>
      <c r="B65" s="389" t="s">
        <v>2027</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7"/>
      <c r="AF65" s="1127"/>
      <c r="AG65" s="1127"/>
      <c r="AH65" s="1127"/>
      <c r="AI65" s="1127"/>
      <c r="AJ65" s="1127"/>
      <c r="AK65" s="1127"/>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7"/>
      <c r="AF66" s="1127"/>
      <c r="AG66" s="1127"/>
      <c r="AH66" s="1127"/>
      <c r="AI66" s="1127"/>
      <c r="AJ66" s="1127"/>
      <c r="AK66" s="1127"/>
      <c r="AL66" s="390"/>
      <c r="AM66" s="390"/>
      <c r="AN66" s="385"/>
    </row>
    <row r="67" spans="1:42" s="386" customFormat="1" ht="12.75" customHeight="1">
      <c r="A67" s="388"/>
      <c r="B67" s="2524" t="s">
        <v>816</v>
      </c>
      <c r="C67" s="2524"/>
      <c r="D67" s="395" t="s">
        <v>2028</v>
      </c>
      <c r="E67" s="2525" t="s">
        <v>2029</v>
      </c>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7"/>
      <c r="AK67" s="1127"/>
      <c r="AL67" s="390"/>
      <c r="AM67" s="390"/>
      <c r="AN67" s="385"/>
      <c r="AO67" s="398">
        <f>IF($B67="yes",10,0)</f>
        <v>0</v>
      </c>
    </row>
    <row r="68" spans="1:42" s="386" customFormat="1" ht="12.75" customHeight="1">
      <c r="A68" s="388"/>
      <c r="B68" s="390"/>
      <c r="C68" s="390"/>
      <c r="D68" s="399"/>
      <c r="E68" s="2528"/>
      <c r="F68" s="2529"/>
      <c r="G68" s="2529"/>
      <c r="H68" s="2529"/>
      <c r="I68" s="2529"/>
      <c r="J68" s="2529"/>
      <c r="K68" s="2529"/>
      <c r="L68" s="2529"/>
      <c r="M68" s="2529"/>
      <c r="N68" s="2529"/>
      <c r="O68" s="2529"/>
      <c r="P68" s="2529"/>
      <c r="Q68" s="2529"/>
      <c r="R68" s="2529"/>
      <c r="S68" s="2529"/>
      <c r="T68" s="2529"/>
      <c r="U68" s="2529"/>
      <c r="V68" s="2529"/>
      <c r="W68" s="2529"/>
      <c r="X68" s="2529"/>
      <c r="Y68" s="2529"/>
      <c r="Z68" s="2529"/>
      <c r="AA68" s="2529"/>
      <c r="AB68" s="2529"/>
      <c r="AC68" s="2529"/>
      <c r="AD68" s="2529"/>
      <c r="AE68" s="2529"/>
      <c r="AF68" s="2529"/>
      <c r="AG68" s="2529"/>
      <c r="AH68" s="2529"/>
      <c r="AI68" s="2529"/>
      <c r="AJ68" s="2530"/>
      <c r="AK68" s="1127"/>
      <c r="AL68" s="390"/>
      <c r="AM68" s="390"/>
      <c r="AN68" s="385"/>
      <c r="AO68" s="398">
        <f>IF(AND($B73="yes",OR(E74="Yes",E75="Yes",E76="Yes")),10,0)</f>
        <v>10</v>
      </c>
    </row>
    <row r="69" spans="1:42" s="386" customFormat="1" ht="12.75" customHeight="1">
      <c r="A69" s="388"/>
      <c r="B69" s="390"/>
      <c r="C69" s="390"/>
      <c r="D69" s="399"/>
      <c r="E69" s="2528"/>
      <c r="F69" s="2529"/>
      <c r="G69" s="2529"/>
      <c r="H69" s="2529"/>
      <c r="I69" s="2529"/>
      <c r="J69" s="2529"/>
      <c r="K69" s="2529"/>
      <c r="L69" s="2529"/>
      <c r="M69" s="2529"/>
      <c r="N69" s="2529"/>
      <c r="O69" s="2529"/>
      <c r="P69" s="2529"/>
      <c r="Q69" s="2529"/>
      <c r="R69" s="2529"/>
      <c r="S69" s="2529"/>
      <c r="T69" s="2529"/>
      <c r="U69" s="2529"/>
      <c r="V69" s="2529"/>
      <c r="W69" s="2529"/>
      <c r="X69" s="2529"/>
      <c r="Y69" s="2529"/>
      <c r="Z69" s="2529"/>
      <c r="AA69" s="2529"/>
      <c r="AB69" s="2529"/>
      <c r="AC69" s="2529"/>
      <c r="AD69" s="2529"/>
      <c r="AE69" s="2529"/>
      <c r="AF69" s="2529"/>
      <c r="AG69" s="2529"/>
      <c r="AH69" s="2529"/>
      <c r="AI69" s="2529"/>
      <c r="AJ69" s="2530"/>
      <c r="AK69" s="1127"/>
      <c r="AL69" s="390"/>
      <c r="AM69" s="390"/>
      <c r="AN69" s="385"/>
      <c r="AO69" s="398">
        <f>IF($B78="yes",10,0)</f>
        <v>10</v>
      </c>
    </row>
    <row r="70" spans="1:42" s="386" customFormat="1" ht="12.75" customHeight="1">
      <c r="A70" s="388"/>
      <c r="B70" s="390"/>
      <c r="C70" s="390"/>
      <c r="D70" s="399"/>
      <c r="E70" s="2528"/>
      <c r="F70" s="2529"/>
      <c r="G70" s="2529"/>
      <c r="H70" s="2529"/>
      <c r="I70" s="2529"/>
      <c r="J70" s="2529"/>
      <c r="K70" s="2529"/>
      <c r="L70" s="2529"/>
      <c r="M70" s="2529"/>
      <c r="N70" s="2529"/>
      <c r="O70" s="2529"/>
      <c r="P70" s="2529"/>
      <c r="Q70" s="2529"/>
      <c r="R70" s="2529"/>
      <c r="S70" s="2529"/>
      <c r="T70" s="2529"/>
      <c r="U70" s="2529"/>
      <c r="V70" s="2529"/>
      <c r="W70" s="2529"/>
      <c r="X70" s="2529"/>
      <c r="Y70" s="2529"/>
      <c r="Z70" s="2529"/>
      <c r="AA70" s="2529"/>
      <c r="AB70" s="2529"/>
      <c r="AC70" s="2529"/>
      <c r="AD70" s="2529"/>
      <c r="AE70" s="2529"/>
      <c r="AF70" s="2529"/>
      <c r="AG70" s="2529"/>
      <c r="AH70" s="2529"/>
      <c r="AI70" s="2529"/>
      <c r="AJ70" s="2530"/>
      <c r="AK70" s="1127"/>
      <c r="AL70" s="390"/>
      <c r="AM70" s="390"/>
      <c r="AN70" s="385"/>
      <c r="AO70" s="398">
        <f>IF($B81="yes",10,0)</f>
        <v>0</v>
      </c>
    </row>
    <row r="71" spans="1:42" s="386" customFormat="1" ht="12.75" customHeight="1">
      <c r="A71" s="388"/>
      <c r="B71" s="390"/>
      <c r="C71" s="390"/>
      <c r="D71" s="399"/>
      <c r="E71" s="2566"/>
      <c r="F71" s="2567"/>
      <c r="G71" s="2567"/>
      <c r="H71" s="2567"/>
      <c r="I71" s="2567"/>
      <c r="J71" s="2567"/>
      <c r="K71" s="2567"/>
      <c r="L71" s="2567"/>
      <c r="M71" s="2567"/>
      <c r="N71" s="2567"/>
      <c r="O71" s="2567"/>
      <c r="P71" s="2567"/>
      <c r="Q71" s="2567"/>
      <c r="R71" s="2567"/>
      <c r="S71" s="2567"/>
      <c r="T71" s="2567"/>
      <c r="U71" s="2567"/>
      <c r="V71" s="2567"/>
      <c r="W71" s="2567"/>
      <c r="X71" s="2567"/>
      <c r="Y71" s="2567"/>
      <c r="Z71" s="2567"/>
      <c r="AA71" s="2567"/>
      <c r="AB71" s="2567"/>
      <c r="AC71" s="2567"/>
      <c r="AD71" s="2567"/>
      <c r="AE71" s="2567"/>
      <c r="AF71" s="2567"/>
      <c r="AG71" s="2567"/>
      <c r="AH71" s="2567"/>
      <c r="AI71" s="2567"/>
      <c r="AJ71" s="2568"/>
      <c r="AK71" s="1127"/>
      <c r="AL71" s="390"/>
      <c r="AM71" s="390"/>
      <c r="AN71" s="385"/>
      <c r="AO71" s="386">
        <f>IF(SUM(AO67:AO70)&gt;10,10,(SUM(AO67:AO70)))</f>
        <v>10</v>
      </c>
      <c r="AP71" s="418" t="s">
        <v>2030</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7"/>
      <c r="AL72" s="390"/>
      <c r="AM72" s="390"/>
      <c r="AN72" s="385"/>
    </row>
    <row r="73" spans="1:42" s="386" customFormat="1" ht="12.75" customHeight="1">
      <c r="A73" s="388"/>
      <c r="B73" s="2524" t="s">
        <v>847</v>
      </c>
      <c r="C73" s="2524"/>
      <c r="D73" s="395" t="s">
        <v>2031</v>
      </c>
      <c r="E73" s="768" t="s">
        <v>2032</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7"/>
      <c r="AL73" s="390"/>
      <c r="AM73" s="390"/>
      <c r="AN73" s="385"/>
    </row>
    <row r="74" spans="1:42" s="386" customFormat="1" ht="12.75" customHeight="1">
      <c r="A74" s="388"/>
      <c r="B74" s="390"/>
      <c r="C74" s="390"/>
      <c r="D74" s="398"/>
      <c r="E74" s="2572" t="s">
        <v>847</v>
      </c>
      <c r="F74" s="2524"/>
      <c r="G74" s="1151"/>
      <c r="H74" s="403" t="s">
        <v>2033</v>
      </c>
      <c r="I74" s="1128"/>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2"/>
      <c r="AK74" s="1127"/>
      <c r="AL74" s="390"/>
      <c r="AM74" s="390"/>
      <c r="AN74" s="385"/>
    </row>
    <row r="75" spans="1:42" s="386" customFormat="1" ht="12.75" customHeight="1">
      <c r="A75" s="388"/>
      <c r="B75" s="390"/>
      <c r="C75" s="390"/>
      <c r="D75" s="398"/>
      <c r="E75" s="2570" t="s">
        <v>816</v>
      </c>
      <c r="F75" s="2571"/>
      <c r="G75" s="1151"/>
      <c r="H75" s="403" t="s">
        <v>2034</v>
      </c>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2"/>
      <c r="AK75" s="1127"/>
      <c r="AL75" s="390"/>
      <c r="AM75" s="390"/>
      <c r="AN75" s="385"/>
    </row>
    <row r="76" spans="1:42" s="386" customFormat="1" ht="12.75" customHeight="1">
      <c r="A76" s="388"/>
      <c r="B76" s="390"/>
      <c r="C76" s="390"/>
      <c r="D76" s="398"/>
      <c r="E76" s="2570" t="s">
        <v>816</v>
      </c>
      <c r="F76" s="2571"/>
      <c r="G76" s="1153"/>
      <c r="H76" s="978" t="s">
        <v>2035</v>
      </c>
      <c r="I76" s="1153"/>
      <c r="J76" s="1153"/>
      <c r="K76" s="1153"/>
      <c r="L76" s="1153"/>
      <c r="M76" s="1153"/>
      <c r="N76" s="1153"/>
      <c r="O76" s="1153"/>
      <c r="P76" s="1153"/>
      <c r="Q76" s="1153"/>
      <c r="R76" s="1153"/>
      <c r="S76" s="1153"/>
      <c r="T76" s="1153"/>
      <c r="U76" s="1153"/>
      <c r="V76" s="1153"/>
      <c r="W76" s="1153"/>
      <c r="X76" s="1153"/>
      <c r="Y76" s="1153"/>
      <c r="Z76" s="1153"/>
      <c r="AA76" s="1153"/>
      <c r="AB76" s="1153"/>
      <c r="AC76" s="1153"/>
      <c r="AD76" s="1153"/>
      <c r="AE76" s="1153"/>
      <c r="AF76" s="1153"/>
      <c r="AG76" s="1153"/>
      <c r="AH76" s="1153"/>
      <c r="AI76" s="1153"/>
      <c r="AJ76" s="1154"/>
      <c r="AK76" s="1127"/>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7"/>
      <c r="AL77" s="390"/>
      <c r="AM77" s="390"/>
      <c r="AN77" s="385"/>
    </row>
    <row r="78" spans="1:42" s="386" customFormat="1" ht="12.75" customHeight="1">
      <c r="A78" s="388"/>
      <c r="B78" s="2524" t="s">
        <v>847</v>
      </c>
      <c r="C78" s="2524"/>
      <c r="D78" s="395" t="s">
        <v>2036</v>
      </c>
      <c r="E78" s="2385" t="s">
        <v>2037</v>
      </c>
      <c r="F78" s="2386"/>
      <c r="G78" s="2386"/>
      <c r="H78" s="2386"/>
      <c r="I78" s="2386"/>
      <c r="J78" s="2386"/>
      <c r="K78" s="2386"/>
      <c r="L78" s="2386"/>
      <c r="M78" s="2386"/>
      <c r="N78" s="2386"/>
      <c r="O78" s="2386"/>
      <c r="P78" s="2386"/>
      <c r="Q78" s="2386"/>
      <c r="R78" s="2386"/>
      <c r="S78" s="2386"/>
      <c r="T78" s="2386"/>
      <c r="U78" s="2386"/>
      <c r="V78" s="2386"/>
      <c r="W78" s="2386"/>
      <c r="X78" s="2386"/>
      <c r="Y78" s="2386"/>
      <c r="Z78" s="2386"/>
      <c r="AA78" s="2386"/>
      <c r="AB78" s="2386"/>
      <c r="AC78" s="2386"/>
      <c r="AD78" s="2386"/>
      <c r="AE78" s="2386"/>
      <c r="AF78" s="2386"/>
      <c r="AG78" s="2386"/>
      <c r="AH78" s="2386"/>
      <c r="AI78" s="2386"/>
      <c r="AJ78" s="2387"/>
      <c r="AK78" s="1127"/>
      <c r="AL78" s="390"/>
      <c r="AM78" s="390"/>
      <c r="AN78" s="385"/>
    </row>
    <row r="79" spans="1:42" s="386" customFormat="1" ht="12.75" customHeight="1">
      <c r="A79" s="388"/>
      <c r="B79" s="390"/>
      <c r="C79" s="390"/>
      <c r="E79" s="2541"/>
      <c r="F79" s="2542"/>
      <c r="G79" s="2542"/>
      <c r="H79" s="2542"/>
      <c r="I79" s="2542"/>
      <c r="J79" s="2542"/>
      <c r="K79" s="2542"/>
      <c r="L79" s="2542"/>
      <c r="M79" s="2542"/>
      <c r="N79" s="2542"/>
      <c r="O79" s="2542"/>
      <c r="P79" s="2542"/>
      <c r="Q79" s="2542"/>
      <c r="R79" s="2542"/>
      <c r="S79" s="2542"/>
      <c r="T79" s="2542"/>
      <c r="U79" s="2542"/>
      <c r="V79" s="2542"/>
      <c r="W79" s="2542"/>
      <c r="X79" s="2542"/>
      <c r="Y79" s="2542"/>
      <c r="Z79" s="2542"/>
      <c r="AA79" s="2542"/>
      <c r="AB79" s="2542"/>
      <c r="AC79" s="2542"/>
      <c r="AD79" s="2542"/>
      <c r="AE79" s="2542"/>
      <c r="AF79" s="2542"/>
      <c r="AG79" s="2542"/>
      <c r="AH79" s="2542"/>
      <c r="AI79" s="2542"/>
      <c r="AJ79" s="2543"/>
      <c r="AK79" s="1127"/>
      <c r="AL79" s="390"/>
      <c r="AM79" s="390"/>
      <c r="AN79" s="385"/>
    </row>
    <row r="80" spans="1:42" s="386" customFormat="1" ht="12.75" customHeight="1">
      <c r="A80" s="388"/>
      <c r="B80" s="390"/>
      <c r="C80" s="390"/>
      <c r="D80" s="398"/>
      <c r="E80" s="398"/>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2"/>
      <c r="AK80" s="1127"/>
      <c r="AL80" s="390"/>
      <c r="AM80" s="390"/>
      <c r="AN80" s="385"/>
    </row>
    <row r="81" spans="1:43" s="386" customFormat="1" ht="12.75" customHeight="1">
      <c r="A81" s="388"/>
      <c r="B81" s="2524" t="s">
        <v>816</v>
      </c>
      <c r="C81" s="2524"/>
      <c r="D81" s="395" t="s">
        <v>2038</v>
      </c>
      <c r="E81" s="2550" t="s">
        <v>2039</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1127"/>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7"/>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2040</v>
      </c>
      <c r="AK83" s="2516">
        <f>IF(AK61&gt;0,0,AO71)</f>
        <v>10</v>
      </c>
      <c r="AL83" s="2517"/>
      <c r="AM83" s="2518"/>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26"/>
      <c r="J85" s="1126"/>
      <c r="K85" s="1126"/>
      <c r="L85" s="1126"/>
      <c r="M85" s="1126"/>
      <c r="N85" s="1126"/>
      <c r="O85" s="1126"/>
      <c r="P85" s="1126"/>
      <c r="Q85" s="1126"/>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2041</v>
      </c>
      <c r="B86" s="389" t="s">
        <v>2042</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82" t="s">
        <v>2001</v>
      </c>
      <c r="AF86" s="2382"/>
      <c r="AG86" s="2382"/>
      <c r="AH86" s="2382"/>
      <c r="AI86" s="2382"/>
      <c r="AJ86" s="2382"/>
      <c r="AK86" s="2382"/>
      <c r="AL86" s="390"/>
      <c r="AM86" s="390"/>
      <c r="AN86" s="385"/>
    </row>
    <row r="87" spans="1:43" s="386" customFormat="1" ht="12.75" customHeight="1">
      <c r="A87" s="388"/>
      <c r="B87" s="389" t="s">
        <v>2043</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7"/>
      <c r="AF87" s="1127"/>
      <c r="AG87" s="1127"/>
      <c r="AH87" s="1127"/>
      <c r="AI87" s="1127"/>
      <c r="AJ87" s="1127"/>
      <c r="AK87" s="1127"/>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7"/>
      <c r="AF88" s="1127"/>
      <c r="AG88" s="1127"/>
      <c r="AH88" s="1127"/>
      <c r="AI88" s="1127"/>
      <c r="AJ88" s="1127"/>
      <c r="AK88" s="1127"/>
      <c r="AL88" s="390"/>
      <c r="AM88" s="390"/>
      <c r="AN88" s="385"/>
    </row>
    <row r="89" spans="1:43" s="386" customFormat="1" ht="12.75" customHeight="1">
      <c r="A89" s="388"/>
      <c r="B89" s="2524" t="s">
        <v>816</v>
      </c>
      <c r="C89" s="2524"/>
      <c r="D89" s="395" t="s">
        <v>2028</v>
      </c>
      <c r="E89" s="2525" t="s">
        <v>2044</v>
      </c>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7"/>
      <c r="AK89" s="1127"/>
      <c r="AL89" s="390"/>
      <c r="AM89" s="390"/>
      <c r="AN89" s="385"/>
    </row>
    <row r="90" spans="1:43" s="386" customFormat="1" ht="12.75" customHeight="1">
      <c r="A90" s="388"/>
      <c r="B90" s="389"/>
      <c r="C90" s="389"/>
      <c r="D90" s="389"/>
      <c r="E90" s="2528"/>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30"/>
      <c r="AK90" s="1127"/>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7"/>
      <c r="AL91" s="390"/>
      <c r="AM91" s="390"/>
      <c r="AN91" s="385"/>
    </row>
    <row r="92" spans="1:43" s="386" customFormat="1" ht="12.75" customHeight="1">
      <c r="A92" s="388"/>
      <c r="B92" s="389"/>
      <c r="C92" s="389"/>
      <c r="D92" s="389"/>
      <c r="E92" s="2537">
        <f>Application!AC761</f>
        <v>0.49735099337748356</v>
      </c>
      <c r="F92" s="2538"/>
      <c r="G92" s="2538"/>
      <c r="H92" s="2538"/>
      <c r="I92" s="420"/>
      <c r="J92" s="423" t="s">
        <v>2045</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7"/>
      <c r="AL92" s="390"/>
      <c r="AM92" s="390"/>
      <c r="AN92" s="385"/>
    </row>
    <row r="93" spans="1:43" s="386" customFormat="1" ht="12.75" customHeight="1">
      <c r="A93" s="388"/>
      <c r="B93" s="389"/>
      <c r="C93" s="389"/>
      <c r="D93" s="389"/>
      <c r="E93" s="2569">
        <f>0.6-ROUNDUP(E92,2)</f>
        <v>9.9999999999999978E-2</v>
      </c>
      <c r="F93" s="2356"/>
      <c r="G93" s="2356"/>
      <c r="H93" s="2356"/>
      <c r="I93" s="420"/>
      <c r="J93" s="423" t="s">
        <v>2046</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7"/>
      <c r="AL93" s="390"/>
      <c r="AM93" s="390"/>
      <c r="AN93" s="385"/>
    </row>
    <row r="94" spans="1:43" s="386" customFormat="1" ht="12.75" customHeight="1">
      <c r="A94" s="388"/>
      <c r="B94" s="389"/>
      <c r="C94" s="389"/>
      <c r="D94" s="389"/>
      <c r="E94" s="2548">
        <f>IF(E93*200&gt;20,20,E93*200)</f>
        <v>19.999999999999996</v>
      </c>
      <c r="F94" s="2549"/>
      <c r="G94" s="2549"/>
      <c r="H94" s="2549"/>
      <c r="I94" s="420"/>
      <c r="J94" s="423" t="s">
        <v>2047</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7"/>
      <c r="AL94" s="390"/>
      <c r="AM94" s="390"/>
      <c r="AN94" s="385"/>
      <c r="AP94" s="386">
        <f>IF(B89="yes",E94,0)</f>
        <v>0</v>
      </c>
      <c r="AQ94" s="386" t="s">
        <v>2007</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7"/>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7"/>
      <c r="AF96" s="1127"/>
      <c r="AG96" s="1127"/>
      <c r="AH96" s="1127"/>
      <c r="AI96" s="1127"/>
      <c r="AJ96" s="1127"/>
      <c r="AK96" s="1127"/>
      <c r="AL96" s="390"/>
      <c r="AM96" s="390"/>
      <c r="AN96" s="385"/>
    </row>
    <row r="97" spans="1:47" s="386" customFormat="1" ht="12.75" customHeight="1">
      <c r="A97" s="388"/>
      <c r="B97" s="2524" t="s">
        <v>847</v>
      </c>
      <c r="C97" s="2524"/>
      <c r="D97" s="395" t="s">
        <v>2031</v>
      </c>
      <c r="E97" s="2525" t="s">
        <v>2048</v>
      </c>
      <c r="F97" s="2526"/>
      <c r="G97" s="2526"/>
      <c r="H97" s="2526"/>
      <c r="I97" s="2526"/>
      <c r="J97" s="2526"/>
      <c r="K97" s="2526"/>
      <c r="L97" s="2526"/>
      <c r="M97" s="2526"/>
      <c r="N97" s="2526"/>
      <c r="O97" s="2526"/>
      <c r="P97" s="2526"/>
      <c r="Q97" s="2526"/>
      <c r="R97" s="2526"/>
      <c r="S97" s="2526"/>
      <c r="T97" s="2526"/>
      <c r="U97" s="2526"/>
      <c r="V97" s="2526"/>
      <c r="W97" s="2526"/>
      <c r="X97" s="2526"/>
      <c r="Y97" s="2526"/>
      <c r="Z97" s="2526"/>
      <c r="AA97" s="2526"/>
      <c r="AB97" s="2526"/>
      <c r="AC97" s="2526"/>
      <c r="AD97" s="2526"/>
      <c r="AE97" s="2526"/>
      <c r="AF97" s="2526"/>
      <c r="AG97" s="2526"/>
      <c r="AH97" s="2526"/>
      <c r="AI97" s="2526"/>
      <c r="AJ97" s="2527"/>
      <c r="AK97" s="1127"/>
      <c r="AL97" s="390"/>
      <c r="AM97" s="390"/>
      <c r="AN97" s="385"/>
    </row>
    <row r="98" spans="1:47" s="386" customFormat="1" ht="12.75" customHeight="1">
      <c r="A98" s="388"/>
      <c r="B98" s="389"/>
      <c r="C98" s="389"/>
      <c r="D98" s="389"/>
      <c r="E98" s="2528"/>
      <c r="F98" s="2529"/>
      <c r="G98" s="2529"/>
      <c r="H98" s="2529"/>
      <c r="I98" s="2529"/>
      <c r="J98" s="2529"/>
      <c r="K98" s="2529"/>
      <c r="L98" s="2529"/>
      <c r="M98" s="2529"/>
      <c r="N98" s="2529"/>
      <c r="O98" s="2529"/>
      <c r="P98" s="2529"/>
      <c r="Q98" s="2529"/>
      <c r="R98" s="2529"/>
      <c r="S98" s="2529"/>
      <c r="T98" s="2529"/>
      <c r="U98" s="2529"/>
      <c r="V98" s="2529"/>
      <c r="W98" s="2529"/>
      <c r="X98" s="2529"/>
      <c r="Y98" s="2529"/>
      <c r="Z98" s="2529"/>
      <c r="AA98" s="2529"/>
      <c r="AB98" s="2529"/>
      <c r="AC98" s="2529"/>
      <c r="AD98" s="2529"/>
      <c r="AE98" s="2529"/>
      <c r="AF98" s="2529"/>
      <c r="AG98" s="2529"/>
      <c r="AH98" s="2529"/>
      <c r="AI98" s="2529"/>
      <c r="AJ98" s="2530"/>
      <c r="AK98" s="1127"/>
      <c r="AL98" s="390"/>
      <c r="AM98" s="390"/>
      <c r="AN98" s="385"/>
    </row>
    <row r="99" spans="1:47" s="386" customFormat="1" ht="12.75" customHeight="1">
      <c r="A99" s="388"/>
      <c r="B99" s="389"/>
      <c r="C99" s="389"/>
      <c r="D99" s="389"/>
      <c r="E99" s="2528"/>
      <c r="F99" s="2529"/>
      <c r="G99" s="2529"/>
      <c r="H99" s="2529"/>
      <c r="I99" s="2529"/>
      <c r="J99" s="2529"/>
      <c r="K99" s="2529"/>
      <c r="L99" s="2529"/>
      <c r="M99" s="2529"/>
      <c r="N99" s="2529"/>
      <c r="O99" s="2529"/>
      <c r="P99" s="2529"/>
      <c r="Q99" s="2529"/>
      <c r="R99" s="2529"/>
      <c r="S99" s="2529"/>
      <c r="T99" s="2529"/>
      <c r="U99" s="2529"/>
      <c r="V99" s="2529"/>
      <c r="W99" s="2529"/>
      <c r="X99" s="2529"/>
      <c r="Y99" s="2529"/>
      <c r="Z99" s="2529"/>
      <c r="AA99" s="2529"/>
      <c r="AB99" s="2529"/>
      <c r="AC99" s="2529"/>
      <c r="AD99" s="2529"/>
      <c r="AE99" s="2529"/>
      <c r="AF99" s="2529"/>
      <c r="AG99" s="2529"/>
      <c r="AH99" s="2529"/>
      <c r="AI99" s="2529"/>
      <c r="AJ99" s="2530"/>
      <c r="AK99" s="1127"/>
      <c r="AL99" s="390"/>
      <c r="AM99" s="390"/>
      <c r="AN99" s="385"/>
    </row>
    <row r="100" spans="1:47" s="386" customFormat="1" ht="12.75" customHeight="1">
      <c r="A100" s="388"/>
      <c r="B100" s="389"/>
      <c r="C100" s="389"/>
      <c r="D100" s="389"/>
      <c r="E100" s="2528"/>
      <c r="F100" s="2529"/>
      <c r="G100" s="2529"/>
      <c r="H100" s="2529"/>
      <c r="I100" s="2529"/>
      <c r="J100" s="2529"/>
      <c r="K100" s="2529"/>
      <c r="L100" s="2529"/>
      <c r="M100" s="2529"/>
      <c r="N100" s="2529"/>
      <c r="O100" s="2529"/>
      <c r="P100" s="2529"/>
      <c r="Q100" s="2529"/>
      <c r="R100" s="2529"/>
      <c r="S100" s="2529"/>
      <c r="T100" s="2529"/>
      <c r="U100" s="2529"/>
      <c r="V100" s="2529"/>
      <c r="W100" s="2529"/>
      <c r="X100" s="2529"/>
      <c r="Y100" s="2529"/>
      <c r="Z100" s="2529"/>
      <c r="AA100" s="2529"/>
      <c r="AB100" s="2529"/>
      <c r="AC100" s="2529"/>
      <c r="AD100" s="2529"/>
      <c r="AE100" s="2529"/>
      <c r="AF100" s="2529"/>
      <c r="AG100" s="2529"/>
      <c r="AH100" s="2529"/>
      <c r="AI100" s="2529"/>
      <c r="AJ100" s="2530"/>
      <c r="AK100" s="1127"/>
      <c r="AL100" s="390"/>
      <c r="AM100" s="390"/>
      <c r="AN100" s="385"/>
    </row>
    <row r="101" spans="1:47" s="386" customFormat="1" ht="12.75" customHeight="1">
      <c r="A101" s="388"/>
      <c r="B101" s="389"/>
      <c r="C101" s="389"/>
      <c r="D101" s="389"/>
      <c r="E101" s="1146"/>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c r="AA101" s="1147"/>
      <c r="AB101" s="1147"/>
      <c r="AC101" s="1147"/>
      <c r="AD101" s="1147"/>
      <c r="AE101" s="1147"/>
      <c r="AF101" s="1147"/>
      <c r="AG101" s="1147"/>
      <c r="AH101" s="1147"/>
      <c r="AI101" s="1147"/>
      <c r="AJ101" s="1148"/>
      <c r="AK101" s="1127"/>
      <c r="AL101" s="390"/>
      <c r="AM101" s="390"/>
      <c r="AN101" s="385"/>
    </row>
    <row r="102" spans="1:47" s="386" customFormat="1" ht="12.75" customHeight="1">
      <c r="A102" s="388"/>
      <c r="B102" s="389"/>
      <c r="C102" s="389"/>
      <c r="D102" s="389"/>
      <c r="E102" s="2537">
        <f>Application!AC761</f>
        <v>0.49735099337748356</v>
      </c>
      <c r="F102" s="2538"/>
      <c r="G102" s="2538"/>
      <c r="H102" s="2538"/>
      <c r="I102" s="420"/>
      <c r="J102" s="423" t="s">
        <v>2045</v>
      </c>
      <c r="K102" s="420"/>
      <c r="L102" s="420"/>
      <c r="M102" s="420"/>
      <c r="N102" s="420"/>
      <c r="O102" s="420"/>
      <c r="P102" s="420"/>
      <c r="Q102" s="420"/>
      <c r="R102" s="1147"/>
      <c r="S102" s="1147"/>
      <c r="T102" s="1147"/>
      <c r="U102" s="1147"/>
      <c r="V102" s="1147"/>
      <c r="W102" s="1147"/>
      <c r="X102" s="1147"/>
      <c r="Y102" s="1147"/>
      <c r="Z102" s="1147"/>
      <c r="AA102" s="1147"/>
      <c r="AB102" s="1147"/>
      <c r="AC102" s="1147"/>
      <c r="AD102" s="1147"/>
      <c r="AE102" s="1147"/>
      <c r="AF102" s="1147"/>
      <c r="AG102" s="1147"/>
      <c r="AH102" s="1147"/>
      <c r="AI102" s="1147"/>
      <c r="AJ102" s="1148"/>
      <c r="AK102" s="1127"/>
      <c r="AL102" s="390"/>
      <c r="AM102" s="390"/>
      <c r="AN102" s="385"/>
    </row>
    <row r="103" spans="1:47" s="386" customFormat="1" ht="12.75" customHeight="1">
      <c r="A103" s="388"/>
      <c r="B103" s="389"/>
      <c r="C103" s="389"/>
      <c r="D103" s="389"/>
      <c r="E103" s="2537">
        <f ca="1">SUMIF(Application!AC726:AG760,0.2,Application!G726:J760)/Application!G761+SUMIF(Application!AC726:AG760,0.25,Application!G726:J760)/Application!G761+SUMIF(Application!AC726:AG760,0.3,Application!G726:J760)/Application!G761</f>
        <v>0.31125827814569534</v>
      </c>
      <c r="F103" s="2538"/>
      <c r="G103" s="2538"/>
      <c r="H103" s="2538"/>
      <c r="I103" s="420"/>
      <c r="J103" s="423" t="s">
        <v>2049</v>
      </c>
      <c r="K103" s="420"/>
      <c r="L103" s="420"/>
      <c r="M103" s="420"/>
      <c r="N103" s="420"/>
      <c r="O103" s="420"/>
      <c r="P103" s="420"/>
      <c r="Q103" s="420"/>
      <c r="R103" s="1147"/>
      <c r="S103" s="1147"/>
      <c r="T103" s="1147"/>
      <c r="U103" s="1147"/>
      <c r="V103" s="1147"/>
      <c r="W103" s="1147"/>
      <c r="X103" s="1147"/>
      <c r="Y103" s="1147"/>
      <c r="Z103" s="1147"/>
      <c r="AA103" s="1147"/>
      <c r="AB103" s="1147"/>
      <c r="AC103" s="1147"/>
      <c r="AD103" s="1147"/>
      <c r="AE103" s="1147"/>
      <c r="AF103" s="1147"/>
      <c r="AG103" s="1147"/>
      <c r="AH103" s="1147"/>
      <c r="AI103" s="1147"/>
      <c r="AJ103" s="1148"/>
      <c r="AK103" s="1127"/>
      <c r="AL103" s="390"/>
      <c r="AM103" s="390"/>
      <c r="AN103" s="385"/>
      <c r="AU103" s="680"/>
    </row>
    <row r="104" spans="1:47" s="386" customFormat="1" ht="12.75" customHeight="1">
      <c r="A104" s="388"/>
      <c r="B104" s="389"/>
      <c r="C104" s="389"/>
      <c r="D104" s="389"/>
      <c r="E104" s="2537">
        <f ca="1">SUMIF(Application!AC726:AG760,0.35,Application!G726:J760)/Application!G761+SUMIF(Application!AC726:AG760,0.4,Application!G726:J760)/Application!G761+SUMIF(Application!AC726:AG760,0.45,Application!G726:J760)/Application!G761+SUMIF(Application!AC726:AG760,0.5,Application!G726:J760)/Application!G761</f>
        <v>0.30463576158940397</v>
      </c>
      <c r="F104" s="2538"/>
      <c r="G104" s="2538"/>
      <c r="H104" s="2538"/>
      <c r="I104" s="420"/>
      <c r="J104" s="423" t="s">
        <v>2050</v>
      </c>
      <c r="K104" s="420"/>
      <c r="L104" s="420"/>
      <c r="M104" s="420"/>
      <c r="N104" s="420"/>
      <c r="O104" s="420"/>
      <c r="P104" s="420"/>
      <c r="Q104" s="420"/>
      <c r="R104" s="1147"/>
      <c r="S104" s="1147"/>
      <c r="T104" s="1147"/>
      <c r="U104" s="1147"/>
      <c r="V104" s="1147"/>
      <c r="W104" s="1147"/>
      <c r="X104" s="1147"/>
      <c r="Y104" s="1147"/>
      <c r="Z104" s="1147"/>
      <c r="AA104" s="1147"/>
      <c r="AB104" s="1147"/>
      <c r="AC104" s="1147"/>
      <c r="AD104" s="1147"/>
      <c r="AE104" s="1147"/>
      <c r="AF104" s="1147"/>
      <c r="AG104" s="1147"/>
      <c r="AH104" s="1147"/>
      <c r="AI104" s="1147"/>
      <c r="AJ104" s="1148"/>
      <c r="AK104" s="1127"/>
      <c r="AL104" s="390"/>
      <c r="AM104" s="390"/>
      <c r="AN104" s="385"/>
      <c r="AU104" s="680"/>
    </row>
    <row r="105" spans="1:47" s="386" customFormat="1" ht="12.75" customHeight="1">
      <c r="A105" s="388"/>
      <c r="B105" s="389"/>
      <c r="C105" s="389"/>
      <c r="D105" s="389"/>
      <c r="E105" s="2535">
        <f ca="1">IF(AND(E102&lt;=0.6,OR(AND(E103&gt;=0.1,E104&gt;=0.1),AND(E103&gt;0.1,(E103+E104)&gt;=0.2))),20,0)</f>
        <v>20</v>
      </c>
      <c r="F105" s="2536"/>
      <c r="G105" s="2536"/>
      <c r="H105" s="2536"/>
      <c r="I105" s="1147"/>
      <c r="J105" s="429" t="s">
        <v>2047</v>
      </c>
      <c r="K105" s="1147"/>
      <c r="L105" s="1147"/>
      <c r="M105" s="1147"/>
      <c r="N105" s="1147"/>
      <c r="O105" s="1147"/>
      <c r="P105" s="1147"/>
      <c r="Q105" s="1147"/>
      <c r="R105" s="1147"/>
      <c r="S105" s="1147"/>
      <c r="T105" s="1147"/>
      <c r="U105" s="1147"/>
      <c r="V105" s="1147"/>
      <c r="W105" s="1147"/>
      <c r="X105" s="1147"/>
      <c r="Y105" s="1147"/>
      <c r="Z105" s="1147"/>
      <c r="AA105" s="1147"/>
      <c r="AB105" s="1147"/>
      <c r="AC105" s="1147"/>
      <c r="AD105" s="1147"/>
      <c r="AE105" s="1147"/>
      <c r="AF105" s="1147"/>
      <c r="AG105" s="1147"/>
      <c r="AH105" s="1147"/>
      <c r="AI105" s="1147"/>
      <c r="AJ105" s="1148"/>
      <c r="AK105" s="1127"/>
      <c r="AL105" s="390"/>
      <c r="AM105" s="390"/>
      <c r="AN105" s="385"/>
      <c r="AP105" s="386">
        <f ca="1">IF(B97="yes",E105,0)</f>
        <v>20</v>
      </c>
      <c r="AQ105" s="386" t="s">
        <v>2007</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7"/>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7"/>
      <c r="AF107" s="1127"/>
      <c r="AG107" s="1127"/>
      <c r="AH107" s="1127"/>
      <c r="AI107" s="1127"/>
      <c r="AJ107" s="1127"/>
      <c r="AK107" s="1127"/>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2051</v>
      </c>
      <c r="AK108" s="2516">
        <f ca="1">MAX(AP94,AP105)</f>
        <v>20</v>
      </c>
      <c r="AL108" s="2517"/>
      <c r="AM108" s="2518"/>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26"/>
      <c r="J110" s="1126"/>
      <c r="K110" s="1126"/>
      <c r="L110" s="1126"/>
      <c r="M110" s="1126"/>
      <c r="N110" s="1126"/>
      <c r="O110" s="1126"/>
      <c r="P110" s="1126"/>
      <c r="Q110" s="1126"/>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2052</v>
      </c>
      <c r="B111" s="389" t="s">
        <v>2053</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82" t="s">
        <v>2026</v>
      </c>
      <c r="AF111" s="2382"/>
      <c r="AG111" s="2382"/>
      <c r="AH111" s="2382"/>
      <c r="AI111" s="2382"/>
      <c r="AJ111" s="2382"/>
      <c r="AK111" s="2382"/>
      <c r="AL111" s="390"/>
      <c r="AM111" s="390"/>
      <c r="AN111" s="385"/>
      <c r="AO111" s="386" t="str">
        <f>Application!B726</f>
        <v>1 Bedroom</v>
      </c>
      <c r="AQ111" s="386">
        <f>Application!O726</f>
        <v>743</v>
      </c>
    </row>
    <row r="112" spans="1:47" s="386" customFormat="1" ht="12.75" customHeight="1">
      <c r="A112" s="390"/>
      <c r="B112" s="389" t="s">
        <v>2043</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7"/>
      <c r="AF112" s="1127"/>
      <c r="AG112" s="1127"/>
      <c r="AH112" s="1127"/>
      <c r="AI112" s="1127"/>
      <c r="AJ112" s="1127"/>
      <c r="AK112" s="390"/>
      <c r="AL112" s="390"/>
      <c r="AM112" s="390"/>
      <c r="AN112" s="385"/>
      <c r="AO112" s="386" t="str">
        <f>Application!B727</f>
        <v>1 Bedroom</v>
      </c>
      <c r="AQ112" s="386">
        <f>Application!O727</f>
        <v>743</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1 Bedroom</v>
      </c>
      <c r="AQ113" s="386">
        <f>Application!O728</f>
        <v>1311</v>
      </c>
    </row>
    <row r="114" spans="1:52" s="386" customFormat="1" ht="12.75" customHeight="1">
      <c r="A114" s="390"/>
      <c r="B114" s="2524" t="s">
        <v>847</v>
      </c>
      <c r="C114" s="2524"/>
      <c r="D114" s="395" t="s">
        <v>2028</v>
      </c>
      <c r="E114" s="2525" t="s">
        <v>2054</v>
      </c>
      <c r="F114" s="2526"/>
      <c r="G114" s="2526"/>
      <c r="H114" s="2526"/>
      <c r="I114" s="2526"/>
      <c r="J114" s="2526"/>
      <c r="K114" s="2526"/>
      <c r="L114" s="2526"/>
      <c r="M114" s="2526"/>
      <c r="N114" s="2526"/>
      <c r="O114" s="2526"/>
      <c r="P114" s="2526"/>
      <c r="Q114" s="2526"/>
      <c r="R114" s="2526"/>
      <c r="S114" s="2526"/>
      <c r="T114" s="2526"/>
      <c r="U114" s="2526"/>
      <c r="V114" s="2526"/>
      <c r="W114" s="2526"/>
      <c r="X114" s="2526"/>
      <c r="Y114" s="2526"/>
      <c r="Z114" s="2526"/>
      <c r="AA114" s="2526"/>
      <c r="AB114" s="2526"/>
      <c r="AC114" s="2526"/>
      <c r="AD114" s="2526"/>
      <c r="AE114" s="2526"/>
      <c r="AF114" s="2526"/>
      <c r="AG114" s="2526"/>
      <c r="AH114" s="2526"/>
      <c r="AI114" s="2526"/>
      <c r="AJ114" s="2527"/>
      <c r="AK114" s="390"/>
      <c r="AL114" s="390"/>
      <c r="AM114" s="390"/>
      <c r="AN114" s="385"/>
      <c r="AO114" s="386" t="str">
        <f>Application!B729</f>
        <v>1 Bedroom</v>
      </c>
      <c r="AQ114" s="386">
        <f>Application!O729</f>
        <v>1595</v>
      </c>
      <c r="AU114" s="386" t="s">
        <v>2055</v>
      </c>
      <c r="AV114" s="435" t="s">
        <v>1566</v>
      </c>
      <c r="AW114" s="386" t="s">
        <v>2056</v>
      </c>
    </row>
    <row r="115" spans="1:52" s="386" customFormat="1" ht="12.75" customHeight="1">
      <c r="A115" s="390"/>
      <c r="B115" s="389"/>
      <c r="C115" s="389"/>
      <c r="D115" s="389"/>
      <c r="E115" s="2528"/>
      <c r="F115" s="2529"/>
      <c r="G115" s="2529"/>
      <c r="H115" s="2529"/>
      <c r="I115" s="2529"/>
      <c r="J115" s="2529"/>
      <c r="K115" s="2529"/>
      <c r="L115" s="2529"/>
      <c r="M115" s="2529"/>
      <c r="N115" s="2529"/>
      <c r="O115" s="2529"/>
      <c r="P115" s="2529"/>
      <c r="Q115" s="2529"/>
      <c r="R115" s="2529"/>
      <c r="S115" s="2529"/>
      <c r="T115" s="2529"/>
      <c r="U115" s="2529"/>
      <c r="V115" s="2529"/>
      <c r="W115" s="2529"/>
      <c r="X115" s="2529"/>
      <c r="Y115" s="2529"/>
      <c r="Z115" s="2529"/>
      <c r="AA115" s="2529"/>
      <c r="AB115" s="2529"/>
      <c r="AC115" s="2529"/>
      <c r="AD115" s="2529"/>
      <c r="AE115" s="2529"/>
      <c r="AF115" s="2529"/>
      <c r="AG115" s="2529"/>
      <c r="AH115" s="2529"/>
      <c r="AI115" s="2529"/>
      <c r="AJ115" s="2530"/>
      <c r="AK115" s="390"/>
      <c r="AL115" s="390"/>
      <c r="AM115" s="390"/>
      <c r="AN115" s="385"/>
      <c r="AO115" s="386" t="str">
        <f>Application!B730</f>
        <v>1 Bedroom</v>
      </c>
      <c r="AQ115" s="386">
        <f>Application!O730</f>
        <v>1879</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528"/>
      <c r="F116" s="2529"/>
      <c r="G116" s="2529"/>
      <c r="H116" s="2529"/>
      <c r="I116" s="2529"/>
      <c r="J116" s="2529"/>
      <c r="K116" s="2529"/>
      <c r="L116" s="2529"/>
      <c r="M116" s="2529"/>
      <c r="N116" s="2529"/>
      <c r="O116" s="2529"/>
      <c r="P116" s="2529"/>
      <c r="Q116" s="2529"/>
      <c r="R116" s="2529"/>
      <c r="S116" s="2529"/>
      <c r="T116" s="2529"/>
      <c r="U116" s="2529"/>
      <c r="V116" s="2529"/>
      <c r="W116" s="2529"/>
      <c r="X116" s="2529"/>
      <c r="Y116" s="2529"/>
      <c r="Z116" s="2529"/>
      <c r="AA116" s="2529"/>
      <c r="AB116" s="2529"/>
      <c r="AC116" s="2529"/>
      <c r="AD116" s="2529"/>
      <c r="AE116" s="2529"/>
      <c r="AF116" s="2529"/>
      <c r="AG116" s="2529"/>
      <c r="AH116" s="2529"/>
      <c r="AI116" s="2529"/>
      <c r="AJ116" s="2530"/>
      <c r="AK116" s="390"/>
      <c r="AL116" s="390"/>
      <c r="AM116" s="390"/>
      <c r="AN116" s="385"/>
      <c r="AO116" s="386" t="str">
        <f>Application!B731</f>
        <v>2 Bedrooms</v>
      </c>
      <c r="AQ116" s="386">
        <f>Application!O731</f>
        <v>871</v>
      </c>
      <c r="AU116" s="675" t="str">
        <f>J123</f>
        <v>1-bedroom</v>
      </c>
      <c r="AV116" s="386">
        <f t="array" ref="AV116">SUM(IF(Application!B726:F760="1 Bedroom",Application!G726:J760))</f>
        <v>74</v>
      </c>
      <c r="AW116" s="796">
        <f>AV116/AV121</f>
        <v>0.49006622516556292</v>
      </c>
    </row>
    <row r="117" spans="1:52" s="386" customFormat="1" ht="12.75" customHeight="1">
      <c r="A117" s="390"/>
      <c r="B117" s="389"/>
      <c r="C117" s="389"/>
      <c r="D117" s="389"/>
      <c r="E117" s="2528"/>
      <c r="F117" s="2529"/>
      <c r="G117" s="2529"/>
      <c r="H117" s="2529"/>
      <c r="I117" s="2529"/>
      <c r="J117" s="2529"/>
      <c r="K117" s="2529"/>
      <c r="L117" s="2529"/>
      <c r="M117" s="2529"/>
      <c r="N117" s="2529"/>
      <c r="O117" s="2529"/>
      <c r="P117" s="2529"/>
      <c r="Q117" s="2529"/>
      <c r="R117" s="2529"/>
      <c r="S117" s="2529"/>
      <c r="T117" s="2529"/>
      <c r="U117" s="2529"/>
      <c r="V117" s="2529"/>
      <c r="W117" s="2529"/>
      <c r="X117" s="2529"/>
      <c r="Y117" s="2529"/>
      <c r="Z117" s="2529"/>
      <c r="AA117" s="2529"/>
      <c r="AB117" s="2529"/>
      <c r="AC117" s="2529"/>
      <c r="AD117" s="2529"/>
      <c r="AE117" s="2529"/>
      <c r="AF117" s="2529"/>
      <c r="AG117" s="2529"/>
      <c r="AH117" s="2529"/>
      <c r="AI117" s="2529"/>
      <c r="AJ117" s="2530"/>
      <c r="AK117" s="390"/>
      <c r="AL117" s="390"/>
      <c r="AM117" s="390"/>
      <c r="AN117" s="385"/>
      <c r="AO117" s="386" t="str">
        <f>Application!B732</f>
        <v>2 Bedrooms</v>
      </c>
      <c r="AQ117" s="386">
        <f>Application!O732</f>
        <v>1552</v>
      </c>
      <c r="AU117" s="675" t="str">
        <f>O123</f>
        <v>2-bedroom</v>
      </c>
      <c r="AV117" s="386">
        <f t="array" ref="AV117">SUM(IF(Application!B726:F760="2 Bedrooms",Application!G726:J760))</f>
        <v>38</v>
      </c>
      <c r="AW117" s="796">
        <f>AV117/AV121</f>
        <v>0.25165562913907286</v>
      </c>
    </row>
    <row r="118" spans="1:52" s="386" customFormat="1" ht="12.75" customHeight="1">
      <c r="A118" s="390"/>
      <c r="B118" s="389"/>
      <c r="C118" s="389"/>
      <c r="D118" s="389"/>
      <c r="E118" s="2528"/>
      <c r="F118" s="2529"/>
      <c r="G118" s="2529"/>
      <c r="H118" s="2529"/>
      <c r="I118" s="2529"/>
      <c r="J118" s="2529"/>
      <c r="K118" s="2529"/>
      <c r="L118" s="2529"/>
      <c r="M118" s="2529"/>
      <c r="N118" s="2529"/>
      <c r="O118" s="2529"/>
      <c r="P118" s="2529"/>
      <c r="Q118" s="2529"/>
      <c r="R118" s="2529"/>
      <c r="S118" s="2529"/>
      <c r="T118" s="2529"/>
      <c r="U118" s="2529"/>
      <c r="V118" s="2529"/>
      <c r="W118" s="2529"/>
      <c r="X118" s="2529"/>
      <c r="Y118" s="2529"/>
      <c r="Z118" s="2529"/>
      <c r="AA118" s="2529"/>
      <c r="AB118" s="2529"/>
      <c r="AC118" s="2529"/>
      <c r="AD118" s="2529"/>
      <c r="AE118" s="2529"/>
      <c r="AF118" s="2529"/>
      <c r="AG118" s="2529"/>
      <c r="AH118" s="2529"/>
      <c r="AI118" s="2529"/>
      <c r="AJ118" s="2530"/>
      <c r="AK118" s="390"/>
      <c r="AL118" s="390"/>
      <c r="AM118" s="390"/>
      <c r="AN118" s="385"/>
      <c r="AO118" s="386" t="str">
        <f>Application!B733</f>
        <v>2 Bedrooms</v>
      </c>
      <c r="AQ118" s="386">
        <f>Application!O733</f>
        <v>1893</v>
      </c>
      <c r="AU118" s="675" t="str">
        <f>T123</f>
        <v>3-bedroom</v>
      </c>
      <c r="AV118" s="386">
        <f t="array" ref="AV118">SUM(IF(Application!B726:F760="3 Bedrooms",Application!G726:J760))</f>
        <v>39</v>
      </c>
      <c r="AW118" s="796">
        <f>AV118/AV121</f>
        <v>0.25827814569536423</v>
      </c>
    </row>
    <row r="119" spans="1:52" s="386" customFormat="1" ht="12.75" customHeight="1">
      <c r="A119" s="390"/>
      <c r="B119" s="389"/>
      <c r="C119" s="389"/>
      <c r="D119" s="389"/>
      <c r="E119" s="2528"/>
      <c r="F119" s="2529"/>
      <c r="G119" s="2529"/>
      <c r="H119" s="2529"/>
      <c r="I119" s="2529"/>
      <c r="J119" s="2529"/>
      <c r="K119" s="2529"/>
      <c r="L119" s="2529"/>
      <c r="M119" s="2529"/>
      <c r="N119" s="2529"/>
      <c r="O119" s="2529"/>
      <c r="P119" s="2529"/>
      <c r="Q119" s="2529"/>
      <c r="R119" s="2529"/>
      <c r="S119" s="2529"/>
      <c r="T119" s="2529"/>
      <c r="U119" s="2529"/>
      <c r="V119" s="2529"/>
      <c r="W119" s="2529"/>
      <c r="X119" s="2529"/>
      <c r="Y119" s="2529"/>
      <c r="Z119" s="2529"/>
      <c r="AA119" s="2529"/>
      <c r="AB119" s="2529"/>
      <c r="AC119" s="2529"/>
      <c r="AD119" s="2529"/>
      <c r="AE119" s="2529"/>
      <c r="AF119" s="2529"/>
      <c r="AG119" s="2529"/>
      <c r="AH119" s="2529"/>
      <c r="AI119" s="2529"/>
      <c r="AJ119" s="2530"/>
      <c r="AK119" s="390"/>
      <c r="AL119" s="390"/>
      <c r="AM119" s="390"/>
      <c r="AN119" s="385"/>
      <c r="AO119" s="386" t="str">
        <f>Application!B734</f>
        <v>2 Bedrooms</v>
      </c>
      <c r="AQ119" s="386">
        <f>Application!O734</f>
        <v>2234</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528"/>
      <c r="F120" s="2529"/>
      <c r="G120" s="2529"/>
      <c r="H120" s="2529"/>
      <c r="I120" s="2529"/>
      <c r="J120" s="2529"/>
      <c r="K120" s="2529"/>
      <c r="L120" s="2529"/>
      <c r="M120" s="2529"/>
      <c r="N120" s="2529"/>
      <c r="O120" s="2529"/>
      <c r="P120" s="2529"/>
      <c r="Q120" s="2529"/>
      <c r="R120" s="2529"/>
      <c r="S120" s="2529"/>
      <c r="T120" s="2529"/>
      <c r="U120" s="2529"/>
      <c r="V120" s="2529"/>
      <c r="W120" s="2529"/>
      <c r="X120" s="2529"/>
      <c r="Y120" s="2529"/>
      <c r="Z120" s="2529"/>
      <c r="AA120" s="2529"/>
      <c r="AB120" s="2529"/>
      <c r="AC120" s="2529"/>
      <c r="AD120" s="2529"/>
      <c r="AE120" s="2529"/>
      <c r="AF120" s="2529"/>
      <c r="AG120" s="2529"/>
      <c r="AH120" s="2529"/>
      <c r="AI120" s="2529"/>
      <c r="AJ120" s="2530"/>
      <c r="AK120" s="390"/>
      <c r="AL120" s="390"/>
      <c r="AM120" s="390"/>
      <c r="AN120" s="385"/>
      <c r="AO120" s="386" t="str">
        <f>Application!B735</f>
        <v>3 Bedrooms</v>
      </c>
      <c r="AQ120" s="386">
        <f>Application!O735</f>
        <v>988</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528"/>
      <c r="F121" s="2529"/>
      <c r="G121" s="2529"/>
      <c r="H121" s="2529"/>
      <c r="I121" s="2529"/>
      <c r="J121" s="2529"/>
      <c r="K121" s="2529"/>
      <c r="L121" s="2529"/>
      <c r="M121" s="2529"/>
      <c r="N121" s="2529"/>
      <c r="O121" s="2529"/>
      <c r="P121" s="2529"/>
      <c r="Q121" s="2529"/>
      <c r="R121" s="2529"/>
      <c r="S121" s="2529"/>
      <c r="T121" s="2529"/>
      <c r="U121" s="2529"/>
      <c r="V121" s="2529"/>
      <c r="W121" s="2529"/>
      <c r="X121" s="2529"/>
      <c r="Y121" s="2529"/>
      <c r="Z121" s="2529"/>
      <c r="AA121" s="2529"/>
      <c r="AB121" s="2529"/>
      <c r="AC121" s="2529"/>
      <c r="AD121" s="2529"/>
      <c r="AE121" s="2529"/>
      <c r="AF121" s="2529"/>
      <c r="AG121" s="2529"/>
      <c r="AH121" s="2529"/>
      <c r="AI121" s="2529"/>
      <c r="AJ121" s="2530"/>
      <c r="AK121" s="390"/>
      <c r="AL121" s="390"/>
      <c r="AM121" s="390"/>
      <c r="AN121" s="385"/>
      <c r="AO121" s="386" t="str">
        <f>Application!B736</f>
        <v>3 Bedrooms</v>
      </c>
      <c r="AQ121" s="386">
        <f>Application!O736</f>
        <v>1776</v>
      </c>
      <c r="AV121" s="386">
        <f>SUM(AV115:AV120)</f>
        <v>151</v>
      </c>
      <c r="AW121" s="796">
        <f>SUM(AW115:AW120)</f>
        <v>1</v>
      </c>
    </row>
    <row r="122" spans="1:52" s="386" customFormat="1" ht="12.75" customHeight="1">
      <c r="A122" s="390"/>
      <c r="B122" s="389"/>
      <c r="C122" s="389"/>
      <c r="D122" s="389"/>
      <c r="E122" s="1146"/>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7"/>
      <c r="AJ122" s="1148"/>
      <c r="AK122" s="390"/>
      <c r="AL122" s="390"/>
      <c r="AM122" s="390"/>
      <c r="AN122" s="385"/>
      <c r="AO122" s="386" t="str">
        <f>Application!B737</f>
        <v>3 Bedrooms</v>
      </c>
      <c r="AQ122" s="386">
        <f>Application!O737</f>
        <v>2170</v>
      </c>
    </row>
    <row r="123" spans="1:52" s="386" customFormat="1" ht="12.75" customHeight="1">
      <c r="A123" s="390"/>
      <c r="B123" s="389"/>
      <c r="C123" s="390"/>
      <c r="D123" s="390"/>
      <c r="E123" s="2537" t="s">
        <v>2057</v>
      </c>
      <c r="F123" s="2538"/>
      <c r="G123" s="2538"/>
      <c r="H123" s="2538"/>
      <c r="I123" s="420"/>
      <c r="J123" s="2538" t="s">
        <v>2058</v>
      </c>
      <c r="K123" s="2538"/>
      <c r="L123" s="2538"/>
      <c r="M123" s="2538"/>
      <c r="N123" s="420"/>
      <c r="O123" s="2538" t="s">
        <v>2059</v>
      </c>
      <c r="P123" s="2538"/>
      <c r="Q123" s="2538"/>
      <c r="R123" s="2538"/>
      <c r="S123" s="420"/>
      <c r="T123" s="2538" t="s">
        <v>2060</v>
      </c>
      <c r="U123" s="2538"/>
      <c r="V123" s="2538"/>
      <c r="W123" s="2538"/>
      <c r="X123" s="420"/>
      <c r="Y123" s="2538" t="s">
        <v>2061</v>
      </c>
      <c r="Z123" s="2538"/>
      <c r="AA123" s="2538"/>
      <c r="AB123" s="2538"/>
      <c r="AC123" s="420"/>
      <c r="AD123" s="2538" t="s">
        <v>2062</v>
      </c>
      <c r="AE123" s="2538"/>
      <c r="AF123" s="2538"/>
      <c r="AG123" s="2538"/>
      <c r="AH123" s="420"/>
      <c r="AI123" s="420"/>
      <c r="AJ123" s="422"/>
      <c r="AK123" s="390"/>
      <c r="AL123" s="390"/>
      <c r="AM123" s="390"/>
      <c r="AN123" s="385"/>
      <c r="AO123" s="386" t="str">
        <f>Application!B738</f>
        <v>3 Bedrooms</v>
      </c>
      <c r="AQ123" s="386">
        <f>Application!O738</f>
        <v>2564</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2063</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539"/>
      <c r="F126" s="2540"/>
      <c r="G126" s="2540"/>
      <c r="H126" s="2540"/>
      <c r="I126" s="682"/>
      <c r="J126" s="2540">
        <v>2250</v>
      </c>
      <c r="K126" s="2540"/>
      <c r="L126" s="2540"/>
      <c r="M126" s="2540"/>
      <c r="N126" s="682"/>
      <c r="O126" s="2540">
        <v>2727</v>
      </c>
      <c r="P126" s="2540"/>
      <c r="Q126" s="2540"/>
      <c r="R126" s="2540"/>
      <c r="S126" s="682"/>
      <c r="T126" s="2540">
        <v>3459</v>
      </c>
      <c r="U126" s="2540"/>
      <c r="V126" s="2540"/>
      <c r="W126" s="2540"/>
      <c r="X126" s="682"/>
      <c r="Y126" s="2540"/>
      <c r="Z126" s="2540"/>
      <c r="AA126" s="2540"/>
      <c r="AB126" s="2540"/>
      <c r="AC126" s="682"/>
      <c r="AD126" s="2540"/>
      <c r="AE126" s="2540"/>
      <c r="AF126" s="2540"/>
      <c r="AG126" s="2540"/>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2064</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573">
        <f>Application!DX678</f>
        <v>0</v>
      </c>
      <c r="F129" s="2547"/>
      <c r="G129" s="2547"/>
      <c r="H129" s="2547"/>
      <c r="I129" s="682"/>
      <c r="J129" s="2547">
        <f>Application!EC678</f>
        <v>1218.8918918918921</v>
      </c>
      <c r="K129" s="2547"/>
      <c r="L129" s="2547"/>
      <c r="M129" s="2547"/>
      <c r="N129" s="682"/>
      <c r="O129" s="2547">
        <f>Application!EH678</f>
        <v>1561.1842105263158</v>
      </c>
      <c r="P129" s="2547"/>
      <c r="Q129" s="2547"/>
      <c r="R129" s="2547"/>
      <c r="S129" s="686"/>
      <c r="T129" s="2547">
        <f>Application!EM678</f>
        <v>1967.948717948718</v>
      </c>
      <c r="U129" s="2547"/>
      <c r="V129" s="2547"/>
      <c r="W129" s="2547"/>
      <c r="X129" s="686"/>
      <c r="Y129" s="2547">
        <f>Application!ER678</f>
        <v>0</v>
      </c>
      <c r="Z129" s="2547"/>
      <c r="AA129" s="2547"/>
      <c r="AB129" s="2547"/>
      <c r="AC129" s="686"/>
      <c r="AD129" s="2547">
        <f>Application!EW678</f>
        <v>0</v>
      </c>
      <c r="AE129" s="2547"/>
      <c r="AF129" s="2547"/>
      <c r="AG129" s="2547"/>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2065</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355" t="e">
        <f>(E126-E129)/E126</f>
        <v>#DIV/0!</v>
      </c>
      <c r="F132" s="2356"/>
      <c r="G132" s="2356"/>
      <c r="H132" s="2357"/>
      <c r="I132" s="420"/>
      <c r="J132" s="2355">
        <f>(J126-J129)/J126</f>
        <v>0.45827027027027017</v>
      </c>
      <c r="K132" s="2356"/>
      <c r="L132" s="2356"/>
      <c r="M132" s="2357"/>
      <c r="N132" s="420"/>
      <c r="O132" s="2355">
        <f>(O126-O129)/O126</f>
        <v>0.42750854032771696</v>
      </c>
      <c r="P132" s="2356"/>
      <c r="Q132" s="2356"/>
      <c r="R132" s="2357"/>
      <c r="S132" s="420"/>
      <c r="T132" s="2355">
        <f>(T126-T129)/T126</f>
        <v>0.43106426194023761</v>
      </c>
      <c r="U132" s="2356"/>
      <c r="V132" s="2356"/>
      <c r="W132" s="2357"/>
      <c r="X132" s="420"/>
      <c r="Y132" s="2355" t="e">
        <f>(Y126-Y129)/Y126</f>
        <v>#DIV/0!</v>
      </c>
      <c r="Z132" s="2356"/>
      <c r="AA132" s="2356"/>
      <c r="AB132" s="2357"/>
      <c r="AC132" s="420"/>
      <c r="AD132" s="2355" t="e">
        <f>(AD126-AD129)/AD126</f>
        <v>#DIV/0!</v>
      </c>
      <c r="AE132" s="2356"/>
      <c r="AF132" s="2356"/>
      <c r="AG132" s="2357"/>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2066</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544" t="e">
        <f>IF(((E132-0.1)*AW115)&gt;0,((E132-0.1)*AW115),0)</f>
        <v>#DIV/0!</v>
      </c>
      <c r="F135" s="2545"/>
      <c r="G135" s="2545"/>
      <c r="H135" s="2546"/>
      <c r="I135" s="420"/>
      <c r="J135" s="2544">
        <f>IF(((J132-0.1)*AW116)&gt;0,((J132-0.1)*AW116),0)</f>
        <v>0.1755761589403973</v>
      </c>
      <c r="K135" s="2545"/>
      <c r="L135" s="2545"/>
      <c r="M135" s="2546"/>
      <c r="N135" s="420"/>
      <c r="O135" s="2544">
        <f>IF(((O132-0.1)*AW117)&gt;0,((O132-0.1)*AW117),0)</f>
        <v>8.2419367764591023E-2</v>
      </c>
      <c r="P135" s="2545"/>
      <c r="Q135" s="2545"/>
      <c r="R135" s="2546"/>
      <c r="S135" s="420"/>
      <c r="T135" s="2544">
        <f>IF(((T132-0.1)*AW118)&gt;0,((T132-0.1)*AW118),0)</f>
        <v>8.5506663679928915E-2</v>
      </c>
      <c r="U135" s="2545"/>
      <c r="V135" s="2545"/>
      <c r="W135" s="2546"/>
      <c r="X135" s="420"/>
      <c r="Y135" s="2544" t="e">
        <f>IF(((Y132-0.1)*AW119)&gt;0,((Y132-0.1)*AW119),0)</f>
        <v>#DIV/0!</v>
      </c>
      <c r="Z135" s="2545"/>
      <c r="AA135" s="2545"/>
      <c r="AB135" s="2546"/>
      <c r="AC135" s="420"/>
      <c r="AD135" s="2544" t="e">
        <f>IF(((AD132-0.1)*AW120)&gt;0,((AD132-0.1)*AW120),0)</f>
        <v>#DIV/0!</v>
      </c>
      <c r="AE135" s="2545"/>
      <c r="AF135" s="2545"/>
      <c r="AG135" s="2546"/>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355">
        <f>ROUNDDOWN(SUMIF(E135:AG135,"&gt;0"),2)</f>
        <v>0.34</v>
      </c>
      <c r="F137" s="2356"/>
      <c r="G137" s="2356"/>
      <c r="H137" s="2357"/>
      <c r="I137" s="420"/>
      <c r="J137" s="423" t="s">
        <v>2067</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516">
        <f>IF((E137*100)&gt;10,10,E137*100)</f>
        <v>10</v>
      </c>
      <c r="F138" s="2517"/>
      <c r="G138" s="2517"/>
      <c r="H138" s="2518"/>
      <c r="I138" s="420"/>
      <c r="J138" s="423" t="s">
        <v>2047</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2068</v>
      </c>
      <c r="AK142" s="2516">
        <f>E138</f>
        <v>10</v>
      </c>
      <c r="AL142" s="2517"/>
      <c r="AM142" s="2518"/>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26"/>
      <c r="J144" s="1126"/>
      <c r="K144" s="1126"/>
      <c r="L144" s="1126"/>
      <c r="M144" s="1126"/>
      <c r="N144" s="1126"/>
      <c r="O144" s="1126"/>
      <c r="P144" s="1126"/>
      <c r="Q144" s="1126"/>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2069</v>
      </c>
      <c r="AE145" s="2382" t="s">
        <v>2026</v>
      </c>
      <c r="AF145" s="2382"/>
      <c r="AG145" s="2382"/>
      <c r="AH145" s="2382"/>
      <c r="AI145" s="2382"/>
      <c r="AJ145" s="2382"/>
      <c r="AK145" s="2382"/>
      <c r="AL145" s="1131"/>
      <c r="AN145" s="433"/>
      <c r="AO145" s="386"/>
    </row>
    <row r="146" spans="1:42" s="389" customFormat="1" ht="13.15" customHeight="1">
      <c r="A146" s="388"/>
      <c r="AE146" s="1131"/>
      <c r="AF146" s="1131"/>
      <c r="AG146" s="1131"/>
      <c r="AH146" s="1131"/>
      <c r="AI146" s="1131"/>
      <c r="AJ146" s="1131"/>
      <c r="AK146" s="1131"/>
      <c r="AL146" s="1131"/>
      <c r="AN146" s="433"/>
    </row>
    <row r="147" spans="1:42" s="386" customFormat="1" ht="12.75" customHeight="1">
      <c r="A147" s="388"/>
      <c r="B147" s="388" t="s">
        <v>2070</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23" t="s">
        <v>2071</v>
      </c>
      <c r="AG147" s="2323"/>
      <c r="AH147" s="2323"/>
      <c r="AI147" s="2323"/>
      <c r="AJ147" s="2323"/>
      <c r="AK147" s="2323"/>
      <c r="AL147" s="2323"/>
      <c r="AM147" s="389"/>
      <c r="AN147" s="385"/>
    </row>
    <row r="148" spans="1:42" s="386" customFormat="1" ht="12.75" customHeight="1">
      <c r="A148" s="388"/>
      <c r="B148" s="388" t="s">
        <v>1078</v>
      </c>
      <c r="C148" s="1122"/>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389"/>
      <c r="AL148" s="1120"/>
      <c r="AM148" s="389"/>
      <c r="AN148" s="385"/>
    </row>
    <row r="149" spans="1:42" s="386" customFormat="1" ht="15" customHeight="1">
      <c r="A149" s="388"/>
      <c r="B149" s="2520" t="s">
        <v>2712</v>
      </c>
      <c r="C149" s="2520"/>
      <c r="D149" s="2520"/>
      <c r="E149" s="2520"/>
      <c r="F149" s="2520"/>
      <c r="G149" s="2520"/>
      <c r="H149" s="2520"/>
      <c r="I149" s="2520"/>
      <c r="J149" s="2520"/>
      <c r="K149" s="2520"/>
      <c r="L149" s="2520"/>
      <c r="M149" s="2520"/>
      <c r="N149" s="2520"/>
      <c r="O149" s="2520"/>
      <c r="P149" s="2520"/>
      <c r="Q149" s="2520"/>
      <c r="R149" s="2520"/>
      <c r="S149" s="2520"/>
      <c r="T149" s="2520"/>
      <c r="U149" s="2520"/>
      <c r="V149" s="2520"/>
      <c r="W149" s="2520"/>
      <c r="X149" s="2520"/>
      <c r="Y149" s="2520"/>
      <c r="Z149" s="2520"/>
      <c r="AA149" s="2520"/>
      <c r="AB149" s="2520"/>
      <c r="AC149" s="2520"/>
      <c r="AD149" s="389"/>
      <c r="AE149" s="1120"/>
      <c r="AF149" s="1120"/>
      <c r="AG149" s="1120"/>
      <c r="AH149" s="1120"/>
      <c r="AI149" s="1120"/>
      <c r="AJ149" s="1120"/>
      <c r="AK149" s="1120"/>
      <c r="AL149" s="112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20"/>
      <c r="AF150" s="1120"/>
      <c r="AG150" s="1120"/>
      <c r="AH150" s="1120"/>
      <c r="AI150" s="1120"/>
      <c r="AJ150" s="1120"/>
      <c r="AK150" s="1120"/>
      <c r="AL150" s="1120"/>
      <c r="AM150" s="389"/>
      <c r="AN150" s="385"/>
      <c r="AO150" s="1056" t="s">
        <v>311</v>
      </c>
      <c r="AP150" s="393"/>
    </row>
    <row r="151" spans="1:42" s="386" customFormat="1" ht="12.75" customHeight="1">
      <c r="A151" s="388"/>
      <c r="B151" s="389" t="s">
        <v>2072</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2073</v>
      </c>
      <c r="AP151" s="343">
        <v>5</v>
      </c>
    </row>
    <row r="152" spans="1:42" s="386" customFormat="1" ht="12.75" customHeight="1">
      <c r="A152" s="388"/>
      <c r="B152" s="2521" t="s">
        <v>2074</v>
      </c>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c r="AA152" s="2521"/>
      <c r="AB152" s="2521"/>
      <c r="AC152" s="2521"/>
      <c r="AD152" s="2521"/>
      <c r="AE152" s="2521"/>
      <c r="AF152" s="2521"/>
      <c r="AG152" s="2521"/>
      <c r="AH152" s="2521"/>
      <c r="AI152" s="2521"/>
      <c r="AM152" s="389"/>
      <c r="AN152" s="385"/>
      <c r="AO152" s="333" t="s">
        <v>2074</v>
      </c>
      <c r="AP152" s="343">
        <v>7</v>
      </c>
    </row>
    <row r="153" spans="1:42" s="386" customFormat="1" ht="13.15" customHeight="1">
      <c r="A153" s="388"/>
      <c r="B153" s="1122"/>
      <c r="C153" s="1122"/>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31"/>
      <c r="AM153" s="389"/>
      <c r="AN153" s="385"/>
      <c r="AO153" s="333" t="s">
        <v>2075</v>
      </c>
      <c r="AP153" s="343">
        <v>7</v>
      </c>
    </row>
    <row r="154" spans="1:42" s="386" customFormat="1" ht="12.75" customHeight="1">
      <c r="A154" s="388"/>
      <c r="B154" s="389" t="s">
        <v>2076</v>
      </c>
      <c r="AB154" s="2330" t="s">
        <v>816</v>
      </c>
      <c r="AC154" s="2330"/>
      <c r="AD154" s="1131"/>
      <c r="AM154" s="389"/>
      <c r="AN154" s="385"/>
      <c r="AO154" s="333"/>
      <c r="AP154" s="333"/>
    </row>
    <row r="155" spans="1:42" s="386" customFormat="1" ht="9" customHeight="1">
      <c r="A155" s="388"/>
      <c r="B155" s="1122"/>
      <c r="C155" s="1122"/>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31"/>
      <c r="AM155" s="389"/>
      <c r="AN155" s="385"/>
      <c r="AO155" s="1056" t="s">
        <v>2077</v>
      </c>
      <c r="AP155" s="343"/>
    </row>
    <row r="156" spans="1:42" s="386" customFormat="1" ht="12.75" customHeight="1">
      <c r="A156" s="388"/>
      <c r="B156" s="388" t="s">
        <v>2078</v>
      </c>
      <c r="C156" s="1122"/>
      <c r="D156" s="1122"/>
      <c r="E156" s="1122"/>
      <c r="F156" s="1122"/>
      <c r="G156" s="1122"/>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31"/>
      <c r="AM156" s="389"/>
      <c r="AN156" s="385"/>
      <c r="AO156" s="333" t="s">
        <v>2079</v>
      </c>
      <c r="AP156" s="343">
        <v>5</v>
      </c>
    </row>
    <row r="157" spans="1:42" s="386" customFormat="1" ht="12.75" customHeight="1">
      <c r="A157" s="388"/>
      <c r="B157" s="2521" t="s">
        <v>2080</v>
      </c>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c r="AA157" s="2521"/>
      <c r="AB157" s="2521"/>
      <c r="AC157" s="2521"/>
      <c r="AD157" s="2521"/>
      <c r="AE157" s="2521"/>
      <c r="AF157" s="2521"/>
      <c r="AG157" s="2521"/>
      <c r="AH157" s="2521"/>
      <c r="AI157" s="2521"/>
      <c r="AJ157" s="2521"/>
      <c r="AN157" s="385"/>
      <c r="AO157" s="333" t="s">
        <v>2080</v>
      </c>
      <c r="AP157" s="343">
        <v>7</v>
      </c>
    </row>
    <row r="158" spans="1:42" s="386" customFormat="1" ht="12.75" customHeight="1">
      <c r="B158" s="389" t="s">
        <v>2081</v>
      </c>
      <c r="C158" s="1122"/>
      <c r="D158" s="1122"/>
      <c r="E158" s="1122"/>
      <c r="F158" s="1122"/>
      <c r="G158" s="1122"/>
      <c r="H158" s="1122"/>
      <c r="I158" s="1122"/>
      <c r="J158" s="1122"/>
      <c r="K158" s="1122"/>
      <c r="L158" s="1122"/>
      <c r="M158" s="1122"/>
      <c r="N158" s="1122"/>
      <c r="O158" s="1122"/>
      <c r="P158" s="1122"/>
      <c r="Q158" s="1122"/>
      <c r="R158" s="1122"/>
      <c r="S158" s="1122"/>
      <c r="T158" s="1122"/>
      <c r="U158" s="1122"/>
      <c r="AM158" s="389"/>
      <c r="AN158" s="385"/>
      <c r="AO158" s="333"/>
      <c r="AP158" s="343"/>
    </row>
    <row r="159" spans="1:42" s="386" customFormat="1" ht="12.75" customHeight="1">
      <c r="B159" s="389"/>
      <c r="C159" s="1122"/>
      <c r="D159" s="1122"/>
      <c r="E159" s="1122"/>
      <c r="F159" s="1122"/>
      <c r="G159" s="1122"/>
      <c r="H159" s="1122"/>
      <c r="I159" s="1122"/>
      <c r="J159" s="1122"/>
      <c r="K159" s="1122"/>
      <c r="L159" s="1122"/>
      <c r="M159" s="1122"/>
      <c r="N159" s="1122"/>
      <c r="O159" s="1122"/>
      <c r="P159" s="1122"/>
      <c r="Q159" s="1122"/>
      <c r="R159" s="1122"/>
      <c r="S159" s="1122"/>
      <c r="T159" s="1122"/>
      <c r="U159" s="1122"/>
      <c r="AM159" s="389"/>
      <c r="AN159" s="385"/>
      <c r="AO159" s="333"/>
      <c r="AP159" s="343"/>
    </row>
    <row r="160" spans="1:42" s="386" customFormat="1" ht="12.75" customHeight="1">
      <c r="B160" s="2327" t="s">
        <v>2082</v>
      </c>
      <c r="C160" s="2327"/>
      <c r="D160" s="2327"/>
      <c r="E160" s="2327"/>
      <c r="F160" s="2327"/>
      <c r="G160" s="2327"/>
      <c r="H160" s="2327"/>
      <c r="I160" s="2327"/>
      <c r="J160" s="2327"/>
      <c r="K160" s="2327"/>
      <c r="L160" s="2327"/>
      <c r="M160" s="2327"/>
      <c r="N160" s="2327"/>
      <c r="O160" s="2327"/>
      <c r="P160" s="2327"/>
      <c r="Q160" s="2327"/>
      <c r="R160" s="2327"/>
      <c r="S160" s="2327"/>
      <c r="T160" s="2327"/>
      <c r="U160" s="2327"/>
      <c r="V160" s="2327"/>
      <c r="W160" s="2327"/>
      <c r="X160" s="2327"/>
      <c r="Y160" s="2327"/>
      <c r="Z160" s="2327"/>
      <c r="AA160" s="2327"/>
      <c r="AB160" s="2327"/>
      <c r="AC160" s="2327"/>
      <c r="AD160" s="2327"/>
      <c r="AE160" s="2327"/>
      <c r="AF160" s="2327"/>
      <c r="AG160" s="2327"/>
      <c r="AH160" s="2327"/>
      <c r="AI160" s="2327"/>
      <c r="AJ160" s="2327"/>
      <c r="AK160" s="953"/>
      <c r="AM160" s="389"/>
      <c r="AN160" s="385"/>
      <c r="AO160" s="333"/>
      <c r="AP160" s="343"/>
    </row>
    <row r="161" spans="1:42" s="386" customFormat="1" ht="12.75" customHeight="1">
      <c r="B161" s="2327"/>
      <c r="C161" s="2327"/>
      <c r="D161" s="2327"/>
      <c r="E161" s="2327"/>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D161" s="2327"/>
      <c r="AE161" s="2327"/>
      <c r="AF161" s="2327"/>
      <c r="AG161" s="2327"/>
      <c r="AH161" s="2327"/>
      <c r="AI161" s="2327"/>
      <c r="AJ161" s="2327"/>
      <c r="AK161" s="953"/>
      <c r="AM161" s="389"/>
      <c r="AN161" s="385"/>
      <c r="AO161" s="333"/>
      <c r="AP161" s="343"/>
    </row>
    <row r="162" spans="1:42" s="386" customFormat="1" ht="12.75" customHeight="1">
      <c r="C162" s="2328" t="s">
        <v>2083</v>
      </c>
      <c r="D162" s="232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D162" s="2328"/>
      <c r="AE162" s="2328"/>
      <c r="AF162" s="2328"/>
      <c r="AG162" s="2328"/>
      <c r="AH162" s="2328"/>
      <c r="AI162" s="2328"/>
      <c r="AJ162" s="2328"/>
      <c r="AK162" s="953"/>
      <c r="AM162" s="389"/>
      <c r="AN162" s="385"/>
      <c r="AO162" s="333"/>
      <c r="AP162" s="343"/>
    </row>
    <row r="163" spans="1:42" s="386" customFormat="1" ht="12.75" customHeight="1">
      <c r="B163" s="953"/>
      <c r="C163" s="2329" t="s">
        <v>2084</v>
      </c>
      <c r="D163" s="2329"/>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1121"/>
      <c r="AB163" s="1121"/>
      <c r="AC163" s="1121"/>
      <c r="AD163" s="1121"/>
      <c r="AE163" s="1121"/>
      <c r="AF163" s="1121"/>
      <c r="AG163" s="1121"/>
      <c r="AH163" s="1121"/>
      <c r="AJ163" s="2330" t="s">
        <v>816</v>
      </c>
      <c r="AK163" s="2330"/>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2085</v>
      </c>
      <c r="AJ165" s="2422">
        <f>IF($AB$154="N/A",VLOOKUP($B$152,$AO$150:$AP$153,2,FALSE),VLOOKUP($B$157,$AO$155:$AP$157,2,FALSE))</f>
        <v>7</v>
      </c>
      <c r="AK165" s="2422"/>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2086</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23" t="s">
        <v>2087</v>
      </c>
      <c r="AG167" s="2323"/>
      <c r="AH167" s="2323"/>
      <c r="AI167" s="2323"/>
      <c r="AJ167" s="2323"/>
      <c r="AK167" s="2323"/>
      <c r="AL167" s="2323"/>
      <c r="AM167" s="443"/>
      <c r="AN167" s="438"/>
    </row>
    <row r="168" spans="1:42" s="398" customFormat="1" ht="12.75" customHeight="1">
      <c r="A168" s="386"/>
      <c r="B168" s="389" t="s">
        <v>2088</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521" t="s">
        <v>2091</v>
      </c>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c r="AA169" s="2521"/>
      <c r="AB169" s="2521"/>
      <c r="AC169" s="2521"/>
      <c r="AD169" s="2521"/>
      <c r="AE169" s="2521"/>
      <c r="AF169" s="2521"/>
      <c r="AG169" s="2521"/>
      <c r="AH169" s="2521"/>
      <c r="AI169" s="2521"/>
      <c r="AJ169" s="386"/>
      <c r="AK169" s="386"/>
      <c r="AL169" s="386"/>
      <c r="AM169" s="443"/>
      <c r="AN169" s="437"/>
      <c r="AO169" s="333" t="s">
        <v>311</v>
      </c>
      <c r="AP169" s="333"/>
    </row>
    <row r="170" spans="1:42" s="398" customFormat="1" ht="13.15" customHeight="1">
      <c r="A170" s="386"/>
      <c r="B170" s="386"/>
      <c r="C170" s="1122"/>
      <c r="D170" s="1122"/>
      <c r="E170" s="1122"/>
      <c r="F170" s="1122"/>
      <c r="G170" s="1122"/>
      <c r="H170" s="1122"/>
      <c r="I170" s="1122"/>
      <c r="J170" s="1122"/>
      <c r="K170" s="1122"/>
      <c r="L170" s="1122"/>
      <c r="M170" s="1122"/>
      <c r="N170" s="1122"/>
      <c r="O170" s="1122"/>
      <c r="P170" s="1122"/>
      <c r="Q170" s="1122"/>
      <c r="R170" s="1122"/>
      <c r="S170" s="1122"/>
      <c r="T170" s="1122"/>
      <c r="U170" s="1122"/>
      <c r="V170" s="1122"/>
      <c r="W170" s="1122"/>
      <c r="X170" s="1122"/>
      <c r="Y170" s="1122"/>
      <c r="Z170" s="1122"/>
      <c r="AA170" s="1122"/>
      <c r="AB170" s="1122"/>
      <c r="AC170" s="1122"/>
      <c r="AD170" s="1122"/>
      <c r="AE170" s="386"/>
      <c r="AF170" s="386"/>
      <c r="AG170" s="386"/>
      <c r="AH170" s="386"/>
      <c r="AI170" s="386"/>
      <c r="AJ170" s="386"/>
      <c r="AK170" s="386"/>
      <c r="AL170" s="386"/>
      <c r="AM170" s="443"/>
      <c r="AN170" s="437"/>
      <c r="AO170" s="333" t="s">
        <v>2089</v>
      </c>
      <c r="AP170" s="439">
        <v>2</v>
      </c>
    </row>
    <row r="171" spans="1:42" s="398" customFormat="1" ht="12.75" customHeight="1">
      <c r="A171" s="386"/>
      <c r="B171" s="386"/>
      <c r="C171" s="389" t="s">
        <v>2090</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30" t="s">
        <v>816</v>
      </c>
      <c r="AG171" s="2330"/>
      <c r="AH171" s="386"/>
      <c r="AI171" s="386"/>
      <c r="AJ171" s="386"/>
      <c r="AK171" s="386"/>
      <c r="AL171" s="386"/>
      <c r="AM171" s="443"/>
      <c r="AN171" s="437"/>
      <c r="AO171" s="333" t="s">
        <v>2091</v>
      </c>
      <c r="AP171" s="439">
        <v>3</v>
      </c>
    </row>
    <row r="172" spans="1:42" s="398" customFormat="1" ht="9" customHeight="1">
      <c r="A172" s="386"/>
      <c r="B172" s="386"/>
      <c r="C172" s="1122"/>
      <c r="D172" s="1122"/>
      <c r="E172" s="1122"/>
      <c r="F172" s="1122"/>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386"/>
      <c r="AF172" s="386"/>
      <c r="AG172" s="386"/>
      <c r="AJ172" s="386"/>
      <c r="AK172" s="386"/>
      <c r="AL172" s="386"/>
      <c r="AM172" s="443"/>
      <c r="AN172" s="437"/>
      <c r="AO172" s="442" t="s">
        <v>2092</v>
      </c>
      <c r="AP172" s="439">
        <v>3</v>
      </c>
    </row>
    <row r="173" spans="1:42" s="398" customFormat="1" ht="12.75" customHeight="1">
      <c r="A173" s="386"/>
      <c r="B173" s="386"/>
      <c r="C173" s="2521" t="s">
        <v>2095</v>
      </c>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c r="AA173" s="2521"/>
      <c r="AB173" s="2521"/>
      <c r="AC173" s="2521"/>
      <c r="AD173" s="2521"/>
      <c r="AE173" s="386"/>
      <c r="AF173" s="386"/>
      <c r="AG173" s="386"/>
      <c r="AH173" s="386"/>
      <c r="AI173" s="386"/>
      <c r="AJ173" s="386"/>
      <c r="AK173" s="386"/>
      <c r="AL173" s="386"/>
      <c r="AM173" s="443"/>
      <c r="AN173" s="437"/>
      <c r="AO173" s="442"/>
      <c r="AP173" s="439"/>
    </row>
    <row r="174" spans="1:42" s="398" customFormat="1" ht="12.75" customHeight="1">
      <c r="A174" s="386"/>
      <c r="B174" s="386"/>
      <c r="C174" s="389" t="s">
        <v>2081</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2093</v>
      </c>
      <c r="D176" s="1122"/>
      <c r="E176" s="1122"/>
      <c r="F176" s="1122"/>
      <c r="G176" s="1122"/>
      <c r="H176" s="1122"/>
      <c r="I176" s="1122"/>
      <c r="J176" s="1122"/>
      <c r="K176" s="1122"/>
      <c r="L176" s="1122"/>
      <c r="M176" s="1122"/>
      <c r="N176" s="1122"/>
      <c r="O176" s="1122"/>
      <c r="P176" s="1122"/>
      <c r="Q176" s="1122"/>
      <c r="R176" s="1122"/>
      <c r="S176" s="1122"/>
      <c r="T176" s="1122"/>
      <c r="U176" s="1122"/>
      <c r="V176" s="1122"/>
      <c r="W176" s="1122"/>
      <c r="X176" s="1122"/>
      <c r="Y176" s="1122"/>
      <c r="Z176" s="1122"/>
      <c r="AA176" s="1122"/>
      <c r="AB176" s="1122"/>
      <c r="AC176" s="1122"/>
      <c r="AD176" s="1122"/>
      <c r="AE176" s="386"/>
      <c r="AF176" s="386"/>
      <c r="AG176" s="386"/>
      <c r="AH176" s="386"/>
      <c r="AI176" s="386"/>
      <c r="AJ176" s="386"/>
      <c r="AK176" s="386"/>
      <c r="AL176" s="386"/>
      <c r="AM176" s="443"/>
      <c r="AN176" s="437"/>
      <c r="AO176" s="333" t="s">
        <v>2077</v>
      </c>
      <c r="AP176" s="333"/>
    </row>
    <row r="177" spans="1:73" s="398" customFormat="1" ht="12.75" customHeight="1">
      <c r="A177" s="386"/>
      <c r="B177" s="386"/>
      <c r="C177" s="2522" t="str">
        <f>Application!AA344</f>
        <v>Century Villages Property Management</v>
      </c>
      <c r="D177" s="2522"/>
      <c r="E177" s="2522"/>
      <c r="F177" s="2522"/>
      <c r="G177" s="2522"/>
      <c r="H177" s="2522"/>
      <c r="I177" s="2522"/>
      <c r="J177" s="2522"/>
      <c r="K177" s="2522"/>
      <c r="L177" s="2522"/>
      <c r="M177" s="2522"/>
      <c r="N177" s="2522"/>
      <c r="O177" s="2522"/>
      <c r="P177" s="2522"/>
      <c r="Q177" s="2522"/>
      <c r="R177" s="2522"/>
      <c r="S177" s="2522"/>
      <c r="T177" s="2522"/>
      <c r="U177" s="2522"/>
      <c r="V177" s="2522"/>
      <c r="W177" s="2522"/>
      <c r="X177" s="2522"/>
      <c r="Y177" s="2522"/>
      <c r="Z177" s="2522"/>
      <c r="AA177" s="2522"/>
      <c r="AB177" s="2522"/>
      <c r="AC177" s="2522"/>
      <c r="AD177" s="2522"/>
      <c r="AE177" s="386"/>
      <c r="AF177" s="386"/>
      <c r="AG177" s="386"/>
      <c r="AH177" s="386"/>
      <c r="AI177" s="386"/>
      <c r="AJ177" s="386"/>
      <c r="AK177" s="386"/>
      <c r="AL177" s="386"/>
      <c r="AM177" s="443"/>
      <c r="AN177" s="437"/>
      <c r="AO177" s="333" t="s">
        <v>2094</v>
      </c>
      <c r="AP177" s="439">
        <v>2</v>
      </c>
    </row>
    <row r="178" spans="1:73" s="398" customFormat="1" ht="12.75" customHeight="1">
      <c r="A178" s="386"/>
      <c r="B178" s="386"/>
      <c r="C178" s="1122"/>
      <c r="D178" s="1122"/>
      <c r="E178" s="1122"/>
      <c r="F178" s="1122"/>
      <c r="G178" s="1122"/>
      <c r="H178" s="1122"/>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386"/>
      <c r="AF178" s="386"/>
      <c r="AG178" s="386"/>
      <c r="AH178" s="386"/>
      <c r="AI178" s="386"/>
      <c r="AJ178" s="386"/>
      <c r="AK178" s="386"/>
      <c r="AL178" s="386"/>
      <c r="AM178" s="443"/>
      <c r="AN178" s="437"/>
      <c r="AO178" s="333" t="s">
        <v>2095</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2096</v>
      </c>
      <c r="AJ179" s="2421">
        <f>IF($AF$171="N/A",VLOOKUP($C$169,$AO$169:$AP$172,2,FALSE),VLOOKUP($C$173,$AO$176:$AP$178,2,FALSE))</f>
        <v>3</v>
      </c>
      <c r="AK179" s="2421"/>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2097</v>
      </c>
      <c r="AK182" s="2516">
        <f>$AJ$165+$AJ$179</f>
        <v>10</v>
      </c>
      <c r="AL182" s="2517"/>
      <c r="AM182" s="2518"/>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26"/>
      <c r="J184" s="1126"/>
      <c r="K184" s="1126"/>
      <c r="L184" s="1126"/>
      <c r="M184" s="1126"/>
      <c r="N184" s="1126"/>
      <c r="O184" s="1126"/>
      <c r="P184" s="1126"/>
      <c r="Q184" s="1126"/>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2098</v>
      </c>
      <c r="AQ184" s="451">
        <v>0</v>
      </c>
    </row>
    <row r="185" spans="1:73" s="398" customFormat="1" ht="12.75" customHeight="1">
      <c r="A185" s="388" t="s">
        <v>2099</v>
      </c>
      <c r="B185" s="388" t="s">
        <v>2100</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37"/>
      <c r="Z185" s="1137"/>
      <c r="AA185" s="1137"/>
      <c r="AB185" s="1137"/>
      <c r="AC185" s="386"/>
      <c r="AD185" s="386"/>
      <c r="AE185" s="2382" t="s">
        <v>2026</v>
      </c>
      <c r="AF185" s="2382"/>
      <c r="AG185" s="2382"/>
      <c r="AH185" s="2382"/>
      <c r="AI185" s="2382"/>
      <c r="AJ185" s="2382"/>
      <c r="AK185" s="2382"/>
      <c r="AL185" s="113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37"/>
      <c r="S186" s="1137"/>
      <c r="T186" s="1137"/>
      <c r="U186" s="1137"/>
      <c r="V186" s="1137"/>
      <c r="W186" s="1137"/>
      <c r="X186" s="1137"/>
      <c r="Y186" s="1137"/>
      <c r="Z186" s="1137"/>
      <c r="AA186" s="1137"/>
      <c r="AB186" s="1137"/>
      <c r="AC186" s="1131"/>
      <c r="AD186" s="1131"/>
      <c r="AE186" s="386"/>
      <c r="AF186" s="386"/>
      <c r="AG186" s="386"/>
      <c r="AH186" s="386"/>
      <c r="AI186" s="386"/>
      <c r="AJ186" s="386"/>
      <c r="AK186" s="386"/>
      <c r="AL186" s="386"/>
      <c r="AN186" s="437"/>
      <c r="AP186" s="398" t="s">
        <v>2101</v>
      </c>
      <c r="AQ186" s="398">
        <v>10</v>
      </c>
    </row>
    <row r="187" spans="1:73" s="398" customFormat="1" ht="12.75" customHeight="1">
      <c r="A187" s="386"/>
      <c r="B187" s="2519" t="s">
        <v>937</v>
      </c>
      <c r="C187" s="2519"/>
      <c r="D187" s="2519"/>
      <c r="E187" s="2519"/>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386"/>
      <c r="AE187" s="386"/>
      <c r="AF187" s="2323" t="s">
        <v>2102</v>
      </c>
      <c r="AG187" s="2323"/>
      <c r="AH187" s="2323"/>
      <c r="AI187" s="2323"/>
      <c r="AJ187" s="2323"/>
      <c r="AK187" s="2323"/>
      <c r="AL187" s="2323"/>
      <c r="AN187" s="437"/>
      <c r="AP187" s="398" t="s">
        <v>944</v>
      </c>
      <c r="AQ187" s="398">
        <v>10</v>
      </c>
    </row>
    <row r="188" spans="1:73" s="398" customFormat="1" ht="12.75" customHeight="1">
      <c r="A188" s="386"/>
      <c r="B188" s="2329" t="s">
        <v>2103</v>
      </c>
      <c r="C188" s="2329"/>
      <c r="D188" s="2329"/>
      <c r="E188" s="2329"/>
      <c r="F188" s="2329"/>
      <c r="G188" s="2329"/>
      <c r="H188" s="2329"/>
      <c r="I188" s="2329"/>
      <c r="J188" s="2329"/>
      <c r="K188" s="2329"/>
      <c r="L188" s="2329"/>
      <c r="M188" s="2329"/>
      <c r="N188" s="2329"/>
      <c r="O188" s="2329"/>
      <c r="P188" s="2329"/>
      <c r="Q188" s="2329"/>
      <c r="R188" s="2329"/>
      <c r="S188" s="2329"/>
      <c r="T188" s="2520" t="s">
        <v>816</v>
      </c>
      <c r="U188" s="2520"/>
      <c r="V188" s="2520"/>
      <c r="W188" s="2520"/>
      <c r="X188" s="2520"/>
      <c r="Y188" s="2520"/>
      <c r="Z188" s="2520"/>
      <c r="AA188" s="2520"/>
      <c r="AB188" s="2520"/>
      <c r="AC188" s="2520"/>
      <c r="AD188" s="386"/>
      <c r="AE188" s="386"/>
      <c r="AF188" s="386"/>
      <c r="AG188" s="386"/>
      <c r="AH188" s="386"/>
      <c r="AI188" s="386"/>
      <c r="AJ188" s="1127"/>
      <c r="AK188" s="435"/>
      <c r="AL188" s="435"/>
      <c r="AM188" s="435"/>
      <c r="AN188" s="437"/>
      <c r="AP188" s="398" t="s">
        <v>945</v>
      </c>
      <c r="AQ188" s="398">
        <v>10</v>
      </c>
      <c r="AS188" s="398" t="s">
        <v>816</v>
      </c>
    </row>
    <row r="189" spans="1:73" s="398" customFormat="1" ht="12.75" customHeight="1">
      <c r="A189" s="386"/>
      <c r="B189" s="1122"/>
      <c r="C189" s="1122"/>
      <c r="D189" s="1122"/>
      <c r="E189" s="1122"/>
      <c r="F189" s="1122"/>
      <c r="G189" s="1122"/>
      <c r="H189" s="1122"/>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386"/>
      <c r="AF189" s="386"/>
      <c r="AG189" s="386"/>
      <c r="AH189" s="386"/>
      <c r="AI189" s="386"/>
      <c r="AJ189" s="1127"/>
      <c r="AK189" s="435"/>
      <c r="AL189" s="435"/>
      <c r="AM189" s="456"/>
      <c r="AP189" s="398" t="s">
        <v>2104</v>
      </c>
      <c r="AQ189" s="398">
        <v>10</v>
      </c>
      <c r="AS189" s="398" t="s">
        <v>2105</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2106</v>
      </c>
      <c r="AK190" s="2325">
        <f>IF(AK83&gt;0,VLOOKUP($B$187,AP184:AQ190,2,FALSE),0)</f>
        <v>10</v>
      </c>
      <c r="AL190" s="2371"/>
      <c r="AM190" s="2326"/>
      <c r="AN190" s="385"/>
      <c r="AP190" s="398" t="s">
        <v>2107</v>
      </c>
      <c r="AQ190" s="398">
        <v>10</v>
      </c>
      <c r="AS190" s="398" t="s">
        <v>2108</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26"/>
      <c r="J192" s="1126"/>
      <c r="K192" s="1126"/>
      <c r="L192" s="1126"/>
      <c r="M192" s="1126"/>
      <c r="N192" s="1126"/>
      <c r="O192" s="1126"/>
      <c r="P192" s="1126"/>
      <c r="Q192" s="1126"/>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2109</v>
      </c>
      <c r="B193" s="388" t="s">
        <v>2110</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37"/>
      <c r="Z193" s="1137"/>
      <c r="AA193" s="1137"/>
      <c r="AB193" s="1137"/>
      <c r="AC193" s="398"/>
      <c r="AD193" s="398"/>
      <c r="AE193" s="2382" t="s">
        <v>2111</v>
      </c>
      <c r="AF193" s="2382"/>
      <c r="AG193" s="2382"/>
      <c r="AH193" s="2382"/>
      <c r="AI193" s="2382"/>
      <c r="AJ193" s="2382"/>
      <c r="AK193" s="2382"/>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37"/>
      <c r="Z194" s="1137"/>
      <c r="AA194" s="1137"/>
      <c r="AB194" s="1137"/>
      <c r="AC194" s="386"/>
      <c r="AD194" s="386"/>
      <c r="AE194" s="1127"/>
      <c r="AF194" s="1127"/>
      <c r="AG194" s="1127"/>
      <c r="AH194" s="1127"/>
      <c r="AI194" s="1127"/>
      <c r="AJ194" s="1127"/>
      <c r="AK194" s="1127"/>
    </row>
    <row r="195" spans="1:37" hidden="1">
      <c r="A195" s="388"/>
      <c r="B195" s="664" t="s">
        <v>2112</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37"/>
      <c r="Z195" s="1137"/>
      <c r="AA195" s="1137"/>
      <c r="AB195" s="1137"/>
      <c r="AC195" s="386"/>
      <c r="AD195" s="386"/>
      <c r="AE195" s="1127"/>
      <c r="AF195" s="1127"/>
      <c r="AG195" s="1127"/>
      <c r="AH195" s="1127"/>
      <c r="AI195" s="1127"/>
      <c r="AJ195" s="1127"/>
      <c r="AK195" s="1127"/>
    </row>
    <row r="196" spans="1:37" hidden="1">
      <c r="A196" s="1122"/>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19"/>
      <c r="Z196" s="1119"/>
      <c r="AA196" s="1119"/>
      <c r="AB196" s="1119"/>
      <c r="AC196" s="386"/>
      <c r="AD196" s="386"/>
      <c r="AE196" s="449"/>
      <c r="AF196" s="449"/>
      <c r="AG196" s="449"/>
      <c r="AH196" s="449"/>
      <c r="AI196" s="449"/>
      <c r="AJ196" s="449"/>
      <c r="AK196" s="449"/>
    </row>
    <row r="197" spans="1:37" hidden="1">
      <c r="A197" s="1122"/>
      <c r="B197" s="665" t="s">
        <v>2113</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19"/>
      <c r="Z197" s="1119"/>
      <c r="AA197" s="1119"/>
      <c r="AB197" s="1119"/>
      <c r="AC197" s="386"/>
      <c r="AD197" s="386"/>
      <c r="AE197" s="449"/>
      <c r="AF197" s="449"/>
      <c r="AG197" s="449"/>
      <c r="AH197" s="449"/>
      <c r="AI197" s="449"/>
      <c r="AJ197" s="449"/>
      <c r="AK197" s="449"/>
    </row>
    <row r="198" spans="1:37" hidden="1">
      <c r="A198" s="1122"/>
      <c r="B198" s="2490"/>
      <c r="C198" s="2490"/>
      <c r="D198" s="2490"/>
      <c r="E198" s="2490"/>
      <c r="F198" s="2490"/>
      <c r="G198" s="2490"/>
      <c r="H198" s="2490"/>
      <c r="I198" s="2490"/>
      <c r="J198" s="2490"/>
      <c r="K198" s="2490"/>
      <c r="L198" s="2490"/>
      <c r="M198" s="2490"/>
      <c r="N198" s="2490"/>
      <c r="O198" s="2490"/>
      <c r="P198" s="2490"/>
      <c r="Q198" s="2490"/>
      <c r="R198" s="2490"/>
      <c r="S198" s="2490"/>
      <c r="T198" s="2490"/>
      <c r="U198" s="2490"/>
      <c r="V198" s="2490"/>
      <c r="W198" s="2490"/>
      <c r="X198" s="2490"/>
      <c r="Y198" s="2490"/>
      <c r="Z198" s="2490"/>
      <c r="AA198" s="2490"/>
      <c r="AB198" s="2490"/>
      <c r="AC198" s="666"/>
      <c r="AD198" s="2506"/>
      <c r="AE198" s="2506"/>
      <c r="AF198" s="2506"/>
      <c r="AG198" s="2506"/>
      <c r="AH198" s="2506"/>
      <c r="AI198" s="2506"/>
      <c r="AJ198" s="2506"/>
      <c r="AK198" s="449"/>
    </row>
    <row r="199" spans="1:37" hidden="1">
      <c r="A199" s="1122"/>
      <c r="B199" s="2490"/>
      <c r="C199" s="2490"/>
      <c r="D199" s="2490"/>
      <c r="E199" s="2490"/>
      <c r="F199" s="2490"/>
      <c r="G199" s="2490"/>
      <c r="H199" s="2490"/>
      <c r="I199" s="2490"/>
      <c r="J199" s="2490"/>
      <c r="K199" s="2490"/>
      <c r="L199" s="2490"/>
      <c r="M199" s="2490"/>
      <c r="N199" s="2490"/>
      <c r="O199" s="2490"/>
      <c r="P199" s="2490"/>
      <c r="Q199" s="2490"/>
      <c r="R199" s="2490"/>
      <c r="S199" s="2490"/>
      <c r="T199" s="2490"/>
      <c r="U199" s="2490"/>
      <c r="V199" s="2490"/>
      <c r="W199" s="2490"/>
      <c r="X199" s="2490"/>
      <c r="Y199" s="2490"/>
      <c r="Z199" s="2490"/>
      <c r="AA199" s="2490"/>
      <c r="AB199" s="2490"/>
      <c r="AC199" s="666"/>
      <c r="AD199" s="2506"/>
      <c r="AE199" s="2506"/>
      <c r="AF199" s="2506"/>
      <c r="AG199" s="2506"/>
      <c r="AH199" s="2506"/>
      <c r="AI199" s="2506"/>
      <c r="AJ199" s="2506"/>
      <c r="AK199" s="449"/>
    </row>
    <row r="200" spans="1:37" hidden="1">
      <c r="A200" s="1122"/>
      <c r="B200" s="2490"/>
      <c r="C200" s="2490"/>
      <c r="D200" s="2490"/>
      <c r="E200" s="2490"/>
      <c r="F200" s="2490"/>
      <c r="G200" s="2490"/>
      <c r="H200" s="2490"/>
      <c r="I200" s="2490"/>
      <c r="J200" s="2490"/>
      <c r="K200" s="2490"/>
      <c r="L200" s="2490"/>
      <c r="M200" s="2490"/>
      <c r="N200" s="2490"/>
      <c r="O200" s="2490"/>
      <c r="P200" s="2490"/>
      <c r="Q200" s="2490"/>
      <c r="R200" s="2490"/>
      <c r="S200" s="2490"/>
      <c r="T200" s="2490"/>
      <c r="U200" s="2490"/>
      <c r="V200" s="2490"/>
      <c r="W200" s="2490"/>
      <c r="X200" s="2490"/>
      <c r="Y200" s="2490"/>
      <c r="Z200" s="2490"/>
      <c r="AA200" s="2490"/>
      <c r="AB200" s="2490"/>
      <c r="AC200" s="666"/>
      <c r="AD200" s="2506"/>
      <c r="AE200" s="2506"/>
      <c r="AF200" s="2506"/>
      <c r="AG200" s="2506"/>
      <c r="AH200" s="2506"/>
      <c r="AI200" s="2506"/>
      <c r="AJ200" s="2506"/>
      <c r="AK200" s="449"/>
    </row>
    <row r="201" spans="1:37" hidden="1">
      <c r="A201" s="1122"/>
      <c r="B201" s="2490"/>
      <c r="C201" s="2490"/>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666"/>
      <c r="AD201" s="2506"/>
      <c r="AE201" s="2506"/>
      <c r="AF201" s="2506"/>
      <c r="AG201" s="2506"/>
      <c r="AH201" s="2506"/>
      <c r="AI201" s="2506"/>
      <c r="AJ201" s="2506"/>
      <c r="AK201" s="449"/>
    </row>
    <row r="202" spans="1:37" hidden="1">
      <c r="A202" s="1122"/>
      <c r="B202" s="2490"/>
      <c r="C202" s="2490"/>
      <c r="D202" s="2490"/>
      <c r="E202" s="2490"/>
      <c r="F202" s="2490"/>
      <c r="G202" s="2490"/>
      <c r="H202" s="2490"/>
      <c r="I202" s="2490"/>
      <c r="J202" s="2490"/>
      <c r="K202" s="2490"/>
      <c r="L202" s="2490"/>
      <c r="M202" s="2490"/>
      <c r="N202" s="2490"/>
      <c r="O202" s="2490"/>
      <c r="P202" s="2490"/>
      <c r="Q202" s="2490"/>
      <c r="R202" s="2490"/>
      <c r="S202" s="2490"/>
      <c r="T202" s="2490"/>
      <c r="U202" s="2490"/>
      <c r="V202" s="2490"/>
      <c r="W202" s="2490"/>
      <c r="X202" s="2490"/>
      <c r="Y202" s="2490"/>
      <c r="Z202" s="2490"/>
      <c r="AA202" s="2490"/>
      <c r="AB202" s="2490"/>
      <c r="AC202" s="666"/>
      <c r="AD202" s="2506"/>
      <c r="AE202" s="2506"/>
      <c r="AF202" s="2506"/>
      <c r="AG202" s="2506"/>
      <c r="AH202" s="2506"/>
      <c r="AI202" s="2506"/>
      <c r="AJ202" s="2506"/>
      <c r="AK202" s="449"/>
    </row>
    <row r="203" spans="1:37" hidden="1">
      <c r="A203" s="1122"/>
      <c r="B203" s="2490"/>
      <c r="C203" s="2490"/>
      <c r="D203" s="2490"/>
      <c r="E203" s="2490"/>
      <c r="F203" s="2490"/>
      <c r="G203" s="2490"/>
      <c r="H203" s="2490"/>
      <c r="I203" s="2490"/>
      <c r="J203" s="2490"/>
      <c r="K203" s="2490"/>
      <c r="L203" s="2490"/>
      <c r="M203" s="2490"/>
      <c r="N203" s="2490"/>
      <c r="O203" s="2490"/>
      <c r="P203" s="2490"/>
      <c r="Q203" s="2490"/>
      <c r="R203" s="2490"/>
      <c r="S203" s="2490"/>
      <c r="T203" s="2490"/>
      <c r="U203" s="2490"/>
      <c r="V203" s="2490"/>
      <c r="W203" s="2490"/>
      <c r="X203" s="2490"/>
      <c r="Y203" s="2490"/>
      <c r="Z203" s="2490"/>
      <c r="AA203" s="2490"/>
      <c r="AB203" s="2490"/>
      <c r="AC203" s="666"/>
      <c r="AD203" s="2506"/>
      <c r="AE203" s="2506"/>
      <c r="AF203" s="2506"/>
      <c r="AG203" s="2506"/>
      <c r="AH203" s="2506"/>
      <c r="AI203" s="2506"/>
      <c r="AJ203" s="2506"/>
      <c r="AK203" s="449"/>
    </row>
    <row r="204" spans="1:37" hidden="1">
      <c r="A204" s="1122"/>
      <c r="B204" s="2490"/>
      <c r="C204" s="2490"/>
      <c r="D204" s="2490"/>
      <c r="E204" s="2490"/>
      <c r="F204" s="2490"/>
      <c r="G204" s="2490"/>
      <c r="H204" s="2490"/>
      <c r="I204" s="2490"/>
      <c r="J204" s="2490"/>
      <c r="K204" s="2490"/>
      <c r="L204" s="2490"/>
      <c r="M204" s="2490"/>
      <c r="N204" s="2490"/>
      <c r="O204" s="2490"/>
      <c r="P204" s="2490"/>
      <c r="Q204" s="2490"/>
      <c r="R204" s="2490"/>
      <c r="S204" s="2490"/>
      <c r="T204" s="2490"/>
      <c r="U204" s="2490"/>
      <c r="V204" s="2490"/>
      <c r="W204" s="2490"/>
      <c r="X204" s="2490"/>
      <c r="Y204" s="2490"/>
      <c r="Z204" s="2490"/>
      <c r="AA204" s="2490"/>
      <c r="AB204" s="2490"/>
      <c r="AC204" s="666"/>
      <c r="AD204" s="2506"/>
      <c r="AE204" s="2506"/>
      <c r="AF204" s="2506"/>
      <c r="AG204" s="2506"/>
      <c r="AH204" s="2506"/>
      <c r="AI204" s="2506"/>
      <c r="AJ204" s="2506"/>
      <c r="AK204" s="449"/>
    </row>
    <row r="205" spans="1:37" hidden="1">
      <c r="A205" s="1122"/>
      <c r="B205" s="2490"/>
      <c r="C205" s="2490"/>
      <c r="D205" s="2490"/>
      <c r="E205" s="2490"/>
      <c r="F205" s="2490"/>
      <c r="G205" s="2490"/>
      <c r="H205" s="2490"/>
      <c r="I205" s="2490"/>
      <c r="J205" s="2490"/>
      <c r="K205" s="2490"/>
      <c r="L205" s="2490"/>
      <c r="M205" s="2490"/>
      <c r="N205" s="2490"/>
      <c r="O205" s="2490"/>
      <c r="P205" s="2490"/>
      <c r="Q205" s="2490"/>
      <c r="R205" s="2490"/>
      <c r="S205" s="2490"/>
      <c r="T205" s="2490"/>
      <c r="U205" s="2490"/>
      <c r="V205" s="2490"/>
      <c r="W205" s="2490"/>
      <c r="X205" s="2490"/>
      <c r="Y205" s="2490"/>
      <c r="Z205" s="2490"/>
      <c r="AA205" s="2490"/>
      <c r="AB205" s="2490"/>
      <c r="AC205" s="666"/>
      <c r="AD205" s="2506"/>
      <c r="AE205" s="2506"/>
      <c r="AF205" s="2506"/>
      <c r="AG205" s="2506"/>
      <c r="AH205" s="2506"/>
      <c r="AI205" s="2506"/>
      <c r="AJ205" s="2506"/>
      <c r="AK205" s="449"/>
    </row>
    <row r="206" spans="1:37" hidden="1">
      <c r="A206" s="1122"/>
      <c r="B206" s="2490"/>
      <c r="C206" s="2490"/>
      <c r="D206" s="2490"/>
      <c r="E206" s="2490"/>
      <c r="F206" s="2490"/>
      <c r="G206" s="2490"/>
      <c r="H206" s="2490"/>
      <c r="I206" s="2490"/>
      <c r="J206" s="2490"/>
      <c r="K206" s="2490"/>
      <c r="L206" s="2490"/>
      <c r="M206" s="2490"/>
      <c r="N206" s="2490"/>
      <c r="O206" s="2490"/>
      <c r="P206" s="2490"/>
      <c r="Q206" s="2490"/>
      <c r="R206" s="2490"/>
      <c r="S206" s="2490"/>
      <c r="T206" s="2490"/>
      <c r="U206" s="2490"/>
      <c r="V206" s="2490"/>
      <c r="W206" s="2490"/>
      <c r="X206" s="2490"/>
      <c r="Y206" s="2490"/>
      <c r="Z206" s="2490"/>
      <c r="AA206" s="2490"/>
      <c r="AB206" s="2490"/>
      <c r="AC206" s="666"/>
      <c r="AD206" s="2506"/>
      <c r="AE206" s="2506"/>
      <c r="AF206" s="2506"/>
      <c r="AG206" s="2506"/>
      <c r="AH206" s="2506"/>
      <c r="AI206" s="2506"/>
      <c r="AJ206" s="2506"/>
      <c r="AK206" s="449"/>
    </row>
    <row r="207" spans="1:37" hidden="1">
      <c r="A207" s="1122"/>
      <c r="B207" s="2490"/>
      <c r="C207" s="2490"/>
      <c r="D207" s="2490"/>
      <c r="E207" s="2490"/>
      <c r="F207" s="2490"/>
      <c r="G207" s="2490"/>
      <c r="H207" s="2490"/>
      <c r="I207" s="2490"/>
      <c r="J207" s="2490"/>
      <c r="K207" s="2490"/>
      <c r="L207" s="2490"/>
      <c r="M207" s="2490"/>
      <c r="N207" s="2490"/>
      <c r="O207" s="2490"/>
      <c r="P207" s="2490"/>
      <c r="Q207" s="2490"/>
      <c r="R207" s="2490"/>
      <c r="S207" s="2490"/>
      <c r="T207" s="2490"/>
      <c r="U207" s="2490"/>
      <c r="V207" s="2490"/>
      <c r="W207" s="2490"/>
      <c r="X207" s="2490"/>
      <c r="Y207" s="2490"/>
      <c r="Z207" s="2490"/>
      <c r="AA207" s="2490"/>
      <c r="AB207" s="2490"/>
      <c r="AC207" s="666"/>
      <c r="AD207" s="2506"/>
      <c r="AE207" s="2506"/>
      <c r="AF207" s="2506"/>
      <c r="AG207" s="2506"/>
      <c r="AH207" s="2506"/>
      <c r="AI207" s="2506"/>
      <c r="AJ207" s="2506"/>
      <c r="AK207" s="449"/>
    </row>
    <row r="208" spans="1:37" hidden="1">
      <c r="A208" s="1122"/>
      <c r="B208" s="2499" t="s">
        <v>2114</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386"/>
      <c r="AD208" s="2504">
        <f>AB259</f>
        <v>0</v>
      </c>
      <c r="AE208" s="2504"/>
      <c r="AF208" s="2504"/>
      <c r="AG208" s="2504"/>
      <c r="AH208" s="2504"/>
      <c r="AI208" s="2504"/>
      <c r="AJ208" s="2504"/>
      <c r="AK208" s="449"/>
    </row>
    <row r="209" spans="1:37" hidden="1">
      <c r="A209" s="1122"/>
      <c r="B209" s="2345" t="s">
        <v>2115</v>
      </c>
      <c r="C209" s="2345"/>
      <c r="D209" s="2345"/>
      <c r="E209" s="2345"/>
      <c r="F209" s="2345"/>
      <c r="G209" s="2345"/>
      <c r="H209" s="2345"/>
      <c r="I209" s="2345"/>
      <c r="J209" s="2345"/>
      <c r="K209" s="2345"/>
      <c r="L209" s="2345"/>
      <c r="M209" s="2345"/>
      <c r="N209" s="2345"/>
      <c r="O209" s="2345"/>
      <c r="P209" s="2345"/>
      <c r="Q209" s="2345"/>
      <c r="R209" s="2345"/>
      <c r="S209" s="2345"/>
      <c r="T209" s="2345"/>
      <c r="U209" s="2345"/>
      <c r="V209" s="2345"/>
      <c r="W209" s="2345"/>
      <c r="X209" s="2345"/>
      <c r="Y209" s="2345"/>
      <c r="Z209" s="2345"/>
      <c r="AA209" s="2345"/>
      <c r="AB209" s="2345"/>
      <c r="AC209" s="666"/>
      <c r="AD209" s="2505">
        <f>'Sources and Uses Budget'!B15</f>
        <v>0</v>
      </c>
      <c r="AE209" s="2505"/>
      <c r="AF209" s="2505"/>
      <c r="AG209" s="2505"/>
      <c r="AH209" s="2505"/>
      <c r="AI209" s="2505"/>
      <c r="AJ209" s="2505"/>
      <c r="AK209" s="449"/>
    </row>
    <row r="210" spans="1:37" hidden="1">
      <c r="A210" s="1122"/>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461" t="s">
        <v>1376</v>
      </c>
      <c r="AC210" s="386"/>
      <c r="AD210" s="2510">
        <f>SUM(AD198:AJ208)-AD209</f>
        <v>0</v>
      </c>
      <c r="AE210" s="2510"/>
      <c r="AF210" s="2510"/>
      <c r="AG210" s="2510"/>
      <c r="AH210" s="2510"/>
      <c r="AI210" s="2510"/>
      <c r="AJ210" s="2510"/>
      <c r="AK210" s="449"/>
    </row>
    <row r="211" spans="1:37" hidden="1">
      <c r="A211" s="1122"/>
      <c r="B211" s="1122"/>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19"/>
      <c r="Z211" s="1119"/>
      <c r="AA211" s="1119"/>
      <c r="AB211" s="1119"/>
      <c r="AC211" s="386"/>
      <c r="AD211" s="386"/>
      <c r="AE211" s="449"/>
      <c r="AF211" s="449"/>
      <c r="AG211" s="449"/>
      <c r="AH211" s="449"/>
      <c r="AI211" s="449"/>
      <c r="AJ211" s="449"/>
      <c r="AK211" s="449"/>
    </row>
    <row r="212" spans="1:37" hidden="1">
      <c r="A212" s="1122"/>
      <c r="B212" s="351" t="s">
        <v>2116</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19"/>
      <c r="Z212" s="1119"/>
      <c r="AA212" s="1119"/>
      <c r="AB212" s="1119"/>
      <c r="AC212" s="386"/>
      <c r="AD212" s="386"/>
      <c r="AE212" s="449"/>
      <c r="AF212" s="449"/>
      <c r="AG212" s="449"/>
      <c r="AH212" s="449"/>
      <c r="AI212" s="449"/>
      <c r="AJ212" s="449"/>
      <c r="AK212" s="449"/>
    </row>
    <row r="213" spans="1:37" hidden="1">
      <c r="A213" s="1122"/>
      <c r="B213" s="333" t="s">
        <v>2117</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19"/>
      <c r="Z213" s="1119"/>
      <c r="AA213" s="1119"/>
      <c r="AB213" s="1119"/>
      <c r="AC213" s="386"/>
      <c r="AD213" s="386"/>
      <c r="AE213" s="449"/>
      <c r="AF213" s="449"/>
      <c r="AG213" s="449"/>
      <c r="AH213" s="449"/>
      <c r="AI213" s="449"/>
      <c r="AJ213" s="449"/>
      <c r="AK213" s="449"/>
    </row>
    <row r="214" spans="1:37" hidden="1">
      <c r="A214" s="673"/>
      <c r="B214" s="689" t="s">
        <v>2118</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42"/>
      <c r="Z214" s="1142"/>
      <c r="AA214" s="1142"/>
      <c r="AB214" s="1142"/>
      <c r="AC214" s="572"/>
      <c r="AD214" s="572"/>
      <c r="AE214" s="651"/>
      <c r="AF214" s="651"/>
      <c r="AG214" s="651"/>
      <c r="AH214" s="651"/>
      <c r="AI214" s="651"/>
      <c r="AJ214" s="652"/>
      <c r="AK214" s="449"/>
    </row>
    <row r="215" spans="1:37" hidden="1">
      <c r="A215" s="673"/>
      <c r="B215" s="693" t="s">
        <v>2119</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19"/>
      <c r="Z215" s="1119"/>
      <c r="AA215" s="1119"/>
      <c r="AB215" s="1119"/>
      <c r="AC215" s="386"/>
      <c r="AD215" s="386"/>
      <c r="AE215" s="449"/>
      <c r="AF215" s="449"/>
      <c r="AG215" s="449"/>
      <c r="AH215" s="449"/>
      <c r="AI215" s="449"/>
      <c r="AJ215" s="653"/>
      <c r="AK215" s="449"/>
    </row>
    <row r="216" spans="1:37" hidden="1">
      <c r="A216" s="673"/>
      <c r="B216" s="693" t="s">
        <v>2120</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19"/>
      <c r="Z216" s="1119"/>
      <c r="AA216" s="1119"/>
      <c r="AB216" s="1119"/>
      <c r="AC216" s="386"/>
      <c r="AD216" s="386"/>
      <c r="AE216" s="449"/>
      <c r="AF216" s="449"/>
      <c r="AG216" s="449"/>
      <c r="AH216" s="449"/>
      <c r="AI216" s="449"/>
      <c r="AJ216" s="653"/>
      <c r="AK216" s="449"/>
    </row>
    <row r="217" spans="1:37" hidden="1">
      <c r="A217" s="673"/>
      <c r="B217" s="693" t="s">
        <v>2121</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19"/>
      <c r="Z217" s="1119"/>
      <c r="AA217" s="1119"/>
      <c r="AB217" s="1119"/>
      <c r="AC217" s="386"/>
      <c r="AD217" s="386"/>
      <c r="AE217" s="449"/>
      <c r="AF217" s="449"/>
      <c r="AG217" s="449"/>
      <c r="AH217" s="449"/>
      <c r="AI217" s="449"/>
      <c r="AJ217" s="653"/>
      <c r="AK217" s="449"/>
    </row>
    <row r="218" spans="1:37" hidden="1">
      <c r="A218" s="673"/>
      <c r="B218" s="697" t="s">
        <v>2122</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19"/>
      <c r="Z218" s="1119"/>
      <c r="AA218" s="1119"/>
      <c r="AB218" s="1119"/>
      <c r="AC218" s="386"/>
      <c r="AD218" s="386"/>
      <c r="AE218" s="449"/>
      <c r="AF218" s="449"/>
      <c r="AG218" s="449"/>
      <c r="AH218" s="449"/>
      <c r="AI218" s="449"/>
      <c r="AJ218" s="653"/>
      <c r="AK218" s="449"/>
    </row>
    <row r="219" spans="1:37" hidden="1">
      <c r="A219" s="673"/>
      <c r="B219" s="698" t="s">
        <v>2123</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24"/>
      <c r="Z219" s="1124"/>
      <c r="AA219" s="1124"/>
      <c r="AB219" s="1124"/>
      <c r="AC219" s="565"/>
      <c r="AD219" s="565"/>
      <c r="AE219" s="654"/>
      <c r="AF219" s="654"/>
      <c r="AG219" s="654"/>
      <c r="AH219" s="654"/>
      <c r="AI219" s="654"/>
      <c r="AJ219" s="655"/>
      <c r="AK219" s="449"/>
    </row>
    <row r="220" spans="1:37" hidden="1">
      <c r="A220" s="1122"/>
      <c r="B220" s="1122"/>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19"/>
      <c r="Z220" s="1119"/>
      <c r="AA220" s="1119"/>
      <c r="AB220" s="1119"/>
      <c r="AC220" s="386"/>
      <c r="AD220" s="386"/>
      <c r="AE220" s="449"/>
      <c r="AF220" s="449"/>
      <c r="AG220" s="449"/>
      <c r="AH220" s="449"/>
      <c r="AI220" s="449"/>
      <c r="AJ220" s="449"/>
      <c r="AK220" s="449"/>
    </row>
    <row r="221" spans="1:37" hidden="1">
      <c r="A221" s="1122"/>
      <c r="B221" s="668"/>
      <c r="C221" s="333"/>
      <c r="D221" s="333"/>
      <c r="I221" s="2533" t="s">
        <v>2124</v>
      </c>
      <c r="J221" s="2533"/>
      <c r="K221" s="2533"/>
      <c r="L221" s="386"/>
      <c r="M221" s="386"/>
      <c r="N221" s="386"/>
      <c r="O221" s="386"/>
      <c r="P221" s="386"/>
      <c r="Q221" s="386"/>
      <c r="R221" s="386"/>
      <c r="S221" s="386"/>
      <c r="T221" s="2359" t="s">
        <v>2125</v>
      </c>
      <c r="U221" s="2359"/>
      <c r="V221" s="2359"/>
      <c r="W221" s="2359"/>
      <c r="X221" s="2359"/>
      <c r="Y221" s="2359"/>
      <c r="Z221" s="669"/>
      <c r="AA221" s="343"/>
      <c r="AB221" s="2523" t="s">
        <v>2126</v>
      </c>
      <c r="AC221" s="2523"/>
      <c r="AD221" s="2523"/>
      <c r="AE221" s="2523"/>
      <c r="AF221" s="2523"/>
      <c r="AG221" s="2523"/>
      <c r="AH221" s="650"/>
      <c r="AI221" s="650"/>
      <c r="AJ221" s="650"/>
      <c r="AK221" s="449"/>
    </row>
    <row r="222" spans="1:37" hidden="1">
      <c r="A222" s="1122"/>
      <c r="B222" s="2531" t="s">
        <v>2127</v>
      </c>
      <c r="C222" s="2531"/>
      <c r="D222" s="2531"/>
      <c r="E222" s="2531"/>
      <c r="F222" s="2531"/>
      <c r="G222" s="2531"/>
      <c r="I222" s="2532" t="s">
        <v>2128</v>
      </c>
      <c r="J222" s="2532"/>
      <c r="K222" s="2532"/>
      <c r="L222" s="1149"/>
      <c r="N222" s="2346" t="s">
        <v>2129</v>
      </c>
      <c r="O222" s="2346"/>
      <c r="P222" s="2346"/>
      <c r="Q222" s="2346"/>
      <c r="R222" s="2346"/>
      <c r="T222" s="2346" t="s">
        <v>2130</v>
      </c>
      <c r="U222" s="2346"/>
      <c r="V222" s="2346"/>
      <c r="W222" s="2346"/>
      <c r="X222" s="2346"/>
      <c r="Y222" s="2346"/>
      <c r="Z222" s="670"/>
      <c r="AA222" s="343"/>
      <c r="AB222" s="2402" t="s">
        <v>2131</v>
      </c>
      <c r="AC222" s="2402"/>
      <c r="AD222" s="2402"/>
      <c r="AE222" s="2402"/>
      <c r="AF222" s="2402"/>
      <c r="AG222" s="2402"/>
      <c r="AH222" s="650"/>
      <c r="AI222" s="650"/>
      <c r="AJ222" s="650"/>
      <c r="AK222" s="449"/>
    </row>
    <row r="223" spans="1:37" hidden="1">
      <c r="A223" s="1122"/>
      <c r="B223" s="2403" t="s">
        <v>1000</v>
      </c>
      <c r="C223" s="2403"/>
      <c r="D223" s="2403"/>
      <c r="E223" s="2403"/>
      <c r="F223" s="2403"/>
      <c r="G223" s="2403"/>
      <c r="H223" s="672"/>
      <c r="I223" s="2362"/>
      <c r="J223" s="2362"/>
      <c r="K223" s="2362"/>
      <c r="L223" s="1149"/>
      <c r="N223" s="2360"/>
      <c r="O223" s="2360"/>
      <c r="P223" s="2360"/>
      <c r="Q223" s="2360"/>
      <c r="R223" s="2360"/>
      <c r="T223" s="2342"/>
      <c r="U223" s="2342"/>
      <c r="V223" s="2342"/>
      <c r="W223" s="2342"/>
      <c r="X223" s="2342"/>
      <c r="Y223" s="2342"/>
      <c r="Z223" s="671"/>
      <c r="AA223" s="671"/>
      <c r="AB223" s="2340">
        <f t="shared" ref="AB223:AB232" si="0">MAX(($T223-$N223)*$I223*12,0)</f>
        <v>0</v>
      </c>
      <c r="AC223" s="2340"/>
      <c r="AD223" s="2340"/>
      <c r="AE223" s="2340"/>
      <c r="AF223" s="2340"/>
      <c r="AG223" s="2340"/>
      <c r="AH223" s="650"/>
      <c r="AI223" s="650"/>
      <c r="AJ223" s="650"/>
      <c r="AK223" s="449"/>
    </row>
    <row r="224" spans="1:37" hidden="1">
      <c r="A224" s="1122"/>
      <c r="B224" s="2403" t="s">
        <v>1000</v>
      </c>
      <c r="C224" s="2403"/>
      <c r="D224" s="2403"/>
      <c r="E224" s="2403"/>
      <c r="F224" s="2403"/>
      <c r="G224" s="2403"/>
      <c r="I224" s="2362"/>
      <c r="J224" s="2362"/>
      <c r="K224" s="2362"/>
      <c r="L224" s="1149"/>
      <c r="N224" s="2360"/>
      <c r="O224" s="2360"/>
      <c r="P224" s="2360"/>
      <c r="Q224" s="2360"/>
      <c r="R224" s="2360"/>
      <c r="T224" s="2342"/>
      <c r="U224" s="2342"/>
      <c r="V224" s="2342"/>
      <c r="W224" s="2342"/>
      <c r="X224" s="2342"/>
      <c r="Y224" s="2342"/>
      <c r="Z224" s="671"/>
      <c r="AA224" s="671"/>
      <c r="AB224" s="2340">
        <f t="shared" si="0"/>
        <v>0</v>
      </c>
      <c r="AC224" s="2340"/>
      <c r="AD224" s="2340"/>
      <c r="AE224" s="2340"/>
      <c r="AF224" s="2340"/>
      <c r="AG224" s="2340"/>
      <c r="AH224" s="650"/>
      <c r="AI224" s="650"/>
      <c r="AJ224" s="650"/>
      <c r="AK224" s="449"/>
    </row>
    <row r="225" spans="1:37" hidden="1">
      <c r="A225" s="1122"/>
      <c r="B225" s="2403" t="s">
        <v>1000</v>
      </c>
      <c r="C225" s="2403"/>
      <c r="D225" s="2403"/>
      <c r="E225" s="2403"/>
      <c r="F225" s="2403"/>
      <c r="G225" s="2403"/>
      <c r="I225" s="2362"/>
      <c r="J225" s="2362"/>
      <c r="K225" s="2362"/>
      <c r="L225" s="1149"/>
      <c r="N225" s="2360"/>
      <c r="O225" s="2360"/>
      <c r="P225" s="2360"/>
      <c r="Q225" s="2360"/>
      <c r="R225" s="2360"/>
      <c r="T225" s="2342"/>
      <c r="U225" s="2342"/>
      <c r="V225" s="2342"/>
      <c r="W225" s="2342"/>
      <c r="X225" s="2342"/>
      <c r="Y225" s="2342"/>
      <c r="Z225" s="671"/>
      <c r="AA225" s="671"/>
      <c r="AB225" s="2340">
        <f t="shared" si="0"/>
        <v>0</v>
      </c>
      <c r="AC225" s="2340"/>
      <c r="AD225" s="2340"/>
      <c r="AE225" s="2340"/>
      <c r="AF225" s="2340"/>
      <c r="AG225" s="2340"/>
      <c r="AH225" s="650"/>
      <c r="AI225" s="650"/>
      <c r="AJ225" s="650"/>
      <c r="AK225" s="449"/>
    </row>
    <row r="226" spans="1:37" hidden="1">
      <c r="A226" s="1122"/>
      <c r="B226" s="2403" t="s">
        <v>1000</v>
      </c>
      <c r="C226" s="2403"/>
      <c r="D226" s="2403"/>
      <c r="E226" s="2403"/>
      <c r="F226" s="2403"/>
      <c r="G226" s="2403"/>
      <c r="I226" s="2362"/>
      <c r="J226" s="2362"/>
      <c r="K226" s="2362"/>
      <c r="L226" s="1149"/>
      <c r="N226" s="2360"/>
      <c r="O226" s="2360"/>
      <c r="P226" s="2360"/>
      <c r="Q226" s="2360"/>
      <c r="R226" s="2360"/>
      <c r="T226" s="2342"/>
      <c r="U226" s="2342"/>
      <c r="V226" s="2342"/>
      <c r="W226" s="2342"/>
      <c r="X226" s="2342"/>
      <c r="Y226" s="2342"/>
      <c r="Z226" s="671"/>
      <c r="AA226" s="671"/>
      <c r="AB226" s="2340">
        <f t="shared" si="0"/>
        <v>0</v>
      </c>
      <c r="AC226" s="2340"/>
      <c r="AD226" s="2340"/>
      <c r="AE226" s="2340"/>
      <c r="AF226" s="2340"/>
      <c r="AG226" s="2340"/>
      <c r="AH226" s="650"/>
      <c r="AI226" s="650"/>
      <c r="AJ226" s="650"/>
      <c r="AK226" s="449"/>
    </row>
    <row r="227" spans="1:37" hidden="1">
      <c r="A227" s="1122"/>
      <c r="B227" s="2403" t="s">
        <v>1000</v>
      </c>
      <c r="C227" s="2403"/>
      <c r="D227" s="2403"/>
      <c r="E227" s="2403"/>
      <c r="F227" s="2403"/>
      <c r="G227" s="2403"/>
      <c r="I227" s="2362"/>
      <c r="J227" s="2362"/>
      <c r="K227" s="2362"/>
      <c r="L227" s="798"/>
      <c r="N227" s="2360"/>
      <c r="O227" s="2360"/>
      <c r="P227" s="2360"/>
      <c r="Q227" s="2360"/>
      <c r="R227" s="2360"/>
      <c r="T227" s="2342"/>
      <c r="U227" s="2342"/>
      <c r="V227" s="2342"/>
      <c r="W227" s="2342"/>
      <c r="X227" s="2342"/>
      <c r="Y227" s="2342"/>
      <c r="Z227" s="671"/>
      <c r="AA227" s="671"/>
      <c r="AB227" s="2340">
        <f t="shared" si="0"/>
        <v>0</v>
      </c>
      <c r="AC227" s="2340"/>
      <c r="AD227" s="2340"/>
      <c r="AE227" s="2340"/>
      <c r="AF227" s="2340"/>
      <c r="AG227" s="2340"/>
      <c r="AH227" s="650"/>
      <c r="AI227" s="650"/>
      <c r="AJ227" s="650"/>
      <c r="AK227" s="449"/>
    </row>
    <row r="228" spans="1:37" hidden="1">
      <c r="A228" s="1122"/>
      <c r="B228" s="2403" t="s">
        <v>1000</v>
      </c>
      <c r="C228" s="2403"/>
      <c r="D228" s="2403"/>
      <c r="E228" s="2403"/>
      <c r="F228" s="2403"/>
      <c r="G228" s="2403"/>
      <c r="I228" s="2362"/>
      <c r="J228" s="2362"/>
      <c r="K228" s="2362"/>
      <c r="L228" s="798"/>
      <c r="N228" s="2360"/>
      <c r="O228" s="2360"/>
      <c r="P228" s="2360"/>
      <c r="Q228" s="2360"/>
      <c r="R228" s="2360"/>
      <c r="T228" s="2342"/>
      <c r="U228" s="2342"/>
      <c r="V228" s="2342"/>
      <c r="W228" s="2342"/>
      <c r="X228" s="2342"/>
      <c r="Y228" s="2342"/>
      <c r="Z228" s="671"/>
      <c r="AA228" s="671"/>
      <c r="AB228" s="2340">
        <f t="shared" si="0"/>
        <v>0</v>
      </c>
      <c r="AC228" s="2340"/>
      <c r="AD228" s="2340"/>
      <c r="AE228" s="2340"/>
      <c r="AF228" s="2340"/>
      <c r="AG228" s="2340"/>
      <c r="AH228" s="650"/>
      <c r="AI228" s="650"/>
      <c r="AJ228" s="650"/>
      <c r="AK228" s="449"/>
    </row>
    <row r="229" spans="1:37" hidden="1">
      <c r="A229" s="1122"/>
      <c r="B229" s="2403" t="s">
        <v>1000</v>
      </c>
      <c r="C229" s="2403"/>
      <c r="D229" s="2403"/>
      <c r="E229" s="2403"/>
      <c r="F229" s="2403"/>
      <c r="G229" s="2403"/>
      <c r="I229" s="2362"/>
      <c r="J229" s="2362"/>
      <c r="K229" s="2362"/>
      <c r="L229" s="798"/>
      <c r="N229" s="2360"/>
      <c r="O229" s="2360"/>
      <c r="P229" s="2360"/>
      <c r="Q229" s="2360"/>
      <c r="R229" s="2360"/>
      <c r="T229" s="2342"/>
      <c r="U229" s="2342"/>
      <c r="V229" s="2342"/>
      <c r="W229" s="2342"/>
      <c r="X229" s="2342"/>
      <c r="Y229" s="2342"/>
      <c r="Z229" s="671"/>
      <c r="AA229" s="671"/>
      <c r="AB229" s="2340">
        <f t="shared" si="0"/>
        <v>0</v>
      </c>
      <c r="AC229" s="2340"/>
      <c r="AD229" s="2340"/>
      <c r="AE229" s="2340"/>
      <c r="AF229" s="2340"/>
      <c r="AG229" s="2340"/>
      <c r="AH229" s="650"/>
      <c r="AI229" s="650"/>
      <c r="AJ229" s="650"/>
      <c r="AK229" s="449"/>
    </row>
    <row r="230" spans="1:37" hidden="1">
      <c r="A230" s="1122"/>
      <c r="B230" s="2403" t="s">
        <v>1000</v>
      </c>
      <c r="C230" s="2403"/>
      <c r="D230" s="2403"/>
      <c r="E230" s="2403"/>
      <c r="F230" s="2403"/>
      <c r="G230" s="2403"/>
      <c r="I230" s="2362"/>
      <c r="J230" s="2362"/>
      <c r="K230" s="2362"/>
      <c r="L230" s="798"/>
      <c r="N230" s="2360"/>
      <c r="O230" s="2360"/>
      <c r="P230" s="2360"/>
      <c r="Q230" s="2360"/>
      <c r="R230" s="2360"/>
      <c r="T230" s="2342"/>
      <c r="U230" s="2342"/>
      <c r="V230" s="2342"/>
      <c r="W230" s="2342"/>
      <c r="X230" s="2342"/>
      <c r="Y230" s="2342"/>
      <c r="Z230" s="671"/>
      <c r="AA230" s="671"/>
      <c r="AB230" s="2340">
        <f t="shared" si="0"/>
        <v>0</v>
      </c>
      <c r="AC230" s="2340"/>
      <c r="AD230" s="2340"/>
      <c r="AE230" s="2340"/>
      <c r="AF230" s="2340"/>
      <c r="AG230" s="2340"/>
      <c r="AH230" s="650"/>
      <c r="AI230" s="650"/>
      <c r="AJ230" s="650"/>
      <c r="AK230" s="449"/>
    </row>
    <row r="231" spans="1:37" hidden="1">
      <c r="A231" s="1122"/>
      <c r="B231" s="2403" t="s">
        <v>1000</v>
      </c>
      <c r="C231" s="2403"/>
      <c r="D231" s="2403"/>
      <c r="E231" s="2403"/>
      <c r="F231" s="2403"/>
      <c r="G231" s="2403"/>
      <c r="I231" s="2362"/>
      <c r="J231" s="2362"/>
      <c r="K231" s="2362"/>
      <c r="L231" s="798"/>
      <c r="N231" s="2360"/>
      <c r="O231" s="2360"/>
      <c r="P231" s="2360"/>
      <c r="Q231" s="2360"/>
      <c r="R231" s="2360"/>
      <c r="T231" s="2342"/>
      <c r="U231" s="2342"/>
      <c r="V231" s="2342"/>
      <c r="W231" s="2342"/>
      <c r="X231" s="2342"/>
      <c r="Y231" s="2342"/>
      <c r="Z231" s="671"/>
      <c r="AA231" s="671"/>
      <c r="AB231" s="2340">
        <f t="shared" si="0"/>
        <v>0</v>
      </c>
      <c r="AC231" s="2340"/>
      <c r="AD231" s="2340"/>
      <c r="AE231" s="2340"/>
      <c r="AF231" s="2340"/>
      <c r="AG231" s="2340"/>
      <c r="AH231" s="650"/>
      <c r="AI231" s="650"/>
      <c r="AJ231" s="650"/>
      <c r="AK231" s="449"/>
    </row>
    <row r="232" spans="1:37" hidden="1">
      <c r="A232" s="1122"/>
      <c r="B232" s="2403" t="s">
        <v>1000</v>
      </c>
      <c r="C232" s="2403"/>
      <c r="D232" s="2403"/>
      <c r="E232" s="2403"/>
      <c r="F232" s="2403"/>
      <c r="G232" s="2403"/>
      <c r="I232" s="2534"/>
      <c r="J232" s="2534"/>
      <c r="K232" s="2534"/>
      <c r="L232" s="798"/>
      <c r="N232" s="2360"/>
      <c r="O232" s="2360"/>
      <c r="P232" s="2360"/>
      <c r="Q232" s="2360"/>
      <c r="R232" s="2360"/>
      <c r="T232" s="2342"/>
      <c r="U232" s="2342"/>
      <c r="V232" s="2342"/>
      <c r="W232" s="2342"/>
      <c r="X232" s="2342"/>
      <c r="Y232" s="2342"/>
      <c r="Z232" s="671"/>
      <c r="AA232" s="671"/>
      <c r="AB232" s="2341">
        <f t="shared" si="0"/>
        <v>0</v>
      </c>
      <c r="AC232" s="2341"/>
      <c r="AD232" s="2341"/>
      <c r="AE232" s="2341"/>
      <c r="AF232" s="2341"/>
      <c r="AG232" s="2341"/>
      <c r="AH232" s="650"/>
      <c r="AI232" s="650"/>
      <c r="AJ232" s="650"/>
      <c r="AK232" s="449"/>
    </row>
    <row r="233" spans="1:37" hidden="1">
      <c r="A233" s="1122"/>
      <c r="B233" s="333"/>
      <c r="C233" s="672"/>
      <c r="D233" s="333"/>
      <c r="K233" s="386"/>
      <c r="L233" s="386"/>
      <c r="M233" s="386"/>
      <c r="N233" s="386"/>
      <c r="O233" s="386"/>
      <c r="P233" s="386"/>
      <c r="Q233" s="386"/>
      <c r="R233" s="386"/>
      <c r="S233" s="386"/>
      <c r="T233" s="386"/>
      <c r="U233" s="386"/>
      <c r="V233" s="386"/>
      <c r="W233" s="386"/>
      <c r="X233" s="386"/>
      <c r="Y233" s="1145" t="s">
        <v>2132</v>
      </c>
      <c r="AA233" s="1145"/>
      <c r="AB233" s="2340">
        <f>SUM(AB223:AB232)</f>
        <v>0</v>
      </c>
      <c r="AC233" s="2340"/>
      <c r="AD233" s="2340"/>
      <c r="AE233" s="2340"/>
      <c r="AF233" s="2340"/>
      <c r="AG233" s="2340"/>
      <c r="AH233" s="650"/>
      <c r="AI233" s="650"/>
      <c r="AJ233" s="650"/>
      <c r="AK233" s="449"/>
    </row>
    <row r="234" spans="1:37" hidden="1">
      <c r="A234" s="1122"/>
      <c r="B234" s="1122"/>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19"/>
      <c r="Z234" s="1119"/>
      <c r="AA234" s="1119"/>
      <c r="AB234" s="1119"/>
      <c r="AC234" s="398"/>
      <c r="AD234" s="398"/>
      <c r="AE234" s="449"/>
      <c r="AF234" s="449"/>
      <c r="AG234" s="449"/>
      <c r="AH234" s="449"/>
      <c r="AI234" s="449"/>
      <c r="AJ234" s="449"/>
      <c r="AK234" s="449"/>
    </row>
    <row r="235" spans="1:37" hidden="1">
      <c r="A235" s="913" t="s">
        <v>2133</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19"/>
      <c r="Z235" s="1119"/>
      <c r="AA235" s="1119"/>
      <c r="AB235" s="1119"/>
      <c r="AC235" s="386"/>
      <c r="AD235" s="386"/>
      <c r="AE235" s="449"/>
      <c r="AF235" s="449"/>
      <c r="AG235" s="449"/>
      <c r="AH235" s="449"/>
      <c r="AI235" s="449"/>
      <c r="AJ235" s="449"/>
      <c r="AK235" s="449"/>
    </row>
    <row r="236" spans="1:37" hidden="1">
      <c r="A236" s="1122"/>
      <c r="B236" s="333" t="s">
        <v>2134</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19"/>
      <c r="Z236" s="1119"/>
      <c r="AA236" s="1119"/>
      <c r="AB236" s="1119"/>
      <c r="AC236" s="386"/>
      <c r="AD236" s="386"/>
      <c r="AE236" s="449"/>
      <c r="AF236" s="449"/>
      <c r="AG236" s="449"/>
      <c r="AH236" s="449"/>
      <c r="AI236" s="449"/>
      <c r="AJ236" s="449"/>
      <c r="AK236" s="449"/>
    </row>
    <row r="237" spans="1:37" hidden="1">
      <c r="A237" s="1122"/>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19"/>
      <c r="Z237" s="1119"/>
      <c r="AA237" s="1119"/>
      <c r="AB237" s="1119"/>
      <c r="AC237" s="386"/>
      <c r="AD237" s="386"/>
      <c r="AE237" s="449"/>
      <c r="AF237" s="449"/>
      <c r="AG237" s="449"/>
      <c r="AH237" s="449"/>
      <c r="AI237" s="449"/>
      <c r="AJ237" s="449"/>
      <c r="AK237" s="449"/>
    </row>
    <row r="238" spans="1:37" hidden="1">
      <c r="A238" s="1122"/>
      <c r="B238" s="657" t="s">
        <v>2135</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19"/>
      <c r="Z238" s="1119"/>
      <c r="AA238" s="1119"/>
      <c r="AB238" s="1119"/>
      <c r="AC238" s="386"/>
      <c r="AD238" s="386"/>
      <c r="AE238" s="449"/>
      <c r="AF238" s="449"/>
      <c r="AG238" s="449"/>
      <c r="AH238" s="449"/>
      <c r="AI238" s="449"/>
      <c r="AJ238" s="449"/>
      <c r="AK238" s="449"/>
    </row>
    <row r="239" spans="1:37" hidden="1">
      <c r="A239" s="1122"/>
      <c r="B239" s="657" t="s">
        <v>2136</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19"/>
      <c r="Z239" s="1119"/>
      <c r="AA239" s="1119"/>
      <c r="AB239" s="2375"/>
      <c r="AC239" s="2375"/>
      <c r="AD239" s="2375"/>
      <c r="AE239" s="2375"/>
      <c r="AF239" s="2375"/>
      <c r="AG239" s="2375"/>
      <c r="AH239" s="449"/>
      <c r="AI239" s="449"/>
      <c r="AJ239" s="449"/>
      <c r="AK239" s="449"/>
    </row>
    <row r="240" spans="1:37" hidden="1">
      <c r="A240" s="1122"/>
      <c r="B240" s="658" t="s">
        <v>2137</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19"/>
      <c r="Z240" s="1119"/>
      <c r="AA240" s="1119"/>
      <c r="AB240" s="1119"/>
      <c r="AC240" s="386"/>
      <c r="AD240" s="386"/>
      <c r="AE240" s="449"/>
      <c r="AF240" s="449"/>
      <c r="AG240" s="449"/>
      <c r="AH240" s="449"/>
      <c r="AI240" s="449"/>
      <c r="AJ240" s="449"/>
      <c r="AK240" s="449"/>
    </row>
    <row r="241" spans="1:37" hidden="1">
      <c r="A241" s="1122"/>
      <c r="B241" s="659" t="s">
        <v>2138</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19"/>
      <c r="Z241" s="1119"/>
      <c r="AA241" s="1119"/>
      <c r="AB241" s="1119"/>
      <c r="AC241" s="386"/>
      <c r="AD241" s="386"/>
      <c r="AE241" s="449"/>
      <c r="AF241" s="449"/>
      <c r="AG241" s="449"/>
      <c r="AH241" s="449"/>
      <c r="AI241" s="449"/>
      <c r="AJ241" s="449"/>
      <c r="AK241" s="449"/>
    </row>
    <row r="242" spans="1:37" hidden="1">
      <c r="A242" s="1122"/>
      <c r="B242" s="659" t="s">
        <v>2139</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19"/>
      <c r="Z242" s="1119"/>
      <c r="AA242" s="1119"/>
      <c r="AB242" s="2375"/>
      <c r="AC242" s="2375"/>
      <c r="AD242" s="2375"/>
      <c r="AE242" s="2375"/>
      <c r="AF242" s="2375"/>
      <c r="AG242" s="2375"/>
      <c r="AH242" s="449"/>
      <c r="AI242" s="449"/>
      <c r="AJ242" s="449"/>
      <c r="AK242" s="449"/>
    </row>
    <row r="243" spans="1:37" hidden="1">
      <c r="A243" s="1122"/>
      <c r="B243" s="659" t="s">
        <v>2140</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19"/>
      <c r="Z243" s="1119"/>
      <c r="AA243" s="1119"/>
      <c r="AB243" s="2358"/>
      <c r="AC243" s="2358"/>
      <c r="AD243" s="2358"/>
      <c r="AE243" s="2358"/>
      <c r="AF243" s="2358"/>
      <c r="AG243" s="2358"/>
      <c r="AH243" s="449"/>
      <c r="AI243" s="449"/>
      <c r="AJ243" s="449"/>
      <c r="AK243" s="449"/>
    </row>
    <row r="244" spans="1:37" hidden="1">
      <c r="A244" s="1122"/>
      <c r="B244" s="659" t="s">
        <v>2141</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19"/>
      <c r="Z244" s="1119"/>
      <c r="AA244" s="1119"/>
      <c r="AB244" s="2343">
        <f>IFERROR(AB242/AB243,0)</f>
        <v>0</v>
      </c>
      <c r="AC244" s="2343"/>
      <c r="AD244" s="2343"/>
      <c r="AE244" s="2343"/>
      <c r="AF244" s="2343"/>
      <c r="AG244" s="2343"/>
      <c r="AH244" s="449"/>
      <c r="AI244" s="449"/>
      <c r="AJ244" s="449"/>
      <c r="AK244" s="449"/>
    </row>
    <row r="245" spans="1:37" hidden="1">
      <c r="A245" s="1122"/>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19"/>
      <c r="Z245" s="1119"/>
      <c r="AA245" s="1119"/>
      <c r="AB245" s="1119"/>
      <c r="AC245" s="386"/>
      <c r="AD245" s="386"/>
      <c r="AE245" s="449"/>
      <c r="AF245" s="449"/>
      <c r="AG245" s="449"/>
      <c r="AH245" s="449"/>
      <c r="AI245" s="449"/>
      <c r="AJ245" s="449"/>
      <c r="AK245" s="449"/>
    </row>
    <row r="246" spans="1:37" hidden="1">
      <c r="A246" s="1122"/>
      <c r="B246" s="333" t="s">
        <v>2142</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19"/>
      <c r="Z246" s="1119"/>
      <c r="AA246" s="1119"/>
      <c r="AB246" s="2341">
        <f>MAX(AB239,AB244)</f>
        <v>0</v>
      </c>
      <c r="AC246" s="2341"/>
      <c r="AD246" s="2341"/>
      <c r="AE246" s="2341"/>
      <c r="AF246" s="2341"/>
      <c r="AG246" s="2341"/>
      <c r="AH246" s="449"/>
      <c r="AI246" s="449"/>
      <c r="AJ246" s="449"/>
      <c r="AK246" s="449"/>
    </row>
    <row r="247" spans="1:37" hidden="1">
      <c r="A247" s="1122"/>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19"/>
      <c r="Z247" s="1119"/>
      <c r="AA247" s="1119"/>
      <c r="AB247" s="1119"/>
      <c r="AC247" s="386"/>
      <c r="AD247" s="386"/>
      <c r="AE247" s="449"/>
      <c r="AF247" s="449"/>
      <c r="AG247" s="449"/>
      <c r="AH247" s="449"/>
      <c r="AI247" s="449"/>
      <c r="AJ247" s="449"/>
      <c r="AK247" s="449"/>
    </row>
    <row r="248" spans="1:37" hidden="1">
      <c r="A248" s="1122"/>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19"/>
      <c r="Z248" s="1119"/>
      <c r="AA248" s="1119"/>
      <c r="AB248" s="1119"/>
      <c r="AC248" s="386"/>
      <c r="AD248" s="386"/>
      <c r="AE248" s="449"/>
      <c r="AF248" s="449"/>
      <c r="AG248" s="449"/>
      <c r="AH248" s="449"/>
      <c r="AI248" s="449"/>
      <c r="AJ248" s="449"/>
      <c r="AK248" s="449"/>
    </row>
    <row r="249" spans="1:37" hidden="1">
      <c r="A249" s="1122"/>
      <c r="B249" s="333" t="s">
        <v>2143</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19"/>
      <c r="AA249" s="1119"/>
      <c r="AB249" s="2340">
        <f>AB233+AB246</f>
        <v>0</v>
      </c>
      <c r="AC249" s="2340"/>
      <c r="AD249" s="2340"/>
      <c r="AE249" s="2340"/>
      <c r="AF249" s="2340"/>
      <c r="AG249" s="2340"/>
      <c r="AH249" s="449"/>
      <c r="AI249" s="449"/>
      <c r="AJ249" s="449"/>
      <c r="AK249" s="449"/>
    </row>
    <row r="250" spans="1:37" hidden="1">
      <c r="A250" s="1122"/>
      <c r="B250" s="333" t="s">
        <v>2144</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19"/>
      <c r="AA250" s="1119"/>
      <c r="AB250" s="2514">
        <v>0.05</v>
      </c>
      <c r="AC250" s="2514"/>
      <c r="AD250" s="2514"/>
      <c r="AE250" s="2514"/>
      <c r="AF250" s="2514"/>
      <c r="AG250" s="2514"/>
      <c r="AH250" s="449"/>
      <c r="AI250" s="449"/>
      <c r="AJ250" s="449"/>
      <c r="AK250" s="449"/>
    </row>
    <row r="251" spans="1:37" hidden="1">
      <c r="A251" s="1122"/>
      <c r="B251" s="333" t="s">
        <v>2145</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19"/>
      <c r="AA251" s="1119"/>
      <c r="AB251" s="2515">
        <f>AB249-(AB249*AB250)</f>
        <v>0</v>
      </c>
      <c r="AC251" s="2515"/>
      <c r="AD251" s="2515"/>
      <c r="AE251" s="2515"/>
      <c r="AF251" s="2515"/>
      <c r="AG251" s="2515"/>
      <c r="AH251" s="449"/>
      <c r="AI251" s="449"/>
      <c r="AJ251" s="449"/>
      <c r="AK251" s="449"/>
    </row>
    <row r="252" spans="1:37" hidden="1">
      <c r="A252" s="1122"/>
      <c r="B252" s="333" t="s">
        <v>2146</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41"/>
      <c r="Z252" s="1119"/>
      <c r="AA252" s="1119"/>
      <c r="AB252" s="386"/>
      <c r="AC252" s="386"/>
      <c r="AD252" s="386"/>
      <c r="AE252" s="449"/>
      <c r="AF252" s="449"/>
      <c r="AG252" s="449"/>
      <c r="AH252" s="449"/>
      <c r="AI252" s="449"/>
      <c r="AJ252" s="449"/>
      <c r="AK252" s="449"/>
    </row>
    <row r="253" spans="1:37" hidden="1">
      <c r="A253" s="1122"/>
      <c r="B253" s="333" t="s">
        <v>2147</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19"/>
      <c r="AA253" s="1119"/>
      <c r="AB253" s="2340">
        <f>AB251/AB257</f>
        <v>0</v>
      </c>
      <c r="AC253" s="2340"/>
      <c r="AD253" s="2340"/>
      <c r="AE253" s="2340"/>
      <c r="AF253" s="2340"/>
      <c r="AG253" s="2340"/>
      <c r="AH253" s="449"/>
      <c r="AI253" s="449"/>
      <c r="AJ253" s="449"/>
      <c r="AK253" s="449"/>
    </row>
    <row r="254" spans="1:37" hidden="1">
      <c r="A254" s="1122"/>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19"/>
      <c r="AA254" s="1119"/>
      <c r="AB254" s="386"/>
      <c r="AC254" s="386"/>
      <c r="AD254" s="386"/>
      <c r="AE254" s="449"/>
      <c r="AF254" s="449"/>
      <c r="AG254" s="449"/>
      <c r="AH254" s="449"/>
      <c r="AI254" s="449"/>
      <c r="AJ254" s="449"/>
      <c r="AK254" s="449"/>
    </row>
    <row r="255" spans="1:37" hidden="1">
      <c r="A255" s="1122"/>
      <c r="B255" s="333" t="s">
        <v>2148</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19"/>
      <c r="AA255" s="1119"/>
      <c r="AB255" s="2523">
        <v>15</v>
      </c>
      <c r="AC255" s="2523"/>
      <c r="AD255" s="2523"/>
      <c r="AE255" s="2523"/>
      <c r="AF255" s="2523"/>
      <c r="AG255" s="2523"/>
      <c r="AH255" s="449"/>
      <c r="AI255" s="449"/>
      <c r="AJ255" s="449"/>
      <c r="AK255" s="449"/>
    </row>
    <row r="256" spans="1:37" hidden="1">
      <c r="A256" s="1122"/>
      <c r="B256" s="333" t="s">
        <v>2149</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19"/>
      <c r="AA256" s="1119"/>
      <c r="AB256" s="2491">
        <v>0.04</v>
      </c>
      <c r="AC256" s="2491"/>
      <c r="AD256" s="2491"/>
      <c r="AE256" s="2491"/>
      <c r="AF256" s="2491"/>
      <c r="AG256" s="2491"/>
      <c r="AH256" s="449"/>
      <c r="AI256" s="449"/>
      <c r="AJ256" s="449"/>
      <c r="AK256" s="449"/>
    </row>
    <row r="257" spans="1:39" hidden="1">
      <c r="A257" s="1122"/>
      <c r="B257" s="333" t="s">
        <v>2150</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19"/>
      <c r="AA257" s="1119"/>
      <c r="AB257" s="2500">
        <v>1.1499999999999999</v>
      </c>
      <c r="AC257" s="2500"/>
      <c r="AD257" s="2500"/>
      <c r="AE257" s="2500"/>
      <c r="AF257" s="2500"/>
      <c r="AG257" s="2500"/>
      <c r="AH257" s="449"/>
      <c r="AI257" s="449"/>
      <c r="AJ257" s="449"/>
      <c r="AK257" s="449"/>
    </row>
    <row r="258" spans="1:39" hidden="1">
      <c r="A258" s="1122"/>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19"/>
      <c r="AA258" s="1119"/>
      <c r="AB258" s="386"/>
      <c r="AC258" s="386"/>
      <c r="AD258" s="386"/>
      <c r="AE258" s="449"/>
      <c r="AF258" s="449"/>
      <c r="AG258" s="449"/>
      <c r="AH258" s="449"/>
      <c r="AI258" s="449"/>
      <c r="AJ258" s="449"/>
      <c r="AK258" s="449"/>
    </row>
    <row r="259" spans="1:39" hidden="1">
      <c r="A259" s="1122"/>
      <c r="B259" s="664" t="s">
        <v>2151</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19"/>
      <c r="AA259" s="1119"/>
      <c r="AB259" s="2507">
        <f>PV(AB256/12,AB255*12,-AB253/12, ,0)</f>
        <v>0</v>
      </c>
      <c r="AC259" s="2508"/>
      <c r="AD259" s="2508"/>
      <c r="AE259" s="2508"/>
      <c r="AF259" s="2508"/>
      <c r="AG259" s="2509"/>
      <c r="AH259" s="449"/>
      <c r="AI259" s="449"/>
      <c r="AJ259" s="449"/>
      <c r="AK259" s="449"/>
    </row>
    <row r="260" spans="1:39" hidden="1">
      <c r="A260" s="1122"/>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19"/>
      <c r="AA260" s="1119"/>
      <c r="AB260" s="674"/>
      <c r="AC260" s="674"/>
      <c r="AD260" s="674"/>
      <c r="AE260" s="674"/>
      <c r="AF260" s="674"/>
      <c r="AG260" s="674"/>
      <c r="AH260" s="449"/>
      <c r="AI260" s="449"/>
      <c r="AJ260" s="449"/>
      <c r="AK260" s="449"/>
    </row>
    <row r="261" spans="1:39" hidden="1">
      <c r="A261" s="1122"/>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19"/>
      <c r="AA261" s="1119"/>
      <c r="AB261" s="674"/>
      <c r="AC261" s="674"/>
      <c r="AD261" s="674"/>
      <c r="AE261" s="674"/>
      <c r="AF261" s="674"/>
      <c r="AG261" s="674"/>
      <c r="AH261" s="449"/>
      <c r="AI261" s="449"/>
      <c r="AJ261" s="449"/>
      <c r="AK261" s="449"/>
    </row>
    <row r="262" spans="1:39" hidden="1">
      <c r="A262" s="1122"/>
      <c r="B262" s="667" t="s">
        <v>2152</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19"/>
      <c r="Z262" s="1119"/>
      <c r="AA262" s="1119"/>
      <c r="AB262" s="1119"/>
      <c r="AC262" s="386"/>
      <c r="AD262" s="386"/>
      <c r="AE262" s="449"/>
      <c r="AF262" s="449"/>
      <c r="AG262" s="449"/>
      <c r="AH262" s="449"/>
      <c r="AI262" s="449"/>
      <c r="AJ262" s="449"/>
      <c r="AK262" s="449"/>
    </row>
    <row r="263" spans="1:39" hidden="1">
      <c r="A263" s="1122"/>
      <c r="B263" s="1122" t="s">
        <v>2153</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19"/>
      <c r="Z263" s="1119"/>
      <c r="AA263" s="1119"/>
      <c r="AB263" s="1119"/>
      <c r="AC263" s="386"/>
      <c r="AD263" s="386"/>
      <c r="AE263" s="449"/>
      <c r="AF263" s="449"/>
      <c r="AG263" s="449"/>
      <c r="AH263" s="449"/>
      <c r="AI263" s="449"/>
      <c r="AJ263" s="449"/>
      <c r="AK263" s="449"/>
    </row>
    <row r="264" spans="1:39" hidden="1">
      <c r="A264" s="1122"/>
      <c r="B264" s="1122" t="s">
        <v>2154</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19"/>
      <c r="Z264" s="1119"/>
      <c r="AA264" s="1119"/>
      <c r="AB264" s="1119"/>
      <c r="AC264" s="386"/>
      <c r="AD264" s="386"/>
      <c r="AE264" s="449"/>
      <c r="AF264" s="449"/>
      <c r="AG264" s="449"/>
      <c r="AH264" s="449"/>
      <c r="AI264" s="449"/>
      <c r="AJ264" s="449"/>
      <c r="AK264" s="449"/>
    </row>
    <row r="265" spans="1:39" hidden="1">
      <c r="A265" s="1122"/>
      <c r="B265" s="1122" t="s">
        <v>2155</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19"/>
      <c r="Z265" s="1119"/>
      <c r="AA265" s="1119"/>
      <c r="AB265" s="2511">
        <f>IFERROR(('Sources and Uses Budget'!D105/'Sources and Uses Budget'!B105),0)</f>
        <v>0</v>
      </c>
      <c r="AC265" s="2512"/>
      <c r="AD265" s="2512"/>
      <c r="AE265" s="2512"/>
      <c r="AF265" s="2512"/>
      <c r="AG265" s="2513"/>
      <c r="AH265" s="675"/>
      <c r="AI265" s="675"/>
      <c r="AJ265" s="675"/>
      <c r="AK265" s="449"/>
    </row>
    <row r="266" spans="1:39" hidden="1">
      <c r="A266" s="1122"/>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19"/>
      <c r="Z266" s="1119"/>
      <c r="AA266" s="1119"/>
      <c r="AB266" s="1119"/>
      <c r="AC266" s="386"/>
      <c r="AD266" s="386"/>
      <c r="AE266" s="449"/>
      <c r="AF266" s="449"/>
      <c r="AG266" s="449"/>
      <c r="AH266" s="449"/>
      <c r="AI266" s="449"/>
      <c r="AJ266" s="449"/>
      <c r="AK266" s="449"/>
    </row>
    <row r="267" spans="1:39" hidden="1">
      <c r="A267" s="460"/>
      <c r="B267" s="1056" t="s">
        <v>2156</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368">
        <f>AD210*(1-AB265)</f>
        <v>0</v>
      </c>
      <c r="AH267" s="2368"/>
      <c r="AI267" s="2368"/>
      <c r="AJ267" s="2368"/>
      <c r="AK267" s="2368"/>
    </row>
    <row r="268" spans="1:39" hidden="1">
      <c r="A268" s="460"/>
      <c r="B268" s="463" t="s">
        <v>2157</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368">
        <f>'Sources and Uses Budget'!C105</f>
        <v>112607197</v>
      </c>
      <c r="AH268" s="2368"/>
      <c r="AI268" s="2368"/>
      <c r="AJ268" s="2368"/>
      <c r="AK268" s="2368"/>
    </row>
    <row r="269" spans="1:39" hidden="1">
      <c r="A269" s="460"/>
      <c r="B269" s="462" t="s">
        <v>1526</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503">
        <f>ROUNDDOWN(IF(AND(C305="Yes",AK83=10),((AG267*2)/AG268),AG267/AG268),2)</f>
        <v>0</v>
      </c>
      <c r="AH269" s="2503"/>
      <c r="AI269" s="2503"/>
      <c r="AJ269" s="2503"/>
      <c r="AK269" s="2503"/>
    </row>
    <row r="270" spans="1:39" hidden="1">
      <c r="A270" s="460"/>
      <c r="B270" s="773" t="s">
        <v>2158</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2159</v>
      </c>
      <c r="AK272" s="2493">
        <f>IFERROR(IF(AG269=0,0,IF((AG269*100)&gt;8,8,(AG269*100))),0)</f>
        <v>0</v>
      </c>
      <c r="AL272" s="2493"/>
      <c r="AM272" s="2494"/>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2109</v>
      </c>
      <c r="B275" s="388" t="s">
        <v>2160</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31" t="s">
        <v>2026</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31"/>
      <c r="AI276" s="398"/>
      <c r="AJ276" s="398"/>
      <c r="AK276" s="398"/>
      <c r="AL276" s="398"/>
      <c r="AM276" s="398"/>
      <c r="AO276" s="398"/>
    </row>
    <row r="277" spans="1:52" ht="14.25" customHeight="1">
      <c r="D277" s="11" t="s">
        <v>2161</v>
      </c>
      <c r="AI277" s="399"/>
      <c r="AJ277" s="398"/>
      <c r="AK277" s="398"/>
      <c r="AL277" s="398"/>
      <c r="AM277" s="398"/>
      <c r="AO277" s="398"/>
    </row>
    <row r="278" spans="1:52" ht="14.25" customHeight="1">
      <c r="AI278" s="399"/>
      <c r="AJ278" s="398"/>
      <c r="AK278" s="398"/>
      <c r="AL278" s="398"/>
      <c r="AM278" s="398"/>
      <c r="AO278" s="398"/>
    </row>
    <row r="279" spans="1:52" ht="13.9" customHeight="1">
      <c r="A279" s="398"/>
      <c r="B279" s="436"/>
      <c r="C279" s="2344" t="s">
        <v>847</v>
      </c>
      <c r="D279" s="2344"/>
      <c r="E279" s="395"/>
      <c r="F279" s="2331" t="s">
        <v>2162</v>
      </c>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3"/>
      <c r="AE279" s="398"/>
      <c r="AF279" s="473"/>
      <c r="AG279" s="2501" t="s">
        <v>2102</v>
      </c>
      <c r="AH279" s="2501"/>
      <c r="AI279" s="2501"/>
      <c r="AJ279" s="2501"/>
      <c r="AK279" s="398"/>
      <c r="AL279" s="398"/>
      <c r="AM279" s="398"/>
      <c r="AO279" s="398"/>
    </row>
    <row r="280" spans="1:52" ht="13.9" customHeight="1">
      <c r="A280" s="398"/>
      <c r="B280" s="436"/>
      <c r="C280" s="474"/>
      <c r="D280" s="398"/>
      <c r="E280" s="395"/>
      <c r="F280" s="2334"/>
      <c r="G280" s="2335"/>
      <c r="H280" s="2335"/>
      <c r="I280" s="2335"/>
      <c r="J280" s="2335"/>
      <c r="K280" s="2335"/>
      <c r="L280" s="2335"/>
      <c r="M280" s="2335"/>
      <c r="N280" s="2335"/>
      <c r="O280" s="2335"/>
      <c r="P280" s="2335"/>
      <c r="Q280" s="2335"/>
      <c r="R280" s="2335"/>
      <c r="S280" s="2335"/>
      <c r="T280" s="2335"/>
      <c r="U280" s="2335"/>
      <c r="V280" s="2335"/>
      <c r="W280" s="2335"/>
      <c r="X280" s="2335"/>
      <c r="Y280" s="2335"/>
      <c r="Z280" s="2335"/>
      <c r="AA280" s="2335"/>
      <c r="AB280" s="2335"/>
      <c r="AC280" s="2335"/>
      <c r="AD280" s="2336"/>
      <c r="AE280" s="398"/>
      <c r="AF280" s="473"/>
      <c r="AG280" s="473"/>
      <c r="AH280" s="473"/>
      <c r="AI280" s="473"/>
      <c r="AJ280" s="398"/>
      <c r="AK280" s="398"/>
      <c r="AL280" s="398"/>
      <c r="AM280" s="398"/>
      <c r="AO280" s="398"/>
    </row>
    <row r="281" spans="1:52" ht="13.9" customHeight="1">
      <c r="A281" s="398"/>
      <c r="B281" s="436"/>
      <c r="C281" s="474"/>
      <c r="D281" s="398"/>
      <c r="E281" s="395"/>
      <c r="F281" s="2334"/>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6"/>
      <c r="AE281" s="398"/>
      <c r="AF281" s="473"/>
      <c r="AG281" s="473"/>
      <c r="AH281" s="473"/>
      <c r="AI281" s="473"/>
      <c r="AJ281" s="398"/>
      <c r="AK281" s="398"/>
      <c r="AL281" s="398"/>
      <c r="AM281" s="398"/>
      <c r="AO281" s="398"/>
    </row>
    <row r="282" spans="1:52" ht="13.9" customHeight="1">
      <c r="A282" s="398"/>
      <c r="B282" s="436"/>
      <c r="C282" s="474"/>
      <c r="D282" s="398"/>
      <c r="E282" s="395"/>
      <c r="F282" s="2334"/>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6"/>
      <c r="AE282" s="398"/>
      <c r="AF282" s="473"/>
      <c r="AG282" s="473"/>
      <c r="AH282" s="473"/>
      <c r="AI282" s="473"/>
      <c r="AJ282" s="398"/>
      <c r="AK282" s="398"/>
      <c r="AL282" s="398"/>
      <c r="AM282" s="398"/>
      <c r="AO282" s="398"/>
    </row>
    <row r="283" spans="1:52" ht="13.9" customHeight="1">
      <c r="A283" s="398"/>
      <c r="B283" s="436"/>
      <c r="C283" s="474"/>
      <c r="D283" s="398"/>
      <c r="E283" s="395"/>
      <c r="F283" s="2334"/>
      <c r="G283" s="2335"/>
      <c r="H283" s="2335"/>
      <c r="I283" s="2335"/>
      <c r="J283" s="2335"/>
      <c r="K283" s="2335"/>
      <c r="L283" s="2335"/>
      <c r="M283" s="2335"/>
      <c r="N283" s="2335"/>
      <c r="O283" s="2335"/>
      <c r="P283" s="2335"/>
      <c r="Q283" s="2335"/>
      <c r="R283" s="2335"/>
      <c r="S283" s="2335"/>
      <c r="T283" s="2335"/>
      <c r="U283" s="2335"/>
      <c r="V283" s="2335"/>
      <c r="W283" s="2335"/>
      <c r="X283" s="2335"/>
      <c r="Y283" s="2335"/>
      <c r="Z283" s="2335"/>
      <c r="AA283" s="2335"/>
      <c r="AB283" s="2335"/>
      <c r="AC283" s="2335"/>
      <c r="AD283" s="2336"/>
      <c r="AE283" s="398"/>
      <c r="AF283" s="473"/>
      <c r="AG283" s="473"/>
      <c r="AH283" s="473"/>
      <c r="AI283" s="473"/>
      <c r="AJ283" s="398"/>
      <c r="AK283" s="398"/>
      <c r="AL283" s="398"/>
      <c r="AM283" s="398"/>
      <c r="AO283" s="398"/>
    </row>
    <row r="284" spans="1:52">
      <c r="A284" s="398"/>
      <c r="B284" s="436"/>
      <c r="C284" s="474"/>
      <c r="D284" s="398"/>
      <c r="E284" s="395"/>
      <c r="F284" s="2334"/>
      <c r="G284" s="2335"/>
      <c r="H284" s="2335"/>
      <c r="I284" s="2335"/>
      <c r="J284" s="2335"/>
      <c r="K284" s="2335"/>
      <c r="L284" s="2335"/>
      <c r="M284" s="2335"/>
      <c r="N284" s="2335"/>
      <c r="O284" s="2335"/>
      <c r="P284" s="2335"/>
      <c r="Q284" s="2335"/>
      <c r="R284" s="2335"/>
      <c r="S284" s="2335"/>
      <c r="T284" s="2335"/>
      <c r="U284" s="2335"/>
      <c r="V284" s="2335"/>
      <c r="W284" s="2335"/>
      <c r="X284" s="2335"/>
      <c r="Y284" s="2335"/>
      <c r="Z284" s="2335"/>
      <c r="AA284" s="2335"/>
      <c r="AB284" s="2335"/>
      <c r="AC284" s="2335"/>
      <c r="AD284" s="2336"/>
      <c r="AE284" s="398"/>
      <c r="AF284" s="473"/>
      <c r="AG284" s="473"/>
      <c r="AH284" s="473"/>
      <c r="AI284" s="473"/>
      <c r="AJ284" s="398"/>
      <c r="AK284" s="398"/>
      <c r="AL284" s="398"/>
      <c r="AM284" s="398"/>
      <c r="AO284" s="398"/>
      <c r="AP284" s="475"/>
    </row>
    <row r="285" spans="1:52">
      <c r="A285" s="398"/>
      <c r="B285" s="436"/>
      <c r="C285" s="474"/>
      <c r="D285" s="398"/>
      <c r="E285" s="395"/>
      <c r="F285" s="2334"/>
      <c r="G285" s="2335"/>
      <c r="H285" s="2335"/>
      <c r="I285" s="2335"/>
      <c r="J285" s="2335"/>
      <c r="K285" s="2335"/>
      <c r="L285" s="2335"/>
      <c r="M285" s="2335"/>
      <c r="N285" s="2335"/>
      <c r="O285" s="2335"/>
      <c r="P285" s="2335"/>
      <c r="Q285" s="2335"/>
      <c r="R285" s="2335"/>
      <c r="S285" s="2335"/>
      <c r="T285" s="2335"/>
      <c r="U285" s="2335"/>
      <c r="V285" s="2335"/>
      <c r="W285" s="2335"/>
      <c r="X285" s="2335"/>
      <c r="Y285" s="2335"/>
      <c r="Z285" s="2335"/>
      <c r="AA285" s="2335"/>
      <c r="AB285" s="2335"/>
      <c r="AC285" s="2335"/>
      <c r="AD285" s="2336"/>
      <c r="AE285" s="398"/>
      <c r="AF285" s="473"/>
      <c r="AG285" s="473"/>
      <c r="AH285" s="473"/>
      <c r="AI285" s="473"/>
      <c r="AJ285" s="398"/>
      <c r="AK285" s="398"/>
      <c r="AL285" s="398"/>
      <c r="AM285" s="398"/>
      <c r="AO285" s="398"/>
      <c r="AP285" s="475"/>
    </row>
    <row r="286" spans="1:52" ht="13.9" customHeight="1">
      <c r="A286" s="398"/>
      <c r="B286" s="436"/>
      <c r="C286" s="2502"/>
      <c r="D286" s="2502"/>
      <c r="E286" s="395"/>
      <c r="F286" s="2337"/>
      <c r="G286" s="2338"/>
      <c r="H286" s="2338"/>
      <c r="I286" s="2338"/>
      <c r="J286" s="2338"/>
      <c r="K286" s="2338"/>
      <c r="L286" s="2338"/>
      <c r="M286" s="2338"/>
      <c r="N286" s="2338"/>
      <c r="O286" s="2338"/>
      <c r="P286" s="2338"/>
      <c r="Q286" s="2338"/>
      <c r="R286" s="2338"/>
      <c r="S286" s="2338"/>
      <c r="T286" s="2338"/>
      <c r="U286" s="2338"/>
      <c r="V286" s="2338"/>
      <c r="W286" s="2338"/>
      <c r="X286" s="2338"/>
      <c r="Y286" s="2338"/>
      <c r="Z286" s="2338"/>
      <c r="AA286" s="2338"/>
      <c r="AB286" s="2338"/>
      <c r="AC286" s="2338"/>
      <c r="AD286" s="2339"/>
      <c r="AE286" s="398"/>
      <c r="AF286" s="473"/>
      <c r="AG286" s="2501"/>
      <c r="AH286" s="2501"/>
      <c r="AI286" s="2501"/>
      <c r="AJ286" s="2501"/>
      <c r="AK286" s="398"/>
      <c r="AL286" s="398"/>
      <c r="AM286" s="398"/>
    </row>
    <row r="287" spans="1:52" ht="13.9"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73" t="s">
        <v>2163</v>
      </c>
      <c r="C289" s="2373"/>
      <c r="D289" s="2373"/>
      <c r="E289" s="2373"/>
      <c r="F289" s="2373"/>
      <c r="G289" s="2373"/>
      <c r="H289" s="2373"/>
      <c r="I289" s="2373"/>
      <c r="J289" s="2373"/>
      <c r="K289" s="2373"/>
      <c r="L289" s="2373"/>
      <c r="M289" s="2373"/>
      <c r="N289" s="2373"/>
      <c r="O289" s="2373"/>
      <c r="P289" s="2373"/>
      <c r="Q289" s="2373"/>
      <c r="R289" s="2373"/>
      <c r="S289" s="2373"/>
      <c r="T289" s="2373"/>
      <c r="U289" s="2373"/>
      <c r="V289" s="2373"/>
      <c r="W289" s="2373"/>
      <c r="X289" s="2373"/>
      <c r="Y289" s="2373"/>
      <c r="Z289" s="2373"/>
      <c r="AA289" s="2373"/>
      <c r="AB289" s="2373"/>
      <c r="AC289" s="2373"/>
      <c r="AD289" s="2373"/>
      <c r="AE289" s="2373"/>
      <c r="AF289" s="2373"/>
      <c r="AG289" s="2373"/>
      <c r="AH289" s="2373"/>
      <c r="AI289" s="2373"/>
      <c r="AJ289" s="2373"/>
      <c r="AK289" s="2373"/>
      <c r="AL289" s="2373"/>
      <c r="AM289" s="398"/>
      <c r="AN289" s="44"/>
    </row>
    <row r="290" spans="1:49">
      <c r="A290" s="398"/>
      <c r="B290" s="2373"/>
      <c r="C290" s="2373"/>
      <c r="D290" s="2373"/>
      <c r="E290" s="2373"/>
      <c r="F290" s="2373"/>
      <c r="G290" s="2373"/>
      <c r="H290" s="2373"/>
      <c r="I290" s="2373"/>
      <c r="J290" s="2373"/>
      <c r="K290" s="2373"/>
      <c r="L290" s="2373"/>
      <c r="M290" s="2373"/>
      <c r="N290" s="2373"/>
      <c r="O290" s="2373"/>
      <c r="P290" s="2373"/>
      <c r="Q290" s="2373"/>
      <c r="R290" s="2373"/>
      <c r="S290" s="2373"/>
      <c r="T290" s="2373"/>
      <c r="U290" s="2373"/>
      <c r="V290" s="2373"/>
      <c r="W290" s="2373"/>
      <c r="X290" s="2373"/>
      <c r="Y290" s="2373"/>
      <c r="Z290" s="2373"/>
      <c r="AA290" s="2373"/>
      <c r="AB290" s="2373"/>
      <c r="AC290" s="2373"/>
      <c r="AD290" s="2373"/>
      <c r="AE290" s="2373"/>
      <c r="AF290" s="2373"/>
      <c r="AG290" s="2373"/>
      <c r="AH290" s="2373"/>
      <c r="AI290" s="2373"/>
      <c r="AJ290" s="2373"/>
      <c r="AK290" s="2373"/>
      <c r="AL290" s="2373"/>
      <c r="AM290" s="398"/>
      <c r="AN290" s="44"/>
    </row>
    <row r="291" spans="1:49">
      <c r="A291" s="398"/>
      <c r="B291" s="2373"/>
      <c r="C291" s="2373"/>
      <c r="D291" s="2373"/>
      <c r="E291" s="2373"/>
      <c r="F291" s="2373"/>
      <c r="G291" s="2373"/>
      <c r="H291" s="2373"/>
      <c r="I291" s="2373"/>
      <c r="J291" s="2373"/>
      <c r="K291" s="2373"/>
      <c r="L291" s="2373"/>
      <c r="M291" s="2373"/>
      <c r="N291" s="2373"/>
      <c r="O291" s="2373"/>
      <c r="P291" s="2373"/>
      <c r="Q291" s="2373"/>
      <c r="R291" s="2373"/>
      <c r="S291" s="2373"/>
      <c r="T291" s="2373"/>
      <c r="U291" s="2373"/>
      <c r="V291" s="2373"/>
      <c r="W291" s="2373"/>
      <c r="X291" s="2373"/>
      <c r="Y291" s="2373"/>
      <c r="Z291" s="2373"/>
      <c r="AA291" s="2373"/>
      <c r="AB291" s="2373"/>
      <c r="AC291" s="2373"/>
      <c r="AD291" s="2373"/>
      <c r="AE291" s="2373"/>
      <c r="AF291" s="2373"/>
      <c r="AG291" s="2373"/>
      <c r="AH291" s="2373"/>
      <c r="AI291" s="2373"/>
      <c r="AJ291" s="2373"/>
      <c r="AK291" s="2373"/>
      <c r="AL291" s="2373"/>
      <c r="AM291" s="398"/>
      <c r="AN291" s="44"/>
    </row>
    <row r="292" spans="1:49">
      <c r="A292" s="398"/>
      <c r="B292" s="2373"/>
      <c r="C292" s="2373"/>
      <c r="D292" s="2373"/>
      <c r="E292" s="2373"/>
      <c r="F292" s="2373"/>
      <c r="G292" s="2373"/>
      <c r="H292" s="2373"/>
      <c r="I292" s="2373"/>
      <c r="J292" s="2373"/>
      <c r="K292" s="2373"/>
      <c r="L292" s="2373"/>
      <c r="M292" s="2373"/>
      <c r="N292" s="2373"/>
      <c r="O292" s="2373"/>
      <c r="P292" s="2373"/>
      <c r="Q292" s="2373"/>
      <c r="R292" s="2373"/>
      <c r="S292" s="2373"/>
      <c r="T292" s="2373"/>
      <c r="U292" s="2373"/>
      <c r="V292" s="2373"/>
      <c r="W292" s="2373"/>
      <c r="X292" s="2373"/>
      <c r="Y292" s="2373"/>
      <c r="Z292" s="2373"/>
      <c r="AA292" s="2373"/>
      <c r="AB292" s="2373"/>
      <c r="AC292" s="2373"/>
      <c r="AD292" s="2373"/>
      <c r="AE292" s="2373"/>
      <c r="AF292" s="2373"/>
      <c r="AG292" s="2373"/>
      <c r="AH292" s="2373"/>
      <c r="AI292" s="2373"/>
      <c r="AJ292" s="2373"/>
      <c r="AK292" s="2373"/>
      <c r="AL292" s="2373"/>
      <c r="AM292" s="398"/>
      <c r="AN292" s="44"/>
    </row>
    <row r="293" spans="1:49">
      <c r="A293" s="398"/>
      <c r="B293" s="2373"/>
      <c r="C293" s="2373"/>
      <c r="D293" s="2373"/>
      <c r="E293" s="2373"/>
      <c r="F293" s="2373"/>
      <c r="G293" s="2373"/>
      <c r="H293" s="2373"/>
      <c r="I293" s="2373"/>
      <c r="J293" s="2373"/>
      <c r="K293" s="2373"/>
      <c r="L293" s="2373"/>
      <c r="M293" s="2373"/>
      <c r="N293" s="2373"/>
      <c r="O293" s="2373"/>
      <c r="P293" s="2373"/>
      <c r="Q293" s="2373"/>
      <c r="R293" s="2373"/>
      <c r="S293" s="2373"/>
      <c r="T293" s="2373"/>
      <c r="U293" s="2373"/>
      <c r="V293" s="2373"/>
      <c r="W293" s="2373"/>
      <c r="X293" s="2373"/>
      <c r="Y293" s="2373"/>
      <c r="Z293" s="2373"/>
      <c r="AA293" s="2373"/>
      <c r="AB293" s="2373"/>
      <c r="AC293" s="2373"/>
      <c r="AD293" s="2373"/>
      <c r="AE293" s="2373"/>
      <c r="AF293" s="2373"/>
      <c r="AG293" s="2373"/>
      <c r="AH293" s="2373"/>
      <c r="AI293" s="2373"/>
      <c r="AJ293" s="2373"/>
      <c r="AK293" s="2373"/>
      <c r="AL293" s="2373"/>
      <c r="AM293" s="398"/>
      <c r="AN293" s="44"/>
    </row>
    <row r="294" spans="1:49">
      <c r="A294" s="398"/>
      <c r="B294" s="2373"/>
      <c r="C294" s="2373"/>
      <c r="D294" s="2373"/>
      <c r="E294" s="2373"/>
      <c r="F294" s="2373"/>
      <c r="G294" s="2373"/>
      <c r="H294" s="2373"/>
      <c r="I294" s="2373"/>
      <c r="J294" s="2373"/>
      <c r="K294" s="2373"/>
      <c r="L294" s="2373"/>
      <c r="M294" s="2373"/>
      <c r="N294" s="2373"/>
      <c r="O294" s="2373"/>
      <c r="P294" s="2373"/>
      <c r="Q294" s="2373"/>
      <c r="R294" s="2373"/>
      <c r="S294" s="2373"/>
      <c r="T294" s="2373"/>
      <c r="U294" s="2373"/>
      <c r="V294" s="2373"/>
      <c r="W294" s="2373"/>
      <c r="X294" s="2373"/>
      <c r="Y294" s="2373"/>
      <c r="Z294" s="2373"/>
      <c r="AA294" s="2373"/>
      <c r="AB294" s="2373"/>
      <c r="AC294" s="2373"/>
      <c r="AD294" s="2373"/>
      <c r="AE294" s="2373"/>
      <c r="AF294" s="2373"/>
      <c r="AG294" s="2373"/>
      <c r="AH294" s="2373"/>
      <c r="AI294" s="2373"/>
      <c r="AJ294" s="2373"/>
      <c r="AK294" s="2373"/>
      <c r="AL294" s="2373"/>
      <c r="AM294" s="398"/>
      <c r="AN294" s="44"/>
    </row>
    <row r="295" spans="1:49">
      <c r="A295" s="398"/>
      <c r="B295" s="2373"/>
      <c r="C295" s="2373"/>
      <c r="D295" s="2373"/>
      <c r="E295" s="2373"/>
      <c r="F295" s="2373"/>
      <c r="G295" s="2373"/>
      <c r="H295" s="2373"/>
      <c r="I295" s="2373"/>
      <c r="J295" s="2373"/>
      <c r="K295" s="2373"/>
      <c r="L295" s="2373"/>
      <c r="M295" s="2373"/>
      <c r="N295" s="2373"/>
      <c r="O295" s="2373"/>
      <c r="P295" s="2373"/>
      <c r="Q295" s="2373"/>
      <c r="R295" s="2373"/>
      <c r="S295" s="2373"/>
      <c r="T295" s="2373"/>
      <c r="U295" s="2373"/>
      <c r="V295" s="2373"/>
      <c r="W295" s="2373"/>
      <c r="X295" s="2373"/>
      <c r="Y295" s="2373"/>
      <c r="Z295" s="2373"/>
      <c r="AA295" s="2373"/>
      <c r="AB295" s="2373"/>
      <c r="AC295" s="2373"/>
      <c r="AD295" s="2373"/>
      <c r="AE295" s="2373"/>
      <c r="AF295" s="2373"/>
      <c r="AG295" s="2373"/>
      <c r="AH295" s="2373"/>
      <c r="AI295" s="2373"/>
      <c r="AJ295" s="2373"/>
      <c r="AK295" s="2373"/>
      <c r="AL295" s="2373"/>
      <c r="AM295" s="398"/>
      <c r="AN295" s="44"/>
    </row>
    <row r="296" spans="1:49">
      <c r="A296" s="398"/>
      <c r="B296" s="2373"/>
      <c r="C296" s="2373"/>
      <c r="D296" s="2373"/>
      <c r="E296" s="2373"/>
      <c r="F296" s="2373"/>
      <c r="G296" s="2373"/>
      <c r="H296" s="2373"/>
      <c r="I296" s="2373"/>
      <c r="J296" s="2373"/>
      <c r="K296" s="2373"/>
      <c r="L296" s="2373"/>
      <c r="M296" s="2373"/>
      <c r="N296" s="2373"/>
      <c r="O296" s="2373"/>
      <c r="P296" s="2373"/>
      <c r="Q296" s="2373"/>
      <c r="R296" s="2373"/>
      <c r="S296" s="2373"/>
      <c r="T296" s="2373"/>
      <c r="U296" s="2373"/>
      <c r="V296" s="2373"/>
      <c r="W296" s="2373"/>
      <c r="X296" s="2373"/>
      <c r="Y296" s="2373"/>
      <c r="Z296" s="2373"/>
      <c r="AA296" s="2373"/>
      <c r="AB296" s="2373"/>
      <c r="AC296" s="2373"/>
      <c r="AD296" s="2373"/>
      <c r="AE296" s="2373"/>
      <c r="AF296" s="2373"/>
      <c r="AG296" s="2373"/>
      <c r="AH296" s="2373"/>
      <c r="AI296" s="2373"/>
      <c r="AJ296" s="2373"/>
      <c r="AK296" s="2373"/>
      <c r="AL296" s="2373"/>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2164</v>
      </c>
      <c r="AK298" s="2493">
        <f>IF($C$279="yes",10,0)</f>
        <v>10</v>
      </c>
      <c r="AL298" s="2493"/>
      <c r="AM298" s="2494"/>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2165</v>
      </c>
      <c r="B301" s="388" t="s">
        <v>2166</v>
      </c>
      <c r="AH301" s="1131" t="s">
        <v>2026</v>
      </c>
    </row>
    <row r="302" spans="1:49" ht="15" customHeight="1">
      <c r="B302" s="389"/>
    </row>
    <row r="303" spans="1:49" ht="15" customHeight="1">
      <c r="B303" s="389" t="s">
        <v>2027</v>
      </c>
    </row>
    <row r="304" spans="1:49">
      <c r="B304" s="398"/>
      <c r="C304" s="1143"/>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597" t="s">
        <v>2167</v>
      </c>
      <c r="B305" s="1597"/>
      <c r="C305" s="2330" t="s">
        <v>816</v>
      </c>
      <c r="D305" s="2344"/>
      <c r="E305" s="395"/>
      <c r="F305" s="2495" t="s">
        <v>2168</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479"/>
      <c r="AF305" s="398"/>
      <c r="AG305" s="2498" t="s">
        <v>2169</v>
      </c>
      <c r="AH305" s="2498"/>
      <c r="AI305" s="2498"/>
      <c r="AJ305" s="2498"/>
      <c r="AK305" s="2498"/>
      <c r="AL305" s="398"/>
      <c r="AM305" s="398"/>
      <c r="AN305" s="44"/>
      <c r="AO305" s="11"/>
      <c r="AP305" s="23"/>
      <c r="AS305" s="415"/>
      <c r="AT305" s="415"/>
      <c r="AU305" s="415"/>
      <c r="AV305" s="25"/>
      <c r="AW305" s="25"/>
    </row>
    <row r="306" spans="1:49">
      <c r="A306" s="1143"/>
      <c r="B306" s="436"/>
      <c r="F306" s="2364"/>
      <c r="G306" s="2322"/>
      <c r="H306" s="2322"/>
      <c r="I306" s="2322"/>
      <c r="J306" s="2322"/>
      <c r="K306" s="2322"/>
      <c r="L306" s="2322"/>
      <c r="M306" s="2322"/>
      <c r="N306" s="2322"/>
      <c r="O306" s="2322"/>
      <c r="P306" s="2322"/>
      <c r="Q306" s="2322"/>
      <c r="R306" s="2322"/>
      <c r="S306" s="2322"/>
      <c r="T306" s="2322"/>
      <c r="U306" s="2322"/>
      <c r="V306" s="2322"/>
      <c r="W306" s="2322"/>
      <c r="X306" s="2322"/>
      <c r="Y306" s="2322"/>
      <c r="Z306" s="2322"/>
      <c r="AA306" s="2322"/>
      <c r="AB306" s="2322"/>
      <c r="AC306" s="2322"/>
      <c r="AD306" s="2365"/>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43"/>
      <c r="B307" s="436"/>
      <c r="F307" s="2364"/>
      <c r="G307" s="2322"/>
      <c r="H307" s="2322"/>
      <c r="I307" s="2322"/>
      <c r="J307" s="2322"/>
      <c r="K307" s="2322"/>
      <c r="L307" s="2322"/>
      <c r="M307" s="2322"/>
      <c r="N307" s="2322"/>
      <c r="O307" s="2322"/>
      <c r="P307" s="2322"/>
      <c r="Q307" s="2322"/>
      <c r="R307" s="2322"/>
      <c r="S307" s="2322"/>
      <c r="T307" s="2322"/>
      <c r="U307" s="2322"/>
      <c r="V307" s="2322"/>
      <c r="W307" s="2322"/>
      <c r="X307" s="2322"/>
      <c r="Y307" s="2322"/>
      <c r="Z307" s="2322"/>
      <c r="AA307" s="2322"/>
      <c r="AB307" s="2322"/>
      <c r="AC307" s="2322"/>
      <c r="AD307" s="2365"/>
      <c r="AE307" s="479"/>
      <c r="AF307" s="399"/>
      <c r="AH307" s="399"/>
      <c r="AI307" s="399"/>
      <c r="AJ307" s="398"/>
      <c r="AK307" s="398"/>
      <c r="AL307" s="398"/>
      <c r="AM307" s="398"/>
      <c r="AN307" s="44"/>
      <c r="AO307" s="11"/>
      <c r="AP307" s="398">
        <f>IF($C$315="yes",9,0)</f>
        <v>9</v>
      </c>
      <c r="AS307" s="415"/>
      <c r="AT307" s="415"/>
      <c r="AU307" s="415"/>
      <c r="AV307" s="25"/>
      <c r="AW307" s="25"/>
    </row>
    <row r="308" spans="1:49" ht="12.75" customHeight="1">
      <c r="A308" s="1143"/>
      <c r="B308" s="436"/>
      <c r="F308" s="2364" t="s">
        <v>2170</v>
      </c>
      <c r="G308" s="2322"/>
      <c r="H308" s="2322"/>
      <c r="I308" s="2322"/>
      <c r="J308" s="2322"/>
      <c r="K308" s="2322"/>
      <c r="L308" s="2322"/>
      <c r="M308" s="2322"/>
      <c r="N308" s="2322"/>
      <c r="O308" s="2322"/>
      <c r="P308" s="2322"/>
      <c r="Q308" s="2322"/>
      <c r="R308" s="2322"/>
      <c r="S308" s="2322"/>
      <c r="T308" s="2322"/>
      <c r="U308" s="2322"/>
      <c r="V308" s="2322"/>
      <c r="W308" s="2322"/>
      <c r="X308" s="2322"/>
      <c r="Y308" s="2322"/>
      <c r="Z308" s="2322"/>
      <c r="AA308" s="2322"/>
      <c r="AB308" s="2322"/>
      <c r="AC308" s="2322"/>
      <c r="AD308" s="2365"/>
      <c r="AE308" s="479"/>
      <c r="AF308" s="399"/>
      <c r="AH308" s="399"/>
      <c r="AI308" s="399"/>
      <c r="AJ308" s="398"/>
      <c r="AK308" s="398"/>
      <c r="AL308" s="398"/>
      <c r="AM308" s="398"/>
      <c r="AN308" s="44"/>
      <c r="AO308" s="11"/>
      <c r="AP308" s="450">
        <f>MAX(AP306,AP307)</f>
        <v>9</v>
      </c>
      <c r="AQ308" s="418" t="s">
        <v>2030</v>
      </c>
      <c r="AS308" s="415"/>
      <c r="AT308" s="415"/>
      <c r="AU308" s="415"/>
      <c r="AV308" s="25"/>
      <c r="AW308" s="25"/>
    </row>
    <row r="309" spans="1:49">
      <c r="A309" s="1143"/>
      <c r="B309" s="436"/>
      <c r="F309" s="2364"/>
      <c r="G309" s="2322"/>
      <c r="H309" s="2322"/>
      <c r="I309" s="2322"/>
      <c r="J309" s="2322"/>
      <c r="K309" s="2322"/>
      <c r="L309" s="2322"/>
      <c r="M309" s="2322"/>
      <c r="N309" s="2322"/>
      <c r="O309" s="2322"/>
      <c r="P309" s="2322"/>
      <c r="Q309" s="2322"/>
      <c r="R309" s="2322"/>
      <c r="S309" s="2322"/>
      <c r="T309" s="2322"/>
      <c r="U309" s="2322"/>
      <c r="V309" s="2322"/>
      <c r="W309" s="2322"/>
      <c r="X309" s="2322"/>
      <c r="Y309" s="2322"/>
      <c r="Z309" s="2322"/>
      <c r="AA309" s="2322"/>
      <c r="AB309" s="2322"/>
      <c r="AC309" s="2322"/>
      <c r="AD309" s="2365"/>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64" t="s">
        <v>2171</v>
      </c>
      <c r="G310" s="2322"/>
      <c r="H310" s="2322"/>
      <c r="I310" s="2322"/>
      <c r="J310" s="2322"/>
      <c r="K310" s="2322"/>
      <c r="L310" s="2322"/>
      <c r="M310" s="2322"/>
      <c r="N310" s="2322"/>
      <c r="O310" s="2322"/>
      <c r="P310" s="2322"/>
      <c r="Q310" s="2322"/>
      <c r="R310" s="2322"/>
      <c r="S310" s="2322"/>
      <c r="T310" s="2322"/>
      <c r="U310" s="2322"/>
      <c r="V310" s="2322"/>
      <c r="W310" s="2322"/>
      <c r="X310" s="2322"/>
      <c r="Y310" s="2322"/>
      <c r="Z310" s="2322"/>
      <c r="AA310" s="2322"/>
      <c r="AB310" s="2322"/>
      <c r="AC310" s="2322"/>
      <c r="AD310" s="2365"/>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64"/>
      <c r="G311" s="2322"/>
      <c r="H311" s="2322"/>
      <c r="I311" s="2322"/>
      <c r="J311" s="2322"/>
      <c r="K311" s="2322"/>
      <c r="L311" s="2322"/>
      <c r="M311" s="2322"/>
      <c r="N311" s="2322"/>
      <c r="O311" s="2322"/>
      <c r="P311" s="2322"/>
      <c r="Q311" s="2322"/>
      <c r="R311" s="2322"/>
      <c r="S311" s="2322"/>
      <c r="T311" s="2322"/>
      <c r="U311" s="2322"/>
      <c r="V311" s="2322"/>
      <c r="W311" s="2322"/>
      <c r="X311" s="2322"/>
      <c r="Y311" s="2322"/>
      <c r="Z311" s="2322"/>
      <c r="AA311" s="2322"/>
      <c r="AB311" s="2322"/>
      <c r="AC311" s="2322"/>
      <c r="AD311" s="2365"/>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64" t="s">
        <v>2172</v>
      </c>
      <c r="G312" s="2322"/>
      <c r="H312" s="2322"/>
      <c r="I312" s="2322"/>
      <c r="J312" s="2322"/>
      <c r="K312" s="2322"/>
      <c r="L312" s="2322"/>
      <c r="M312" s="2322"/>
      <c r="N312" s="2322"/>
      <c r="O312" s="2322"/>
      <c r="P312" s="2322"/>
      <c r="Q312" s="2322"/>
      <c r="R312" s="2322"/>
      <c r="S312" s="2322"/>
      <c r="T312" s="2322"/>
      <c r="U312" s="2322"/>
      <c r="V312" s="2322"/>
      <c r="W312" s="2322"/>
      <c r="X312" s="2322"/>
      <c r="Y312" s="2322"/>
      <c r="Z312" s="2322"/>
      <c r="AA312" s="2322"/>
      <c r="AB312" s="2322"/>
      <c r="AC312" s="2322"/>
      <c r="AD312" s="2365"/>
      <c r="AE312" s="1119"/>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66"/>
      <c r="G313" s="2367"/>
      <c r="H313" s="2367"/>
      <c r="I313" s="2367"/>
      <c r="J313" s="2367"/>
      <c r="K313" s="2367"/>
      <c r="L313" s="2367"/>
      <c r="M313" s="2367"/>
      <c r="N313" s="2367"/>
      <c r="O313" s="2367"/>
      <c r="P313" s="2367"/>
      <c r="Q313" s="2367"/>
      <c r="R313" s="2367"/>
      <c r="S313" s="2367"/>
      <c r="T313" s="2367"/>
      <c r="U313" s="2367"/>
      <c r="V313" s="2367"/>
      <c r="W313" s="2367"/>
      <c r="X313" s="2367"/>
      <c r="Y313" s="2367"/>
      <c r="Z313" s="2367"/>
      <c r="AA313" s="2367"/>
      <c r="AB313" s="2367"/>
      <c r="AC313" s="2367"/>
      <c r="AD313" s="2492"/>
      <c r="AE313" s="1119"/>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19"/>
      <c r="G314" s="1119"/>
      <c r="H314" s="1119"/>
      <c r="I314" s="1119"/>
      <c r="J314" s="1119"/>
      <c r="K314" s="1119"/>
      <c r="L314" s="1119"/>
      <c r="M314" s="1119"/>
      <c r="N314" s="1119"/>
      <c r="O314" s="1119"/>
      <c r="P314" s="1119"/>
      <c r="Q314" s="1119"/>
      <c r="R314" s="1119"/>
      <c r="S314" s="1119"/>
      <c r="T314" s="1119"/>
      <c r="U314" s="1119"/>
      <c r="V314" s="1119"/>
      <c r="W314" s="1119"/>
      <c r="X314" s="1119"/>
      <c r="Y314" s="1119"/>
      <c r="Z314" s="1119"/>
      <c r="AA314" s="1119"/>
      <c r="AB314" s="1119"/>
      <c r="AC314" s="1119"/>
      <c r="AD314" s="1119"/>
      <c r="AE314" s="399"/>
      <c r="AF314" s="399"/>
      <c r="AG314" s="399"/>
      <c r="AH314" s="399"/>
      <c r="AI314" s="399"/>
      <c r="AJ314" s="398"/>
      <c r="AK314" s="398"/>
      <c r="AL314" s="398"/>
      <c r="AM314" s="398"/>
      <c r="AN314" s="44"/>
      <c r="AO314" s="11"/>
      <c r="AS314" s="415"/>
      <c r="AT314" s="415"/>
      <c r="AU314" s="415"/>
      <c r="AV314" s="25"/>
      <c r="AW314" s="25"/>
    </row>
    <row r="315" spans="1:49" ht="15" customHeight="1">
      <c r="A315" s="1597" t="s">
        <v>2173</v>
      </c>
      <c r="B315" s="1597"/>
      <c r="C315" s="2344" t="s">
        <v>847</v>
      </c>
      <c r="D315" s="2344"/>
      <c r="E315" s="395"/>
      <c r="F315" s="768" t="s">
        <v>2174</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2175</v>
      </c>
      <c r="AH315" s="399"/>
      <c r="AI315" s="399"/>
      <c r="AJ315" s="398"/>
      <c r="AK315" s="398"/>
      <c r="AL315" s="398"/>
      <c r="AM315" s="398"/>
      <c r="AN315" s="481"/>
      <c r="AO315" s="11"/>
    </row>
    <row r="316" spans="1:49">
      <c r="A316" s="398"/>
      <c r="B316" s="399"/>
      <c r="C316" s="398"/>
      <c r="D316" s="399"/>
      <c r="E316" s="398"/>
      <c r="F316" s="2364" t="s">
        <v>2176</v>
      </c>
      <c r="G316" s="2322"/>
      <c r="H316" s="2322"/>
      <c r="I316" s="2322"/>
      <c r="J316" s="2322"/>
      <c r="K316" s="2322"/>
      <c r="L316" s="2322"/>
      <c r="M316" s="2322"/>
      <c r="N316" s="2322"/>
      <c r="O316" s="2322"/>
      <c r="P316" s="2322"/>
      <c r="Q316" s="2322"/>
      <c r="R316" s="2322"/>
      <c r="S316" s="2322"/>
      <c r="T316" s="2322"/>
      <c r="U316" s="2322"/>
      <c r="V316" s="2322"/>
      <c r="W316" s="2322"/>
      <c r="X316" s="2322"/>
      <c r="Y316" s="2322"/>
      <c r="Z316" s="2322"/>
      <c r="AA316" s="2322"/>
      <c r="AB316" s="2322"/>
      <c r="AC316" s="2322"/>
      <c r="AD316" s="2365"/>
      <c r="AE316" s="399"/>
      <c r="AF316" s="399"/>
      <c r="AG316" s="399"/>
      <c r="AH316" s="399"/>
      <c r="AI316" s="399"/>
      <c r="AJ316" s="398"/>
      <c r="AK316" s="398"/>
      <c r="AL316" s="398"/>
      <c r="AM316" s="398"/>
      <c r="AR316" s="482"/>
    </row>
    <row r="317" spans="1:49" ht="15" customHeight="1">
      <c r="A317" s="398"/>
      <c r="B317" s="399"/>
      <c r="C317" s="398"/>
      <c r="D317" s="399"/>
      <c r="E317" s="398"/>
      <c r="F317" s="2364"/>
      <c r="G317" s="2322"/>
      <c r="H317" s="2322"/>
      <c r="I317" s="2322"/>
      <c r="J317" s="2322"/>
      <c r="K317" s="2322"/>
      <c r="L317" s="2322"/>
      <c r="M317" s="2322"/>
      <c r="N317" s="2322"/>
      <c r="O317" s="2322"/>
      <c r="P317" s="2322"/>
      <c r="Q317" s="2322"/>
      <c r="R317" s="2322"/>
      <c r="S317" s="2322"/>
      <c r="T317" s="2322"/>
      <c r="U317" s="2322"/>
      <c r="V317" s="2322"/>
      <c r="W317" s="2322"/>
      <c r="X317" s="2322"/>
      <c r="Y317" s="2322"/>
      <c r="Z317" s="2322"/>
      <c r="AA317" s="2322"/>
      <c r="AB317" s="2322"/>
      <c r="AC317" s="2322"/>
      <c r="AD317" s="2365"/>
      <c r="AE317" s="399"/>
      <c r="AF317" s="399"/>
      <c r="AG317" s="399"/>
      <c r="AH317" s="399"/>
      <c r="AI317" s="399"/>
      <c r="AJ317" s="398"/>
      <c r="AK317" s="398"/>
      <c r="AL317" s="398"/>
      <c r="AM317" s="398"/>
      <c r="AR317" s="482"/>
    </row>
    <row r="318" spans="1:49">
      <c r="A318" s="398"/>
      <c r="B318" s="399"/>
      <c r="C318" s="398"/>
      <c r="D318" s="399"/>
      <c r="E318" s="398"/>
      <c r="F318" s="2364"/>
      <c r="G318" s="2322"/>
      <c r="H318" s="2322"/>
      <c r="I318" s="2322"/>
      <c r="J318" s="2322"/>
      <c r="K318" s="2322"/>
      <c r="L318" s="2322"/>
      <c r="M318" s="2322"/>
      <c r="N318" s="2322"/>
      <c r="O318" s="2322"/>
      <c r="P318" s="2322"/>
      <c r="Q318" s="2322"/>
      <c r="R318" s="2322"/>
      <c r="S318" s="2322"/>
      <c r="T318" s="2322"/>
      <c r="U318" s="2322"/>
      <c r="V318" s="2322"/>
      <c r="W318" s="2322"/>
      <c r="X318" s="2322"/>
      <c r="Y318" s="2322"/>
      <c r="Z318" s="2322"/>
      <c r="AA318" s="2322"/>
      <c r="AB318" s="2322"/>
      <c r="AC318" s="2322"/>
      <c r="AD318" s="2365"/>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66"/>
      <c r="G319" s="2367"/>
      <c r="H319" s="2367"/>
      <c r="I319" s="2367"/>
      <c r="J319" s="2367"/>
      <c r="K319" s="2367"/>
      <c r="L319" s="2367"/>
      <c r="M319" s="2367"/>
      <c r="N319" s="2367"/>
      <c r="O319" s="2367"/>
      <c r="P319" s="2367"/>
      <c r="Q319" s="2367"/>
      <c r="R319" s="2367"/>
      <c r="S319" s="2367"/>
      <c r="T319" s="2367"/>
      <c r="U319" s="2367"/>
      <c r="V319" s="2367"/>
      <c r="W319" s="2367"/>
      <c r="X319" s="2367"/>
      <c r="Y319" s="2367"/>
      <c r="Z319" s="2367"/>
      <c r="AA319" s="2367"/>
      <c r="AB319" s="2367"/>
      <c r="AC319" s="2367"/>
      <c r="AD319" s="2492"/>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597" t="s">
        <v>2177</v>
      </c>
      <c r="B323" s="1597"/>
      <c r="C323" s="2344" t="s">
        <v>816</v>
      </c>
      <c r="D323" s="2344"/>
      <c r="E323" s="395"/>
      <c r="F323" s="480" t="s">
        <v>2178</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2175</v>
      </c>
      <c r="AH323" s="399"/>
      <c r="AI323" s="399"/>
      <c r="AJ323" s="398"/>
      <c r="AK323" s="398"/>
      <c r="AL323" s="398"/>
      <c r="AM323" s="398"/>
      <c r="AN323" s="44"/>
      <c r="AO323" s="11"/>
    </row>
    <row r="324" spans="1:44" hidden="1">
      <c r="A324" s="1094"/>
      <c r="B324" s="1094"/>
      <c r="C324" s="1123"/>
      <c r="D324" s="1123"/>
      <c r="E324" s="395"/>
      <c r="F324" s="2364" t="s">
        <v>2179</v>
      </c>
      <c r="G324" s="2322"/>
      <c r="H324" s="2322"/>
      <c r="I324" s="2322"/>
      <c r="J324" s="2322"/>
      <c r="K324" s="2322"/>
      <c r="L324" s="2322"/>
      <c r="M324" s="2322"/>
      <c r="N324" s="2322"/>
      <c r="O324" s="2322"/>
      <c r="P324" s="2322"/>
      <c r="Q324" s="2322"/>
      <c r="R324" s="2322"/>
      <c r="S324" s="2322"/>
      <c r="T324" s="2322"/>
      <c r="U324" s="2322"/>
      <c r="V324" s="2322"/>
      <c r="W324" s="2322"/>
      <c r="X324" s="2322"/>
      <c r="Y324" s="2322"/>
      <c r="Z324" s="2322"/>
      <c r="AA324" s="2322"/>
      <c r="AB324" s="2322"/>
      <c r="AC324" s="2322"/>
      <c r="AD324" s="2365"/>
      <c r="AE324" s="399"/>
      <c r="AF324" s="399"/>
      <c r="AG324" s="389"/>
      <c r="AH324" s="399"/>
      <c r="AI324" s="399"/>
      <c r="AJ324" s="398"/>
      <c r="AK324" s="398"/>
      <c r="AL324" s="398"/>
      <c r="AM324" s="398"/>
      <c r="AN324" s="44"/>
      <c r="AO324" s="11"/>
      <c r="AP324" s="402" t="s">
        <v>1000</v>
      </c>
    </row>
    <row r="325" spans="1:44" hidden="1">
      <c r="F325" s="2364"/>
      <c r="G325" s="2322"/>
      <c r="H325" s="2322"/>
      <c r="I325" s="2322"/>
      <c r="J325" s="2322"/>
      <c r="K325" s="2322"/>
      <c r="L325" s="2322"/>
      <c r="M325" s="2322"/>
      <c r="N325" s="2322"/>
      <c r="O325" s="2322"/>
      <c r="P325" s="2322"/>
      <c r="Q325" s="2322"/>
      <c r="R325" s="2322"/>
      <c r="S325" s="2322"/>
      <c r="T325" s="2322"/>
      <c r="U325" s="2322"/>
      <c r="V325" s="2322"/>
      <c r="W325" s="2322"/>
      <c r="X325" s="2322"/>
      <c r="Y325" s="2322"/>
      <c r="Z325" s="2322"/>
      <c r="AA325" s="2322"/>
      <c r="AB325" s="2322"/>
      <c r="AC325" s="2322"/>
      <c r="AD325" s="2365"/>
      <c r="AE325" s="399"/>
      <c r="AF325" s="399"/>
      <c r="AH325" s="399"/>
      <c r="AI325" s="399"/>
      <c r="AJ325" s="398"/>
      <c r="AK325" s="398"/>
      <c r="AL325" s="398"/>
      <c r="AM325" s="398"/>
      <c r="AN325" s="44"/>
      <c r="AO325" s="11"/>
      <c r="AP325" s="402" t="s">
        <v>2180</v>
      </c>
    </row>
    <row r="326" spans="1:44" hidden="1">
      <c r="A326" s="398"/>
      <c r="B326" s="399"/>
      <c r="C326" s="1123"/>
      <c r="D326" s="1123"/>
      <c r="E326" s="395"/>
      <c r="F326" s="485" t="s">
        <v>2181</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2182</v>
      </c>
    </row>
    <row r="327" spans="1:44" hidden="1">
      <c r="A327" s="398"/>
      <c r="B327" s="399"/>
      <c r="C327" s="1123"/>
      <c r="D327" s="1123"/>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2183</v>
      </c>
    </row>
    <row r="328" spans="1:44" ht="12.75" hidden="1" customHeight="1">
      <c r="A328" s="398"/>
      <c r="B328" s="399"/>
      <c r="C328" s="1123"/>
      <c r="D328" s="1123"/>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23"/>
      <c r="D329" s="1123"/>
      <c r="E329" s="395"/>
      <c r="F329" s="2472" t="s">
        <v>1000</v>
      </c>
      <c r="G329" s="2473"/>
      <c r="H329" s="2473"/>
      <c r="I329" s="2473"/>
      <c r="J329" s="2473"/>
      <c r="K329" s="2473"/>
      <c r="L329" s="2473"/>
      <c r="M329" s="2473"/>
      <c r="N329" s="2473"/>
      <c r="O329" s="2473"/>
      <c r="P329" s="2473"/>
      <c r="Q329" s="2473"/>
      <c r="R329" s="2473"/>
      <c r="S329" s="2473"/>
      <c r="T329" s="2473"/>
      <c r="U329" s="2473"/>
      <c r="V329" s="2473"/>
      <c r="W329" s="2473"/>
      <c r="X329" s="2473"/>
      <c r="Y329" s="2473"/>
      <c r="Z329" s="2473"/>
      <c r="AA329" s="2473"/>
      <c r="AB329" s="2473"/>
      <c r="AC329" s="2473"/>
      <c r="AD329" s="2474"/>
      <c r="AE329" s="479"/>
      <c r="AF329" s="479"/>
      <c r="AG329" s="479"/>
      <c r="AH329" s="479"/>
      <c r="AI329" s="479"/>
      <c r="AJ329" s="479"/>
      <c r="AK329" s="479"/>
      <c r="AL329" s="398"/>
      <c r="AM329" s="398"/>
      <c r="AN329" s="44"/>
      <c r="AO329" s="11"/>
      <c r="AP329" s="23"/>
    </row>
    <row r="330" spans="1:44" hidden="1">
      <c r="A330" s="398"/>
      <c r="B330" s="399"/>
      <c r="C330" s="1123"/>
      <c r="D330" s="1123"/>
      <c r="E330" s="395"/>
      <c r="F330" s="2472"/>
      <c r="G330" s="2473"/>
      <c r="H330" s="2473"/>
      <c r="I330" s="2473"/>
      <c r="J330" s="2473"/>
      <c r="K330" s="2473"/>
      <c r="L330" s="2473"/>
      <c r="M330" s="2473"/>
      <c r="N330" s="2473"/>
      <c r="O330" s="2473"/>
      <c r="P330" s="2473"/>
      <c r="Q330" s="2473"/>
      <c r="R330" s="2473"/>
      <c r="S330" s="2473"/>
      <c r="T330" s="2473"/>
      <c r="U330" s="2473"/>
      <c r="V330" s="2473"/>
      <c r="W330" s="2473"/>
      <c r="X330" s="2473"/>
      <c r="Y330" s="2473"/>
      <c r="Z330" s="2473"/>
      <c r="AA330" s="2473"/>
      <c r="AB330" s="2473"/>
      <c r="AC330" s="2473"/>
      <c r="AD330" s="2474"/>
      <c r="AE330" s="399"/>
      <c r="AF330" s="399"/>
      <c r="AG330" s="389"/>
      <c r="AH330" s="399"/>
      <c r="AI330" s="399"/>
      <c r="AJ330" s="398"/>
      <c r="AK330" s="398"/>
      <c r="AL330" s="398"/>
      <c r="AM330" s="398"/>
      <c r="AN330" s="44"/>
      <c r="AO330" s="11"/>
      <c r="AP330" s="23"/>
    </row>
    <row r="331" spans="1:44" hidden="1">
      <c r="A331" s="398"/>
      <c r="B331" s="399"/>
      <c r="C331" s="1123"/>
      <c r="D331" s="1123"/>
      <c r="E331" s="395"/>
      <c r="F331" s="2472"/>
      <c r="G331" s="2473"/>
      <c r="H331" s="2473"/>
      <c r="I331" s="2473"/>
      <c r="J331" s="2473"/>
      <c r="K331" s="2473"/>
      <c r="L331" s="2473"/>
      <c r="M331" s="2473"/>
      <c r="N331" s="2473"/>
      <c r="O331" s="2473"/>
      <c r="P331" s="2473"/>
      <c r="Q331" s="2473"/>
      <c r="R331" s="2473"/>
      <c r="S331" s="2473"/>
      <c r="T331" s="2473"/>
      <c r="U331" s="2473"/>
      <c r="V331" s="2473"/>
      <c r="W331" s="2473"/>
      <c r="X331" s="2473"/>
      <c r="Y331" s="2473"/>
      <c r="Z331" s="2473"/>
      <c r="AA331" s="2473"/>
      <c r="AB331" s="2473"/>
      <c r="AC331" s="2473"/>
      <c r="AD331" s="2474"/>
      <c r="AE331" s="399"/>
      <c r="AF331" s="399"/>
      <c r="AG331" s="389"/>
      <c r="AH331" s="399"/>
      <c r="AI331" s="399"/>
      <c r="AJ331" s="398"/>
      <c r="AK331" s="398"/>
      <c r="AL331" s="398"/>
      <c r="AM331" s="398"/>
      <c r="AN331" s="44"/>
      <c r="AO331" s="11"/>
      <c r="AP331" s="23"/>
    </row>
    <row r="332" spans="1:44" hidden="1">
      <c r="A332" s="398"/>
      <c r="B332" s="399"/>
      <c r="C332" s="1123"/>
      <c r="D332" s="1123"/>
      <c r="E332" s="395"/>
      <c r="F332" s="2472"/>
      <c r="G332" s="2473"/>
      <c r="H332" s="2473"/>
      <c r="I332" s="2473"/>
      <c r="J332" s="2473"/>
      <c r="K332" s="2473"/>
      <c r="L332" s="2473"/>
      <c r="M332" s="2473"/>
      <c r="N332" s="2473"/>
      <c r="O332" s="2473"/>
      <c r="P332" s="2473"/>
      <c r="Q332" s="2473"/>
      <c r="R332" s="2473"/>
      <c r="S332" s="2473"/>
      <c r="T332" s="2473"/>
      <c r="U332" s="2473"/>
      <c r="V332" s="2473"/>
      <c r="W332" s="2473"/>
      <c r="X332" s="2473"/>
      <c r="Y332" s="2473"/>
      <c r="Z332" s="2473"/>
      <c r="AA332" s="2473"/>
      <c r="AB332" s="2473"/>
      <c r="AC332" s="2473"/>
      <c r="AD332" s="2474"/>
      <c r="AE332" s="399"/>
      <c r="AF332" s="399"/>
      <c r="AG332" s="389"/>
      <c r="AH332" s="399"/>
      <c r="AI332" s="399"/>
      <c r="AJ332" s="398"/>
      <c r="AK332" s="398"/>
      <c r="AL332" s="398"/>
      <c r="AM332" s="398"/>
      <c r="AN332" s="44"/>
      <c r="AO332" s="11"/>
      <c r="AP332" s="23"/>
    </row>
    <row r="333" spans="1:44" hidden="1">
      <c r="A333" s="398"/>
      <c r="B333" s="399"/>
      <c r="C333" s="1123"/>
      <c r="D333" s="1123"/>
      <c r="E333" s="395"/>
      <c r="F333" s="2475"/>
      <c r="G333" s="2476"/>
      <c r="H333" s="2476"/>
      <c r="I333" s="2476"/>
      <c r="J333" s="2476"/>
      <c r="K333" s="2476"/>
      <c r="L333" s="2476"/>
      <c r="M333" s="2476"/>
      <c r="N333" s="2476"/>
      <c r="O333" s="2476"/>
      <c r="P333" s="2476"/>
      <c r="Q333" s="2476"/>
      <c r="R333" s="2476"/>
      <c r="S333" s="2476"/>
      <c r="T333" s="2476"/>
      <c r="U333" s="2476"/>
      <c r="V333" s="2476"/>
      <c r="W333" s="2476"/>
      <c r="X333" s="2476"/>
      <c r="Y333" s="2476"/>
      <c r="Z333" s="2476"/>
      <c r="AA333" s="2476"/>
      <c r="AB333" s="2476"/>
      <c r="AC333" s="2476"/>
      <c r="AD333" s="2477"/>
      <c r="AE333" s="399"/>
      <c r="AF333" s="399"/>
      <c r="AG333" s="389"/>
      <c r="AH333" s="399"/>
      <c r="AI333" s="399"/>
      <c r="AJ333" s="398"/>
      <c r="AK333" s="398"/>
      <c r="AL333" s="398"/>
      <c r="AM333" s="398"/>
      <c r="AN333" s="44"/>
      <c r="AO333" s="11"/>
      <c r="AP333" s="23"/>
    </row>
    <row r="334" spans="1:44" hidden="1">
      <c r="A334" s="398"/>
      <c r="B334" s="399"/>
      <c r="C334" s="1123"/>
      <c r="D334" s="1123"/>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23"/>
      <c r="D335" s="1123"/>
      <c r="E335" s="395"/>
      <c r="F335" s="487" t="s">
        <v>2184</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23"/>
      <c r="D336" s="1123"/>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23"/>
      <c r="D337" s="1123"/>
      <c r="E337" s="395"/>
      <c r="F337" s="1150"/>
      <c r="G337" s="1151" t="s">
        <v>22</v>
      </c>
      <c r="H337" s="1151"/>
      <c r="I337" s="2478" t="s">
        <v>1000</v>
      </c>
      <c r="J337" s="2478"/>
      <c r="K337" s="2478"/>
      <c r="L337" s="2478"/>
      <c r="M337" s="2478"/>
      <c r="N337" s="2478"/>
      <c r="O337" s="2478"/>
      <c r="P337" s="2478"/>
      <c r="Q337" s="2478"/>
      <c r="R337" s="2478"/>
      <c r="S337" s="2478"/>
      <c r="T337" s="2478"/>
      <c r="U337" s="2478"/>
      <c r="V337" s="2478"/>
      <c r="W337" s="2478"/>
      <c r="X337" s="2478"/>
      <c r="Y337" s="2478"/>
      <c r="Z337" s="2478"/>
      <c r="AA337" s="2478"/>
      <c r="AB337" s="2478"/>
      <c r="AC337" s="2478"/>
      <c r="AD337" s="2479"/>
      <c r="AE337" s="399"/>
      <c r="AF337" s="399"/>
      <c r="AG337" s="389"/>
      <c r="AH337" s="399"/>
      <c r="AI337" s="399"/>
      <c r="AJ337" s="398"/>
      <c r="AK337" s="398"/>
      <c r="AL337" s="398"/>
      <c r="AM337" s="398"/>
      <c r="AN337" s="44"/>
      <c r="AO337" s="11"/>
      <c r="AP337" s="402" t="s">
        <v>2185</v>
      </c>
    </row>
    <row r="338" spans="1:42" hidden="1">
      <c r="A338" s="398"/>
      <c r="B338" s="399"/>
      <c r="C338" s="1123"/>
      <c r="D338" s="1123"/>
      <c r="E338" s="395"/>
      <c r="F338" s="1150"/>
      <c r="G338" s="1151"/>
      <c r="H338" s="1151"/>
      <c r="I338" s="2478"/>
      <c r="J338" s="2478"/>
      <c r="K338" s="2478"/>
      <c r="L338" s="2478"/>
      <c r="M338" s="2478"/>
      <c r="N338" s="2478"/>
      <c r="O338" s="2478"/>
      <c r="P338" s="2478"/>
      <c r="Q338" s="2478"/>
      <c r="R338" s="2478"/>
      <c r="S338" s="2478"/>
      <c r="T338" s="2478"/>
      <c r="U338" s="2478"/>
      <c r="V338" s="2478"/>
      <c r="W338" s="2478"/>
      <c r="X338" s="2478"/>
      <c r="Y338" s="2478"/>
      <c r="Z338" s="2478"/>
      <c r="AA338" s="2478"/>
      <c r="AB338" s="2478"/>
      <c r="AC338" s="2478"/>
      <c r="AD338" s="2479"/>
      <c r="AE338" s="399"/>
      <c r="AF338" s="399"/>
      <c r="AG338" s="389"/>
      <c r="AH338" s="399"/>
      <c r="AI338" s="399"/>
      <c r="AJ338" s="398"/>
      <c r="AK338" s="398"/>
      <c r="AL338" s="398"/>
      <c r="AM338" s="398"/>
      <c r="AN338" s="44"/>
      <c r="AO338" s="11"/>
      <c r="AP338" s="402" t="s">
        <v>2186</v>
      </c>
    </row>
    <row r="339" spans="1:42" hidden="1">
      <c r="A339" s="398"/>
      <c r="B339" s="399"/>
      <c r="C339" s="1144"/>
      <c r="D339" s="1144"/>
      <c r="E339" s="395"/>
      <c r="F339" s="1150"/>
      <c r="G339" s="1151"/>
      <c r="H339" s="1151"/>
      <c r="I339" s="2478"/>
      <c r="J339" s="2478"/>
      <c r="K339" s="2478"/>
      <c r="L339" s="2478"/>
      <c r="M339" s="2478"/>
      <c r="N339" s="2478"/>
      <c r="O339" s="2478"/>
      <c r="P339" s="2478"/>
      <c r="Q339" s="2478"/>
      <c r="R339" s="2478"/>
      <c r="S339" s="2478"/>
      <c r="T339" s="2478"/>
      <c r="U339" s="2478"/>
      <c r="V339" s="2478"/>
      <c r="W339" s="2478"/>
      <c r="X339" s="2478"/>
      <c r="Y339" s="2478"/>
      <c r="Z339" s="2478"/>
      <c r="AA339" s="2478"/>
      <c r="AB339" s="2478"/>
      <c r="AC339" s="2478"/>
      <c r="AD339" s="2479"/>
      <c r="AE339" s="399"/>
      <c r="AF339" s="399"/>
      <c r="AG339" s="389"/>
      <c r="AH339" s="399"/>
      <c r="AI339" s="399"/>
      <c r="AJ339" s="398"/>
      <c r="AK339" s="398"/>
      <c r="AL339" s="398"/>
      <c r="AM339" s="398"/>
      <c r="AN339" s="44"/>
      <c r="AO339" s="11"/>
      <c r="AP339" s="402" t="s">
        <v>2187</v>
      </c>
    </row>
    <row r="340" spans="1:42" hidden="1">
      <c r="A340" s="398"/>
      <c r="B340" s="399"/>
      <c r="C340" s="1144"/>
      <c r="D340" s="1144"/>
      <c r="E340" s="395"/>
      <c r="F340" s="487"/>
      <c r="G340" s="399"/>
      <c r="H340" s="399"/>
      <c r="I340" s="2480"/>
      <c r="J340" s="2480"/>
      <c r="K340" s="2480"/>
      <c r="L340" s="2480"/>
      <c r="M340" s="2480"/>
      <c r="N340" s="2480"/>
      <c r="O340" s="2480"/>
      <c r="P340" s="2480"/>
      <c r="Q340" s="2480"/>
      <c r="R340" s="2480"/>
      <c r="S340" s="2480"/>
      <c r="T340" s="2480"/>
      <c r="U340" s="2480"/>
      <c r="V340" s="2480"/>
      <c r="W340" s="2480"/>
      <c r="X340" s="2480"/>
      <c r="Y340" s="2480"/>
      <c r="Z340" s="2480"/>
      <c r="AA340" s="2480"/>
      <c r="AB340" s="2480"/>
      <c r="AC340" s="2480"/>
      <c r="AD340" s="2481"/>
      <c r="AE340" s="399"/>
      <c r="AF340" s="399"/>
      <c r="AG340" s="389"/>
      <c r="AH340" s="399"/>
      <c r="AI340" s="399"/>
      <c r="AJ340" s="398"/>
      <c r="AK340" s="398"/>
      <c r="AL340" s="398"/>
      <c r="AM340" s="398"/>
      <c r="AN340" s="44"/>
      <c r="AO340" s="11"/>
      <c r="AP340" s="402" t="s">
        <v>2188</v>
      </c>
    </row>
    <row r="341" spans="1:42" hidden="1">
      <c r="A341" s="398"/>
      <c r="B341" s="399"/>
      <c r="C341" s="1144"/>
      <c r="D341" s="1144"/>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44"/>
      <c r="D342" s="1144"/>
      <c r="E342" s="395"/>
      <c r="F342" s="487"/>
      <c r="G342" s="399" t="s">
        <v>27</v>
      </c>
      <c r="H342" s="399"/>
      <c r="I342" s="2478" t="s">
        <v>1000</v>
      </c>
      <c r="J342" s="2478"/>
      <c r="K342" s="2478"/>
      <c r="L342" s="2478"/>
      <c r="M342" s="2478"/>
      <c r="N342" s="2478"/>
      <c r="O342" s="2478"/>
      <c r="P342" s="2478"/>
      <c r="Q342" s="2478"/>
      <c r="R342" s="2478"/>
      <c r="S342" s="2478"/>
      <c r="T342" s="2478"/>
      <c r="U342" s="2478"/>
      <c r="V342" s="2478"/>
      <c r="W342" s="2478"/>
      <c r="X342" s="2478"/>
      <c r="Y342" s="2478"/>
      <c r="Z342" s="2478"/>
      <c r="AA342" s="2478"/>
      <c r="AB342" s="2478"/>
      <c r="AC342" s="2478"/>
      <c r="AD342" s="2479"/>
      <c r="AE342" s="399"/>
      <c r="AF342" s="399"/>
      <c r="AG342" s="389"/>
      <c r="AH342" s="399"/>
      <c r="AI342" s="399"/>
      <c r="AJ342" s="398"/>
      <c r="AK342" s="398"/>
      <c r="AL342" s="398"/>
      <c r="AM342" s="398"/>
      <c r="AN342" s="44"/>
      <c r="AO342" s="11"/>
    </row>
    <row r="343" spans="1:42" hidden="1">
      <c r="A343" s="398"/>
      <c r="B343" s="399"/>
      <c r="C343" s="1144"/>
      <c r="D343" s="1144"/>
      <c r="E343" s="395"/>
      <c r="F343" s="487"/>
      <c r="G343" s="399"/>
      <c r="H343" s="399"/>
      <c r="I343" s="2478"/>
      <c r="J343" s="2478"/>
      <c r="K343" s="2478"/>
      <c r="L343" s="2478"/>
      <c r="M343" s="2478"/>
      <c r="N343" s="2478"/>
      <c r="O343" s="2478"/>
      <c r="P343" s="2478"/>
      <c r="Q343" s="2478"/>
      <c r="R343" s="2478"/>
      <c r="S343" s="2478"/>
      <c r="T343" s="2478"/>
      <c r="U343" s="2478"/>
      <c r="V343" s="2478"/>
      <c r="W343" s="2478"/>
      <c r="X343" s="2478"/>
      <c r="Y343" s="2478"/>
      <c r="Z343" s="2478"/>
      <c r="AA343" s="2478"/>
      <c r="AB343" s="2478"/>
      <c r="AC343" s="2478"/>
      <c r="AD343" s="2479"/>
      <c r="AE343" s="399"/>
      <c r="AF343" s="399"/>
      <c r="AG343" s="389"/>
      <c r="AH343" s="399"/>
      <c r="AI343" s="399"/>
      <c r="AJ343" s="398"/>
      <c r="AK343" s="398"/>
      <c r="AL343" s="398"/>
      <c r="AM343" s="398"/>
      <c r="AN343" s="44"/>
      <c r="AO343" s="11"/>
      <c r="AP343" s="402" t="s">
        <v>1000</v>
      </c>
    </row>
    <row r="344" spans="1:42" hidden="1">
      <c r="A344" s="398"/>
      <c r="B344" s="399"/>
      <c r="C344" s="1144"/>
      <c r="D344" s="1144"/>
      <c r="E344" s="395"/>
      <c r="F344" s="489"/>
      <c r="G344" s="490"/>
      <c r="H344" s="490"/>
      <c r="I344" s="2480"/>
      <c r="J344" s="2480"/>
      <c r="K344" s="2480"/>
      <c r="L344" s="2480"/>
      <c r="M344" s="2480"/>
      <c r="N344" s="2480"/>
      <c r="O344" s="2480"/>
      <c r="P344" s="2480"/>
      <c r="Q344" s="2480"/>
      <c r="R344" s="2480"/>
      <c r="S344" s="2480"/>
      <c r="T344" s="2480"/>
      <c r="U344" s="2480"/>
      <c r="V344" s="2480"/>
      <c r="W344" s="2480"/>
      <c r="X344" s="2480"/>
      <c r="Y344" s="2480"/>
      <c r="Z344" s="2480"/>
      <c r="AA344" s="2480"/>
      <c r="AB344" s="2480"/>
      <c r="AC344" s="2480"/>
      <c r="AD344" s="2481"/>
      <c r="AE344" s="399"/>
      <c r="AF344" s="399"/>
      <c r="AG344" s="389"/>
      <c r="AH344" s="399"/>
      <c r="AI344" s="399"/>
      <c r="AJ344" s="398"/>
      <c r="AK344" s="398"/>
      <c r="AL344" s="398"/>
      <c r="AM344" s="398"/>
      <c r="AN344" s="44"/>
      <c r="AO344" s="11"/>
      <c r="AP344" s="402" t="s">
        <v>2189</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2190</v>
      </c>
    </row>
    <row r="346" spans="1:42" ht="12.75" hidden="1" customHeight="1">
      <c r="A346" s="1597" t="s">
        <v>2191</v>
      </c>
      <c r="B346" s="1597"/>
      <c r="C346" s="2344" t="s">
        <v>816</v>
      </c>
      <c r="D346" s="2344"/>
      <c r="E346" s="395"/>
      <c r="F346" s="2385" t="s">
        <v>2192</v>
      </c>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7"/>
      <c r="AE346" s="399"/>
      <c r="AF346" s="399"/>
      <c r="AG346" s="389" t="s">
        <v>2175</v>
      </c>
      <c r="AH346" s="399"/>
      <c r="AI346" s="399"/>
      <c r="AJ346" s="398"/>
      <c r="AK346" s="398"/>
      <c r="AL346" s="398"/>
      <c r="AM346" s="398"/>
      <c r="AN346" s="44"/>
      <c r="AO346" s="11"/>
    </row>
    <row r="347" spans="1:42" ht="15" hidden="1" customHeight="1">
      <c r="A347" s="398"/>
      <c r="B347" s="399"/>
      <c r="C347" s="399"/>
      <c r="D347" s="399"/>
      <c r="E347" s="399"/>
      <c r="F347" s="2388"/>
      <c r="G347" s="2389"/>
      <c r="H347" s="2389"/>
      <c r="I347" s="2389"/>
      <c r="J347" s="2389"/>
      <c r="K347" s="2389"/>
      <c r="L347" s="2389"/>
      <c r="M347" s="2389"/>
      <c r="N347" s="2389"/>
      <c r="O347" s="2389"/>
      <c r="P347" s="2389"/>
      <c r="Q347" s="2389"/>
      <c r="R347" s="2389"/>
      <c r="S347" s="2389"/>
      <c r="T347" s="2389"/>
      <c r="U347" s="2389"/>
      <c r="V347" s="2389"/>
      <c r="W347" s="2389"/>
      <c r="X347" s="2389"/>
      <c r="Y347" s="2389"/>
      <c r="Z347" s="2389"/>
      <c r="AA347" s="2389"/>
      <c r="AB347" s="2389"/>
      <c r="AC347" s="2389"/>
      <c r="AD347" s="2390"/>
      <c r="AE347" s="399"/>
      <c r="AF347" s="399"/>
      <c r="AG347" s="399"/>
      <c r="AH347" s="399"/>
      <c r="AI347" s="399"/>
      <c r="AJ347" s="398"/>
      <c r="AK347" s="398"/>
      <c r="AL347" s="398"/>
      <c r="AM347" s="398"/>
      <c r="AN347" s="44"/>
      <c r="AO347" s="11"/>
    </row>
    <row r="348" spans="1:42" ht="15" hidden="1" customHeight="1">
      <c r="A348" s="398"/>
      <c r="B348" s="399"/>
      <c r="C348" s="399"/>
      <c r="D348" s="399"/>
      <c r="E348" s="399"/>
      <c r="F348" s="2388"/>
      <c r="G348" s="2389"/>
      <c r="H348" s="2389"/>
      <c r="I348" s="2389"/>
      <c r="J348" s="2389"/>
      <c r="K348" s="2389"/>
      <c r="L348" s="2389"/>
      <c r="M348" s="2389"/>
      <c r="N348" s="2389"/>
      <c r="O348" s="2389"/>
      <c r="P348" s="2389"/>
      <c r="Q348" s="2389"/>
      <c r="R348" s="2389"/>
      <c r="S348" s="2389"/>
      <c r="T348" s="2389"/>
      <c r="U348" s="2389"/>
      <c r="V348" s="2389"/>
      <c r="W348" s="2389"/>
      <c r="X348" s="2389"/>
      <c r="Y348" s="2389"/>
      <c r="Z348" s="2389"/>
      <c r="AA348" s="2389"/>
      <c r="AB348" s="2389"/>
      <c r="AC348" s="2389"/>
      <c r="AD348" s="2390"/>
      <c r="AE348" s="399"/>
      <c r="AF348" s="399"/>
      <c r="AG348" s="399"/>
      <c r="AH348" s="399"/>
      <c r="AI348" s="399"/>
      <c r="AJ348" s="398"/>
      <c r="AK348" s="398"/>
      <c r="AL348" s="398"/>
      <c r="AM348" s="491"/>
      <c r="AN348" s="11"/>
      <c r="AO348" s="11"/>
    </row>
    <row r="349" spans="1:42" hidden="1">
      <c r="A349" s="398"/>
      <c r="B349" s="399"/>
      <c r="C349" s="398"/>
      <c r="D349" s="399"/>
      <c r="E349" s="398"/>
      <c r="F349" s="492" t="s">
        <v>2193</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2194</v>
      </c>
      <c r="AK351" s="2325">
        <f>IF(NOT(OR(Application!M364="Yes",Application!M365="Yes")),0,AP308)</f>
        <v>9</v>
      </c>
      <c r="AL351" s="2371"/>
      <c r="AM351" s="2326"/>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2195</v>
      </c>
      <c r="B354" s="389" t="s">
        <v>2196</v>
      </c>
      <c r="C354" s="386"/>
      <c r="AC354" s="389"/>
      <c r="AE354" s="2382" t="s">
        <v>2026</v>
      </c>
      <c r="AF354" s="2382"/>
      <c r="AG354" s="2382"/>
      <c r="AH354" s="2382"/>
      <c r="AI354" s="2382"/>
      <c r="AJ354" s="2382"/>
      <c r="AK354" s="2382"/>
      <c r="AL354" s="389"/>
      <c r="AM354" s="389"/>
      <c r="AN354" s="433"/>
    </row>
    <row r="355" spans="1:44" s="398" customFormat="1" ht="12.75" customHeight="1">
      <c r="A355" s="389"/>
      <c r="B355" s="389"/>
      <c r="C355" s="386"/>
      <c r="AC355" s="389"/>
      <c r="AE355" s="1127"/>
      <c r="AF355" s="1127"/>
      <c r="AG355" s="1127"/>
      <c r="AH355" s="1127"/>
      <c r="AI355" s="1127"/>
      <c r="AJ355" s="1127"/>
      <c r="AK355" s="1127"/>
      <c r="AL355" s="389"/>
      <c r="AM355" s="389"/>
      <c r="AN355" s="433"/>
    </row>
    <row r="356" spans="1:44" s="398" customFormat="1" ht="12.75" customHeight="1">
      <c r="B356" s="450"/>
      <c r="C356" s="2393" t="s">
        <v>2197</v>
      </c>
      <c r="D356" s="2393"/>
      <c r="E356" s="2393"/>
      <c r="F356" s="2393"/>
      <c r="G356" s="2393"/>
      <c r="H356" s="2393"/>
      <c r="I356" s="2393"/>
      <c r="J356" s="2393"/>
      <c r="K356" s="2393"/>
      <c r="L356" s="2393"/>
      <c r="M356" s="2393"/>
      <c r="N356" s="2393"/>
      <c r="O356" s="2393"/>
      <c r="P356" s="2393"/>
      <c r="Q356" s="2393"/>
      <c r="R356" s="2393"/>
      <c r="S356" s="2393"/>
      <c r="T356" s="2393"/>
      <c r="U356" s="2393"/>
      <c r="V356" s="2393"/>
      <c r="W356" s="2393"/>
      <c r="X356" s="2393"/>
      <c r="Y356" s="2393"/>
      <c r="Z356" s="2393"/>
      <c r="AA356" s="2393"/>
      <c r="AB356" s="2393"/>
      <c r="AC356" s="2393"/>
      <c r="AD356" s="2393"/>
      <c r="AE356" s="2393"/>
      <c r="AF356" s="2393"/>
      <c r="AG356" s="2393"/>
      <c r="AH356" s="2393"/>
      <c r="AI356" s="2393"/>
      <c r="AJ356" s="2393"/>
      <c r="AK356" s="443"/>
      <c r="AL356" s="443"/>
      <c r="AM356" s="443"/>
      <c r="AN356" s="437"/>
    </row>
    <row r="357" spans="1:44" s="398" customFormat="1" ht="12.75" customHeight="1">
      <c r="A357" s="443"/>
      <c r="B357" s="450"/>
      <c r="C357" s="2393"/>
      <c r="D357" s="2393"/>
      <c r="E357" s="2393"/>
      <c r="F357" s="2393"/>
      <c r="G357" s="2393"/>
      <c r="H357" s="2393"/>
      <c r="I357" s="2393"/>
      <c r="J357" s="2393"/>
      <c r="K357" s="2393"/>
      <c r="L357" s="2393"/>
      <c r="M357" s="2393"/>
      <c r="N357" s="2393"/>
      <c r="O357" s="2393"/>
      <c r="P357" s="2393"/>
      <c r="Q357" s="2393"/>
      <c r="R357" s="2393"/>
      <c r="S357" s="2393"/>
      <c r="T357" s="2393"/>
      <c r="U357" s="2393"/>
      <c r="V357" s="2393"/>
      <c r="W357" s="2393"/>
      <c r="X357" s="2393"/>
      <c r="Y357" s="2393"/>
      <c r="Z357" s="2393"/>
      <c r="AA357" s="2393"/>
      <c r="AB357" s="2393"/>
      <c r="AC357" s="2393"/>
      <c r="AD357" s="2393"/>
      <c r="AE357" s="2393"/>
      <c r="AF357" s="2393"/>
      <c r="AG357" s="2393"/>
      <c r="AH357" s="2393"/>
      <c r="AI357" s="2393"/>
      <c r="AJ357" s="2393"/>
      <c r="AK357" s="443"/>
      <c r="AL357" s="443"/>
      <c r="AM357" s="443"/>
      <c r="AN357" s="437"/>
    </row>
    <row r="358" spans="1:44" s="398" customFormat="1" ht="12.75" customHeight="1">
      <c r="A358" s="443"/>
      <c r="B358" s="450"/>
      <c r="C358" s="2393"/>
      <c r="D358" s="2393"/>
      <c r="E358" s="2393"/>
      <c r="F358" s="2393"/>
      <c r="G358" s="2393"/>
      <c r="H358" s="2393"/>
      <c r="I358" s="2393"/>
      <c r="J358" s="2393"/>
      <c r="K358" s="2393"/>
      <c r="L358" s="2393"/>
      <c r="M358" s="2393"/>
      <c r="N358" s="2393"/>
      <c r="O358" s="2393"/>
      <c r="P358" s="2393"/>
      <c r="Q358" s="2393"/>
      <c r="R358" s="2393"/>
      <c r="S358" s="2393"/>
      <c r="T358" s="2393"/>
      <c r="U358" s="2393"/>
      <c r="V358" s="2393"/>
      <c r="W358" s="2393"/>
      <c r="X358" s="2393"/>
      <c r="Y358" s="2393"/>
      <c r="Z358" s="2393"/>
      <c r="AA358" s="2393"/>
      <c r="AB358" s="2393"/>
      <c r="AC358" s="2393"/>
      <c r="AD358" s="2393"/>
      <c r="AE358" s="2393"/>
      <c r="AF358" s="2393"/>
      <c r="AG358" s="2393"/>
      <c r="AH358" s="2393"/>
      <c r="AI358" s="2393"/>
      <c r="AJ358" s="2393"/>
      <c r="AK358" s="443"/>
      <c r="AL358" s="443"/>
      <c r="AM358" s="443"/>
      <c r="AN358" s="437"/>
      <c r="AQ358" s="415"/>
    </row>
    <row r="359" spans="1:44" s="398" customFormat="1" ht="12.75" customHeight="1">
      <c r="A359" s="443"/>
      <c r="B359" s="450"/>
      <c r="C359" s="2393"/>
      <c r="D359" s="2393"/>
      <c r="E359" s="2393"/>
      <c r="F359" s="2393"/>
      <c r="G359" s="2393"/>
      <c r="H359" s="2393"/>
      <c r="I359" s="2393"/>
      <c r="J359" s="2393"/>
      <c r="K359" s="2393"/>
      <c r="L359" s="2393"/>
      <c r="M359" s="2393"/>
      <c r="N359" s="2393"/>
      <c r="O359" s="2393"/>
      <c r="P359" s="2393"/>
      <c r="Q359" s="2393"/>
      <c r="R359" s="2393"/>
      <c r="S359" s="2393"/>
      <c r="T359" s="2393"/>
      <c r="U359" s="2393"/>
      <c r="V359" s="2393"/>
      <c r="W359" s="2393"/>
      <c r="X359" s="2393"/>
      <c r="Y359" s="2393"/>
      <c r="Z359" s="2393"/>
      <c r="AA359" s="2393"/>
      <c r="AB359" s="2393"/>
      <c r="AC359" s="2393"/>
      <c r="AD359" s="2393"/>
      <c r="AE359" s="2393"/>
      <c r="AF359" s="2393"/>
      <c r="AG359" s="2393"/>
      <c r="AH359" s="2393"/>
      <c r="AI359" s="2393"/>
      <c r="AJ359" s="2393"/>
      <c r="AK359" s="443"/>
      <c r="AL359" s="443"/>
      <c r="AM359" s="443"/>
      <c r="AN359" s="437"/>
      <c r="AQ359" s="415"/>
    </row>
    <row r="360" spans="1:44" s="398" customFormat="1" ht="12.75" customHeight="1">
      <c r="A360" s="443"/>
      <c r="B360" s="450"/>
      <c r="C360" s="2393"/>
      <c r="D360" s="2393"/>
      <c r="E360" s="2393"/>
      <c r="F360" s="2393"/>
      <c r="G360" s="2393"/>
      <c r="H360" s="2393"/>
      <c r="I360" s="2393"/>
      <c r="J360" s="2393"/>
      <c r="K360" s="2393"/>
      <c r="L360" s="2393"/>
      <c r="M360" s="2393"/>
      <c r="N360" s="2393"/>
      <c r="O360" s="2393"/>
      <c r="P360" s="2393"/>
      <c r="Q360" s="2393"/>
      <c r="R360" s="2393"/>
      <c r="S360" s="2393"/>
      <c r="T360" s="2393"/>
      <c r="U360" s="2393"/>
      <c r="V360" s="2393"/>
      <c r="W360" s="2393"/>
      <c r="X360" s="2393"/>
      <c r="Y360" s="2393"/>
      <c r="Z360" s="2393"/>
      <c r="AA360" s="2393"/>
      <c r="AB360" s="2393"/>
      <c r="AC360" s="2393"/>
      <c r="AD360" s="2393"/>
      <c r="AE360" s="2393"/>
      <c r="AF360" s="2393"/>
      <c r="AG360" s="2393"/>
      <c r="AH360" s="2393"/>
      <c r="AI360" s="2393"/>
      <c r="AJ360" s="2393"/>
      <c r="AK360" s="443"/>
      <c r="AL360" s="443"/>
      <c r="AM360" s="443"/>
      <c r="AN360" s="437"/>
      <c r="AQ360" s="415"/>
      <c r="AR360" s="415"/>
    </row>
    <row r="361" spans="1:44" s="398" customFormat="1" ht="45.75" customHeight="1">
      <c r="A361" s="443"/>
      <c r="B361" s="450"/>
      <c r="C361" s="2393" t="s">
        <v>2198</v>
      </c>
      <c r="D361" s="2393"/>
      <c r="E361" s="2393"/>
      <c r="F361" s="2393"/>
      <c r="G361" s="2393"/>
      <c r="H361" s="2393"/>
      <c r="I361" s="2393"/>
      <c r="J361" s="2393"/>
      <c r="K361" s="2393"/>
      <c r="L361" s="2393"/>
      <c r="M361" s="2393"/>
      <c r="N361" s="2393"/>
      <c r="O361" s="2393"/>
      <c r="P361" s="2393"/>
      <c r="Q361" s="2393"/>
      <c r="R361" s="2393"/>
      <c r="S361" s="2393"/>
      <c r="T361" s="2393"/>
      <c r="U361" s="2393"/>
      <c r="V361" s="2393"/>
      <c r="W361" s="2393"/>
      <c r="X361" s="2393"/>
      <c r="Y361" s="2393"/>
      <c r="Z361" s="2393"/>
      <c r="AA361" s="2393"/>
      <c r="AB361" s="2393"/>
      <c r="AC361" s="2393"/>
      <c r="AD361" s="2393"/>
      <c r="AE361" s="2393"/>
      <c r="AF361" s="2393"/>
      <c r="AG361" s="2393"/>
      <c r="AH361" s="2393"/>
      <c r="AI361" s="2393"/>
      <c r="AJ361" s="2393"/>
      <c r="AK361" s="443"/>
      <c r="AL361" s="443"/>
      <c r="AM361" s="443"/>
      <c r="AN361" s="437"/>
      <c r="AQ361" s="415"/>
      <c r="AR361" s="415"/>
    </row>
    <row r="362" spans="1:44" s="398" customFormat="1" ht="12.75" customHeight="1">
      <c r="A362" s="443"/>
      <c r="B362" s="450"/>
      <c r="C362" s="1130"/>
      <c r="D362" s="1130"/>
      <c r="E362" s="1130"/>
      <c r="F362" s="1130"/>
      <c r="G362" s="1130"/>
      <c r="H362" s="1130"/>
      <c r="I362" s="1130"/>
      <c r="J362" s="1130"/>
      <c r="K362" s="1130"/>
      <c r="L362" s="1130"/>
      <c r="M362" s="1130"/>
      <c r="N362" s="1130"/>
      <c r="O362" s="1130"/>
      <c r="P362" s="1130"/>
      <c r="Q362" s="1130"/>
      <c r="R362" s="1130"/>
      <c r="S362" s="1130"/>
      <c r="T362" s="1130"/>
      <c r="U362" s="1130"/>
      <c r="V362" s="1130"/>
      <c r="W362" s="1130"/>
      <c r="X362" s="1130"/>
      <c r="Y362" s="1130"/>
      <c r="Z362" s="1130"/>
      <c r="AA362" s="1130"/>
      <c r="AB362" s="1130"/>
      <c r="AC362" s="1130"/>
      <c r="AD362" s="1130"/>
      <c r="AE362" s="1130"/>
      <c r="AF362" s="1130"/>
      <c r="AG362" s="1130"/>
      <c r="AH362" s="1130"/>
      <c r="AI362" s="1130"/>
      <c r="AJ362" s="1130"/>
      <c r="AK362" s="443"/>
      <c r="AL362" s="443"/>
      <c r="AM362" s="443"/>
      <c r="AN362" s="437"/>
      <c r="AQ362" s="415"/>
      <c r="AR362" s="415"/>
    </row>
    <row r="363" spans="1:44" s="398" customFormat="1" ht="12.75" customHeight="1">
      <c r="A363" s="443"/>
      <c r="B363" s="450"/>
      <c r="C363" s="2393" t="s">
        <v>2199</v>
      </c>
      <c r="D363" s="2393"/>
      <c r="E363" s="2393"/>
      <c r="F363" s="2393"/>
      <c r="G363" s="2393"/>
      <c r="H363" s="2393"/>
      <c r="I363" s="2393"/>
      <c r="J363" s="2393"/>
      <c r="K363" s="2393"/>
      <c r="L363" s="2393"/>
      <c r="M363" s="2393"/>
      <c r="N363" s="2393"/>
      <c r="O363" s="2393"/>
      <c r="P363" s="2393"/>
      <c r="Q363" s="2393"/>
      <c r="R363" s="2393"/>
      <c r="S363" s="2393"/>
      <c r="T363" s="2393"/>
      <c r="U363" s="2393"/>
      <c r="V363" s="2393"/>
      <c r="W363" s="2393"/>
      <c r="X363" s="2393"/>
      <c r="Y363" s="2393"/>
      <c r="Z363" s="2393"/>
      <c r="AA363" s="2393"/>
      <c r="AB363" s="2393"/>
      <c r="AC363" s="2393"/>
      <c r="AD363" s="2393"/>
      <c r="AE363" s="2393"/>
      <c r="AF363" s="2393"/>
      <c r="AG363" s="2393"/>
      <c r="AH363" s="2393"/>
      <c r="AI363" s="2393"/>
      <c r="AJ363" s="2393"/>
      <c r="AK363" s="443"/>
      <c r="AL363" s="443"/>
      <c r="AM363" s="443"/>
      <c r="AN363" s="437"/>
      <c r="AQ363" s="415"/>
      <c r="AR363" s="415"/>
    </row>
    <row r="364" spans="1:44" s="398" customFormat="1" ht="30" customHeight="1">
      <c r="A364" s="443"/>
      <c r="B364" s="450"/>
      <c r="C364" s="2393"/>
      <c r="D364" s="2393"/>
      <c r="E364" s="2393"/>
      <c r="F364" s="2393"/>
      <c r="G364" s="2393"/>
      <c r="H364" s="2393"/>
      <c r="I364" s="2393"/>
      <c r="J364" s="2393"/>
      <c r="K364" s="2393"/>
      <c r="L364" s="2393"/>
      <c r="M364" s="2393"/>
      <c r="N364" s="2393"/>
      <c r="O364" s="2393"/>
      <c r="P364" s="2393"/>
      <c r="Q364" s="2393"/>
      <c r="R364" s="2393"/>
      <c r="S364" s="2393"/>
      <c r="T364" s="2393"/>
      <c r="U364" s="2393"/>
      <c r="V364" s="2393"/>
      <c r="W364" s="2393"/>
      <c r="X364" s="2393"/>
      <c r="Y364" s="2393"/>
      <c r="Z364" s="2393"/>
      <c r="AA364" s="2393"/>
      <c r="AB364" s="2393"/>
      <c r="AC364" s="2393"/>
      <c r="AD364" s="2393"/>
      <c r="AE364" s="2393"/>
      <c r="AF364" s="2393"/>
      <c r="AG364" s="2393"/>
      <c r="AH364" s="2393"/>
      <c r="AI364" s="2393"/>
      <c r="AJ364" s="2393"/>
      <c r="AK364" s="443"/>
      <c r="AL364" s="443"/>
      <c r="AM364" s="443"/>
      <c r="AN364" s="437"/>
      <c r="AR364" s="415"/>
    </row>
    <row r="365" spans="1:44" s="398" customFormat="1" ht="12.75" customHeight="1">
      <c r="A365" s="443"/>
      <c r="B365" s="450"/>
      <c r="C365" s="2393"/>
      <c r="D365" s="2393"/>
      <c r="E365" s="2393"/>
      <c r="F365" s="2393"/>
      <c r="G365" s="2393"/>
      <c r="H365" s="2393"/>
      <c r="I365" s="2393"/>
      <c r="J365" s="2393"/>
      <c r="K365" s="2393"/>
      <c r="L365" s="2393"/>
      <c r="M365" s="2393"/>
      <c r="N365" s="2393"/>
      <c r="O365" s="2393"/>
      <c r="P365" s="2393"/>
      <c r="Q365" s="2393"/>
      <c r="R365" s="2393"/>
      <c r="S365" s="2393"/>
      <c r="T365" s="2393"/>
      <c r="U365" s="2393"/>
      <c r="V365" s="2393"/>
      <c r="W365" s="2393"/>
      <c r="X365" s="2393"/>
      <c r="Y365" s="2393"/>
      <c r="Z365" s="2393"/>
      <c r="AA365" s="2393"/>
      <c r="AB365" s="2393"/>
      <c r="AC365" s="2393"/>
      <c r="AD365" s="2393"/>
      <c r="AE365" s="2393"/>
      <c r="AF365" s="2393"/>
      <c r="AG365" s="2393"/>
      <c r="AH365" s="2393"/>
      <c r="AI365" s="2393"/>
      <c r="AJ365" s="2393"/>
      <c r="AK365" s="443"/>
      <c r="AL365" s="443"/>
      <c r="AM365" s="443"/>
      <c r="AN365" s="437"/>
      <c r="AR365" s="415"/>
    </row>
    <row r="366" spans="1:44" s="398" customFormat="1" ht="12.75" customHeight="1">
      <c r="A366" s="443"/>
      <c r="B366" s="450"/>
      <c r="C366" s="2393" t="s">
        <v>2200</v>
      </c>
      <c r="D366" s="2393"/>
      <c r="E366" s="2393"/>
      <c r="F366" s="2393"/>
      <c r="G366" s="2393"/>
      <c r="H366" s="2393"/>
      <c r="I366" s="2393"/>
      <c r="J366" s="2393"/>
      <c r="K366" s="2393"/>
      <c r="L366" s="2393"/>
      <c r="M366" s="2393"/>
      <c r="N366" s="2393"/>
      <c r="O366" s="2393"/>
      <c r="P366" s="2393"/>
      <c r="Q366" s="2393"/>
      <c r="R366" s="2393"/>
      <c r="S366" s="2393"/>
      <c r="T366" s="2393"/>
      <c r="U366" s="2393"/>
      <c r="V366" s="2393"/>
      <c r="W366" s="2393"/>
      <c r="X366" s="2393"/>
      <c r="Y366" s="2393"/>
      <c r="Z366" s="2393"/>
      <c r="AA366" s="2393"/>
      <c r="AB366" s="2393"/>
      <c r="AC366" s="2393"/>
      <c r="AD366" s="2393"/>
      <c r="AE366" s="2393"/>
      <c r="AF366" s="2393"/>
      <c r="AG366" s="2393"/>
      <c r="AH366" s="2393"/>
      <c r="AI366" s="2393"/>
      <c r="AJ366" s="2393"/>
      <c r="AK366" s="443"/>
      <c r="AL366" s="443"/>
      <c r="AM366" s="443"/>
      <c r="AN366" s="437"/>
      <c r="AQ366" s="415"/>
      <c r="AR366" s="415"/>
    </row>
    <row r="367" spans="1:44" s="398" customFormat="1" ht="12.75" customHeight="1">
      <c r="A367" s="443"/>
      <c r="B367" s="450"/>
      <c r="C367" s="2393"/>
      <c r="D367" s="2393"/>
      <c r="E367" s="2393"/>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c r="AI367" s="2393"/>
      <c r="AJ367" s="2393"/>
      <c r="AK367" s="443"/>
      <c r="AL367" s="443"/>
      <c r="AM367" s="443"/>
      <c r="AN367" s="437"/>
      <c r="AQ367" s="415"/>
      <c r="AR367" s="415"/>
    </row>
    <row r="368" spans="1:44" s="398" customFormat="1" ht="13.5" customHeight="1">
      <c r="A368" s="443"/>
      <c r="B368" s="450"/>
      <c r="C368" s="2393"/>
      <c r="D368" s="2393"/>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c r="AI368" s="2393"/>
      <c r="AJ368" s="2393"/>
      <c r="AK368" s="443"/>
      <c r="AL368" s="443"/>
      <c r="AM368" s="443"/>
      <c r="AN368" s="437"/>
      <c r="AQ368" s="415"/>
      <c r="AR368" s="415"/>
    </row>
    <row r="369" spans="1:46" s="398" customFormat="1" ht="12.75" customHeight="1">
      <c r="A369" s="443"/>
      <c r="B369" s="450"/>
      <c r="C369" s="2393"/>
      <c r="D369" s="2393"/>
      <c r="E369" s="2393"/>
      <c r="F369" s="2393"/>
      <c r="G369" s="2393"/>
      <c r="H369" s="2393"/>
      <c r="I369" s="2393"/>
      <c r="J369" s="2393"/>
      <c r="K369" s="2393"/>
      <c r="L369" s="2393"/>
      <c r="M369" s="2393"/>
      <c r="N369" s="2393"/>
      <c r="O369" s="2393"/>
      <c r="P369" s="2393"/>
      <c r="Q369" s="2393"/>
      <c r="R369" s="2393"/>
      <c r="S369" s="2393"/>
      <c r="T369" s="2393"/>
      <c r="U369" s="2393"/>
      <c r="V369" s="2393"/>
      <c r="W369" s="2393"/>
      <c r="X369" s="2393"/>
      <c r="Y369" s="2393"/>
      <c r="Z369" s="2393"/>
      <c r="AA369" s="2393"/>
      <c r="AB369" s="2393"/>
      <c r="AC369" s="2393"/>
      <c r="AD369" s="2393"/>
      <c r="AE369" s="2393"/>
      <c r="AF369" s="2393"/>
      <c r="AG369" s="2393"/>
      <c r="AH369" s="2393"/>
      <c r="AI369" s="2393"/>
      <c r="AJ369" s="2393"/>
      <c r="AK369" s="443"/>
      <c r="AL369" s="443"/>
      <c r="AM369" s="443"/>
      <c r="AN369" s="437"/>
      <c r="AO369" s="524"/>
      <c r="AP369" s="524"/>
      <c r="AQ369" s="415"/>
    </row>
    <row r="370" spans="1:46" s="398" customFormat="1" ht="12" customHeight="1">
      <c r="A370" s="443"/>
      <c r="B370" s="450"/>
      <c r="C370" s="2393"/>
      <c r="D370" s="2393"/>
      <c r="E370" s="2393"/>
      <c r="F370" s="2393"/>
      <c r="G370" s="2393"/>
      <c r="H370" s="2393"/>
      <c r="I370" s="2393"/>
      <c r="J370" s="2393"/>
      <c r="K370" s="2393"/>
      <c r="L370" s="2393"/>
      <c r="M370" s="2393"/>
      <c r="N370" s="2393"/>
      <c r="O370" s="2393"/>
      <c r="P370" s="2393"/>
      <c r="Q370" s="2393"/>
      <c r="R370" s="2393"/>
      <c r="S370" s="2393"/>
      <c r="T370" s="2393"/>
      <c r="U370" s="2393"/>
      <c r="V370" s="2393"/>
      <c r="W370" s="2393"/>
      <c r="X370" s="2393"/>
      <c r="Y370" s="2393"/>
      <c r="Z370" s="2393"/>
      <c r="AA370" s="2393"/>
      <c r="AB370" s="2393"/>
      <c r="AC370" s="2393"/>
      <c r="AD370" s="2393"/>
      <c r="AE370" s="2393"/>
      <c r="AF370" s="2393"/>
      <c r="AG370" s="2393"/>
      <c r="AH370" s="2393"/>
      <c r="AI370" s="2393"/>
      <c r="AJ370" s="2393"/>
      <c r="AK370" s="443"/>
      <c r="AL370" s="443"/>
      <c r="AM370" s="443"/>
      <c r="AN370" s="437"/>
      <c r="AO370" s="525" t="s">
        <v>18</v>
      </c>
      <c r="AP370" s="526">
        <f>IF(C394="Yes",5,0)</f>
        <v>5</v>
      </c>
      <c r="AS370" s="389" t="s">
        <v>2201</v>
      </c>
    </row>
    <row r="371" spans="1:46" s="398" customFormat="1" ht="12.75" customHeight="1">
      <c r="A371" s="443"/>
      <c r="B371" s="450"/>
      <c r="C371" s="2393"/>
      <c r="D371" s="2393"/>
      <c r="E371" s="2393"/>
      <c r="F371" s="2393"/>
      <c r="G371" s="2393"/>
      <c r="H371" s="2393"/>
      <c r="I371" s="2393"/>
      <c r="J371" s="2393"/>
      <c r="K371" s="2393"/>
      <c r="L371" s="2393"/>
      <c r="M371" s="2393"/>
      <c r="N371" s="2393"/>
      <c r="O371" s="2393"/>
      <c r="P371" s="2393"/>
      <c r="Q371" s="2393"/>
      <c r="R371" s="2393"/>
      <c r="S371" s="2393"/>
      <c r="T371" s="2393"/>
      <c r="U371" s="2393"/>
      <c r="V371" s="2393"/>
      <c r="W371" s="2393"/>
      <c r="X371" s="2393"/>
      <c r="Y371" s="2393"/>
      <c r="Z371" s="2393"/>
      <c r="AA371" s="2393"/>
      <c r="AB371" s="2393"/>
      <c r="AC371" s="2393"/>
      <c r="AD371" s="2393"/>
      <c r="AE371" s="2393"/>
      <c r="AF371" s="2393"/>
      <c r="AG371" s="2393"/>
      <c r="AH371" s="2393"/>
      <c r="AI371" s="2393"/>
      <c r="AJ371" s="2393"/>
      <c r="AK371" s="443"/>
      <c r="AL371" s="443"/>
      <c r="AM371" s="443"/>
      <c r="AN371" s="437"/>
      <c r="AO371" s="525" t="s">
        <v>31</v>
      </c>
      <c r="AP371" s="526">
        <f>IF(C402="Yes",5,0)</f>
        <v>0</v>
      </c>
      <c r="AS371" s="2461">
        <f>IF(Application!D211="Non-Targeted",(SUM(AQ379+AQ388)),AS375)</f>
        <v>10</v>
      </c>
      <c r="AT371" s="2461"/>
    </row>
    <row r="372" spans="1:46" s="398" customFormat="1" ht="12.75" customHeight="1">
      <c r="A372" s="443"/>
      <c r="B372" s="450"/>
      <c r="C372" s="2393"/>
      <c r="D372" s="2393"/>
      <c r="E372" s="2393"/>
      <c r="F372" s="2393"/>
      <c r="G372" s="2393"/>
      <c r="H372" s="2393"/>
      <c r="I372" s="2393"/>
      <c r="J372" s="2393"/>
      <c r="K372" s="2393"/>
      <c r="L372" s="2393"/>
      <c r="M372" s="2393"/>
      <c r="N372" s="2393"/>
      <c r="O372" s="2393"/>
      <c r="P372" s="2393"/>
      <c r="Q372" s="2393"/>
      <c r="R372" s="2393"/>
      <c r="S372" s="2393"/>
      <c r="T372" s="2393"/>
      <c r="U372" s="2393"/>
      <c r="V372" s="2393"/>
      <c r="W372" s="2393"/>
      <c r="X372" s="2393"/>
      <c r="Y372" s="2393"/>
      <c r="Z372" s="2393"/>
      <c r="AA372" s="2393"/>
      <c r="AB372" s="2393"/>
      <c r="AC372" s="2393"/>
      <c r="AD372" s="2393"/>
      <c r="AE372" s="2393"/>
      <c r="AF372" s="2393"/>
      <c r="AG372" s="2393"/>
      <c r="AH372" s="2393"/>
      <c r="AI372" s="2393"/>
      <c r="AJ372" s="2393"/>
      <c r="AK372" s="443"/>
      <c r="AL372" s="443"/>
      <c r="AM372" s="443"/>
      <c r="AN372" s="437"/>
      <c r="AO372" s="525" t="s">
        <v>39</v>
      </c>
      <c r="AP372" s="526">
        <f>IF(C410="Yes",7,0)</f>
        <v>0</v>
      </c>
      <c r="AS372" s="389" t="s">
        <v>2202</v>
      </c>
    </row>
    <row r="373" spans="1:46" s="398" customFormat="1" ht="12.75" customHeight="1">
      <c r="B373" s="450"/>
      <c r="C373" s="2393"/>
      <c r="D373" s="2393"/>
      <c r="E373" s="2393"/>
      <c r="F373" s="2393"/>
      <c r="G373" s="2393"/>
      <c r="H373" s="2393"/>
      <c r="I373" s="2393"/>
      <c r="J373" s="2393"/>
      <c r="K373" s="2393"/>
      <c r="L373" s="2393"/>
      <c r="M373" s="2393"/>
      <c r="N373" s="2393"/>
      <c r="O373" s="2393"/>
      <c r="P373" s="2393"/>
      <c r="Q373" s="2393"/>
      <c r="R373" s="2393"/>
      <c r="S373" s="2393"/>
      <c r="T373" s="2393"/>
      <c r="U373" s="2393"/>
      <c r="V373" s="2393"/>
      <c r="W373" s="2393"/>
      <c r="X373" s="2393"/>
      <c r="Y373" s="2393"/>
      <c r="Z373" s="2393"/>
      <c r="AA373" s="2393"/>
      <c r="AB373" s="2393"/>
      <c r="AC373" s="2393"/>
      <c r="AD373" s="2393"/>
      <c r="AE373" s="2393"/>
      <c r="AF373" s="2393"/>
      <c r="AG373" s="2393"/>
      <c r="AH373" s="2393"/>
      <c r="AI373" s="2393"/>
      <c r="AJ373" s="2393"/>
      <c r="AK373" s="443"/>
      <c r="AL373" s="443"/>
      <c r="AM373" s="443"/>
      <c r="AN373" s="437"/>
      <c r="AO373" s="437"/>
      <c r="AP373" s="526">
        <f>IF(C412="Yes",5,0)</f>
        <v>5</v>
      </c>
      <c r="AS373" s="2461">
        <f>IF(AND(AQ379&gt;0,AQ388&gt;0),(AQ379+AQ388)/2,0)</f>
        <v>0</v>
      </c>
      <c r="AT373" s="2461"/>
    </row>
    <row r="374" spans="1:46" s="398" customFormat="1" ht="12.75" customHeight="1">
      <c r="A374" s="443"/>
      <c r="B374" s="450"/>
      <c r="C374" s="2393"/>
      <c r="D374" s="2393"/>
      <c r="E374" s="2393"/>
      <c r="F374" s="2393"/>
      <c r="G374" s="2393"/>
      <c r="H374" s="2393"/>
      <c r="I374" s="2393"/>
      <c r="J374" s="2393"/>
      <c r="K374" s="2393"/>
      <c r="L374" s="2393"/>
      <c r="M374" s="2393"/>
      <c r="N374" s="2393"/>
      <c r="O374" s="2393"/>
      <c r="P374" s="2393"/>
      <c r="Q374" s="2393"/>
      <c r="R374" s="2393"/>
      <c r="S374" s="2393"/>
      <c r="T374" s="2393"/>
      <c r="U374" s="2393"/>
      <c r="V374" s="2393"/>
      <c r="W374" s="2393"/>
      <c r="X374" s="2393"/>
      <c r="Y374" s="2393"/>
      <c r="Z374" s="2393"/>
      <c r="AA374" s="2393"/>
      <c r="AB374" s="2393"/>
      <c r="AC374" s="2393"/>
      <c r="AD374" s="2393"/>
      <c r="AE374" s="2393"/>
      <c r="AF374" s="2393"/>
      <c r="AG374" s="2393"/>
      <c r="AH374" s="2393"/>
      <c r="AI374" s="2393"/>
      <c r="AJ374" s="2393"/>
      <c r="AK374" s="443"/>
      <c r="AL374" s="443"/>
      <c r="AM374" s="443"/>
      <c r="AN374" s="437"/>
      <c r="AO374" s="525" t="s">
        <v>82</v>
      </c>
      <c r="AP374" s="526">
        <f>IF(C420="Yes",5,0)</f>
        <v>0</v>
      </c>
      <c r="AS374" s="389" t="s">
        <v>2203</v>
      </c>
    </row>
    <row r="375" spans="1:46" s="398" customFormat="1" ht="12.75" customHeight="1">
      <c r="A375" s="443"/>
      <c r="B375" s="450"/>
      <c r="C375" s="2462" t="s">
        <v>2204</v>
      </c>
      <c r="D375" s="2462"/>
      <c r="E375" s="2462"/>
      <c r="F375" s="2462"/>
      <c r="G375" s="2462"/>
      <c r="H375" s="2462"/>
      <c r="I375" s="2462"/>
      <c r="J375" s="2462"/>
      <c r="K375" s="2462"/>
      <c r="L375" s="2462"/>
      <c r="M375" s="2462"/>
      <c r="N375" s="2462"/>
      <c r="O375" s="2462"/>
      <c r="P375" s="2462"/>
      <c r="Q375" s="2462"/>
      <c r="R375" s="2462"/>
      <c r="S375" s="2462"/>
      <c r="T375" s="2462"/>
      <c r="U375" s="2462"/>
      <c r="V375" s="2462"/>
      <c r="W375" s="2462"/>
      <c r="X375" s="2462"/>
      <c r="Y375" s="2462"/>
      <c r="Z375" s="2462"/>
      <c r="AA375" s="2462"/>
      <c r="AB375" s="2462"/>
      <c r="AC375" s="2462"/>
      <c r="AD375" s="2462"/>
      <c r="AE375" s="2462"/>
      <c r="AF375" s="2462"/>
      <c r="AG375" s="2462"/>
      <c r="AH375" s="2462"/>
      <c r="AI375" s="2462"/>
      <c r="AJ375" s="2462"/>
      <c r="AK375" s="443"/>
      <c r="AL375" s="443"/>
      <c r="AM375" s="443"/>
      <c r="AN375" s="437"/>
      <c r="AO375" s="437"/>
      <c r="AP375" s="526">
        <f>IF(C422="Yes",3,0)</f>
        <v>0</v>
      </c>
      <c r="AS375" s="2461">
        <f>IF(AQ379=0,AQ388,AQ379)</f>
        <v>10</v>
      </c>
      <c r="AT375" s="2461"/>
    </row>
    <row r="376" spans="1:46" s="398" customFormat="1" ht="12.75" customHeight="1">
      <c r="A376" s="443"/>
      <c r="B376" s="450"/>
      <c r="C376" s="2462"/>
      <c r="D376" s="2462"/>
      <c r="E376" s="2462"/>
      <c r="F376" s="2462"/>
      <c r="G376" s="2462"/>
      <c r="H376" s="2462"/>
      <c r="I376" s="2462"/>
      <c r="J376" s="2462"/>
      <c r="K376" s="2462"/>
      <c r="L376" s="2462"/>
      <c r="M376" s="2462"/>
      <c r="N376" s="2462"/>
      <c r="O376" s="2462"/>
      <c r="P376" s="2462"/>
      <c r="Q376" s="2462"/>
      <c r="R376" s="2462"/>
      <c r="S376" s="2462"/>
      <c r="T376" s="2462"/>
      <c r="U376" s="2462"/>
      <c r="V376" s="2462"/>
      <c r="W376" s="2462"/>
      <c r="X376" s="2462"/>
      <c r="Y376" s="2462"/>
      <c r="Z376" s="2462"/>
      <c r="AA376" s="2462"/>
      <c r="AB376" s="2462"/>
      <c r="AC376" s="2462"/>
      <c r="AD376" s="2462"/>
      <c r="AE376" s="2462"/>
      <c r="AF376" s="2462"/>
      <c r="AG376" s="2462"/>
      <c r="AH376" s="2462"/>
      <c r="AI376" s="2462"/>
      <c r="AJ376" s="2462"/>
      <c r="AK376" s="443"/>
      <c r="AL376" s="443"/>
      <c r="AM376" s="443"/>
      <c r="AN376" s="437"/>
      <c r="AO376" s="525" t="s">
        <v>86</v>
      </c>
      <c r="AP376" s="526">
        <f>IF(C425="Yes",5,0)</f>
        <v>0</v>
      </c>
    </row>
    <row r="377" spans="1:46" s="398" customFormat="1" ht="12.75" customHeight="1">
      <c r="A377" s="443"/>
      <c r="B377" s="450"/>
      <c r="C377" s="2462"/>
      <c r="D377" s="2462"/>
      <c r="E377" s="2462"/>
      <c r="F377" s="2462"/>
      <c r="G377" s="2462"/>
      <c r="H377" s="2462"/>
      <c r="I377" s="2462"/>
      <c r="J377" s="2462"/>
      <c r="K377" s="2462"/>
      <c r="L377" s="2462"/>
      <c r="M377" s="2462"/>
      <c r="N377" s="2462"/>
      <c r="O377" s="2462"/>
      <c r="P377" s="2462"/>
      <c r="Q377" s="2462"/>
      <c r="R377" s="2462"/>
      <c r="S377" s="2462"/>
      <c r="T377" s="2462"/>
      <c r="U377" s="2462"/>
      <c r="V377" s="2462"/>
      <c r="W377" s="2462"/>
      <c r="X377" s="2462"/>
      <c r="Y377" s="2462"/>
      <c r="Z377" s="2462"/>
      <c r="AA377" s="2462"/>
      <c r="AB377" s="2462"/>
      <c r="AC377" s="2462"/>
      <c r="AD377" s="2462"/>
      <c r="AE377" s="2462"/>
      <c r="AF377" s="2462"/>
      <c r="AG377" s="2462"/>
      <c r="AH377" s="2462"/>
      <c r="AI377" s="2462"/>
      <c r="AJ377" s="2462"/>
      <c r="AK377" s="443"/>
      <c r="AL377" s="443"/>
      <c r="AM377" s="443"/>
      <c r="AN377" s="437"/>
      <c r="AO377" s="525" t="s">
        <v>1315</v>
      </c>
      <c r="AP377" s="526">
        <f>IF(C434="Yes",5,0)</f>
        <v>0</v>
      </c>
    </row>
    <row r="378" spans="1:46" s="398" customFormat="1" ht="12" customHeight="1">
      <c r="A378" s="443"/>
      <c r="B378" s="450"/>
      <c r="C378" s="2462"/>
      <c r="D378" s="2462"/>
      <c r="E378" s="2462"/>
      <c r="F378" s="2462"/>
      <c r="G378" s="2462"/>
      <c r="H378" s="2462"/>
      <c r="I378" s="2462"/>
      <c r="J378" s="2462"/>
      <c r="K378" s="2462"/>
      <c r="L378" s="2462"/>
      <c r="M378" s="2462"/>
      <c r="N378" s="2462"/>
      <c r="O378" s="2462"/>
      <c r="P378" s="2462"/>
      <c r="Q378" s="2462"/>
      <c r="R378" s="2462"/>
      <c r="S378" s="2462"/>
      <c r="T378" s="2462"/>
      <c r="U378" s="2462"/>
      <c r="V378" s="2462"/>
      <c r="W378" s="2462"/>
      <c r="X378" s="2462"/>
      <c r="Y378" s="2462"/>
      <c r="Z378" s="2462"/>
      <c r="AA378" s="2462"/>
      <c r="AB378" s="2462"/>
      <c r="AC378" s="2462"/>
      <c r="AD378" s="2462"/>
      <c r="AE378" s="2462"/>
      <c r="AF378" s="2462"/>
      <c r="AG378" s="2462"/>
      <c r="AH378" s="2462"/>
      <c r="AI378" s="2462"/>
      <c r="AJ378" s="2462"/>
      <c r="AK378" s="443"/>
      <c r="AL378" s="443"/>
      <c r="AM378" s="443"/>
      <c r="AN378" s="437"/>
      <c r="AO378" s="527"/>
      <c r="AP378" s="528">
        <f>IF(C436="Yes",3,0)</f>
        <v>0</v>
      </c>
    </row>
    <row r="379" spans="1:46" s="398" customFormat="1" ht="12.75" customHeight="1">
      <c r="A379" s="443"/>
      <c r="B379" s="450"/>
      <c r="C379" s="2462"/>
      <c r="D379" s="2462"/>
      <c r="E379" s="2462"/>
      <c r="F379" s="2462"/>
      <c r="G379" s="2462"/>
      <c r="H379" s="2462"/>
      <c r="I379" s="2462"/>
      <c r="J379" s="2462"/>
      <c r="K379" s="2462"/>
      <c r="L379" s="2462"/>
      <c r="M379" s="2462"/>
      <c r="N379" s="2462"/>
      <c r="O379" s="2462"/>
      <c r="P379" s="2462"/>
      <c r="Q379" s="2462"/>
      <c r="R379" s="2462"/>
      <c r="S379" s="2462"/>
      <c r="T379" s="2462"/>
      <c r="U379" s="2462"/>
      <c r="V379" s="2462"/>
      <c r="W379" s="2462"/>
      <c r="X379" s="2462"/>
      <c r="Y379" s="2462"/>
      <c r="Z379" s="2462"/>
      <c r="AA379" s="2462"/>
      <c r="AB379" s="2462"/>
      <c r="AC379" s="2462"/>
      <c r="AD379" s="2462"/>
      <c r="AE379" s="2462"/>
      <c r="AF379" s="2462"/>
      <c r="AG379" s="2462"/>
      <c r="AH379" s="2462"/>
      <c r="AI379" s="2462"/>
      <c r="AJ379" s="2462"/>
      <c r="AK379" s="443"/>
      <c r="AL379" s="443"/>
      <c r="AM379" s="443"/>
      <c r="AN379" s="437"/>
      <c r="AO379" s="529" t="s">
        <v>2205</v>
      </c>
      <c r="AP379" s="530">
        <f>SUM(AP370:AP378)</f>
        <v>10</v>
      </c>
      <c r="AQ379" s="2396">
        <f>IF(AP379&gt;0,AP379,0)</f>
        <v>10</v>
      </c>
      <c r="AR379" s="2396"/>
    </row>
    <row r="380" spans="1:46" s="398" customFormat="1" ht="12.75" customHeight="1">
      <c r="A380" s="443"/>
      <c r="B380" s="450"/>
      <c r="C380" s="2462"/>
      <c r="D380" s="2462"/>
      <c r="E380" s="2462"/>
      <c r="F380" s="2462"/>
      <c r="G380" s="2462"/>
      <c r="H380" s="2462"/>
      <c r="I380" s="2462"/>
      <c r="J380" s="2462"/>
      <c r="K380" s="2462"/>
      <c r="L380" s="2462"/>
      <c r="M380" s="2462"/>
      <c r="N380" s="2462"/>
      <c r="O380" s="2462"/>
      <c r="P380" s="2462"/>
      <c r="Q380" s="2462"/>
      <c r="R380" s="2462"/>
      <c r="S380" s="2462"/>
      <c r="T380" s="2462"/>
      <c r="U380" s="2462"/>
      <c r="V380" s="2462"/>
      <c r="W380" s="2462"/>
      <c r="X380" s="2462"/>
      <c r="Y380" s="2462"/>
      <c r="Z380" s="2462"/>
      <c r="AA380" s="2462"/>
      <c r="AB380" s="2462"/>
      <c r="AC380" s="2462"/>
      <c r="AD380" s="2462"/>
      <c r="AE380" s="2462"/>
      <c r="AF380" s="2462"/>
      <c r="AG380" s="2462"/>
      <c r="AH380" s="2462"/>
      <c r="AI380" s="2462"/>
      <c r="AJ380" s="2462"/>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1316</v>
      </c>
      <c r="AP381" s="526">
        <f>IF(C443="Yes",5,0)</f>
        <v>0</v>
      </c>
    </row>
    <row r="382" spans="1:46" s="398" customFormat="1" ht="12.75" customHeight="1">
      <c r="A382" s="443"/>
      <c r="B382" s="450"/>
      <c r="C382" s="2393" t="s">
        <v>2206</v>
      </c>
      <c r="D382" s="2393"/>
      <c r="E382" s="2393"/>
      <c r="F382" s="2393"/>
      <c r="G382" s="2393"/>
      <c r="H382" s="2393"/>
      <c r="I382" s="2393"/>
      <c r="J382" s="2393"/>
      <c r="K382" s="2393"/>
      <c r="L382" s="2393"/>
      <c r="M382" s="2393"/>
      <c r="N382" s="2393"/>
      <c r="O382" s="2393"/>
      <c r="P382" s="2393"/>
      <c r="Q382" s="2393"/>
      <c r="R382" s="2393"/>
      <c r="S382" s="2393"/>
      <c r="T382" s="2393"/>
      <c r="U382" s="2393"/>
      <c r="V382" s="2393"/>
      <c r="W382" s="2393"/>
      <c r="X382" s="2393"/>
      <c r="Y382" s="2393"/>
      <c r="Z382" s="2393"/>
      <c r="AA382" s="2393"/>
      <c r="AB382" s="2393"/>
      <c r="AC382" s="2393"/>
      <c r="AD382" s="2393"/>
      <c r="AE382" s="2393"/>
      <c r="AF382" s="2393"/>
      <c r="AG382" s="2393"/>
      <c r="AH382" s="2393"/>
      <c r="AI382" s="2393"/>
      <c r="AJ382" s="2393"/>
      <c r="AK382" s="443"/>
      <c r="AL382" s="443"/>
      <c r="AM382" s="443"/>
      <c r="AN382" s="437"/>
      <c r="AO382" s="525" t="s">
        <v>1317</v>
      </c>
      <c r="AP382" s="526">
        <f>IF(C455="Yes",5,0)</f>
        <v>0</v>
      </c>
    </row>
    <row r="383" spans="1:46" s="398" customFormat="1" ht="12.75" customHeight="1">
      <c r="A383" s="443"/>
      <c r="B383" s="450"/>
      <c r="C383" s="2393"/>
      <c r="D383" s="2393"/>
      <c r="E383" s="2393"/>
      <c r="F383" s="2393"/>
      <c r="G383" s="2393"/>
      <c r="H383" s="2393"/>
      <c r="I383" s="2393"/>
      <c r="J383" s="2393"/>
      <c r="K383" s="2393"/>
      <c r="L383" s="2393"/>
      <c r="M383" s="2393"/>
      <c r="N383" s="2393"/>
      <c r="O383" s="2393"/>
      <c r="P383" s="2393"/>
      <c r="Q383" s="2393"/>
      <c r="R383" s="2393"/>
      <c r="S383" s="2393"/>
      <c r="T383" s="2393"/>
      <c r="U383" s="2393"/>
      <c r="V383" s="2393"/>
      <c r="W383" s="2393"/>
      <c r="X383" s="2393"/>
      <c r="Y383" s="2393"/>
      <c r="Z383" s="2393"/>
      <c r="AA383" s="2393"/>
      <c r="AB383" s="2393"/>
      <c r="AC383" s="2393"/>
      <c r="AD383" s="2393"/>
      <c r="AE383" s="2393"/>
      <c r="AF383" s="2393"/>
      <c r="AG383" s="2393"/>
      <c r="AH383" s="2393"/>
      <c r="AI383" s="2393"/>
      <c r="AJ383" s="2393"/>
      <c r="AK383" s="443"/>
      <c r="AL383" s="443"/>
      <c r="AM383" s="443"/>
      <c r="AN383" s="437"/>
      <c r="AO383" s="525" t="s">
        <v>1318</v>
      </c>
      <c r="AP383" s="526">
        <f>IF(C462="Yes",5,0)</f>
        <v>0</v>
      </c>
    </row>
    <row r="384" spans="1:46" s="398" customFormat="1" ht="68.25" customHeight="1">
      <c r="A384" s="443"/>
      <c r="B384" s="450"/>
      <c r="C384" s="2393"/>
      <c r="D384" s="2393"/>
      <c r="E384" s="2393"/>
      <c r="F384" s="2393"/>
      <c r="G384" s="2393"/>
      <c r="H384" s="2393"/>
      <c r="I384" s="2393"/>
      <c r="J384" s="2393"/>
      <c r="K384" s="2393"/>
      <c r="L384" s="2393"/>
      <c r="M384" s="2393"/>
      <c r="N384" s="2393"/>
      <c r="O384" s="2393"/>
      <c r="P384" s="2393"/>
      <c r="Q384" s="2393"/>
      <c r="R384" s="2393"/>
      <c r="S384" s="2393"/>
      <c r="T384" s="2393"/>
      <c r="U384" s="2393"/>
      <c r="V384" s="2393"/>
      <c r="W384" s="2393"/>
      <c r="X384" s="2393"/>
      <c r="Y384" s="2393"/>
      <c r="Z384" s="2393"/>
      <c r="AA384" s="2393"/>
      <c r="AB384" s="2393"/>
      <c r="AC384" s="2393"/>
      <c r="AD384" s="2393"/>
      <c r="AE384" s="2393"/>
      <c r="AF384" s="2393"/>
      <c r="AG384" s="2393"/>
      <c r="AH384" s="2393"/>
      <c r="AI384" s="2393"/>
      <c r="AJ384" s="2393"/>
      <c r="AK384" s="443"/>
      <c r="AL384" s="443"/>
      <c r="AM384" s="443"/>
      <c r="AN384" s="437"/>
      <c r="AO384" s="525" t="s">
        <v>1319</v>
      </c>
      <c r="AP384" s="531">
        <f>IF(C466="Yes",5,0)</f>
        <v>0</v>
      </c>
    </row>
    <row r="385" spans="1:81" s="398" customFormat="1" ht="12.75" customHeight="1">
      <c r="B385" s="450"/>
      <c r="C385" s="398" t="s">
        <v>2207</v>
      </c>
      <c r="AF385" s="443"/>
      <c r="AG385" s="443"/>
      <c r="AH385" s="443"/>
      <c r="AI385" s="443"/>
      <c r="AJ385" s="443"/>
      <c r="AK385" s="443"/>
      <c r="AL385" s="443"/>
      <c r="AM385" s="443"/>
      <c r="AN385" s="437"/>
      <c r="AO385" s="525" t="s">
        <v>1320</v>
      </c>
      <c r="AP385" s="526">
        <f>IF(C470="Yes",5,0)</f>
        <v>0</v>
      </c>
    </row>
    <row r="386" spans="1:81" s="398" customFormat="1" ht="12.75" customHeight="1">
      <c r="A386" s="443"/>
      <c r="B386" s="450"/>
      <c r="C386" s="532" t="s">
        <v>2208</v>
      </c>
      <c r="D386" s="533"/>
      <c r="E386" s="533"/>
      <c r="F386" s="533"/>
      <c r="G386" s="533"/>
      <c r="H386" s="533"/>
      <c r="I386" s="533"/>
      <c r="J386" s="533"/>
      <c r="K386" s="533"/>
      <c r="L386" s="533"/>
      <c r="M386" s="499"/>
      <c r="N386" s="499"/>
      <c r="O386" s="534"/>
      <c r="P386" s="533"/>
      <c r="Q386" s="533"/>
      <c r="R386" s="499"/>
      <c r="S386" s="499"/>
      <c r="T386" s="533"/>
      <c r="U386" s="2394">
        <f>Application!DU810-U387</f>
        <v>257</v>
      </c>
      <c r="V386" s="2394"/>
      <c r="W386" s="2394"/>
      <c r="X386" s="533"/>
      <c r="Y386" s="533"/>
      <c r="Z386" s="533"/>
      <c r="AA386" s="535"/>
      <c r="AB386" s="536"/>
      <c r="AC386" s="536"/>
      <c r="AD386" s="536"/>
      <c r="AE386" s="443"/>
      <c r="AF386" s="443"/>
      <c r="AG386" s="443"/>
      <c r="AH386" s="443"/>
      <c r="AI386" s="443"/>
      <c r="AJ386" s="443"/>
      <c r="AK386" s="443"/>
      <c r="AL386" s="443"/>
      <c r="AM386" s="443"/>
      <c r="AN386" s="437"/>
      <c r="AO386" s="525" t="s">
        <v>1321</v>
      </c>
      <c r="AP386" s="526">
        <f>IF(C479="Yes",5,0)</f>
        <v>0</v>
      </c>
    </row>
    <row r="387" spans="1:81" s="398" customFormat="1" ht="12.75" customHeight="1">
      <c r="A387" s="443"/>
      <c r="B387" s="450"/>
      <c r="C387" s="537" t="s">
        <v>2209</v>
      </c>
      <c r="D387" s="524"/>
      <c r="E387" s="524"/>
      <c r="F387" s="524"/>
      <c r="G387" s="524"/>
      <c r="H387" s="524"/>
      <c r="I387" s="524"/>
      <c r="J387" s="524"/>
      <c r="K387" s="524"/>
      <c r="L387" s="524"/>
      <c r="M387" s="524"/>
      <c r="N387" s="524"/>
      <c r="O387" s="524"/>
      <c r="P387" s="524"/>
      <c r="Q387" s="524"/>
      <c r="R387" s="524"/>
      <c r="S387" s="524"/>
      <c r="T387" s="524"/>
      <c r="U387" s="2395">
        <f>IF(Application!D211="SRO",Application!DU763,Application!AG764)</f>
        <v>10</v>
      </c>
      <c r="V387" s="2395"/>
      <c r="W387" s="2395"/>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2205</v>
      </c>
      <c r="AP388" s="541">
        <f>SUM(AP381:AP386)</f>
        <v>0</v>
      </c>
      <c r="AQ388" s="2396">
        <f>IF(AP388&gt;0,AP388,0)</f>
        <v>0</v>
      </c>
      <c r="AR388" s="2396"/>
    </row>
    <row r="389" spans="1:81" s="398" customFormat="1" ht="12.75" customHeight="1">
      <c r="A389" s="443"/>
      <c r="B389" s="11"/>
      <c r="C389" s="542" t="s">
        <v>2210</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2028</v>
      </c>
      <c r="F390" s="2372" t="s">
        <v>2211</v>
      </c>
      <c r="G390" s="2372"/>
      <c r="H390" s="2372"/>
      <c r="I390" s="2372"/>
      <c r="J390" s="2372"/>
      <c r="K390" s="2372"/>
      <c r="L390" s="2372"/>
      <c r="M390" s="2372"/>
      <c r="N390" s="2372"/>
      <c r="O390" s="2372"/>
      <c r="P390" s="2372"/>
      <c r="Q390" s="2372"/>
      <c r="R390" s="2372"/>
      <c r="S390" s="2372"/>
      <c r="T390" s="2372"/>
      <c r="U390" s="2372"/>
      <c r="V390" s="2372"/>
      <c r="W390" s="2372"/>
      <c r="X390" s="2372"/>
      <c r="Y390" s="2372"/>
      <c r="Z390" s="2372"/>
      <c r="AA390" s="2372"/>
      <c r="AB390" s="2372"/>
      <c r="AC390" s="2372"/>
      <c r="AD390" s="2372"/>
      <c r="AE390" s="2372"/>
      <c r="AF390" s="2372"/>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73"/>
      <c r="G391" s="2373"/>
      <c r="H391" s="2373"/>
      <c r="I391" s="2373"/>
      <c r="J391" s="2373"/>
      <c r="K391" s="2373"/>
      <c r="L391" s="2373"/>
      <c r="M391" s="2373"/>
      <c r="N391" s="2373"/>
      <c r="O391" s="2373"/>
      <c r="P391" s="2373"/>
      <c r="Q391" s="2373"/>
      <c r="R391" s="2373"/>
      <c r="S391" s="2373"/>
      <c r="T391" s="2373"/>
      <c r="U391" s="2373"/>
      <c r="V391" s="2373"/>
      <c r="W391" s="2373"/>
      <c r="X391" s="2373"/>
      <c r="Y391" s="2373"/>
      <c r="Z391" s="2373"/>
      <c r="AA391" s="2373"/>
      <c r="AB391" s="2373"/>
      <c r="AC391" s="2373"/>
      <c r="AD391" s="2373"/>
      <c r="AE391" s="2373"/>
      <c r="AF391" s="2373"/>
      <c r="AG391" s="389"/>
      <c r="AH391" s="389"/>
      <c r="AI391" s="389"/>
      <c r="AJ391" s="389"/>
      <c r="AK391" s="389"/>
      <c r="AL391" s="113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73"/>
      <c r="G392" s="2373"/>
      <c r="H392" s="2373"/>
      <c r="I392" s="2373"/>
      <c r="J392" s="2373"/>
      <c r="K392" s="2373"/>
      <c r="L392" s="2373"/>
      <c r="M392" s="2373"/>
      <c r="N392" s="2373"/>
      <c r="O392" s="2373"/>
      <c r="P392" s="2373"/>
      <c r="Q392" s="2373"/>
      <c r="R392" s="2373"/>
      <c r="S392" s="2373"/>
      <c r="T392" s="2373"/>
      <c r="U392" s="2373"/>
      <c r="V392" s="2373"/>
      <c r="W392" s="2373"/>
      <c r="X392" s="2373"/>
      <c r="Y392" s="2373"/>
      <c r="Z392" s="2373"/>
      <c r="AA392" s="2373"/>
      <c r="AB392" s="2373"/>
      <c r="AC392" s="2373"/>
      <c r="AD392" s="2373"/>
      <c r="AE392" s="2373"/>
      <c r="AF392" s="2373"/>
      <c r="AG392" s="389"/>
      <c r="AH392" s="389"/>
      <c r="AI392" s="389"/>
      <c r="AJ392" s="389"/>
      <c r="AK392" s="389"/>
      <c r="AL392" s="113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389"/>
      <c r="AH393" s="389"/>
      <c r="AI393" s="389"/>
      <c r="AJ393" s="389"/>
      <c r="AK393" s="389"/>
      <c r="AL393" s="1132"/>
      <c r="AM393" s="415"/>
      <c r="AN393" s="437"/>
      <c r="BS393" s="23"/>
      <c r="BT393" s="23"/>
      <c r="BU393" s="11"/>
      <c r="BV393" s="11"/>
      <c r="BW393" s="11"/>
      <c r="BX393" s="11"/>
      <c r="BY393" s="11"/>
      <c r="BZ393" s="11"/>
      <c r="CA393" s="11"/>
      <c r="CB393" s="11"/>
      <c r="CC393" s="11"/>
    </row>
    <row r="394" spans="1:81" s="398" customFormat="1" ht="12.75" customHeight="1">
      <c r="A394" s="386"/>
      <c r="B394" s="11"/>
      <c r="C394" s="2397" t="s">
        <v>847</v>
      </c>
      <c r="D394" s="2344"/>
      <c r="E394" s="549"/>
      <c r="F394" s="550" t="s">
        <v>2212</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398" t="s">
        <v>2213</v>
      </c>
      <c r="AG394" s="2398"/>
      <c r="AH394" s="2398"/>
      <c r="AI394" s="2398"/>
      <c r="AJ394" s="2398"/>
      <c r="AK394" s="2398"/>
      <c r="AL394" s="2399"/>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23"/>
      <c r="D396" s="1123"/>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31"/>
      <c r="AF396" s="1131"/>
      <c r="AG396" s="1131"/>
      <c r="AH396" s="1131"/>
      <c r="AI396" s="1131"/>
      <c r="AJ396" s="1131"/>
      <c r="AK396" s="1131"/>
      <c r="AL396" s="113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2031</v>
      </c>
      <c r="F397" s="2372" t="s">
        <v>2214</v>
      </c>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389"/>
      <c r="AH398" s="389"/>
      <c r="AI398" s="389"/>
      <c r="AJ398" s="389"/>
      <c r="AK398" s="389"/>
      <c r="AL398" s="113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389"/>
      <c r="AH399" s="389"/>
      <c r="AI399" s="389"/>
      <c r="AJ399" s="389"/>
      <c r="AK399" s="389"/>
      <c r="AL399" s="113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389"/>
      <c r="AH400" s="389"/>
      <c r="AI400" s="389"/>
      <c r="AJ400" s="389"/>
      <c r="AK400" s="389"/>
      <c r="AL400" s="113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73"/>
      <c r="G401" s="2373"/>
      <c r="H401" s="2373"/>
      <c r="I401" s="2373"/>
      <c r="J401" s="2373"/>
      <c r="K401" s="2373"/>
      <c r="L401" s="2373"/>
      <c r="M401" s="2373"/>
      <c r="N401" s="2373"/>
      <c r="O401" s="2373"/>
      <c r="P401" s="2373"/>
      <c r="Q401" s="2373"/>
      <c r="R401" s="2373"/>
      <c r="S401" s="2373"/>
      <c r="T401" s="2373"/>
      <c r="U401" s="2373"/>
      <c r="V401" s="2373"/>
      <c r="W401" s="2373"/>
      <c r="X401" s="2373"/>
      <c r="Y401" s="2373"/>
      <c r="Z401" s="2373"/>
      <c r="AA401" s="2373"/>
      <c r="AB401" s="2373"/>
      <c r="AC401" s="2373"/>
      <c r="AD401" s="2373"/>
      <c r="AE401" s="2373"/>
      <c r="AF401" s="2373"/>
      <c r="AL401" s="560"/>
      <c r="AN401" s="437"/>
      <c r="BS401" s="23"/>
      <c r="BT401" s="23"/>
      <c r="BU401" s="11"/>
      <c r="BV401" s="11"/>
      <c r="BW401" s="11"/>
      <c r="BX401" s="11"/>
      <c r="BY401" s="11"/>
      <c r="BZ401" s="11"/>
      <c r="CA401" s="11"/>
      <c r="CB401" s="11"/>
      <c r="CC401" s="11"/>
    </row>
    <row r="402" spans="1:81" s="398" customFormat="1" ht="12.75" customHeight="1">
      <c r="A402" s="386"/>
      <c r="B402" s="11"/>
      <c r="C402" s="2397" t="s">
        <v>816</v>
      </c>
      <c r="D402" s="2344"/>
      <c r="E402" s="522"/>
      <c r="F402" s="550" t="s">
        <v>2215</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398" t="s">
        <v>2213</v>
      </c>
      <c r="AG402" s="2398"/>
      <c r="AH402" s="2398"/>
      <c r="AI402" s="2398"/>
      <c r="AJ402" s="2398"/>
      <c r="AK402" s="2398"/>
      <c r="AL402" s="2399"/>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2036</v>
      </c>
      <c r="F405" s="2372" t="s">
        <v>2216</v>
      </c>
      <c r="G405" s="2372"/>
      <c r="H405" s="2372"/>
      <c r="I405" s="2372"/>
      <c r="J405" s="2372"/>
      <c r="K405" s="2372"/>
      <c r="L405" s="2372"/>
      <c r="M405" s="2372"/>
      <c r="N405" s="2372"/>
      <c r="O405" s="2372"/>
      <c r="P405" s="2372"/>
      <c r="Q405" s="2372"/>
      <c r="R405" s="2372"/>
      <c r="S405" s="2372"/>
      <c r="T405" s="2372"/>
      <c r="U405" s="2372"/>
      <c r="V405" s="2372"/>
      <c r="W405" s="2372"/>
      <c r="X405" s="2372"/>
      <c r="Y405" s="2372"/>
      <c r="Z405" s="2372"/>
      <c r="AA405" s="2372"/>
      <c r="AB405" s="2372"/>
      <c r="AC405" s="2372"/>
      <c r="AD405" s="2372"/>
      <c r="AE405" s="2372"/>
      <c r="AF405" s="2372"/>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389"/>
      <c r="AH406" s="389"/>
      <c r="AI406" s="389"/>
      <c r="AJ406" s="389"/>
      <c r="AK406" s="389"/>
      <c r="AL406" s="113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73"/>
      <c r="G407" s="2373"/>
      <c r="H407" s="2373"/>
      <c r="I407" s="2373"/>
      <c r="J407" s="2373"/>
      <c r="K407" s="2373"/>
      <c r="L407" s="2373"/>
      <c r="M407" s="2373"/>
      <c r="N407" s="2373"/>
      <c r="O407" s="2373"/>
      <c r="P407" s="2373"/>
      <c r="Q407" s="2373"/>
      <c r="R407" s="2373"/>
      <c r="S407" s="2373"/>
      <c r="T407" s="2373"/>
      <c r="U407" s="2373"/>
      <c r="V407" s="2373"/>
      <c r="W407" s="2373"/>
      <c r="X407" s="2373"/>
      <c r="Y407" s="2373"/>
      <c r="Z407" s="2373"/>
      <c r="AA407" s="2373"/>
      <c r="AB407" s="2373"/>
      <c r="AC407" s="2373"/>
      <c r="AD407" s="2373"/>
      <c r="AE407" s="2373"/>
      <c r="AF407" s="2373"/>
      <c r="AG407" s="389"/>
      <c r="AH407" s="389"/>
      <c r="AI407" s="389"/>
      <c r="AJ407" s="389"/>
      <c r="AK407" s="389"/>
      <c r="AL407" s="113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73"/>
      <c r="G408" s="2373"/>
      <c r="H408" s="2373"/>
      <c r="I408" s="2373"/>
      <c r="J408" s="2373"/>
      <c r="K408" s="2373"/>
      <c r="L408" s="2373"/>
      <c r="M408" s="2373"/>
      <c r="N408" s="2373"/>
      <c r="O408" s="2373"/>
      <c r="P408" s="2373"/>
      <c r="Q408" s="2373"/>
      <c r="R408" s="2373"/>
      <c r="S408" s="2373"/>
      <c r="T408" s="2373"/>
      <c r="U408" s="2373"/>
      <c r="V408" s="2373"/>
      <c r="W408" s="2373"/>
      <c r="X408" s="2373"/>
      <c r="Y408" s="2373"/>
      <c r="Z408" s="2373"/>
      <c r="AA408" s="2373"/>
      <c r="AB408" s="2373"/>
      <c r="AC408" s="2373"/>
      <c r="AD408" s="2373"/>
      <c r="AE408" s="2373"/>
      <c r="AF408" s="2373"/>
      <c r="AG408" s="389"/>
      <c r="AH408" s="389"/>
      <c r="AI408" s="389"/>
      <c r="AJ408" s="389"/>
      <c r="AK408" s="389"/>
      <c r="AL408" s="113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73"/>
      <c r="G409" s="2373"/>
      <c r="H409" s="2373"/>
      <c r="I409" s="2373"/>
      <c r="J409" s="2373"/>
      <c r="K409" s="2373"/>
      <c r="L409" s="2373"/>
      <c r="M409" s="2373"/>
      <c r="N409" s="2373"/>
      <c r="O409" s="2373"/>
      <c r="P409" s="2373"/>
      <c r="Q409" s="2373"/>
      <c r="R409" s="2373"/>
      <c r="S409" s="2373"/>
      <c r="T409" s="2373"/>
      <c r="U409" s="2373"/>
      <c r="V409" s="2373"/>
      <c r="W409" s="2373"/>
      <c r="X409" s="2373"/>
      <c r="Y409" s="2373"/>
      <c r="Z409" s="2373"/>
      <c r="AA409" s="2373"/>
      <c r="AB409" s="2373"/>
      <c r="AC409" s="2373"/>
      <c r="AD409" s="2373"/>
      <c r="AE409" s="2373"/>
      <c r="AF409" s="2373"/>
      <c r="AG409" s="389"/>
      <c r="AH409" s="389"/>
      <c r="AI409" s="389"/>
      <c r="AJ409" s="389"/>
      <c r="AK409" s="389"/>
      <c r="AL409" s="113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397" t="s">
        <v>816</v>
      </c>
      <c r="D410" s="2344"/>
      <c r="E410" s="522"/>
      <c r="F410" s="550" t="s">
        <v>2217</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398" t="s">
        <v>2218</v>
      </c>
      <c r="AG410" s="2398"/>
      <c r="AH410" s="2398"/>
      <c r="AI410" s="2398"/>
      <c r="AJ410" s="2398"/>
      <c r="AK410" s="2398"/>
      <c r="AL410" s="2399"/>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26"/>
      <c r="G411" s="1126"/>
      <c r="H411" s="1126"/>
      <c r="I411" s="1126"/>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397" t="s">
        <v>847</v>
      </c>
      <c r="D412" s="2344"/>
      <c r="E412" s="522"/>
      <c r="F412" s="566" t="s">
        <v>2219</v>
      </c>
      <c r="G412" s="1126"/>
      <c r="H412" s="1126"/>
      <c r="I412" s="1126"/>
      <c r="J412" s="1126"/>
      <c r="K412" s="1126"/>
      <c r="L412" s="1126"/>
      <c r="M412" s="1126"/>
      <c r="N412" s="1126"/>
      <c r="O412" s="1126"/>
      <c r="P412" s="1126"/>
      <c r="Q412" s="1126"/>
      <c r="R412" s="1126"/>
      <c r="S412" s="1126"/>
      <c r="T412" s="1126"/>
      <c r="U412" s="1126"/>
      <c r="V412" s="1126"/>
      <c r="W412" s="1126"/>
      <c r="X412" s="1126"/>
      <c r="Y412" s="1126"/>
      <c r="Z412" s="1126"/>
      <c r="AA412" s="1126"/>
      <c r="AB412" s="1126"/>
      <c r="AC412" s="1126"/>
      <c r="AD412" s="1126"/>
      <c r="AF412" s="2398" t="s">
        <v>2213</v>
      </c>
      <c r="AG412" s="2398"/>
      <c r="AH412" s="2398"/>
      <c r="AI412" s="2398"/>
      <c r="AJ412" s="2398"/>
      <c r="AK412" s="2398"/>
      <c r="AL412" s="2399"/>
      <c r="AM412" s="415"/>
      <c r="AN412" s="437"/>
      <c r="BS412" s="415"/>
      <c r="BT412" s="415"/>
      <c r="BU412" s="415"/>
    </row>
    <row r="413" spans="1:81" s="398" customFormat="1" ht="12.75" customHeight="1">
      <c r="A413" s="386"/>
      <c r="B413" s="11"/>
      <c r="C413" s="567"/>
      <c r="E413" s="522"/>
      <c r="G413" s="1126"/>
      <c r="H413" s="1126"/>
      <c r="I413" s="1126"/>
      <c r="J413" s="1126"/>
      <c r="K413" s="1126"/>
      <c r="L413" s="1126"/>
      <c r="M413" s="1126"/>
      <c r="N413" s="1126"/>
      <c r="O413" s="1126"/>
      <c r="P413" s="1126"/>
      <c r="Q413" s="1126"/>
      <c r="R413" s="1126"/>
      <c r="S413" s="1126"/>
      <c r="T413" s="1126"/>
      <c r="U413" s="1126"/>
      <c r="V413" s="1126"/>
      <c r="W413" s="1126"/>
      <c r="X413" s="1126"/>
      <c r="Y413" s="1126"/>
      <c r="Z413" s="1126"/>
      <c r="AA413" s="1126"/>
      <c r="AB413" s="1126"/>
      <c r="AC413" s="1126"/>
      <c r="AD413" s="1126"/>
      <c r="AL413" s="560"/>
      <c r="AM413" s="415"/>
      <c r="AN413" s="437"/>
      <c r="BS413" s="415"/>
      <c r="BT413" s="415"/>
      <c r="BU413" s="415"/>
    </row>
    <row r="414" spans="1:81" s="398" customFormat="1" ht="12.75" customHeight="1">
      <c r="A414" s="386"/>
      <c r="B414" s="11"/>
      <c r="C414" s="568"/>
      <c r="D414" s="561"/>
      <c r="E414" s="562"/>
      <c r="F414" s="569" t="s">
        <v>2220</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2038</v>
      </c>
      <c r="F416" s="2372" t="s">
        <v>2221</v>
      </c>
      <c r="G416" s="2372"/>
      <c r="H416" s="2372"/>
      <c r="I416" s="2372"/>
      <c r="J416" s="2372"/>
      <c r="K416" s="2372"/>
      <c r="L416" s="2372"/>
      <c r="M416" s="2372"/>
      <c r="N416" s="2372"/>
      <c r="O416" s="2372"/>
      <c r="P416" s="2372"/>
      <c r="Q416" s="2372"/>
      <c r="R416" s="2372"/>
      <c r="S416" s="2372"/>
      <c r="T416" s="2372"/>
      <c r="U416" s="2372"/>
      <c r="V416" s="2372"/>
      <c r="W416" s="2372"/>
      <c r="X416" s="2372"/>
      <c r="Y416" s="2372"/>
      <c r="Z416" s="2372"/>
      <c r="AA416" s="2372"/>
      <c r="AB416" s="2372"/>
      <c r="AC416" s="2372"/>
      <c r="AD416" s="2372"/>
      <c r="AE416" s="2372"/>
      <c r="AF416" s="2372"/>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73"/>
      <c r="G417" s="2373"/>
      <c r="H417" s="2373"/>
      <c r="I417" s="2373"/>
      <c r="J417" s="2373"/>
      <c r="K417" s="2373"/>
      <c r="L417" s="2373"/>
      <c r="M417" s="2373"/>
      <c r="N417" s="2373"/>
      <c r="O417" s="2373"/>
      <c r="P417" s="2373"/>
      <c r="Q417" s="2373"/>
      <c r="R417" s="2373"/>
      <c r="S417" s="2373"/>
      <c r="T417" s="2373"/>
      <c r="U417" s="2373"/>
      <c r="V417" s="2373"/>
      <c r="W417" s="2373"/>
      <c r="X417" s="2373"/>
      <c r="Y417" s="2373"/>
      <c r="Z417" s="2373"/>
      <c r="AA417" s="2373"/>
      <c r="AB417" s="2373"/>
      <c r="AC417" s="2373"/>
      <c r="AD417" s="2373"/>
      <c r="AE417" s="2373"/>
      <c r="AF417" s="2373"/>
      <c r="AG417" s="389"/>
      <c r="AH417" s="389"/>
      <c r="AI417" s="389"/>
      <c r="AJ417" s="389"/>
      <c r="AK417" s="389"/>
      <c r="AL417" s="1132"/>
      <c r="AM417" s="415"/>
      <c r="AN417" s="437"/>
      <c r="BS417" s="415"/>
      <c r="BT417" s="415"/>
      <c r="BU417" s="415"/>
      <c r="BV417" s="415"/>
      <c r="BW417" s="415"/>
      <c r="BX417" s="415"/>
      <c r="BY417" s="415"/>
      <c r="BZ417" s="415"/>
      <c r="CA417" s="415"/>
      <c r="CB417" s="415"/>
      <c r="CC417" s="415"/>
    </row>
    <row r="418" spans="1:81">
      <c r="A418" s="386"/>
      <c r="C418" s="559"/>
      <c r="E418" s="522"/>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2373"/>
      <c r="AG418" s="389"/>
      <c r="AH418" s="389"/>
      <c r="AI418" s="389"/>
      <c r="AJ418" s="389"/>
      <c r="AK418" s="389"/>
      <c r="AL418" s="113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F419" s="2373"/>
      <c r="AG419" s="389"/>
      <c r="AH419" s="389"/>
      <c r="AI419" s="389"/>
      <c r="AJ419" s="389"/>
      <c r="AK419" s="389"/>
      <c r="AL419" s="1132"/>
      <c r="AM419" s="415"/>
      <c r="AN419" s="437"/>
      <c r="BS419" s="415"/>
      <c r="BT419" s="415"/>
      <c r="BY419" s="415"/>
      <c r="BZ419" s="415"/>
      <c r="CA419" s="415"/>
      <c r="CB419" s="415"/>
      <c r="CC419" s="415"/>
    </row>
    <row r="420" spans="1:81" s="398" customFormat="1" ht="12.75" customHeight="1">
      <c r="A420" s="386"/>
      <c r="B420" s="11"/>
      <c r="C420" s="2397" t="s">
        <v>816</v>
      </c>
      <c r="D420" s="2344"/>
      <c r="E420" s="522"/>
      <c r="F420" s="550" t="s">
        <v>2222</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398" t="s">
        <v>2213</v>
      </c>
      <c r="AG420" s="2398"/>
      <c r="AH420" s="2398"/>
      <c r="AI420" s="2398"/>
      <c r="AJ420" s="2398"/>
      <c r="AK420" s="2398"/>
      <c r="AL420" s="2399"/>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397" t="s">
        <v>816</v>
      </c>
      <c r="D422" s="2344"/>
      <c r="E422" s="549"/>
      <c r="F422" s="550" t="s">
        <v>2223</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398" t="s">
        <v>2224</v>
      </c>
      <c r="AG422" s="2398"/>
      <c r="AH422" s="2398"/>
      <c r="AI422" s="2398"/>
      <c r="AJ422" s="2398"/>
      <c r="AK422" s="2398"/>
      <c r="AL422" s="2399"/>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397" t="s">
        <v>816</v>
      </c>
      <c r="D425" s="2344"/>
      <c r="E425" s="545" t="s">
        <v>2225</v>
      </c>
      <c r="F425" s="2372" t="s">
        <v>2226</v>
      </c>
      <c r="G425" s="2372"/>
      <c r="H425" s="2372"/>
      <c r="I425" s="2372"/>
      <c r="J425" s="2372"/>
      <c r="K425" s="2372"/>
      <c r="L425" s="2372"/>
      <c r="M425" s="2372"/>
      <c r="N425" s="2372"/>
      <c r="O425" s="2372"/>
      <c r="P425" s="2372"/>
      <c r="Q425" s="2372"/>
      <c r="R425" s="2372"/>
      <c r="S425" s="2372"/>
      <c r="T425" s="2372"/>
      <c r="U425" s="2372"/>
      <c r="V425" s="2372"/>
      <c r="W425" s="2372"/>
      <c r="X425" s="2372"/>
      <c r="Y425" s="2372"/>
      <c r="Z425" s="2372"/>
      <c r="AA425" s="2372"/>
      <c r="AB425" s="2372"/>
      <c r="AC425" s="2372"/>
      <c r="AD425" s="2372"/>
      <c r="AE425" s="2372"/>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73"/>
      <c r="G426" s="2373"/>
      <c r="H426" s="2373"/>
      <c r="I426" s="2373"/>
      <c r="J426" s="2373"/>
      <c r="K426" s="2373"/>
      <c r="L426" s="2373"/>
      <c r="M426" s="2373"/>
      <c r="N426" s="2373"/>
      <c r="O426" s="2373"/>
      <c r="P426" s="2373"/>
      <c r="Q426" s="2373"/>
      <c r="R426" s="2373"/>
      <c r="S426" s="2373"/>
      <c r="T426" s="2373"/>
      <c r="U426" s="2373"/>
      <c r="V426" s="2373"/>
      <c r="W426" s="2373"/>
      <c r="X426" s="2373"/>
      <c r="Y426" s="2373"/>
      <c r="Z426" s="2373"/>
      <c r="AA426" s="2373"/>
      <c r="AB426" s="2373"/>
      <c r="AC426" s="2373"/>
      <c r="AD426" s="2373"/>
      <c r="AE426" s="2373"/>
      <c r="AF426" s="2323" t="s">
        <v>2213</v>
      </c>
      <c r="AG426" s="2323"/>
      <c r="AH426" s="2323"/>
      <c r="AI426" s="2323"/>
      <c r="AJ426" s="2323"/>
      <c r="AK426" s="2323"/>
      <c r="AL426" s="2404"/>
      <c r="AM426" s="415"/>
      <c r="AN426" s="437"/>
      <c r="BS426" s="415"/>
      <c r="BT426" s="415"/>
      <c r="BY426" s="415"/>
      <c r="BZ426" s="415"/>
      <c r="CA426" s="415"/>
      <c r="CB426" s="415"/>
      <c r="CC426" s="415"/>
    </row>
    <row r="427" spans="1:81" s="398" customFormat="1" ht="12.75" customHeight="1">
      <c r="A427" s="386"/>
      <c r="B427" s="11"/>
      <c r="C427" s="559"/>
      <c r="D427" s="11"/>
      <c r="E427" s="522"/>
      <c r="F427" s="2373"/>
      <c r="G427" s="2373"/>
      <c r="H427" s="2373"/>
      <c r="I427" s="2373"/>
      <c r="J427" s="2373"/>
      <c r="K427" s="2373"/>
      <c r="L427" s="2373"/>
      <c r="M427" s="2373"/>
      <c r="N427" s="2373"/>
      <c r="O427" s="2373"/>
      <c r="P427" s="2373"/>
      <c r="Q427" s="2373"/>
      <c r="R427" s="2373"/>
      <c r="S427" s="2373"/>
      <c r="T427" s="2373"/>
      <c r="U427" s="2373"/>
      <c r="V427" s="2373"/>
      <c r="W427" s="2373"/>
      <c r="X427" s="2373"/>
      <c r="Y427" s="2373"/>
      <c r="Z427" s="2373"/>
      <c r="AA427" s="2373"/>
      <c r="AB427" s="2373"/>
      <c r="AC427" s="2373"/>
      <c r="AD427" s="2373"/>
      <c r="AE427" s="2373"/>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374"/>
      <c r="G428" s="2374"/>
      <c r="H428" s="2374"/>
      <c r="I428" s="2374"/>
      <c r="J428" s="2374"/>
      <c r="K428" s="2374"/>
      <c r="L428" s="2374"/>
      <c r="M428" s="2374"/>
      <c r="N428" s="2374"/>
      <c r="O428" s="2374"/>
      <c r="P428" s="2374"/>
      <c r="Q428" s="2374"/>
      <c r="R428" s="2374"/>
      <c r="S428" s="2374"/>
      <c r="T428" s="2374"/>
      <c r="U428" s="2374"/>
      <c r="V428" s="2374"/>
      <c r="W428" s="2374"/>
      <c r="X428" s="2374"/>
      <c r="Y428" s="2374"/>
      <c r="Z428" s="2374"/>
      <c r="AA428" s="2374"/>
      <c r="AB428" s="2374"/>
      <c r="AC428" s="2374"/>
      <c r="AD428" s="2374"/>
      <c r="AE428" s="2374"/>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2227</v>
      </c>
      <c r="F430" s="2372" t="s">
        <v>2228</v>
      </c>
      <c r="G430" s="2372"/>
      <c r="H430" s="2372"/>
      <c r="I430" s="2372"/>
      <c r="J430" s="2372"/>
      <c r="K430" s="2372"/>
      <c r="L430" s="2372"/>
      <c r="M430" s="2372"/>
      <c r="N430" s="2372"/>
      <c r="O430" s="2372"/>
      <c r="P430" s="2372"/>
      <c r="Q430" s="2372"/>
      <c r="R430" s="2372"/>
      <c r="S430" s="2372"/>
      <c r="T430" s="2372"/>
      <c r="U430" s="2372"/>
      <c r="V430" s="2372"/>
      <c r="W430" s="2372"/>
      <c r="X430" s="2372"/>
      <c r="Y430" s="2372"/>
      <c r="Z430" s="2372"/>
      <c r="AA430" s="2372"/>
      <c r="AB430" s="2372"/>
      <c r="AC430" s="2372"/>
      <c r="AD430" s="2372"/>
      <c r="AE430" s="2372"/>
      <c r="AF430" s="575"/>
      <c r="AG430" s="575"/>
      <c r="AH430" s="575"/>
      <c r="AI430" s="575"/>
      <c r="AJ430" s="575"/>
      <c r="AK430" s="575"/>
      <c r="AL430" s="576"/>
      <c r="AM430" s="415"/>
    </row>
    <row r="431" spans="1:81">
      <c r="A431" s="386"/>
      <c r="C431" s="559"/>
      <c r="E431" s="522"/>
      <c r="F431" s="2373"/>
      <c r="G431" s="2373"/>
      <c r="H431" s="2373"/>
      <c r="I431" s="2373"/>
      <c r="J431" s="2373"/>
      <c r="K431" s="2373"/>
      <c r="L431" s="2373"/>
      <c r="M431" s="2373"/>
      <c r="N431" s="2373"/>
      <c r="O431" s="2373"/>
      <c r="P431" s="2373"/>
      <c r="Q431" s="2373"/>
      <c r="R431" s="2373"/>
      <c r="S431" s="2373"/>
      <c r="T431" s="2373"/>
      <c r="U431" s="2373"/>
      <c r="V431" s="2373"/>
      <c r="W431" s="2373"/>
      <c r="X431" s="2373"/>
      <c r="Y431" s="2373"/>
      <c r="Z431" s="2373"/>
      <c r="AA431" s="2373"/>
      <c r="AB431" s="2373"/>
      <c r="AC431" s="2373"/>
      <c r="AD431" s="2373"/>
      <c r="AE431" s="2373"/>
      <c r="AF431" s="389"/>
      <c r="AG431" s="386"/>
      <c r="AH431" s="398"/>
      <c r="AI431" s="398"/>
      <c r="AJ431" s="398"/>
      <c r="AK431" s="398"/>
      <c r="AL431" s="560"/>
      <c r="AM431" s="415"/>
    </row>
    <row r="432" spans="1:81" s="398" customFormat="1" ht="12.75" customHeight="1">
      <c r="A432" s="386"/>
      <c r="B432" s="11"/>
      <c r="C432" s="559"/>
      <c r="D432" s="11"/>
      <c r="E432" s="522"/>
      <c r="F432" s="2373"/>
      <c r="G432" s="2373"/>
      <c r="H432" s="2373"/>
      <c r="I432" s="2373"/>
      <c r="J432" s="2373"/>
      <c r="K432" s="2373"/>
      <c r="L432" s="2373"/>
      <c r="M432" s="2373"/>
      <c r="N432" s="2373"/>
      <c r="O432" s="2373"/>
      <c r="P432" s="2373"/>
      <c r="Q432" s="2373"/>
      <c r="R432" s="2373"/>
      <c r="S432" s="2373"/>
      <c r="T432" s="2373"/>
      <c r="U432" s="2373"/>
      <c r="V432" s="2373"/>
      <c r="W432" s="2373"/>
      <c r="X432" s="2373"/>
      <c r="Y432" s="2373"/>
      <c r="Z432" s="2373"/>
      <c r="AA432" s="2373"/>
      <c r="AB432" s="2373"/>
      <c r="AC432" s="2373"/>
      <c r="AD432" s="2373"/>
      <c r="AE432" s="2373"/>
      <c r="AL432" s="560"/>
      <c r="AM432" s="415"/>
      <c r="AN432" s="437"/>
    </row>
    <row r="433" spans="1:60" s="398" customFormat="1" ht="12.75" customHeight="1">
      <c r="A433" s="386"/>
      <c r="B433" s="11"/>
      <c r="C433" s="567"/>
      <c r="F433" s="2373"/>
      <c r="G433" s="2373"/>
      <c r="H433" s="2373"/>
      <c r="I433" s="2373"/>
      <c r="J433" s="2373"/>
      <c r="K433" s="2373"/>
      <c r="L433" s="2373"/>
      <c r="M433" s="2373"/>
      <c r="N433" s="2373"/>
      <c r="O433" s="2373"/>
      <c r="P433" s="2373"/>
      <c r="Q433" s="2373"/>
      <c r="R433" s="2373"/>
      <c r="S433" s="2373"/>
      <c r="T433" s="2373"/>
      <c r="U433" s="2373"/>
      <c r="V433" s="2373"/>
      <c r="W433" s="2373"/>
      <c r="X433" s="2373"/>
      <c r="Y433" s="2373"/>
      <c r="Z433" s="2373"/>
      <c r="AA433" s="2373"/>
      <c r="AB433" s="2373"/>
      <c r="AC433" s="2373"/>
      <c r="AD433" s="2373"/>
      <c r="AE433" s="2373"/>
      <c r="AL433" s="560"/>
      <c r="AM433" s="415"/>
      <c r="AN433" s="437"/>
    </row>
    <row r="434" spans="1:60" s="398" customFormat="1" ht="12.75" customHeight="1">
      <c r="A434" s="386"/>
      <c r="B434" s="11"/>
      <c r="C434" s="2397" t="s">
        <v>816</v>
      </c>
      <c r="D434" s="2344"/>
      <c r="E434" s="522"/>
      <c r="F434" s="550" t="s">
        <v>2229</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23" t="s">
        <v>2213</v>
      </c>
      <c r="AG434" s="2323"/>
      <c r="AH434" s="2323"/>
      <c r="AI434" s="2323"/>
      <c r="AJ434" s="2323"/>
      <c r="AK434" s="2323"/>
      <c r="AL434" s="2404"/>
      <c r="AM434" s="415"/>
      <c r="AN434" s="437"/>
    </row>
    <row r="435" spans="1:60" s="398" customFormat="1" ht="12.75" customHeight="1">
      <c r="A435" s="386"/>
      <c r="B435" s="11"/>
      <c r="C435" s="567"/>
      <c r="AL435" s="560"/>
      <c r="AM435" s="415"/>
      <c r="AN435" s="437"/>
    </row>
    <row r="436" spans="1:60" s="398" customFormat="1" ht="12.75" customHeight="1">
      <c r="A436" s="386"/>
      <c r="B436" s="11"/>
      <c r="C436" s="2397" t="s">
        <v>816</v>
      </c>
      <c r="D436" s="2344"/>
      <c r="E436" s="549"/>
      <c r="F436" s="550" t="s">
        <v>2230</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23" t="s">
        <v>2224</v>
      </c>
      <c r="AG436" s="2323"/>
      <c r="AH436" s="2323"/>
      <c r="AI436" s="2323"/>
      <c r="AJ436" s="2323"/>
      <c r="AK436" s="2323"/>
      <c r="AL436" s="2404"/>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2231</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2232</v>
      </c>
      <c r="F440" s="2372" t="s">
        <v>2233</v>
      </c>
      <c r="G440" s="2372"/>
      <c r="H440" s="2372"/>
      <c r="I440" s="2372"/>
      <c r="J440" s="2372"/>
      <c r="K440" s="2372"/>
      <c r="L440" s="2372"/>
      <c r="M440" s="2372"/>
      <c r="N440" s="2372"/>
      <c r="O440" s="2372"/>
      <c r="P440" s="2372"/>
      <c r="Q440" s="2372"/>
      <c r="R440" s="2372"/>
      <c r="S440" s="2372"/>
      <c r="T440" s="2372"/>
      <c r="U440" s="2372"/>
      <c r="V440" s="2372"/>
      <c r="W440" s="2372"/>
      <c r="X440" s="2372"/>
      <c r="Y440" s="2372"/>
      <c r="Z440" s="2372"/>
      <c r="AA440" s="2372"/>
      <c r="AB440" s="2372"/>
      <c r="AC440" s="2372"/>
      <c r="AD440" s="2372"/>
      <c r="AE440" s="2372"/>
      <c r="AF440" s="544"/>
      <c r="AG440" s="544"/>
      <c r="AH440" s="544"/>
      <c r="AI440" s="544"/>
      <c r="AJ440" s="544"/>
      <c r="AK440" s="544"/>
      <c r="AL440" s="573"/>
      <c r="AM440" s="415"/>
      <c r="AN440" s="437"/>
    </row>
    <row r="441" spans="1:60" s="398" customFormat="1" ht="12.75" customHeight="1">
      <c r="A441" s="386"/>
      <c r="B441" s="11"/>
      <c r="C441" s="559"/>
      <c r="D441" s="11"/>
      <c r="E441" s="522"/>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F441" s="389"/>
      <c r="AG441" s="386"/>
      <c r="AL441" s="560"/>
      <c r="AM441" s="415"/>
      <c r="AN441" s="437"/>
    </row>
    <row r="442" spans="1:60" s="398" customFormat="1" ht="12.75" customHeight="1">
      <c r="A442" s="386"/>
      <c r="B442" s="11"/>
      <c r="C442" s="559"/>
      <c r="D442" s="11"/>
      <c r="E442" s="522"/>
      <c r="F442" s="2373"/>
      <c r="G442" s="2373"/>
      <c r="H442" s="2373"/>
      <c r="I442" s="2373"/>
      <c r="J442" s="2373"/>
      <c r="K442" s="2373"/>
      <c r="L442" s="2373"/>
      <c r="M442" s="2373"/>
      <c r="N442" s="2373"/>
      <c r="O442" s="2373"/>
      <c r="P442" s="2373"/>
      <c r="Q442" s="2373"/>
      <c r="R442" s="2373"/>
      <c r="S442" s="2373"/>
      <c r="T442" s="2373"/>
      <c r="U442" s="2373"/>
      <c r="V442" s="2373"/>
      <c r="W442" s="2373"/>
      <c r="X442" s="2373"/>
      <c r="Y442" s="2373"/>
      <c r="Z442" s="2373"/>
      <c r="AA442" s="2373"/>
      <c r="AB442" s="2373"/>
      <c r="AC442" s="2373"/>
      <c r="AD442" s="2373"/>
      <c r="AE442" s="2373"/>
      <c r="AL442" s="560"/>
      <c r="AM442" s="415"/>
      <c r="AN442" s="437"/>
    </row>
    <row r="443" spans="1:60" s="398" customFormat="1" ht="12.75" customHeight="1">
      <c r="A443" s="386"/>
      <c r="B443" s="11"/>
      <c r="C443" s="2397" t="s">
        <v>816</v>
      </c>
      <c r="D443" s="2344"/>
      <c r="E443" s="522"/>
      <c r="F443" s="550" t="s">
        <v>2234</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23" t="s">
        <v>2213</v>
      </c>
      <c r="AG443" s="2323"/>
      <c r="AH443" s="2323"/>
      <c r="AI443" s="2323"/>
      <c r="AJ443" s="2323"/>
      <c r="AK443" s="2323"/>
      <c r="AL443" s="2404"/>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23"/>
      <c r="D445" s="1123"/>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5" customHeight="1">
      <c r="A446" s="386"/>
      <c r="C446" s="574"/>
      <c r="D446" s="575"/>
      <c r="E446" s="545" t="s">
        <v>2235</v>
      </c>
      <c r="F446" s="2372" t="s">
        <v>2236</v>
      </c>
      <c r="G446" s="2372"/>
      <c r="H446" s="2372"/>
      <c r="I446" s="2372"/>
      <c r="J446" s="2372"/>
      <c r="K446" s="2372"/>
      <c r="L446" s="2372"/>
      <c r="M446" s="2372"/>
      <c r="N446" s="2372"/>
      <c r="O446" s="2372"/>
      <c r="P446" s="2372"/>
      <c r="Q446" s="2372"/>
      <c r="R446" s="2372"/>
      <c r="S446" s="2372"/>
      <c r="T446" s="2372"/>
      <c r="U446" s="2372"/>
      <c r="V446" s="2372"/>
      <c r="W446" s="2372"/>
      <c r="X446" s="2372"/>
      <c r="Y446" s="2372"/>
      <c r="Z446" s="2372"/>
      <c r="AA446" s="2372"/>
      <c r="AB446" s="2372"/>
      <c r="AC446" s="2372"/>
      <c r="AD446" s="2372"/>
      <c r="AE446" s="2372"/>
      <c r="AF446" s="575"/>
      <c r="AG446" s="575"/>
      <c r="AH446" s="575"/>
      <c r="AI446" s="575"/>
      <c r="AJ446" s="575"/>
      <c r="AK446" s="575"/>
      <c r="AL446" s="576"/>
      <c r="AM446" s="415"/>
      <c r="AO446" s="398"/>
      <c r="AP446" s="398"/>
      <c r="BD446" s="11"/>
      <c r="BE446" s="11"/>
      <c r="BF446" s="11"/>
      <c r="BG446" s="11"/>
      <c r="BH446" s="11"/>
    </row>
    <row r="447" spans="1:60">
      <c r="A447" s="386"/>
      <c r="C447" s="559"/>
      <c r="E447" s="522"/>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1120"/>
      <c r="AG447" s="1120"/>
      <c r="AH447" s="1120"/>
      <c r="AI447" s="1120"/>
      <c r="AJ447" s="1120"/>
      <c r="AK447" s="1120"/>
      <c r="AL447" s="1133"/>
      <c r="AM447" s="415"/>
      <c r="AO447" s="398"/>
      <c r="AP447" s="398"/>
    </row>
    <row r="448" spans="1:60" s="398" customFormat="1" ht="12.75" customHeight="1">
      <c r="A448" s="386"/>
      <c r="B448" s="11"/>
      <c r="C448" s="559"/>
      <c r="D448" s="11"/>
      <c r="E448" s="522"/>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F448" s="1120"/>
      <c r="AG448" s="1120"/>
      <c r="AH448" s="1120"/>
      <c r="AI448" s="1120"/>
      <c r="AJ448" s="1120"/>
      <c r="AK448" s="1120"/>
      <c r="AL448" s="1133"/>
      <c r="AM448" s="415"/>
      <c r="AN448" s="437"/>
    </row>
    <row r="449" spans="1:42" s="398" customFormat="1" ht="12.75" customHeight="1">
      <c r="A449" s="386"/>
      <c r="B449" s="11"/>
      <c r="C449" s="1134"/>
      <c r="D449" s="1123"/>
      <c r="E449" s="549"/>
      <c r="F449" s="2373"/>
      <c r="G449" s="2373"/>
      <c r="H449" s="2373"/>
      <c r="I449" s="2373"/>
      <c r="J449" s="2373"/>
      <c r="K449" s="2373"/>
      <c r="L449" s="2373"/>
      <c r="M449" s="2373"/>
      <c r="N449" s="2373"/>
      <c r="O449" s="2373"/>
      <c r="P449" s="2373"/>
      <c r="Q449" s="2373"/>
      <c r="R449" s="2373"/>
      <c r="S449" s="2373"/>
      <c r="T449" s="2373"/>
      <c r="U449" s="2373"/>
      <c r="V449" s="2373"/>
      <c r="W449" s="2373"/>
      <c r="X449" s="2373"/>
      <c r="Y449" s="2373"/>
      <c r="Z449" s="2373"/>
      <c r="AA449" s="2373"/>
      <c r="AB449" s="2373"/>
      <c r="AC449" s="2373"/>
      <c r="AD449" s="2373"/>
      <c r="AE449" s="2373"/>
      <c r="AF449" s="1120"/>
      <c r="AG449" s="1120"/>
      <c r="AH449" s="1120"/>
      <c r="AI449" s="1120"/>
      <c r="AJ449" s="1120"/>
      <c r="AK449" s="1120"/>
      <c r="AL449" s="1133"/>
      <c r="AM449" s="415"/>
      <c r="AN449" s="437"/>
      <c r="AO449" s="23"/>
      <c r="AP449" s="11"/>
    </row>
    <row r="450" spans="1:42" s="398" customFormat="1" ht="12.75" customHeight="1">
      <c r="A450" s="386"/>
      <c r="B450" s="11"/>
      <c r="C450" s="1134"/>
      <c r="D450" s="1123"/>
      <c r="E450" s="549"/>
      <c r="F450" s="2373"/>
      <c r="G450" s="2373"/>
      <c r="H450" s="2373"/>
      <c r="I450" s="2373"/>
      <c r="J450" s="2373"/>
      <c r="K450" s="2373"/>
      <c r="L450" s="2373"/>
      <c r="M450" s="2373"/>
      <c r="N450" s="2373"/>
      <c r="O450" s="2373"/>
      <c r="P450" s="2373"/>
      <c r="Q450" s="2373"/>
      <c r="R450" s="2373"/>
      <c r="S450" s="2373"/>
      <c r="T450" s="2373"/>
      <c r="U450" s="2373"/>
      <c r="V450" s="2373"/>
      <c r="W450" s="2373"/>
      <c r="X450" s="2373"/>
      <c r="Y450" s="2373"/>
      <c r="Z450" s="2373"/>
      <c r="AA450" s="2373"/>
      <c r="AB450" s="2373"/>
      <c r="AC450" s="2373"/>
      <c r="AD450" s="2373"/>
      <c r="AE450" s="2373"/>
      <c r="AF450" s="1120"/>
      <c r="AG450" s="1120"/>
      <c r="AH450" s="1120"/>
      <c r="AI450" s="1120"/>
      <c r="AJ450" s="1120"/>
      <c r="AK450" s="1120"/>
      <c r="AL450" s="1133"/>
      <c r="AM450" s="415"/>
      <c r="AN450" s="437"/>
    </row>
    <row r="451" spans="1:42" s="398" customFormat="1" ht="12.75" customHeight="1">
      <c r="A451" s="386"/>
      <c r="B451" s="11"/>
      <c r="C451" s="1134"/>
      <c r="D451" s="1123"/>
      <c r="E451" s="549"/>
      <c r="F451" s="2373"/>
      <c r="G451" s="2373"/>
      <c r="H451" s="2373"/>
      <c r="I451" s="2373"/>
      <c r="J451" s="2373"/>
      <c r="K451" s="2373"/>
      <c r="L451" s="2373"/>
      <c r="M451" s="2373"/>
      <c r="N451" s="2373"/>
      <c r="O451" s="2373"/>
      <c r="P451" s="2373"/>
      <c r="Q451" s="2373"/>
      <c r="R451" s="2373"/>
      <c r="S451" s="2373"/>
      <c r="T451" s="2373"/>
      <c r="U451" s="2373"/>
      <c r="V451" s="2373"/>
      <c r="W451" s="2373"/>
      <c r="X451" s="2373"/>
      <c r="Y451" s="2373"/>
      <c r="Z451" s="2373"/>
      <c r="AA451" s="2373"/>
      <c r="AB451" s="2373"/>
      <c r="AC451" s="2373"/>
      <c r="AD451" s="2373"/>
      <c r="AE451" s="2373"/>
      <c r="AF451" s="1120"/>
      <c r="AG451" s="1120"/>
      <c r="AH451" s="1120"/>
      <c r="AI451" s="1120"/>
      <c r="AJ451" s="1120"/>
      <c r="AK451" s="1120"/>
      <c r="AL451" s="1133"/>
      <c r="AM451" s="415"/>
      <c r="AN451" s="437"/>
    </row>
    <row r="452" spans="1:42" s="398" customFormat="1" ht="12.75" customHeight="1">
      <c r="A452" s="386"/>
      <c r="B452" s="11"/>
      <c r="C452" s="1134"/>
      <c r="D452" s="1123"/>
      <c r="E452" s="549"/>
      <c r="F452" s="2373"/>
      <c r="G452" s="2373"/>
      <c r="H452" s="2373"/>
      <c r="I452" s="2373"/>
      <c r="J452" s="2373"/>
      <c r="K452" s="2373"/>
      <c r="L452" s="2373"/>
      <c r="M452" s="2373"/>
      <c r="N452" s="2373"/>
      <c r="O452" s="2373"/>
      <c r="P452" s="2373"/>
      <c r="Q452" s="2373"/>
      <c r="R452" s="2373"/>
      <c r="S452" s="2373"/>
      <c r="T452" s="2373"/>
      <c r="U452" s="2373"/>
      <c r="V452" s="2373"/>
      <c r="W452" s="2373"/>
      <c r="X452" s="2373"/>
      <c r="Y452" s="2373"/>
      <c r="Z452" s="2373"/>
      <c r="AA452" s="2373"/>
      <c r="AB452" s="2373"/>
      <c r="AC452" s="2373"/>
      <c r="AD452" s="2373"/>
      <c r="AE452" s="2373"/>
      <c r="AF452" s="1120"/>
      <c r="AG452" s="1120"/>
      <c r="AH452" s="1120"/>
      <c r="AI452" s="1120"/>
      <c r="AJ452" s="1120"/>
      <c r="AK452" s="1120"/>
      <c r="AL452" s="1133"/>
      <c r="AM452" s="415"/>
      <c r="AN452" s="437"/>
    </row>
    <row r="453" spans="1:42" s="398" customFormat="1" ht="12.75" customHeight="1">
      <c r="A453" s="386"/>
      <c r="B453" s="11"/>
      <c r="C453" s="1134"/>
      <c r="D453" s="1123"/>
      <c r="E453" s="549"/>
      <c r="F453" s="2373"/>
      <c r="G453" s="2373"/>
      <c r="H453" s="2373"/>
      <c r="I453" s="2373"/>
      <c r="J453" s="2373"/>
      <c r="K453" s="2373"/>
      <c r="L453" s="2373"/>
      <c r="M453" s="2373"/>
      <c r="N453" s="2373"/>
      <c r="O453" s="2373"/>
      <c r="P453" s="2373"/>
      <c r="Q453" s="2373"/>
      <c r="R453" s="2373"/>
      <c r="S453" s="2373"/>
      <c r="T453" s="2373"/>
      <c r="U453" s="2373"/>
      <c r="V453" s="2373"/>
      <c r="W453" s="2373"/>
      <c r="X453" s="2373"/>
      <c r="Y453" s="2373"/>
      <c r="Z453" s="2373"/>
      <c r="AA453" s="2373"/>
      <c r="AB453" s="2373"/>
      <c r="AC453" s="2373"/>
      <c r="AD453" s="2373"/>
      <c r="AE453" s="2373"/>
      <c r="AF453" s="1120"/>
      <c r="AG453" s="1120"/>
      <c r="AH453" s="1120"/>
      <c r="AI453" s="1120"/>
      <c r="AJ453" s="1120"/>
      <c r="AK453" s="1120"/>
      <c r="AL453" s="1133"/>
      <c r="AM453" s="415"/>
      <c r="AN453" s="437"/>
    </row>
    <row r="454" spans="1:42" s="398" customFormat="1" ht="17.25" customHeight="1">
      <c r="A454" s="386"/>
      <c r="B454" s="11"/>
      <c r="C454" s="1134"/>
      <c r="D454" s="1123"/>
      <c r="E454" s="549"/>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L454" s="560"/>
      <c r="AM454" s="415"/>
      <c r="AN454" s="437"/>
    </row>
    <row r="455" spans="1:42" s="398" customFormat="1" ht="12.75" customHeight="1">
      <c r="A455" s="386"/>
      <c r="B455" s="11"/>
      <c r="C455" s="2397" t="s">
        <v>816</v>
      </c>
      <c r="D455" s="2344"/>
      <c r="E455" s="549"/>
      <c r="F455" s="436" t="s">
        <v>2237</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23" t="s">
        <v>2213</v>
      </c>
      <c r="AG455" s="2323"/>
      <c r="AH455" s="2323"/>
      <c r="AI455" s="2323"/>
      <c r="AJ455" s="2323"/>
      <c r="AK455" s="2323"/>
      <c r="AL455" s="2404"/>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23"/>
      <c r="D457" s="1123"/>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31"/>
      <c r="AF457" s="1131"/>
      <c r="AG457" s="1131"/>
      <c r="AH457" s="1131"/>
      <c r="AI457" s="1131"/>
      <c r="AJ457" s="1131"/>
      <c r="AK457" s="1131"/>
      <c r="AL457" s="1131"/>
      <c r="AM457" s="415"/>
      <c r="AN457" s="437"/>
    </row>
    <row r="458" spans="1:42" s="398" customFormat="1" ht="12.75" customHeight="1">
      <c r="A458" s="386"/>
      <c r="B458" s="11"/>
      <c r="C458" s="543"/>
      <c r="D458" s="544"/>
      <c r="E458" s="545" t="s">
        <v>2238</v>
      </c>
      <c r="F458" s="2372" t="s">
        <v>2239</v>
      </c>
      <c r="G458" s="2372"/>
      <c r="H458" s="2372"/>
      <c r="I458" s="2372"/>
      <c r="J458" s="2372"/>
      <c r="K458" s="2372"/>
      <c r="L458" s="2372"/>
      <c r="M458" s="2372"/>
      <c r="N458" s="2372"/>
      <c r="O458" s="2372"/>
      <c r="P458" s="2372"/>
      <c r="Q458" s="2372"/>
      <c r="R458" s="2372"/>
      <c r="S458" s="2372"/>
      <c r="T458" s="2372"/>
      <c r="U458" s="2372"/>
      <c r="V458" s="2372"/>
      <c r="W458" s="2372"/>
      <c r="X458" s="2372"/>
      <c r="Y458" s="2372"/>
      <c r="Z458" s="2372"/>
      <c r="AA458" s="2372"/>
      <c r="AB458" s="2372"/>
      <c r="AC458" s="2372"/>
      <c r="AD458" s="2372"/>
      <c r="AE458" s="2372"/>
      <c r="AF458" s="544"/>
      <c r="AG458" s="544"/>
      <c r="AH458" s="544"/>
      <c r="AI458" s="544"/>
      <c r="AJ458" s="544"/>
      <c r="AK458" s="544"/>
      <c r="AL458" s="573"/>
      <c r="AM458" s="415"/>
      <c r="AN458" s="437"/>
    </row>
    <row r="459" spans="1:42" s="398" customFormat="1" ht="12.75" customHeight="1">
      <c r="A459" s="386"/>
      <c r="B459" s="11"/>
      <c r="C459" s="1134"/>
      <c r="D459" s="1123"/>
      <c r="E459" s="549"/>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1131"/>
      <c r="AG459" s="1131"/>
      <c r="AH459" s="1131"/>
      <c r="AI459" s="1131"/>
      <c r="AJ459" s="1131"/>
      <c r="AK459" s="1131"/>
      <c r="AL459" s="1132"/>
      <c r="AM459" s="415"/>
      <c r="AN459" s="437"/>
    </row>
    <row r="460" spans="1:42" s="398" customFormat="1" ht="12.75" customHeight="1">
      <c r="A460" s="386"/>
      <c r="B460" s="11"/>
      <c r="C460" s="1134"/>
      <c r="D460" s="1123"/>
      <c r="E460" s="549"/>
      <c r="F460" s="2373"/>
      <c r="G460" s="2373"/>
      <c r="H460" s="2373"/>
      <c r="I460" s="2373"/>
      <c r="J460" s="2373"/>
      <c r="K460" s="2373"/>
      <c r="L460" s="2373"/>
      <c r="M460" s="2373"/>
      <c r="N460" s="2373"/>
      <c r="O460" s="2373"/>
      <c r="P460" s="2373"/>
      <c r="Q460" s="2373"/>
      <c r="R460" s="2373"/>
      <c r="S460" s="2373"/>
      <c r="T460" s="2373"/>
      <c r="U460" s="2373"/>
      <c r="V460" s="2373"/>
      <c r="W460" s="2373"/>
      <c r="X460" s="2373"/>
      <c r="Y460" s="2373"/>
      <c r="Z460" s="2373"/>
      <c r="AA460" s="2373"/>
      <c r="AB460" s="2373"/>
      <c r="AC460" s="2373"/>
      <c r="AD460" s="2373"/>
      <c r="AE460" s="2373"/>
      <c r="AF460" s="1131"/>
      <c r="AG460" s="1131"/>
      <c r="AH460" s="1131"/>
      <c r="AI460" s="1131"/>
      <c r="AJ460" s="1131"/>
      <c r="AK460" s="1131"/>
      <c r="AL460" s="1132"/>
      <c r="AM460" s="415"/>
      <c r="AN460" s="437"/>
    </row>
    <row r="461" spans="1:42" s="398" customFormat="1" ht="12.75" customHeight="1">
      <c r="A461" s="386"/>
      <c r="B461" s="11"/>
      <c r="C461" s="1134"/>
      <c r="D461" s="1123"/>
      <c r="E461" s="549"/>
      <c r="F461" s="2373"/>
      <c r="G461" s="2373"/>
      <c r="H461" s="2373"/>
      <c r="I461" s="2373"/>
      <c r="J461" s="2373"/>
      <c r="K461" s="2373"/>
      <c r="L461" s="2373"/>
      <c r="M461" s="2373"/>
      <c r="N461" s="2373"/>
      <c r="O461" s="2373"/>
      <c r="P461" s="2373"/>
      <c r="Q461" s="2373"/>
      <c r="R461" s="2373"/>
      <c r="S461" s="2373"/>
      <c r="T461" s="2373"/>
      <c r="U461" s="2373"/>
      <c r="V461" s="2373"/>
      <c r="W461" s="2373"/>
      <c r="X461" s="2373"/>
      <c r="Y461" s="2373"/>
      <c r="Z461" s="2373"/>
      <c r="AA461" s="2373"/>
      <c r="AB461" s="2373"/>
      <c r="AC461" s="2373"/>
      <c r="AD461" s="2373"/>
      <c r="AE461" s="2373"/>
      <c r="AL461" s="560"/>
      <c r="AM461" s="415"/>
      <c r="AN461" s="437"/>
    </row>
    <row r="462" spans="1:42" s="398" customFormat="1" ht="12.75" customHeight="1">
      <c r="A462" s="386"/>
      <c r="B462" s="11"/>
      <c r="C462" s="2397" t="s">
        <v>816</v>
      </c>
      <c r="D462" s="2344"/>
      <c r="E462" s="549"/>
      <c r="F462" s="550" t="s">
        <v>2240</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23" t="s">
        <v>2213</v>
      </c>
      <c r="AG462" s="2323"/>
      <c r="AH462" s="2323"/>
      <c r="AI462" s="2323"/>
      <c r="AJ462" s="2323"/>
      <c r="AK462" s="2323"/>
      <c r="AL462" s="2404"/>
      <c r="AM462" s="415"/>
      <c r="AN462" s="579"/>
    </row>
    <row r="463" spans="1:42" s="398" customFormat="1" ht="12.75" customHeight="1">
      <c r="A463" s="386"/>
      <c r="B463" s="11"/>
      <c r="C463" s="1134"/>
      <c r="D463" s="1123"/>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31"/>
      <c r="AL463" s="560"/>
      <c r="AM463" s="415"/>
      <c r="AN463" s="579"/>
    </row>
    <row r="464" spans="1:42" s="398" customFormat="1" ht="12.75" customHeight="1">
      <c r="A464" s="386"/>
      <c r="B464" s="11"/>
      <c r="C464" s="568"/>
      <c r="D464" s="561"/>
      <c r="E464" s="562"/>
      <c r="F464" s="556" t="s">
        <v>2220</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23"/>
      <c r="D465" s="1123"/>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31"/>
      <c r="AM465" s="415"/>
      <c r="AN465" s="579"/>
    </row>
    <row r="466" spans="1:40" s="398" customFormat="1" ht="12.75" customHeight="1">
      <c r="A466" s="386"/>
      <c r="B466" s="11"/>
      <c r="C466" s="2482" t="s">
        <v>816</v>
      </c>
      <c r="D466" s="2483"/>
      <c r="E466" s="545" t="s">
        <v>2241</v>
      </c>
      <c r="F466" s="2372" t="s">
        <v>2242</v>
      </c>
      <c r="G466" s="2372"/>
      <c r="H466" s="2372"/>
      <c r="I466" s="2372"/>
      <c r="J466" s="2372"/>
      <c r="K466" s="2372"/>
      <c r="L466" s="2372"/>
      <c r="M466" s="2372"/>
      <c r="N466" s="2372"/>
      <c r="O466" s="2372"/>
      <c r="P466" s="2372"/>
      <c r="Q466" s="2372"/>
      <c r="R466" s="2372"/>
      <c r="S466" s="2372"/>
      <c r="T466" s="2372"/>
      <c r="U466" s="2372"/>
      <c r="V466" s="2372"/>
      <c r="W466" s="2372"/>
      <c r="X466" s="2372"/>
      <c r="Y466" s="2372"/>
      <c r="Z466" s="2372"/>
      <c r="AA466" s="2372"/>
      <c r="AB466" s="2372"/>
      <c r="AC466" s="2372"/>
      <c r="AD466" s="2372"/>
      <c r="AE466" s="2372"/>
      <c r="AF466" s="2400" t="s">
        <v>2213</v>
      </c>
      <c r="AG466" s="2400"/>
      <c r="AH466" s="2400"/>
      <c r="AI466" s="2400"/>
      <c r="AJ466" s="2400"/>
      <c r="AK466" s="2400"/>
      <c r="AL466" s="2401"/>
      <c r="AM466" s="415"/>
      <c r="AN466" s="579"/>
    </row>
    <row r="467" spans="1:40" s="398" customFormat="1" ht="12.75" customHeight="1">
      <c r="A467" s="386"/>
      <c r="B467" s="11"/>
      <c r="C467" s="1134"/>
      <c r="D467" s="1123"/>
      <c r="E467" s="549"/>
      <c r="F467" s="2373"/>
      <c r="G467" s="2373"/>
      <c r="H467" s="2373"/>
      <c r="I467" s="2373"/>
      <c r="J467" s="2373"/>
      <c r="K467" s="2373"/>
      <c r="L467" s="2373"/>
      <c r="M467" s="2373"/>
      <c r="N467" s="2373"/>
      <c r="O467" s="2373"/>
      <c r="P467" s="2373"/>
      <c r="Q467" s="2373"/>
      <c r="R467" s="2373"/>
      <c r="S467" s="2373"/>
      <c r="T467" s="2373"/>
      <c r="U467" s="2373"/>
      <c r="V467" s="2373"/>
      <c r="W467" s="2373"/>
      <c r="X467" s="2373"/>
      <c r="Y467" s="2373"/>
      <c r="Z467" s="2373"/>
      <c r="AA467" s="2373"/>
      <c r="AB467" s="2373"/>
      <c r="AC467" s="2373"/>
      <c r="AD467" s="2373"/>
      <c r="AE467" s="2373"/>
      <c r="AF467" s="1131"/>
      <c r="AG467" s="1131"/>
      <c r="AH467" s="1131"/>
      <c r="AI467" s="1131"/>
      <c r="AJ467" s="1131"/>
      <c r="AK467" s="1131"/>
      <c r="AL467" s="1132"/>
      <c r="AM467" s="415"/>
      <c r="AN467" s="580"/>
    </row>
    <row r="468" spans="1:40" s="398" customFormat="1" ht="18" customHeight="1">
      <c r="A468" s="386"/>
      <c r="B468" s="11"/>
      <c r="C468" s="582"/>
      <c r="D468" s="552"/>
      <c r="E468" s="553"/>
      <c r="F468" s="2374"/>
      <c r="G468" s="2374"/>
      <c r="H468" s="2374"/>
      <c r="I468" s="2374"/>
      <c r="J468" s="2374"/>
      <c r="K468" s="2374"/>
      <c r="L468" s="2374"/>
      <c r="M468" s="2374"/>
      <c r="N468" s="2374"/>
      <c r="O468" s="2374"/>
      <c r="P468" s="2374"/>
      <c r="Q468" s="2374"/>
      <c r="R468" s="2374"/>
      <c r="S468" s="2374"/>
      <c r="T468" s="2374"/>
      <c r="U468" s="2374"/>
      <c r="V468" s="2374"/>
      <c r="W468" s="2374"/>
      <c r="X468" s="2374"/>
      <c r="Y468" s="2374"/>
      <c r="Z468" s="2374"/>
      <c r="AA468" s="2374"/>
      <c r="AB468" s="2374"/>
      <c r="AC468" s="2374"/>
      <c r="AD468" s="2374"/>
      <c r="AE468" s="2374"/>
      <c r="AF468" s="557"/>
      <c r="AG468" s="557"/>
      <c r="AH468" s="557"/>
      <c r="AI468" s="557"/>
      <c r="AJ468" s="557"/>
      <c r="AK468" s="557"/>
      <c r="AL468" s="583"/>
      <c r="AM468" s="415"/>
      <c r="AN468" s="385"/>
    </row>
    <row r="469" spans="1:40" s="398" customFormat="1" ht="12.75" customHeight="1">
      <c r="A469" s="386"/>
      <c r="B469" s="11"/>
      <c r="C469" s="1123"/>
      <c r="D469" s="1123"/>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31"/>
      <c r="AM469" s="415"/>
      <c r="AN469" s="385"/>
    </row>
    <row r="470" spans="1:40" s="398" customFormat="1" ht="12.75" customHeight="1">
      <c r="A470" s="386"/>
      <c r="B470" s="11"/>
      <c r="C470" s="2397" t="s">
        <v>816</v>
      </c>
      <c r="D470" s="2344"/>
      <c r="E470" s="545" t="s">
        <v>2243</v>
      </c>
      <c r="F470" s="2372" t="s">
        <v>2244</v>
      </c>
      <c r="G470" s="2372"/>
      <c r="H470" s="2372"/>
      <c r="I470" s="2372"/>
      <c r="J470" s="2372"/>
      <c r="K470" s="2372"/>
      <c r="L470" s="2372"/>
      <c r="M470" s="2372"/>
      <c r="N470" s="2372"/>
      <c r="O470" s="2372"/>
      <c r="P470" s="2372"/>
      <c r="Q470" s="2372"/>
      <c r="R470" s="2372"/>
      <c r="S470" s="2372"/>
      <c r="T470" s="2372"/>
      <c r="U470" s="2372"/>
      <c r="V470" s="2372"/>
      <c r="W470" s="2372"/>
      <c r="X470" s="2372"/>
      <c r="Y470" s="2372"/>
      <c r="Z470" s="2372"/>
      <c r="AA470" s="2372"/>
      <c r="AB470" s="2372"/>
      <c r="AC470" s="2372"/>
      <c r="AD470" s="2372"/>
      <c r="AE470" s="2372"/>
      <c r="AF470" s="2400" t="s">
        <v>2213</v>
      </c>
      <c r="AG470" s="2400"/>
      <c r="AH470" s="2400"/>
      <c r="AI470" s="2400"/>
      <c r="AJ470" s="2400"/>
      <c r="AK470" s="2400"/>
      <c r="AL470" s="2401"/>
      <c r="AM470" s="415"/>
      <c r="AN470" s="385"/>
    </row>
    <row r="471" spans="1:40" s="398" customFormat="1" ht="12.75" customHeight="1">
      <c r="A471" s="386"/>
      <c r="B471" s="11"/>
      <c r="C471" s="559"/>
      <c r="D471" s="11"/>
      <c r="E471" s="522"/>
      <c r="F471" s="2373"/>
      <c r="G471" s="2373"/>
      <c r="H471" s="2373"/>
      <c r="I471" s="2373"/>
      <c r="J471" s="2373"/>
      <c r="K471" s="2373"/>
      <c r="L471" s="2373"/>
      <c r="M471" s="2373"/>
      <c r="N471" s="2373"/>
      <c r="O471" s="2373"/>
      <c r="P471" s="2373"/>
      <c r="Q471" s="2373"/>
      <c r="R471" s="2373"/>
      <c r="S471" s="2373"/>
      <c r="T471" s="2373"/>
      <c r="U471" s="2373"/>
      <c r="V471" s="2373"/>
      <c r="W471" s="2373"/>
      <c r="X471" s="2373"/>
      <c r="Y471" s="2373"/>
      <c r="Z471" s="2373"/>
      <c r="AA471" s="2373"/>
      <c r="AB471" s="2373"/>
      <c r="AC471" s="2373"/>
      <c r="AD471" s="2373"/>
      <c r="AE471" s="2373"/>
      <c r="AF471" s="389"/>
      <c r="AG471" s="386"/>
      <c r="AL471" s="560"/>
      <c r="AM471" s="415"/>
      <c r="AN471" s="385"/>
    </row>
    <row r="472" spans="1:40" s="398" customFormat="1" ht="12.75" customHeight="1">
      <c r="A472" s="386"/>
      <c r="B472" s="11"/>
      <c r="C472" s="559"/>
      <c r="D472" s="11"/>
      <c r="E472" s="522"/>
      <c r="F472" s="2373"/>
      <c r="G472" s="2373"/>
      <c r="H472" s="2373"/>
      <c r="I472" s="2373"/>
      <c r="J472" s="2373"/>
      <c r="K472" s="2373"/>
      <c r="L472" s="2373"/>
      <c r="M472" s="2373"/>
      <c r="N472" s="2373"/>
      <c r="O472" s="2373"/>
      <c r="P472" s="2373"/>
      <c r="Q472" s="2373"/>
      <c r="R472" s="2373"/>
      <c r="S472" s="2373"/>
      <c r="T472" s="2373"/>
      <c r="U472" s="2373"/>
      <c r="V472" s="2373"/>
      <c r="W472" s="2373"/>
      <c r="X472" s="2373"/>
      <c r="Y472" s="2373"/>
      <c r="Z472" s="2373"/>
      <c r="AA472" s="2373"/>
      <c r="AB472" s="2373"/>
      <c r="AC472" s="2373"/>
      <c r="AD472" s="2373"/>
      <c r="AE472" s="2373"/>
      <c r="AF472" s="389"/>
      <c r="AG472" s="386"/>
      <c r="AL472" s="560"/>
      <c r="AM472" s="415"/>
      <c r="AN472" s="385"/>
    </row>
    <row r="473" spans="1:40" s="398" customFormat="1" ht="12.75" customHeight="1">
      <c r="A473" s="386"/>
      <c r="B473" s="11"/>
      <c r="C473" s="582"/>
      <c r="D473" s="552"/>
      <c r="E473" s="553"/>
      <c r="F473" s="2374"/>
      <c r="G473" s="2374"/>
      <c r="H473" s="2374"/>
      <c r="I473" s="2374"/>
      <c r="J473" s="2374"/>
      <c r="K473" s="2374"/>
      <c r="L473" s="2374"/>
      <c r="M473" s="2374"/>
      <c r="N473" s="2374"/>
      <c r="O473" s="2374"/>
      <c r="P473" s="2374"/>
      <c r="Q473" s="2374"/>
      <c r="R473" s="2374"/>
      <c r="S473" s="2374"/>
      <c r="T473" s="2374"/>
      <c r="U473" s="2374"/>
      <c r="V473" s="2374"/>
      <c r="W473" s="2374"/>
      <c r="X473" s="2374"/>
      <c r="Y473" s="2374"/>
      <c r="Z473" s="2374"/>
      <c r="AA473" s="2374"/>
      <c r="AB473" s="2374"/>
      <c r="AC473" s="2374"/>
      <c r="AD473" s="2374"/>
      <c r="AE473" s="2374"/>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2245</v>
      </c>
      <c r="F475" s="2372" t="s">
        <v>2246</v>
      </c>
      <c r="G475" s="2372"/>
      <c r="H475" s="2372"/>
      <c r="I475" s="2372"/>
      <c r="J475" s="2372"/>
      <c r="K475" s="2372"/>
      <c r="L475" s="2372"/>
      <c r="M475" s="2372"/>
      <c r="N475" s="2372"/>
      <c r="O475" s="2372"/>
      <c r="P475" s="2372"/>
      <c r="Q475" s="2372"/>
      <c r="R475" s="2372"/>
      <c r="S475" s="2372"/>
      <c r="T475" s="2372"/>
      <c r="U475" s="2372"/>
      <c r="V475" s="2372"/>
      <c r="W475" s="2372"/>
      <c r="X475" s="2372"/>
      <c r="Y475" s="2372"/>
      <c r="Z475" s="2372"/>
      <c r="AA475" s="2372"/>
      <c r="AB475" s="2372"/>
      <c r="AC475" s="2372"/>
      <c r="AD475" s="2372"/>
      <c r="AE475" s="2372"/>
      <c r="AF475" s="2372"/>
      <c r="AG475" s="572"/>
      <c r="AH475" s="544"/>
      <c r="AI475" s="544"/>
      <c r="AJ475" s="544"/>
      <c r="AK475" s="544"/>
      <c r="AL475" s="573"/>
      <c r="AM475" s="415"/>
      <c r="AN475" s="437"/>
    </row>
    <row r="476" spans="1:40" s="398" customFormat="1" ht="12.75" customHeight="1">
      <c r="A476" s="386"/>
      <c r="B476" s="11"/>
      <c r="C476" s="559"/>
      <c r="D476" s="11"/>
      <c r="E476" s="522"/>
      <c r="F476" s="2373"/>
      <c r="G476" s="2373"/>
      <c r="H476" s="2373"/>
      <c r="I476" s="2373"/>
      <c r="J476" s="2373"/>
      <c r="K476" s="2373"/>
      <c r="L476" s="2373"/>
      <c r="M476" s="2373"/>
      <c r="N476" s="2373"/>
      <c r="O476" s="2373"/>
      <c r="P476" s="2373"/>
      <c r="Q476" s="2373"/>
      <c r="R476" s="2373"/>
      <c r="S476" s="2373"/>
      <c r="T476" s="2373"/>
      <c r="U476" s="2373"/>
      <c r="V476" s="2373"/>
      <c r="W476" s="2373"/>
      <c r="X476" s="2373"/>
      <c r="Y476" s="2373"/>
      <c r="Z476" s="2373"/>
      <c r="AA476" s="2373"/>
      <c r="AB476" s="2373"/>
      <c r="AC476" s="2373"/>
      <c r="AD476" s="2373"/>
      <c r="AE476" s="2373"/>
      <c r="AF476" s="2373"/>
      <c r="AL476" s="560"/>
      <c r="AM476" s="415"/>
      <c r="AN476" s="437"/>
    </row>
    <row r="477" spans="1:40" s="398" customFormat="1" ht="12.75" customHeight="1">
      <c r="A477" s="386"/>
      <c r="B477" s="11"/>
      <c r="C477" s="567"/>
      <c r="F477" s="2373"/>
      <c r="G477" s="2373"/>
      <c r="H477" s="2373"/>
      <c r="I477" s="2373"/>
      <c r="J477" s="2373"/>
      <c r="K477" s="2373"/>
      <c r="L477" s="2373"/>
      <c r="M477" s="2373"/>
      <c r="N477" s="2373"/>
      <c r="O477" s="2373"/>
      <c r="P477" s="2373"/>
      <c r="Q477" s="2373"/>
      <c r="R477" s="2373"/>
      <c r="S477" s="2373"/>
      <c r="T477" s="2373"/>
      <c r="U477" s="2373"/>
      <c r="V477" s="2373"/>
      <c r="W477" s="2373"/>
      <c r="X477" s="2373"/>
      <c r="Y477" s="2373"/>
      <c r="Z477" s="2373"/>
      <c r="AA477" s="2373"/>
      <c r="AB477" s="2373"/>
      <c r="AC477" s="2373"/>
      <c r="AD477" s="2373"/>
      <c r="AE477" s="2373"/>
      <c r="AF477" s="2373"/>
      <c r="AL477" s="560"/>
      <c r="AM477" s="415"/>
      <c r="AN477" s="437"/>
    </row>
    <row r="478" spans="1:40" s="398" customFormat="1" ht="12.75" customHeight="1">
      <c r="A478" s="386"/>
      <c r="B478" s="11"/>
      <c r="C478" s="567"/>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L478" s="560"/>
      <c r="AM478" s="415"/>
      <c r="AN478" s="437"/>
    </row>
    <row r="479" spans="1:40" s="398" customFormat="1" ht="12.75" customHeight="1">
      <c r="A479" s="386"/>
      <c r="B479" s="11"/>
      <c r="C479" s="2397" t="s">
        <v>816</v>
      </c>
      <c r="D479" s="2344"/>
      <c r="E479" s="549"/>
      <c r="F479" s="550" t="s">
        <v>2229</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398" t="s">
        <v>2213</v>
      </c>
      <c r="AG479" s="2398"/>
      <c r="AH479" s="2398"/>
      <c r="AI479" s="2398"/>
      <c r="AJ479" s="2398"/>
      <c r="AK479" s="2398"/>
      <c r="AL479" s="2399"/>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2247</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2248</v>
      </c>
      <c r="AK482" s="2325">
        <f>IF(Application!D214="N/A",AS371,AS373)</f>
        <v>10</v>
      </c>
      <c r="AL482" s="2371"/>
      <c r="AM482" s="2326"/>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26"/>
      <c r="J484" s="1126"/>
      <c r="K484" s="1126"/>
      <c r="L484" s="1126"/>
      <c r="M484" s="1126"/>
      <c r="N484" s="1126"/>
      <c r="O484" s="1126"/>
      <c r="P484" s="1126"/>
      <c r="Q484" s="1126"/>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2249</v>
      </c>
      <c r="C485" s="389"/>
      <c r="E485" s="436"/>
      <c r="AE485" s="2398" t="s">
        <v>2250</v>
      </c>
      <c r="AF485" s="2398"/>
      <c r="AG485" s="2398"/>
      <c r="AH485" s="2398"/>
      <c r="AI485" s="2398"/>
      <c r="AJ485" s="2398"/>
      <c r="AK485" s="2398"/>
      <c r="AL485" s="1131"/>
      <c r="AN485" s="437"/>
      <c r="AO485" s="398" t="s">
        <v>2251</v>
      </c>
      <c r="AP485" s="398">
        <v>5</v>
      </c>
      <c r="AT485" s="398" t="s">
        <v>2251</v>
      </c>
      <c r="AU485" s="398">
        <v>5</v>
      </c>
      <c r="AV485" s="578"/>
    </row>
    <row r="486" spans="1:59" s="398" customFormat="1" ht="12.75" hidden="1" customHeight="1">
      <c r="A486" s="389"/>
      <c r="B486" s="386" t="s">
        <v>2252</v>
      </c>
      <c r="C486" s="389"/>
      <c r="E486" s="436"/>
      <c r="AE486" s="1131"/>
      <c r="AF486" s="1131"/>
      <c r="AG486" s="1131"/>
      <c r="AH486" s="1131"/>
      <c r="AI486" s="1131"/>
      <c r="AJ486" s="1131"/>
      <c r="AK486" s="1131"/>
      <c r="AL486" s="1131"/>
      <c r="AN486" s="437"/>
      <c r="AO486" s="398" t="s">
        <v>2253</v>
      </c>
      <c r="AP486" s="398">
        <v>5</v>
      </c>
      <c r="AT486" s="398" t="s">
        <v>2254</v>
      </c>
      <c r="AU486" s="398">
        <v>5</v>
      </c>
      <c r="AV486" s="578"/>
    </row>
    <row r="487" spans="1:59" s="398" customFormat="1" ht="12.75" hidden="1" customHeight="1">
      <c r="A487" s="389"/>
      <c r="B487" s="389" t="s">
        <v>2255</v>
      </c>
      <c r="C487" s="389"/>
      <c r="E487" s="436"/>
      <c r="AE487" s="1131"/>
      <c r="AF487" s="1131"/>
      <c r="AG487" s="1131"/>
      <c r="AH487" s="1131"/>
      <c r="AI487" s="1131"/>
      <c r="AJ487" s="1131"/>
      <c r="AK487" s="1131"/>
      <c r="AL487" s="1131"/>
      <c r="AN487" s="437"/>
      <c r="AO487" s="398" t="s">
        <v>2256</v>
      </c>
      <c r="AP487" s="398">
        <v>5</v>
      </c>
      <c r="AQ487" s="389"/>
      <c r="AR487" s="389"/>
      <c r="AS487" s="581"/>
      <c r="AT487" s="398" t="s">
        <v>2256</v>
      </c>
      <c r="AU487" s="398">
        <v>5</v>
      </c>
      <c r="AV487" s="386"/>
    </row>
    <row r="488" spans="1:59" s="398" customFormat="1" ht="12.75" hidden="1" customHeight="1">
      <c r="A488" s="389"/>
      <c r="B488" s="389" t="s">
        <v>2257</v>
      </c>
      <c r="C488" s="389"/>
      <c r="E488" s="436"/>
      <c r="AE488" s="1131"/>
      <c r="AF488" s="1131"/>
      <c r="AG488" s="1131"/>
      <c r="AH488" s="1131"/>
      <c r="AI488" s="1131"/>
      <c r="AJ488" s="1131"/>
      <c r="AK488" s="1131"/>
      <c r="AL488" s="1131"/>
      <c r="AN488" s="437"/>
      <c r="AO488" s="398" t="s">
        <v>2258</v>
      </c>
      <c r="AP488" s="398">
        <v>5</v>
      </c>
      <c r="AQ488" s="389"/>
      <c r="AR488" s="389"/>
      <c r="AT488" s="398" t="s">
        <v>2258</v>
      </c>
      <c r="AU488" s="398">
        <v>5</v>
      </c>
    </row>
    <row r="489" spans="1:59" s="398" customFormat="1" ht="12.75" hidden="1" customHeight="1">
      <c r="A489" s="389"/>
      <c r="C489" s="389"/>
      <c r="E489" s="436"/>
      <c r="AE489" s="1131"/>
      <c r="AF489" s="1131"/>
      <c r="AG489" s="1131"/>
      <c r="AH489" s="1131"/>
      <c r="AI489" s="1131"/>
      <c r="AJ489" s="1131"/>
      <c r="AK489" s="1131"/>
      <c r="AL489" s="1131"/>
      <c r="AN489" s="437"/>
      <c r="AO489" s="398" t="s">
        <v>2259</v>
      </c>
      <c r="AP489" s="398">
        <v>5</v>
      </c>
      <c r="AQ489" s="389"/>
      <c r="AR489" s="389"/>
      <c r="AT489" s="398" t="s">
        <v>2259</v>
      </c>
      <c r="AU489" s="398">
        <v>5</v>
      </c>
    </row>
    <row r="490" spans="1:59" s="398" customFormat="1" ht="12.75" hidden="1" customHeight="1">
      <c r="A490" s="389"/>
      <c r="C490" s="542" t="s">
        <v>2260</v>
      </c>
      <c r="D490" s="415"/>
      <c r="AE490" s="1131"/>
      <c r="AF490" s="1131"/>
      <c r="AG490" s="436"/>
      <c r="AH490" s="436"/>
      <c r="AI490" s="436"/>
      <c r="AJ490" s="436"/>
      <c r="AK490" s="436"/>
      <c r="AL490" s="436"/>
      <c r="AN490" s="437"/>
      <c r="AO490" s="398" t="s">
        <v>2261</v>
      </c>
      <c r="AP490" s="398">
        <v>5</v>
      </c>
      <c r="AT490" s="398" t="s">
        <v>2261</v>
      </c>
      <c r="AU490" s="398">
        <v>5</v>
      </c>
    </row>
    <row r="491" spans="1:59" s="398" customFormat="1" ht="12.75" hidden="1" customHeight="1">
      <c r="A491" s="389"/>
      <c r="C491" s="2347" t="s">
        <v>816</v>
      </c>
      <c r="D491" s="2348"/>
      <c r="E491" s="587" t="s">
        <v>51</v>
      </c>
      <c r="F491" s="2383" t="s">
        <v>2262</v>
      </c>
      <c r="G491" s="2383"/>
      <c r="H491" s="2383"/>
      <c r="I491" s="2383"/>
      <c r="J491" s="2383"/>
      <c r="K491" s="2383"/>
      <c r="L491" s="2383"/>
      <c r="M491" s="2383"/>
      <c r="N491" s="2383"/>
      <c r="O491" s="2383"/>
      <c r="P491" s="2383"/>
      <c r="Q491" s="2383"/>
      <c r="R491" s="2383"/>
      <c r="S491" s="2383"/>
      <c r="T491" s="2383"/>
      <c r="U491" s="2383"/>
      <c r="V491" s="2383"/>
      <c r="W491" s="2383"/>
      <c r="X491" s="2383"/>
      <c r="Y491" s="2383"/>
      <c r="Z491" s="2383"/>
      <c r="AA491" s="2383"/>
      <c r="AB491" s="2383"/>
      <c r="AC491" s="2383"/>
      <c r="AD491" s="2383"/>
      <c r="AE491" s="2383"/>
      <c r="AF491" s="544"/>
      <c r="AG491" s="544"/>
      <c r="AH491" s="544"/>
      <c r="AI491" s="544"/>
      <c r="AJ491" s="544"/>
      <c r="AK491" s="573"/>
      <c r="AN491" s="437"/>
      <c r="AO491" s="398" t="s">
        <v>2263</v>
      </c>
      <c r="AP491" s="398">
        <v>5</v>
      </c>
      <c r="AS491" s="584"/>
      <c r="AT491" s="398" t="s">
        <v>2264</v>
      </c>
      <c r="AU491" s="398">
        <v>5</v>
      </c>
    </row>
    <row r="492" spans="1:59" s="398" customFormat="1" ht="12.75" hidden="1" customHeight="1">
      <c r="C492" s="588"/>
      <c r="E492" s="589"/>
      <c r="F492" s="2384"/>
      <c r="G492" s="2384"/>
      <c r="H492" s="2384"/>
      <c r="I492" s="2384"/>
      <c r="J492" s="2384"/>
      <c r="K492" s="2384"/>
      <c r="L492" s="2384"/>
      <c r="M492" s="2384"/>
      <c r="N492" s="2384"/>
      <c r="O492" s="2384"/>
      <c r="P492" s="2384"/>
      <c r="Q492" s="2384"/>
      <c r="R492" s="2384"/>
      <c r="S492" s="2384"/>
      <c r="T492" s="2384"/>
      <c r="U492" s="2384"/>
      <c r="V492" s="2384"/>
      <c r="W492" s="2384"/>
      <c r="X492" s="2384"/>
      <c r="Y492" s="2384"/>
      <c r="Z492" s="2384"/>
      <c r="AA492" s="2384"/>
      <c r="AB492" s="2384"/>
      <c r="AC492" s="2384"/>
      <c r="AD492" s="2384"/>
      <c r="AE492" s="2384"/>
      <c r="AG492" s="399"/>
      <c r="AH492" s="399"/>
      <c r="AI492" s="399"/>
      <c r="AJ492" s="399"/>
      <c r="AK492" s="560"/>
      <c r="AN492" s="437"/>
      <c r="AO492" s="398" t="s">
        <v>2265</v>
      </c>
      <c r="AP492" s="398">
        <v>1</v>
      </c>
      <c r="AT492" s="398" t="s">
        <v>2265</v>
      </c>
      <c r="AU492" s="398">
        <v>1</v>
      </c>
    </row>
    <row r="493" spans="1:59" s="398" customFormat="1" ht="12.75" hidden="1" customHeight="1">
      <c r="C493" s="590"/>
      <c r="D493" s="556"/>
      <c r="E493" s="591"/>
      <c r="F493" s="2381" t="s">
        <v>816</v>
      </c>
      <c r="G493" s="2381"/>
      <c r="H493" s="2381"/>
      <c r="I493" s="2381"/>
      <c r="J493" s="2381"/>
      <c r="K493" s="2381"/>
      <c r="L493" s="2381"/>
      <c r="M493" s="2381"/>
      <c r="N493" s="2381"/>
      <c r="O493" s="2381"/>
      <c r="P493" s="2381"/>
      <c r="Q493" s="2381"/>
      <c r="R493" s="2381"/>
      <c r="S493" s="2381"/>
      <c r="T493" s="2381"/>
      <c r="U493" s="2381"/>
      <c r="V493" s="2381"/>
      <c r="W493" s="2381"/>
      <c r="X493" s="2381"/>
      <c r="Y493" s="2381"/>
      <c r="Z493" s="2381"/>
      <c r="AA493" s="592"/>
      <c r="AB493" s="490"/>
      <c r="AC493" s="490"/>
      <c r="AD493" s="556"/>
      <c r="AE493" s="556"/>
      <c r="AF493" s="556"/>
      <c r="AG493" s="593">
        <f>IF($C$491="Yes",(VLOOKUP($F$493,$AT$484:$AU$492,2,FALSE)),0)</f>
        <v>0</v>
      </c>
      <c r="AH493" s="594" t="s">
        <v>2047</v>
      </c>
      <c r="AI493" s="593"/>
      <c r="AJ493" s="593"/>
      <c r="AK493" s="570"/>
      <c r="AN493" s="437"/>
      <c r="AS493" s="581"/>
      <c r="AX493" s="581"/>
      <c r="BB493" s="581" t="s">
        <v>2266</v>
      </c>
      <c r="BF493" s="581" t="s">
        <v>2267</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350" t="s">
        <v>847</v>
      </c>
      <c r="D495" s="2351"/>
      <c r="E495" s="587" t="s">
        <v>53</v>
      </c>
      <c r="F495" s="595" t="s">
        <v>2268</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2269</v>
      </c>
      <c r="AX495" s="475">
        <v>3</v>
      </c>
      <c r="AY495" s="434"/>
      <c r="BB495" s="584">
        <v>0.4</v>
      </c>
      <c r="BC495" s="434">
        <v>3</v>
      </c>
      <c r="BF495" s="584">
        <v>0.4</v>
      </c>
      <c r="BG495" s="434">
        <v>4</v>
      </c>
    </row>
    <row r="496" spans="1:59" s="398" customFormat="1" ht="12.75" hidden="1" customHeight="1">
      <c r="C496" s="596" t="s">
        <v>2270</v>
      </c>
      <c r="F496" s="597" t="s">
        <v>2271</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31"/>
      <c r="AG496" s="452"/>
      <c r="AH496" s="452"/>
      <c r="AI496" s="452"/>
      <c r="AJ496" s="452"/>
      <c r="AK496" s="560"/>
      <c r="AN496" s="437"/>
      <c r="AO496" s="584">
        <v>0.2</v>
      </c>
      <c r="AP496" s="475">
        <v>5</v>
      </c>
      <c r="AT496" s="584">
        <v>0.12</v>
      </c>
      <c r="AU496" s="475">
        <v>5</v>
      </c>
      <c r="AW496" s="398" t="s">
        <v>2272</v>
      </c>
      <c r="AX496" s="475">
        <v>5</v>
      </c>
      <c r="AY496" s="434"/>
      <c r="BB496" s="584">
        <v>0.6</v>
      </c>
      <c r="BC496" s="434">
        <v>4</v>
      </c>
      <c r="BF496" s="584">
        <v>0.6</v>
      </c>
      <c r="BG496" s="434">
        <v>5</v>
      </c>
    </row>
    <row r="497" spans="1:81" s="398" customFormat="1" ht="12.75" hidden="1" customHeight="1">
      <c r="C497" s="1134"/>
      <c r="D497" s="1123"/>
      <c r="E497" s="598"/>
      <c r="F497" s="597" t="s">
        <v>2273</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2274</v>
      </c>
      <c r="G498" s="398"/>
      <c r="H498" s="398"/>
      <c r="I498" s="597"/>
      <c r="J498" s="597"/>
      <c r="K498" s="597"/>
      <c r="L498" s="597"/>
      <c r="M498" s="597"/>
      <c r="N498" s="597"/>
      <c r="O498" s="597"/>
      <c r="P498" s="597"/>
      <c r="Q498" s="597"/>
      <c r="R498" s="597"/>
      <c r="S498" s="597"/>
      <c r="T498" s="597"/>
      <c r="U498" s="597"/>
      <c r="V498" s="2380" t="s">
        <v>816</v>
      </c>
      <c r="W498" s="2380"/>
      <c r="X498" s="2380"/>
      <c r="Y498" s="597"/>
      <c r="Z498" s="597"/>
      <c r="AA498" s="597"/>
      <c r="AB498" s="597"/>
      <c r="AC498" s="597"/>
      <c r="AD498" s="448"/>
      <c r="AE498" s="448"/>
      <c r="AF498" s="448"/>
      <c r="AG498" s="452">
        <f>IF(AND($C$495="Yes",$V$500="N/A",$V$505="N/A",$V$509="N/A",$V$511="N/A"),(VLOOKUP(V498,$AW$494:$AX$496,2,FALSE)),0)</f>
        <v>0</v>
      </c>
      <c r="AH498" s="1143" t="s">
        <v>2047</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43"/>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2275</v>
      </c>
      <c r="G500" s="398"/>
      <c r="H500" s="398"/>
      <c r="I500" s="597"/>
      <c r="J500" s="597"/>
      <c r="K500" s="597"/>
      <c r="L500" s="597"/>
      <c r="M500" s="597"/>
      <c r="N500" s="597"/>
      <c r="O500" s="597"/>
      <c r="P500" s="597"/>
      <c r="Q500" s="597"/>
      <c r="R500" s="597"/>
      <c r="S500" s="597"/>
      <c r="T500" s="597"/>
      <c r="U500" s="597"/>
      <c r="V500" s="2380" t="s">
        <v>816</v>
      </c>
      <c r="W500" s="2380"/>
      <c r="X500" s="2380"/>
      <c r="Y500" s="597"/>
      <c r="Z500" s="597"/>
      <c r="AA500" s="597"/>
      <c r="AB500" s="597"/>
      <c r="AC500" s="597"/>
      <c r="AD500" s="448"/>
      <c r="AE500" s="448"/>
      <c r="AF500" s="448"/>
      <c r="AG500" s="452">
        <f>IF(AND($C$495="Yes",$V$498="N/A", $V$505="N/A",$V$509="N/A",$V$511="N/A"),(VLOOKUP(V500,$AT$494:$AU$496,2,FALSE)),0)</f>
        <v>0</v>
      </c>
      <c r="AH500" s="1143" t="s">
        <v>2047</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2276</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2277</v>
      </c>
      <c r="AP502" s="475">
        <v>2</v>
      </c>
    </row>
    <row r="503" spans="1:81" s="398" customFormat="1" ht="12.75" hidden="1" customHeight="1">
      <c r="C503" s="588"/>
      <c r="F503" s="448" t="s">
        <v>2278</v>
      </c>
      <c r="M503" s="589"/>
      <c r="N503" s="589"/>
      <c r="O503" s="589"/>
      <c r="P503" s="589"/>
      <c r="Q503" s="399"/>
      <c r="R503" s="399"/>
      <c r="S503" s="399"/>
      <c r="T503" s="399"/>
      <c r="U503" s="399"/>
      <c r="V503" s="399"/>
      <c r="W503" s="399"/>
      <c r="X503" s="399"/>
      <c r="Y503" s="399"/>
      <c r="Z503" s="399"/>
      <c r="AA503" s="399"/>
      <c r="AB503" s="399"/>
      <c r="AC503" s="399"/>
      <c r="AG503" s="452"/>
      <c r="AH503" s="1143"/>
      <c r="AI503" s="399"/>
      <c r="AJ503" s="399"/>
      <c r="AK503" s="560"/>
      <c r="AN503" s="437"/>
      <c r="AO503" s="398" t="s">
        <v>2279</v>
      </c>
      <c r="AP503" s="398">
        <v>2</v>
      </c>
    </row>
    <row r="504" spans="1:81" s="436" customFormat="1" ht="12.75" hidden="1" customHeight="1">
      <c r="A504" s="398"/>
      <c r="B504" s="398"/>
      <c r="C504" s="567"/>
      <c r="D504" s="415"/>
      <c r="E504" s="415"/>
      <c r="F504" s="448" t="s">
        <v>2280</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43"/>
      <c r="AI504" s="399"/>
      <c r="AJ504" s="399"/>
      <c r="AK504" s="560"/>
      <c r="AL504" s="398"/>
      <c r="AM504" s="398"/>
      <c r="AN504" s="510"/>
      <c r="AO504" s="398" t="s">
        <v>2281</v>
      </c>
      <c r="AP504" s="398">
        <v>2</v>
      </c>
    </row>
    <row r="505" spans="1:81" s="398" customFormat="1" ht="12.75" hidden="1" customHeight="1">
      <c r="C505" s="603"/>
      <c r="F505" s="601" t="s">
        <v>2282</v>
      </c>
      <c r="M505" s="589"/>
      <c r="N505" s="589"/>
      <c r="O505" s="589"/>
      <c r="P505" s="589"/>
      <c r="Q505" s="399"/>
      <c r="R505" s="399"/>
      <c r="S505" s="399"/>
      <c r="T505" s="399"/>
      <c r="U505" s="399"/>
      <c r="V505" s="2380" t="s">
        <v>816</v>
      </c>
      <c r="W505" s="2380"/>
      <c r="X505" s="2380"/>
      <c r="Y505" s="399"/>
      <c r="Z505" s="399"/>
      <c r="AA505" s="399"/>
      <c r="AB505" s="399"/>
      <c r="AC505" s="399"/>
      <c r="AG505" s="452">
        <f>IF(AND($C$495="Yes",$V$498="N/A",$V$500="N/A", $V$509="N/A",$V$511="N/A"),(VLOOKUP($V$505,$AT$498:$AU$500,2,FALSE)),0)</f>
        <v>0</v>
      </c>
      <c r="AH505" s="1143" t="s">
        <v>2047</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2283</v>
      </c>
      <c r="D507" s="544"/>
      <c r="E507" s="544"/>
      <c r="F507" s="606" t="s">
        <v>2284</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349"/>
      <c r="E508" s="2349"/>
      <c r="F508" s="597" t="s">
        <v>2285</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2286</v>
      </c>
      <c r="AP508" s="475">
        <v>5</v>
      </c>
      <c r="AQ508" s="389"/>
    </row>
    <row r="509" spans="1:81" s="415" customFormat="1" ht="12.75" hidden="1" customHeight="1">
      <c r="A509" s="1129"/>
      <c r="B509" s="398"/>
      <c r="C509" s="588"/>
      <c r="D509" s="398"/>
      <c r="E509" s="398"/>
      <c r="F509" s="608" t="s">
        <v>2274</v>
      </c>
      <c r="G509" s="398"/>
      <c r="H509" s="398"/>
      <c r="I509" s="398"/>
      <c r="J509" s="398"/>
      <c r="K509" s="398"/>
      <c r="L509" s="398"/>
      <c r="M509" s="398"/>
      <c r="N509" s="398"/>
      <c r="O509" s="398"/>
      <c r="P509" s="398"/>
      <c r="Q509" s="398"/>
      <c r="R509" s="398"/>
      <c r="S509" s="398"/>
      <c r="T509" s="398"/>
      <c r="U509" s="398"/>
      <c r="V509" s="2380" t="s">
        <v>816</v>
      </c>
      <c r="W509" s="2380"/>
      <c r="X509" s="2380"/>
      <c r="Y509" s="398"/>
      <c r="Z509" s="398"/>
      <c r="AA509" s="398"/>
      <c r="AB509" s="398"/>
      <c r="AC509" s="398"/>
      <c r="AD509" s="398"/>
      <c r="AE509" s="398"/>
      <c r="AF509" s="398"/>
      <c r="AG509" s="452">
        <f>IF(AND($C$495="Yes",$V$498="N/A",V500="N/A",$V$505="N/A",$V$511="N/A"),(VLOOKUP($V$509,$BB$494:$BC$497,2,FALSE)),0)</f>
        <v>0</v>
      </c>
      <c r="AH509" s="1143" t="s">
        <v>2047</v>
      </c>
      <c r="AI509" s="399"/>
      <c r="AJ509" s="398"/>
      <c r="AK509" s="560"/>
      <c r="AL509" s="398"/>
      <c r="AM509" s="398"/>
      <c r="AN509" s="515"/>
      <c r="AO509" s="398" t="s">
        <v>2287</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29"/>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2288</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29"/>
      <c r="B511" s="398"/>
      <c r="C511" s="590"/>
      <c r="D511" s="556"/>
      <c r="E511" s="556"/>
      <c r="F511" s="601" t="s">
        <v>2275</v>
      </c>
      <c r="G511" s="592"/>
      <c r="H511" s="592"/>
      <c r="I511" s="556"/>
      <c r="J511" s="556"/>
      <c r="K511" s="556"/>
      <c r="L511" s="556"/>
      <c r="M511" s="556"/>
      <c r="N511" s="556"/>
      <c r="O511" s="556"/>
      <c r="P511" s="556"/>
      <c r="Q511" s="556"/>
      <c r="R511" s="556"/>
      <c r="S511" s="556"/>
      <c r="T511" s="556"/>
      <c r="U511" s="556"/>
      <c r="V511" s="2380" t="s">
        <v>816</v>
      </c>
      <c r="W511" s="2380"/>
      <c r="X511" s="2380"/>
      <c r="Y511" s="556"/>
      <c r="Z511" s="556"/>
      <c r="AA511" s="556"/>
      <c r="AB511" s="556"/>
      <c r="AC511" s="556"/>
      <c r="AD511" s="556"/>
      <c r="AE511" s="556"/>
      <c r="AF511" s="556"/>
      <c r="AG511" s="609">
        <f>IF(AND($C$495="Yes",$V$498="N/A",$V$500="N/A",$V$505="N/A",$V$509="N/A"),(VLOOKUP($V$511,$BF$494:$BG$496,2,FALSE)),0)</f>
        <v>0</v>
      </c>
      <c r="AH511" s="594" t="s">
        <v>2047</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29"/>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29"/>
      <c r="B513" s="398"/>
      <c r="C513" s="542" t="s">
        <v>2289</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29"/>
      <c r="B514" s="398"/>
      <c r="C514" s="2347" t="s">
        <v>816</v>
      </c>
      <c r="D514" s="2348"/>
      <c r="E514" s="587" t="s">
        <v>51</v>
      </c>
      <c r="F514" s="2383" t="s">
        <v>2262</v>
      </c>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29"/>
      <c r="B515" s="398"/>
      <c r="C515" s="588"/>
      <c r="D515" s="398"/>
      <c r="E515" s="589"/>
      <c r="F515" s="2384"/>
      <c r="G515" s="2384"/>
      <c r="H515" s="2384"/>
      <c r="I515" s="2384"/>
      <c r="J515" s="2384"/>
      <c r="K515" s="2384"/>
      <c r="L515" s="2384"/>
      <c r="M515" s="2384"/>
      <c r="N515" s="2384"/>
      <c r="O515" s="2384"/>
      <c r="P515" s="2384"/>
      <c r="Q515" s="2384"/>
      <c r="R515" s="2384"/>
      <c r="S515" s="2384"/>
      <c r="T515" s="2384"/>
      <c r="U515" s="2384"/>
      <c r="V515" s="2384"/>
      <c r="W515" s="2384"/>
      <c r="X515" s="2384"/>
      <c r="Y515" s="2384"/>
      <c r="Z515" s="2384"/>
      <c r="AA515" s="2384"/>
      <c r="AB515" s="2384"/>
      <c r="AC515" s="2384"/>
      <c r="AD515" s="2384"/>
      <c r="AE515" s="2384"/>
      <c r="AF515" s="398"/>
      <c r="AG515" s="399"/>
      <c r="AH515" s="399"/>
      <c r="AI515" s="399"/>
      <c r="AJ515" s="399"/>
      <c r="AK515" s="560"/>
      <c r="AL515" s="398"/>
      <c r="AM515" s="398"/>
      <c r="AN515" s="384"/>
      <c r="AO515" s="23"/>
      <c r="AP515" s="614"/>
      <c r="AQ515" s="614"/>
      <c r="AR515" s="614"/>
      <c r="AS515" s="1129"/>
      <c r="AT515" s="398"/>
      <c r="AU515" s="615"/>
      <c r="AV515" s="615"/>
      <c r="AW515" s="615"/>
      <c r="AX515" s="615"/>
      <c r="AY515" s="615"/>
      <c r="AZ515" s="615"/>
      <c r="BA515" s="615"/>
      <c r="BB515" s="11"/>
      <c r="BC515" s="11"/>
      <c r="BD515" s="386"/>
      <c r="BE515" s="614"/>
      <c r="BF515" s="614"/>
      <c r="BG515" s="614"/>
      <c r="BH515" s="1129"/>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29"/>
      <c r="B516" s="398"/>
      <c r="C516" s="590"/>
      <c r="D516" s="556"/>
      <c r="E516" s="591"/>
      <c r="F516" s="2376" t="s">
        <v>816</v>
      </c>
      <c r="G516" s="2376"/>
      <c r="H516" s="2376"/>
      <c r="I516" s="2376"/>
      <c r="J516" s="2376"/>
      <c r="K516" s="2376"/>
      <c r="L516" s="2376"/>
      <c r="M516" s="2376"/>
      <c r="N516" s="2376"/>
      <c r="O516" s="2376"/>
      <c r="P516" s="2376"/>
      <c r="Q516" s="2376"/>
      <c r="R516" s="2376"/>
      <c r="S516" s="2376"/>
      <c r="T516" s="2376"/>
      <c r="U516" s="2376"/>
      <c r="V516" s="2376"/>
      <c r="W516" s="2376"/>
      <c r="X516" s="2376"/>
      <c r="Y516" s="2376"/>
      <c r="Z516" s="2376"/>
      <c r="AA516" s="592"/>
      <c r="AB516" s="490"/>
      <c r="AC516" s="490"/>
      <c r="AD516" s="556"/>
      <c r="AE516" s="556"/>
      <c r="AF516" s="556"/>
      <c r="AG516" s="593">
        <f>IF($C$514="Yes",(VLOOKUP($F$516,$AO$484:$AP$492,2,FALSE)),0)</f>
        <v>0</v>
      </c>
      <c r="AH516" s="594" t="s">
        <v>2047</v>
      </c>
      <c r="AI516" s="593"/>
      <c r="AJ516" s="490"/>
      <c r="AK516" s="570"/>
      <c r="AL516" s="398"/>
      <c r="AM516" s="398"/>
      <c r="AN516" s="384"/>
      <c r="AO516" s="23"/>
      <c r="AP516" s="614"/>
      <c r="AQ516" s="614"/>
      <c r="AR516" s="614"/>
      <c r="AS516" s="1129"/>
      <c r="AT516" s="398"/>
      <c r="AU516" s="615"/>
      <c r="AV516" s="615"/>
      <c r="AW516" s="615"/>
      <c r="AX516" s="615"/>
      <c r="AY516" s="615"/>
      <c r="AZ516" s="615"/>
      <c r="BA516" s="615"/>
      <c r="BB516" s="11"/>
      <c r="BC516" s="11"/>
      <c r="BD516" s="386"/>
      <c r="BE516" s="614"/>
      <c r="BF516" s="614"/>
      <c r="BG516" s="614"/>
      <c r="BH516" s="1129"/>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29"/>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29"/>
      <c r="AT517" s="398"/>
      <c r="AU517" s="615"/>
      <c r="AV517" s="615"/>
      <c r="AW517" s="615"/>
      <c r="AX517" s="615"/>
      <c r="AY517" s="615"/>
      <c r="AZ517" s="615"/>
      <c r="BA517" s="615"/>
      <c r="BB517" s="11"/>
      <c r="BC517" s="11"/>
      <c r="BD517" s="386"/>
      <c r="BE517" s="614"/>
      <c r="BF517" s="614"/>
      <c r="BG517" s="614"/>
      <c r="BH517" s="1129"/>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347" t="s">
        <v>816</v>
      </c>
      <c r="D518" s="2348"/>
      <c r="E518" s="587" t="s">
        <v>53</v>
      </c>
      <c r="F518" s="2377" t="s">
        <v>2290</v>
      </c>
      <c r="G518" s="2377"/>
      <c r="H518" s="2377"/>
      <c r="I518" s="2377"/>
      <c r="J518" s="2377"/>
      <c r="K518" s="2377"/>
      <c r="L518" s="2377"/>
      <c r="M518" s="2377"/>
      <c r="N518" s="2377"/>
      <c r="O518" s="2377"/>
      <c r="P518" s="2377"/>
      <c r="Q518" s="2377"/>
      <c r="R518" s="2377"/>
      <c r="S518" s="2377"/>
      <c r="T518" s="2377"/>
      <c r="U518" s="2377"/>
      <c r="V518" s="2377"/>
      <c r="W518" s="2377"/>
      <c r="X518" s="2377"/>
      <c r="Y518" s="2377"/>
      <c r="Z518" s="2377"/>
      <c r="AA518" s="2377"/>
      <c r="AB518" s="2377"/>
      <c r="AC518" s="2377"/>
      <c r="AD518" s="2377"/>
      <c r="AE518" s="2377"/>
      <c r="AF518" s="544"/>
      <c r="AG518" s="483"/>
      <c r="AH518" s="483"/>
      <c r="AI518" s="483"/>
      <c r="AJ518" s="483"/>
      <c r="AK518" s="573"/>
      <c r="AL518" s="398"/>
      <c r="AM518" s="398"/>
      <c r="AN518" s="384"/>
      <c r="AO518" s="23"/>
      <c r="AP518" s="614"/>
      <c r="AQ518" s="614"/>
      <c r="AR518" s="614"/>
      <c r="AS518" s="1129"/>
      <c r="AT518" s="398"/>
      <c r="AU518" s="615"/>
      <c r="AV518" s="615"/>
      <c r="AW518" s="615"/>
      <c r="AX518" s="615"/>
      <c r="AY518" s="615"/>
      <c r="AZ518" s="615"/>
      <c r="BA518" s="615"/>
      <c r="BB518" s="11"/>
      <c r="BC518" s="11"/>
      <c r="BD518" s="386"/>
      <c r="BE518" s="614"/>
      <c r="BF518" s="614"/>
      <c r="BG518" s="614"/>
      <c r="BH518" s="1129"/>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378"/>
      <c r="G519" s="2378"/>
      <c r="H519" s="2378"/>
      <c r="I519" s="2378"/>
      <c r="J519" s="2378"/>
      <c r="K519" s="2378"/>
      <c r="L519" s="2378"/>
      <c r="M519" s="2378"/>
      <c r="N519" s="2378"/>
      <c r="O519" s="2378"/>
      <c r="P519" s="2378"/>
      <c r="Q519" s="2378"/>
      <c r="R519" s="2378"/>
      <c r="S519" s="2378"/>
      <c r="T519" s="2378"/>
      <c r="U519" s="2378"/>
      <c r="V519" s="2378"/>
      <c r="W519" s="2378"/>
      <c r="X519" s="2378"/>
      <c r="Y519" s="2378"/>
      <c r="Z519" s="2378"/>
      <c r="AA519" s="2378"/>
      <c r="AB519" s="2378"/>
      <c r="AC519" s="2378"/>
      <c r="AD519" s="2378"/>
      <c r="AE519" s="2378"/>
      <c r="AF519" s="398"/>
      <c r="AG519" s="399"/>
      <c r="AH519" s="399"/>
      <c r="AI519" s="399"/>
      <c r="AJ519" s="399"/>
      <c r="AK519" s="560"/>
      <c r="AL519" s="398"/>
      <c r="AM519" s="398"/>
      <c r="AN519" s="384"/>
      <c r="AO519" s="23"/>
      <c r="AP519" s="614"/>
      <c r="AQ519" s="614"/>
      <c r="AR519" s="614"/>
      <c r="AS519" s="1129"/>
      <c r="AT519" s="398"/>
      <c r="AU519" s="615"/>
      <c r="AV519" s="615"/>
      <c r="AW519" s="615"/>
      <c r="AX519" s="615"/>
      <c r="AY519" s="615"/>
      <c r="AZ519" s="615"/>
      <c r="BA519" s="615"/>
      <c r="BB519" s="11"/>
      <c r="BC519" s="11"/>
      <c r="BD519" s="386"/>
      <c r="BE519" s="614"/>
      <c r="BF519" s="614"/>
      <c r="BG519" s="614"/>
      <c r="BH519" s="1129"/>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2291</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31"/>
      <c r="AD520" s="398"/>
      <c r="AE520" s="398"/>
      <c r="AF520" s="398"/>
      <c r="AG520" s="452"/>
      <c r="AH520" s="452"/>
      <c r="AI520" s="452"/>
      <c r="AJ520" s="452"/>
      <c r="AK520" s="560"/>
      <c r="AL520" s="398"/>
      <c r="AM520" s="398"/>
      <c r="AN520" s="384"/>
      <c r="AO520" s="386"/>
      <c r="AP520" s="614"/>
      <c r="AQ520" s="614"/>
      <c r="AR520" s="614"/>
      <c r="AS520" s="1129"/>
      <c r="AT520" s="398"/>
      <c r="AU520" s="615"/>
      <c r="AV520" s="615"/>
      <c r="AW520" s="615"/>
      <c r="AX520" s="615"/>
      <c r="AY520" s="615"/>
      <c r="AZ520" s="615"/>
      <c r="BA520" s="615"/>
      <c r="BB520" s="386"/>
      <c r="BC520" s="386"/>
      <c r="BD520" s="386"/>
      <c r="BE520" s="614"/>
      <c r="BF520" s="614"/>
      <c r="BG520" s="614"/>
      <c r="BH520" s="1129"/>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379" t="s">
        <v>816</v>
      </c>
      <c r="G521" s="2379"/>
      <c r="H521" s="2379"/>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2047</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43"/>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347" t="s">
        <v>816</v>
      </c>
      <c r="D523" s="2348"/>
      <c r="E523" s="587" t="s">
        <v>2292</v>
      </c>
      <c r="F523" s="606" t="s">
        <v>2293</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405"/>
      <c r="D525" s="2349"/>
      <c r="E525" s="598"/>
      <c r="F525" s="399" t="s">
        <v>2294</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31"/>
      <c r="AD525" s="398"/>
      <c r="AE525" s="398"/>
      <c r="AF525" s="398"/>
      <c r="AG525" s="452">
        <f>IF($C$523="Yes",(VLOOKUP($G$526,$AO$501:$AP$504,2,FALSE)),0)</f>
        <v>0</v>
      </c>
      <c r="AH525" s="1143" t="s">
        <v>2047</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406" t="s">
        <v>816</v>
      </c>
      <c r="H526" s="2406"/>
      <c r="I526" s="2406"/>
      <c r="J526" s="2406"/>
      <c r="K526" s="2406"/>
      <c r="L526" s="2406"/>
      <c r="M526" s="2406"/>
      <c r="N526" s="2406"/>
      <c r="O526" s="2406"/>
      <c r="P526" s="2406"/>
      <c r="Q526" s="2406"/>
      <c r="R526" s="2406"/>
      <c r="S526" s="2406"/>
      <c r="T526" s="2406"/>
      <c r="U526" s="2406"/>
      <c r="V526" s="2406"/>
      <c r="W526" s="2406"/>
      <c r="X526" s="2406"/>
      <c r="Y526" s="2406"/>
      <c r="Z526" s="2406"/>
      <c r="AA526" s="2406"/>
      <c r="AB526" s="2406"/>
      <c r="AC526" s="2406"/>
      <c r="AD526" s="2406"/>
      <c r="AE526" s="2406"/>
      <c r="AF526" s="2406"/>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407" t="s">
        <v>816</v>
      </c>
      <c r="D528" s="2408"/>
      <c r="F528" s="399" t="s">
        <v>2295</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31"/>
      <c r="AD528" s="398"/>
      <c r="AE528" s="398"/>
      <c r="AF528" s="398"/>
      <c r="AG528" s="452">
        <f>IF(AND($C$528="Yes",$C$523="Yes"),2,0)</f>
        <v>0</v>
      </c>
      <c r="AH528" s="1143" t="s">
        <v>2047</v>
      </c>
      <c r="AI528" s="399"/>
      <c r="AJ528" s="112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23"/>
      <c r="E529" s="1123"/>
      <c r="F529" s="399"/>
      <c r="G529" s="399" t="s">
        <v>2296</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31"/>
      <c r="AD529" s="398"/>
      <c r="AE529" s="398"/>
      <c r="AF529" s="398"/>
      <c r="AG529" s="1120"/>
      <c r="AH529" s="1120"/>
      <c r="AI529" s="1120"/>
      <c r="AJ529" s="112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23"/>
      <c r="E530" s="1123"/>
      <c r="F530" s="399"/>
      <c r="G530" s="399" t="s">
        <v>2297</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31"/>
      <c r="AG530" s="1120"/>
      <c r="AH530" s="1120"/>
      <c r="AI530" s="1120"/>
      <c r="AJ530" s="112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31"/>
      <c r="AH531" s="1131"/>
      <c r="AI531" s="1131"/>
      <c r="AJ531" s="1131"/>
      <c r="AK531" s="620"/>
      <c r="AL531" s="11"/>
      <c r="AM531" s="11"/>
      <c r="AN531" s="385"/>
      <c r="AO531" s="386"/>
      <c r="AP531" s="386"/>
      <c r="AQ531" s="386"/>
      <c r="AR531" s="386"/>
    </row>
    <row r="532" spans="1:81" s="398" customFormat="1" ht="12.75" hidden="1" customHeight="1">
      <c r="A532" s="475"/>
      <c r="C532" s="2407" t="s">
        <v>816</v>
      </c>
      <c r="D532" s="2408"/>
      <c r="F532" s="621" t="s">
        <v>2298</v>
      </c>
      <c r="G532" s="2373" t="s">
        <v>2299</v>
      </c>
      <c r="H532" s="2373"/>
      <c r="I532" s="2373"/>
      <c r="J532" s="2373"/>
      <c r="K532" s="2373"/>
      <c r="L532" s="2373"/>
      <c r="M532" s="2373"/>
      <c r="N532" s="2373"/>
      <c r="O532" s="2373"/>
      <c r="P532" s="2373"/>
      <c r="Q532" s="2373"/>
      <c r="R532" s="2373"/>
      <c r="S532" s="2373"/>
      <c r="T532" s="2373"/>
      <c r="U532" s="2373"/>
      <c r="V532" s="2373"/>
      <c r="W532" s="2373"/>
      <c r="X532" s="2373"/>
      <c r="Y532" s="2373"/>
      <c r="Z532" s="2373"/>
      <c r="AA532" s="2373"/>
      <c r="AB532" s="2373"/>
      <c r="AC532" s="2373"/>
      <c r="AD532" s="2373"/>
      <c r="AE532" s="2373"/>
      <c r="AF532" s="2373"/>
      <c r="AG532" s="452">
        <f>IF(AND($C$532="Yes",$C$523="Yes"),2,0)</f>
        <v>0</v>
      </c>
      <c r="AH532" s="1143" t="s">
        <v>2047</v>
      </c>
      <c r="AI532" s="399"/>
      <c r="AJ532" s="1120"/>
      <c r="AK532" s="560"/>
      <c r="AN532" s="385"/>
      <c r="AZ532" s="389"/>
      <c r="BC532" s="1127"/>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374"/>
      <c r="H533" s="2374"/>
      <c r="I533" s="2374"/>
      <c r="J533" s="2374"/>
      <c r="K533" s="2374"/>
      <c r="L533" s="2374"/>
      <c r="M533" s="2374"/>
      <c r="N533" s="2374"/>
      <c r="O533" s="2374"/>
      <c r="P533" s="2374"/>
      <c r="Q533" s="2374"/>
      <c r="R533" s="2374"/>
      <c r="S533" s="2374"/>
      <c r="T533" s="2374"/>
      <c r="U533" s="2374"/>
      <c r="V533" s="2374"/>
      <c r="W533" s="2374"/>
      <c r="X533" s="2374"/>
      <c r="Y533" s="2374"/>
      <c r="Z533" s="2374"/>
      <c r="AA533" s="2374"/>
      <c r="AB533" s="2374"/>
      <c r="AC533" s="2374"/>
      <c r="AD533" s="2374"/>
      <c r="AE533" s="2374"/>
      <c r="AF533" s="2374"/>
      <c r="AG533" s="490"/>
      <c r="AH533" s="490"/>
      <c r="AI533" s="490"/>
      <c r="AJ533" s="490"/>
      <c r="AK533" s="570"/>
      <c r="AN533" s="385"/>
      <c r="AZ533" s="389"/>
      <c r="BC533" s="1127"/>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26"/>
      <c r="H534" s="1126"/>
      <c r="I534" s="1126"/>
      <c r="J534" s="1126"/>
      <c r="K534" s="1126"/>
      <c r="L534" s="1126"/>
      <c r="M534" s="1126"/>
      <c r="N534" s="1126"/>
      <c r="O534" s="1126"/>
      <c r="P534" s="1126"/>
      <c r="Q534" s="1126"/>
      <c r="R534" s="1126"/>
      <c r="S534" s="1126"/>
      <c r="T534" s="1126"/>
      <c r="U534" s="1126"/>
      <c r="V534" s="1126"/>
      <c r="W534" s="1126"/>
      <c r="X534" s="1126"/>
      <c r="Y534" s="1126"/>
      <c r="Z534" s="1126"/>
      <c r="AA534" s="1126"/>
      <c r="AB534" s="1126"/>
      <c r="AC534" s="1126"/>
      <c r="AD534" s="1126"/>
      <c r="AE534" s="1126"/>
      <c r="AF534" s="1126"/>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7"/>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2300</v>
      </c>
      <c r="D535" s="544"/>
      <c r="E535" s="625"/>
      <c r="F535" s="626"/>
      <c r="G535" s="1125"/>
      <c r="H535" s="1125"/>
      <c r="I535" s="1125"/>
      <c r="J535" s="1125"/>
      <c r="K535" s="1125"/>
      <c r="L535" s="1125"/>
      <c r="M535" s="1125"/>
      <c r="N535" s="1125"/>
      <c r="O535" s="1125"/>
      <c r="P535" s="1125"/>
      <c r="Q535" s="1125"/>
      <c r="R535" s="1125"/>
      <c r="S535" s="1125"/>
      <c r="T535" s="1125"/>
      <c r="U535" s="1125"/>
      <c r="V535" s="1125"/>
      <c r="W535" s="1125"/>
      <c r="X535" s="1125"/>
      <c r="Y535" s="1125"/>
      <c r="Z535" s="1125"/>
      <c r="AA535" s="1125"/>
      <c r="AB535" s="1125"/>
      <c r="AC535" s="1125"/>
      <c r="AD535" s="1125"/>
      <c r="AE535" s="1125"/>
      <c r="AF535" s="1125"/>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409" t="s">
        <v>816</v>
      </c>
      <c r="D536" s="2410"/>
      <c r="E536" s="627" t="s">
        <v>2301</v>
      </c>
      <c r="F536" s="597" t="s">
        <v>2302</v>
      </c>
      <c r="G536" s="1126"/>
      <c r="H536" s="1126"/>
      <c r="I536" s="1126"/>
      <c r="J536" s="1126"/>
      <c r="K536" s="1126"/>
      <c r="L536" s="1126"/>
      <c r="M536" s="1126"/>
      <c r="N536" s="1126"/>
      <c r="O536" s="1126"/>
      <c r="P536" s="1126"/>
      <c r="Q536" s="1126"/>
      <c r="R536" s="1126"/>
      <c r="S536" s="1126"/>
      <c r="T536" s="1126"/>
      <c r="U536" s="1126"/>
      <c r="V536" s="1126"/>
      <c r="W536" s="1126"/>
      <c r="X536" s="1126"/>
      <c r="Y536" s="1126"/>
      <c r="Z536" s="1126"/>
      <c r="AA536" s="1126"/>
      <c r="AB536" s="1126"/>
      <c r="AC536" s="1126"/>
      <c r="AD536" s="1126"/>
      <c r="AE536" s="1126"/>
      <c r="AF536" s="1126"/>
      <c r="AG536" s="452">
        <f>IF(C$536="Yes",(VLOOKUP(F$537,$AO$507:$AP$510,2,FALSE)),0)</f>
        <v>0</v>
      </c>
      <c r="AH536" s="1143" t="s">
        <v>2047</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411" t="s">
        <v>816</v>
      </c>
      <c r="G537" s="2411"/>
      <c r="H537" s="2411"/>
      <c r="I537" s="2411"/>
      <c r="J537" s="2411"/>
      <c r="K537" s="2411"/>
      <c r="L537" s="2411"/>
      <c r="M537" s="2411"/>
      <c r="N537" s="2411"/>
      <c r="O537" s="2411"/>
      <c r="P537" s="2411"/>
      <c r="Q537" s="2411"/>
      <c r="R537" s="2411"/>
      <c r="S537" s="2411"/>
      <c r="T537" s="2411"/>
      <c r="U537" s="2411"/>
      <c r="V537" s="2411"/>
      <c r="W537" s="2411"/>
      <c r="X537" s="2411"/>
      <c r="Y537" s="2411"/>
      <c r="Z537" s="2411"/>
      <c r="AA537" s="2411"/>
      <c r="AB537" s="2411"/>
      <c r="AC537" s="2411"/>
      <c r="AD537" s="2411"/>
      <c r="AE537" s="2411"/>
      <c r="AF537" s="2411"/>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412"/>
      <c r="G538" s="2412"/>
      <c r="H538" s="2412"/>
      <c r="I538" s="2412"/>
      <c r="J538" s="2412"/>
      <c r="K538" s="2412"/>
      <c r="L538" s="2412"/>
      <c r="M538" s="2412"/>
      <c r="N538" s="2412"/>
      <c r="O538" s="2412"/>
      <c r="P538" s="2412"/>
      <c r="Q538" s="2412"/>
      <c r="R538" s="2412"/>
      <c r="S538" s="2412"/>
      <c r="T538" s="2412"/>
      <c r="U538" s="2412"/>
      <c r="V538" s="2412"/>
      <c r="W538" s="2412"/>
      <c r="X538" s="2412"/>
      <c r="Y538" s="2412"/>
      <c r="Z538" s="2412"/>
      <c r="AA538" s="2412"/>
      <c r="AB538" s="2412"/>
      <c r="AC538" s="2412"/>
      <c r="AD538" s="2412"/>
      <c r="AE538" s="2412"/>
      <c r="AF538" s="2412"/>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2303</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2304</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2305</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2306</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2307</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2308</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2309</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2310</v>
      </c>
      <c r="AK548" s="2325">
        <f>SUM(AG492:AG537)</f>
        <v>0</v>
      </c>
      <c r="AL548" s="2371"/>
      <c r="AM548" s="2326"/>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7"/>
      <c r="AJ549" s="1127"/>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2311</v>
      </c>
      <c r="B551" s="389" t="s">
        <v>2312</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82" t="s">
        <v>2313</v>
      </c>
      <c r="AF551" s="2382"/>
      <c r="AG551" s="2382"/>
      <c r="AH551" s="2382"/>
      <c r="AI551" s="2382"/>
      <c r="AJ551" s="2382"/>
      <c r="AK551" s="2382"/>
      <c r="AL551" s="435"/>
      <c r="AM551" s="435"/>
      <c r="AN551" s="437"/>
    </row>
    <row r="552" spans="1:81" s="398" customFormat="1" ht="12.75" customHeight="1">
      <c r="A552" s="389"/>
      <c r="B552" s="389" t="s">
        <v>2043</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7"/>
      <c r="AF552" s="1127"/>
      <c r="AG552" s="1127"/>
      <c r="AH552" s="1127"/>
      <c r="AI552" s="1127"/>
      <c r="AJ552" s="1127"/>
      <c r="AK552" s="1127"/>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7"/>
      <c r="AF553" s="1127"/>
      <c r="AG553" s="1127"/>
      <c r="AH553" s="1127"/>
      <c r="AI553" s="1127"/>
      <c r="AJ553" s="1127"/>
      <c r="AK553" s="1127"/>
      <c r="AL553" s="435"/>
      <c r="AM553" s="435"/>
      <c r="AN553" s="437"/>
    </row>
    <row r="554" spans="1:81" s="398" customFormat="1" ht="12.75" customHeight="1">
      <c r="A554" s="389"/>
      <c r="B554" s="389"/>
      <c r="C554" s="2344" t="s">
        <v>847</v>
      </c>
      <c r="D554" s="2344"/>
      <c r="E554" s="399"/>
      <c r="F554" s="2484" t="s">
        <v>2314</v>
      </c>
      <c r="G554" s="2485"/>
      <c r="H554" s="2485"/>
      <c r="I554" s="2485"/>
      <c r="J554" s="2485"/>
      <c r="K554" s="2485"/>
      <c r="L554" s="2485"/>
      <c r="M554" s="2485"/>
      <c r="N554" s="2485"/>
      <c r="O554" s="2485"/>
      <c r="P554" s="2485"/>
      <c r="Q554" s="2485"/>
      <c r="R554" s="2485"/>
      <c r="S554" s="2485"/>
      <c r="T554" s="2485"/>
      <c r="U554" s="2485"/>
      <c r="V554" s="2485"/>
      <c r="W554" s="2485"/>
      <c r="X554" s="2485"/>
      <c r="Y554" s="2485"/>
      <c r="Z554" s="2485"/>
      <c r="AA554" s="2485"/>
      <c r="AB554" s="2485"/>
      <c r="AC554" s="2485"/>
      <c r="AD554" s="2485"/>
      <c r="AE554" s="2485"/>
      <c r="AF554" s="2485"/>
      <c r="AG554" s="2485"/>
      <c r="AH554" s="2485"/>
      <c r="AI554" s="2485"/>
      <c r="AJ554" s="2485"/>
      <c r="AK554" s="2485"/>
      <c r="AL554" s="2486"/>
      <c r="AM554" s="435"/>
      <c r="AN554" s="437"/>
    </row>
    <row r="555" spans="1:81" s="398" customFormat="1" ht="12.75" customHeight="1">
      <c r="B555" s="389"/>
      <c r="C555" s="399"/>
      <c r="D555" s="399"/>
      <c r="E555" s="399"/>
      <c r="F555" s="2487"/>
      <c r="G555" s="2488"/>
      <c r="H555" s="2488"/>
      <c r="I555" s="2488"/>
      <c r="J555" s="2488"/>
      <c r="K555" s="2488"/>
      <c r="L555" s="2488"/>
      <c r="M555" s="2488"/>
      <c r="N555" s="2488"/>
      <c r="O555" s="2488"/>
      <c r="P555" s="2488"/>
      <c r="Q555" s="2488"/>
      <c r="R555" s="2488"/>
      <c r="S555" s="2488"/>
      <c r="T555" s="2488"/>
      <c r="U555" s="2488"/>
      <c r="V555" s="2488"/>
      <c r="W555" s="2488"/>
      <c r="X555" s="2488"/>
      <c r="Y555" s="2488"/>
      <c r="Z555" s="2488"/>
      <c r="AA555" s="2488"/>
      <c r="AB555" s="2488"/>
      <c r="AC555" s="2488"/>
      <c r="AD555" s="2488"/>
      <c r="AE555" s="2488"/>
      <c r="AF555" s="2488"/>
      <c r="AG555" s="2488"/>
      <c r="AH555" s="2488"/>
      <c r="AI555" s="2488"/>
      <c r="AJ555" s="2488"/>
      <c r="AK555" s="2488"/>
      <c r="AL555" s="2489"/>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344" t="s">
        <v>816</v>
      </c>
      <c r="D557" s="2344"/>
      <c r="E557" s="631"/>
      <c r="F557" s="480" t="s">
        <v>2315</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64" t="s">
        <v>2316</v>
      </c>
      <c r="G558" s="2322"/>
      <c r="H558" s="2322"/>
      <c r="I558" s="2322"/>
      <c r="J558" s="2322"/>
      <c r="K558" s="2322"/>
      <c r="L558" s="2322"/>
      <c r="M558" s="2322"/>
      <c r="N558" s="2322"/>
      <c r="O558" s="2322"/>
      <c r="P558" s="2322"/>
      <c r="Q558" s="2322"/>
      <c r="R558" s="2322"/>
      <c r="S558" s="2322"/>
      <c r="T558" s="2322"/>
      <c r="U558" s="2322"/>
      <c r="V558" s="2322"/>
      <c r="W558" s="2322"/>
      <c r="X558" s="2322"/>
      <c r="Y558" s="2322"/>
      <c r="Z558" s="2322"/>
      <c r="AA558" s="2322"/>
      <c r="AB558" s="2322"/>
      <c r="AC558" s="2322"/>
      <c r="AD558" s="2322"/>
      <c r="AE558" s="2322"/>
      <c r="AF558" s="2322"/>
      <c r="AG558" s="2322"/>
      <c r="AH558" s="2322"/>
      <c r="AI558" s="2322"/>
      <c r="AJ558" s="2322"/>
      <c r="AK558" s="2322"/>
      <c r="AL558" s="2365"/>
      <c r="AM558" s="435"/>
      <c r="AN558" s="437"/>
      <c r="AS558" s="688"/>
      <c r="AT558" s="688"/>
      <c r="AU558" s="688"/>
      <c r="AV558" s="688"/>
      <c r="AW558" s="688"/>
    </row>
    <row r="559" spans="1:81" s="398" customFormat="1" ht="12.75" customHeight="1">
      <c r="B559" s="631"/>
      <c r="C559" s="631"/>
      <c r="D559" s="631"/>
      <c r="E559" s="631"/>
      <c r="F559" s="2364"/>
      <c r="G559" s="2322"/>
      <c r="H559" s="2322"/>
      <c r="I559" s="2322"/>
      <c r="J559" s="2322"/>
      <c r="K559" s="2322"/>
      <c r="L559" s="2322"/>
      <c r="M559" s="2322"/>
      <c r="N559" s="2322"/>
      <c r="O559" s="2322"/>
      <c r="P559" s="2322"/>
      <c r="Q559" s="2322"/>
      <c r="R559" s="2322"/>
      <c r="S559" s="2322"/>
      <c r="T559" s="2322"/>
      <c r="U559" s="2322"/>
      <c r="V559" s="2322"/>
      <c r="W559" s="2322"/>
      <c r="X559" s="2322"/>
      <c r="Y559" s="2322"/>
      <c r="Z559" s="2322"/>
      <c r="AA559" s="2322"/>
      <c r="AB559" s="2322"/>
      <c r="AC559" s="2322"/>
      <c r="AD559" s="2322"/>
      <c r="AE559" s="2322"/>
      <c r="AF559" s="2322"/>
      <c r="AG559" s="2322"/>
      <c r="AH559" s="2322"/>
      <c r="AI559" s="2322"/>
      <c r="AJ559" s="2322"/>
      <c r="AK559" s="2322"/>
      <c r="AL559" s="2365"/>
      <c r="AM559" s="435"/>
      <c r="AN559" s="437"/>
    </row>
    <row r="560" spans="1:81" s="398" customFormat="1" ht="12.75" customHeight="1">
      <c r="B560" s="631"/>
      <c r="C560" s="631"/>
      <c r="D560" s="631"/>
      <c r="E560" s="631"/>
      <c r="F560" s="636" t="s">
        <v>2317</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64" t="s">
        <v>2318</v>
      </c>
      <c r="G561" s="2322"/>
      <c r="H561" s="2322"/>
      <c r="I561" s="2322"/>
      <c r="J561" s="2322"/>
      <c r="K561" s="2322"/>
      <c r="L561" s="2322"/>
      <c r="M561" s="2322"/>
      <c r="N561" s="2322"/>
      <c r="O561" s="2322"/>
      <c r="P561" s="2322"/>
      <c r="Q561" s="2322"/>
      <c r="R561" s="2322"/>
      <c r="S561" s="2322"/>
      <c r="T561" s="2322"/>
      <c r="U561" s="2322"/>
      <c r="V561" s="2322"/>
      <c r="W561" s="2322"/>
      <c r="X561" s="2322"/>
      <c r="Y561" s="2322"/>
      <c r="Z561" s="2322"/>
      <c r="AA561" s="2322"/>
      <c r="AB561" s="2322"/>
      <c r="AC561" s="2322"/>
      <c r="AD561" s="2322"/>
      <c r="AE561" s="2322"/>
      <c r="AF561" s="2322"/>
      <c r="AG561" s="2322"/>
      <c r="AH561" s="2322"/>
      <c r="AI561" s="2322"/>
      <c r="AJ561" s="2322"/>
      <c r="AK561" s="2322"/>
      <c r="AL561" s="638"/>
      <c r="AM561" s="435"/>
      <c r="AN561" s="437"/>
    </row>
    <row r="562" spans="1:45" s="398" customFormat="1" ht="12.75" customHeight="1">
      <c r="B562" s="631"/>
      <c r="C562" s="631"/>
      <c r="D562" s="631"/>
      <c r="E562" s="631"/>
      <c r="F562" s="2366"/>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2367"/>
      <c r="AH562" s="2367"/>
      <c r="AI562" s="2367"/>
      <c r="AJ562" s="2367"/>
      <c r="AK562" s="2367"/>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363">
        <f>Application!AJ1001</f>
        <v>92090726</v>
      </c>
      <c r="AQ563" s="2363"/>
      <c r="AR563" s="2363"/>
      <c r="AS563" s="398" t="s">
        <v>2319</v>
      </c>
    </row>
    <row r="564" spans="1:45" s="398" customFormat="1" ht="12.75" customHeight="1">
      <c r="A564" s="351"/>
      <c r="B564" s="1056" t="s">
        <v>2320</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368">
        <f>'Sources and Uses Budget'!S107+'Sources and Uses Budget'!T107</f>
        <v>97756627</v>
      </c>
      <c r="AG564" s="2368"/>
      <c r="AH564" s="2368"/>
      <c r="AI564" s="2368"/>
      <c r="AJ564" s="2368"/>
      <c r="AK564" s="435"/>
      <c r="AL564" s="435"/>
      <c r="AM564" s="435"/>
      <c r="AN564" s="437"/>
    </row>
    <row r="565" spans="1:45" s="398" customFormat="1" ht="12.75" customHeight="1">
      <c r="A565" s="463"/>
      <c r="B565" s="463" t="s">
        <v>2321</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369">
        <f>IFERROR(AP572,0)</f>
        <v>212807742.80000001</v>
      </c>
      <c r="AG565" s="2369"/>
      <c r="AH565" s="2369"/>
      <c r="AI565" s="2369"/>
      <c r="AJ565" s="2369"/>
      <c r="AK565" s="435"/>
      <c r="AL565" s="435"/>
      <c r="AM565" s="435"/>
      <c r="AN565" s="437"/>
      <c r="AP565" s="2363">
        <f>Application!AJ1054</f>
        <v>27627217.800000001</v>
      </c>
      <c r="AQ565" s="2363"/>
      <c r="AR565" s="2363"/>
      <c r="AS565" s="398" t="s">
        <v>1598</v>
      </c>
    </row>
    <row r="566" spans="1:45" s="398" customFormat="1" ht="12.75" customHeight="1">
      <c r="A566" s="462"/>
      <c r="B566" s="462" t="s">
        <v>1526</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370">
        <f>IFERROR(ROUNDDOWN(IF(C557="YES",((1-(AF564/AF565))*2),(1-(AF564/AF565))),2),0)</f>
        <v>0.54</v>
      </c>
      <c r="AG566" s="2370"/>
      <c r="AH566" s="2370"/>
      <c r="AI566" s="2370"/>
      <c r="AJ566" s="2370"/>
      <c r="AK566" s="435"/>
      <c r="AL566" s="435"/>
      <c r="AM566" s="435"/>
      <c r="AN566" s="437"/>
      <c r="AP566" s="2361">
        <f>Application!AJ1058</f>
        <v>57096250.119999997</v>
      </c>
      <c r="AQ566" s="2361"/>
      <c r="AR566" s="2361"/>
      <c r="AS566" s="398" t="s">
        <v>1608</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391">
        <f>IF(((AP565+AP566)/AP563)&gt;0.8,0.8,((AP565+AP566)/AP563))</f>
        <v>0.8</v>
      </c>
      <c r="AQ567" s="2391"/>
      <c r="AR567" s="2391"/>
      <c r="AS567" s="398" t="s">
        <v>2322</v>
      </c>
    </row>
    <row r="568" spans="1:45" s="398" customFormat="1" ht="12.75" customHeight="1">
      <c r="A568" s="462"/>
      <c r="B568" s="2441" t="s">
        <v>2323</v>
      </c>
      <c r="C568" s="2442"/>
      <c r="D568" s="2442"/>
      <c r="E568" s="2442"/>
      <c r="F568" s="2442"/>
      <c r="G568" s="2442"/>
      <c r="H568" s="2442"/>
      <c r="I568" s="2442"/>
      <c r="J568" s="2442"/>
      <c r="K568" s="2442"/>
      <c r="L568" s="2442"/>
      <c r="M568" s="2442"/>
      <c r="N568" s="2442"/>
      <c r="O568" s="2442"/>
      <c r="P568" s="2442"/>
      <c r="Q568" s="2442"/>
      <c r="R568" s="2442"/>
      <c r="S568" s="2442"/>
      <c r="T568" s="2442"/>
      <c r="U568" s="2442"/>
      <c r="V568" s="2442"/>
      <c r="W568" s="2442"/>
      <c r="X568" s="2442"/>
      <c r="Y568" s="2442"/>
      <c r="Z568" s="2442"/>
      <c r="AA568" s="2442"/>
      <c r="AB568" s="2442"/>
      <c r="AC568" s="2442"/>
      <c r="AD568" s="2442"/>
      <c r="AE568" s="2442"/>
      <c r="AF568" s="2442"/>
      <c r="AG568" s="2442"/>
      <c r="AH568" s="2442"/>
      <c r="AI568" s="2442"/>
      <c r="AJ568" s="2443"/>
      <c r="AK568" s="435"/>
      <c r="AL568" s="435"/>
      <c r="AM568" s="435"/>
      <c r="AN568" s="437"/>
    </row>
    <row r="569" spans="1:45" s="398" customFormat="1" ht="12.75" customHeight="1">
      <c r="A569" s="462"/>
      <c r="B569" s="2444"/>
      <c r="C569" s="2445"/>
      <c r="D569" s="2445"/>
      <c r="E569" s="2445"/>
      <c r="F569" s="2445"/>
      <c r="G569" s="2445"/>
      <c r="H569" s="2445"/>
      <c r="I569" s="2445"/>
      <c r="J569" s="2445"/>
      <c r="K569" s="2445"/>
      <c r="L569" s="2445"/>
      <c r="M569" s="2445"/>
      <c r="N569" s="2445"/>
      <c r="O569" s="2445"/>
      <c r="P569" s="2445"/>
      <c r="Q569" s="2445"/>
      <c r="R569" s="2445"/>
      <c r="S569" s="2445"/>
      <c r="T569" s="2445"/>
      <c r="U569" s="2445"/>
      <c r="V569" s="2445"/>
      <c r="W569" s="2445"/>
      <c r="X569" s="2445"/>
      <c r="Y569" s="2445"/>
      <c r="Z569" s="2445"/>
      <c r="AA569" s="2445"/>
      <c r="AB569" s="2445"/>
      <c r="AC569" s="2445"/>
      <c r="AD569" s="2445"/>
      <c r="AE569" s="2445"/>
      <c r="AF569" s="2445"/>
      <c r="AG569" s="2445"/>
      <c r="AH569" s="2445"/>
      <c r="AI569" s="2445"/>
      <c r="AJ569" s="2446"/>
      <c r="AK569" s="435"/>
      <c r="AL569" s="435"/>
      <c r="AM569" s="435"/>
      <c r="AN569" s="437"/>
      <c r="AP569" s="2363">
        <f>AP570-AP565-AP566</f>
        <v>139135162</v>
      </c>
      <c r="AQ569" s="2392"/>
      <c r="AR569" s="2392"/>
      <c r="AS569" s="398" t="s">
        <v>2324</v>
      </c>
    </row>
    <row r="570" spans="1:45" s="398" customFormat="1" ht="12.75" customHeight="1">
      <c r="A570" s="462"/>
      <c r="B570" s="2447"/>
      <c r="C570" s="2448"/>
      <c r="D570" s="2448"/>
      <c r="E570" s="2448"/>
      <c r="F570" s="2448"/>
      <c r="G570" s="2448"/>
      <c r="H570" s="2448"/>
      <c r="I570" s="2448"/>
      <c r="J570" s="2448"/>
      <c r="K570" s="2448"/>
      <c r="L570" s="2448"/>
      <c r="M570" s="2448"/>
      <c r="N570" s="2448"/>
      <c r="O570" s="2448"/>
      <c r="P570" s="2448"/>
      <c r="Q570" s="2448"/>
      <c r="R570" s="2448"/>
      <c r="S570" s="2448"/>
      <c r="T570" s="2448"/>
      <c r="U570" s="2448"/>
      <c r="V570" s="2448"/>
      <c r="W570" s="2448"/>
      <c r="X570" s="2448"/>
      <c r="Y570" s="2448"/>
      <c r="Z570" s="2448"/>
      <c r="AA570" s="2448"/>
      <c r="AB570" s="2448"/>
      <c r="AC570" s="2448"/>
      <c r="AD570" s="2448"/>
      <c r="AE570" s="2448"/>
      <c r="AF570" s="2448"/>
      <c r="AG570" s="2448"/>
      <c r="AH570" s="2448"/>
      <c r="AI570" s="2448"/>
      <c r="AJ570" s="2449"/>
      <c r="AK570" s="435"/>
      <c r="AL570" s="435"/>
      <c r="AM570" s="435"/>
      <c r="AN570" s="437"/>
      <c r="AP570" s="2363">
        <f>Application!AJ1062</f>
        <v>223858629.92000002</v>
      </c>
      <c r="AQ570" s="2363"/>
      <c r="AR570" s="2363"/>
      <c r="AS570" s="398" t="s">
        <v>2325</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7"/>
      <c r="AJ571" s="1127"/>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2326</v>
      </c>
      <c r="AK572" s="2450">
        <f>IFERROR(IF(AND(C554="N/A",C557="N/A"),0,IF(AF566=0,0,IF((AF566*100)&gt;12,12,(AF566*100)))),0)</f>
        <v>12</v>
      </c>
      <c r="AL572" s="2450"/>
      <c r="AM572" s="2451"/>
      <c r="AN572" s="437"/>
      <c r="AP572" s="2352">
        <f>AP569+(AP563*AP567)</f>
        <v>212807742.80000001</v>
      </c>
      <c r="AQ572" s="2353"/>
      <c r="AR572" s="2354"/>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2327</v>
      </c>
      <c r="B575" s="389" t="s">
        <v>2328</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82" t="s">
        <v>2026</v>
      </c>
      <c r="AF575" s="2382"/>
      <c r="AG575" s="2382"/>
      <c r="AH575" s="2382"/>
      <c r="AI575" s="2382"/>
      <c r="AJ575" s="2382"/>
      <c r="AK575" s="2382"/>
      <c r="AL575" s="113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22" t="s">
        <v>2329</v>
      </c>
      <c r="C577" s="2322"/>
      <c r="D577" s="2322"/>
      <c r="E577" s="2322"/>
      <c r="F577" s="2322"/>
      <c r="G577" s="2322"/>
      <c r="H577" s="2322"/>
      <c r="I577" s="2322"/>
      <c r="J577" s="2322"/>
      <c r="K577" s="2322"/>
      <c r="L577" s="2322"/>
      <c r="M577" s="2322"/>
      <c r="N577" s="2322"/>
      <c r="O577" s="2322"/>
      <c r="P577" s="2322"/>
      <c r="Q577" s="2322"/>
      <c r="R577" s="2322"/>
      <c r="S577" s="2322"/>
      <c r="T577" s="2322"/>
      <c r="U577" s="2322"/>
      <c r="V577" s="2322"/>
      <c r="W577" s="2322"/>
      <c r="X577" s="2322"/>
      <c r="Y577" s="2322"/>
      <c r="Z577" s="2322"/>
      <c r="AA577" s="2322"/>
      <c r="AB577" s="2322"/>
      <c r="AC577" s="2322"/>
      <c r="AD577" s="2322"/>
      <c r="AE577" s="2322"/>
      <c r="AF577" s="2322"/>
      <c r="AG577" s="2322"/>
      <c r="AH577" s="2322"/>
      <c r="AI577" s="2322"/>
      <c r="AJ577" s="2322"/>
      <c r="AK577" s="479"/>
      <c r="AL577" s="1126"/>
      <c r="AM577" s="443"/>
      <c r="AN577" s="437"/>
    </row>
    <row r="578" spans="1:42" s="398" customFormat="1" ht="12.75" customHeight="1">
      <c r="A578" s="443"/>
      <c r="B578" s="2322"/>
      <c r="C578" s="2322"/>
      <c r="D578" s="2322"/>
      <c r="E578" s="2322"/>
      <c r="F578" s="2322"/>
      <c r="G578" s="2322"/>
      <c r="H578" s="2322"/>
      <c r="I578" s="2322"/>
      <c r="J578" s="2322"/>
      <c r="K578" s="2322"/>
      <c r="L578" s="2322"/>
      <c r="M578" s="2322"/>
      <c r="N578" s="2322"/>
      <c r="O578" s="2322"/>
      <c r="P578" s="2322"/>
      <c r="Q578" s="2322"/>
      <c r="R578" s="2322"/>
      <c r="S578" s="2322"/>
      <c r="T578" s="2322"/>
      <c r="U578" s="2322"/>
      <c r="V578" s="2322"/>
      <c r="W578" s="2322"/>
      <c r="X578" s="2322"/>
      <c r="Y578" s="2322"/>
      <c r="Z578" s="2322"/>
      <c r="AA578" s="2322"/>
      <c r="AB578" s="2322"/>
      <c r="AC578" s="2322"/>
      <c r="AD578" s="2322"/>
      <c r="AE578" s="2322"/>
      <c r="AF578" s="2322"/>
      <c r="AG578" s="2322"/>
      <c r="AH578" s="2322"/>
      <c r="AI578" s="2322"/>
      <c r="AJ578" s="2322"/>
      <c r="AK578" s="479"/>
      <c r="AL578" s="1126"/>
      <c r="AM578" s="443"/>
      <c r="AN578" s="437"/>
    </row>
    <row r="579" spans="1:42" s="398" customFormat="1" ht="12.75" customHeight="1">
      <c r="A579" s="443"/>
      <c r="B579" s="2322"/>
      <c r="C579" s="2322"/>
      <c r="D579" s="2322"/>
      <c r="E579" s="2322"/>
      <c r="F579" s="2322"/>
      <c r="G579" s="2322"/>
      <c r="H579" s="2322"/>
      <c r="I579" s="2322"/>
      <c r="J579" s="2322"/>
      <c r="K579" s="2322"/>
      <c r="L579" s="2322"/>
      <c r="M579" s="2322"/>
      <c r="N579" s="2322"/>
      <c r="O579" s="2322"/>
      <c r="P579" s="2322"/>
      <c r="Q579" s="2322"/>
      <c r="R579" s="2322"/>
      <c r="S579" s="2322"/>
      <c r="T579" s="2322"/>
      <c r="U579" s="2322"/>
      <c r="V579" s="2322"/>
      <c r="W579" s="2322"/>
      <c r="X579" s="2322"/>
      <c r="Y579" s="2322"/>
      <c r="Z579" s="2322"/>
      <c r="AA579" s="2322"/>
      <c r="AB579" s="2322"/>
      <c r="AC579" s="2322"/>
      <c r="AD579" s="2322"/>
      <c r="AE579" s="2322"/>
      <c r="AF579" s="2322"/>
      <c r="AG579" s="2322"/>
      <c r="AH579" s="2322"/>
      <c r="AI579" s="2322"/>
      <c r="AJ579" s="2322"/>
      <c r="AK579" s="479"/>
      <c r="AL579" s="1126"/>
      <c r="AM579" s="443"/>
      <c r="AN579" s="437"/>
    </row>
    <row r="580" spans="1:42" s="398" customFormat="1" ht="12.75" customHeight="1">
      <c r="A580" s="443"/>
      <c r="B580" s="2322"/>
      <c r="C580" s="2322"/>
      <c r="D580" s="2322"/>
      <c r="E580" s="2322"/>
      <c r="F580" s="2322"/>
      <c r="G580" s="2322"/>
      <c r="H580" s="2322"/>
      <c r="I580" s="2322"/>
      <c r="J580" s="2322"/>
      <c r="K580" s="2322"/>
      <c r="L580" s="2322"/>
      <c r="M580" s="2322"/>
      <c r="N580" s="2322"/>
      <c r="O580" s="2322"/>
      <c r="P580" s="2322"/>
      <c r="Q580" s="2322"/>
      <c r="R580" s="2322"/>
      <c r="S580" s="2322"/>
      <c r="T580" s="2322"/>
      <c r="U580" s="2322"/>
      <c r="V580" s="2322"/>
      <c r="W580" s="2322"/>
      <c r="X580" s="2322"/>
      <c r="Y580" s="2322"/>
      <c r="Z580" s="2322"/>
      <c r="AA580" s="2322"/>
      <c r="AB580" s="2322"/>
      <c r="AC580" s="2322"/>
      <c r="AD580" s="2322"/>
      <c r="AE580" s="2322"/>
      <c r="AF580" s="2322"/>
      <c r="AG580" s="2322"/>
      <c r="AH580" s="2322"/>
      <c r="AI580" s="2322"/>
      <c r="AJ580" s="2322"/>
      <c r="AK580" s="479"/>
      <c r="AL580" s="1126"/>
      <c r="AM580" s="443"/>
      <c r="AN580" s="437"/>
    </row>
    <row r="581" spans="1:42" s="398" customFormat="1" ht="12.75" customHeight="1">
      <c r="A581" s="443"/>
      <c r="B581" s="2322"/>
      <c r="C581" s="2322"/>
      <c r="D581" s="2322"/>
      <c r="E581" s="2322"/>
      <c r="F581" s="2322"/>
      <c r="G581" s="2322"/>
      <c r="H581" s="2322"/>
      <c r="I581" s="2322"/>
      <c r="J581" s="2322"/>
      <c r="K581" s="2322"/>
      <c r="L581" s="2322"/>
      <c r="M581" s="2322"/>
      <c r="N581" s="2322"/>
      <c r="O581" s="2322"/>
      <c r="P581" s="2322"/>
      <c r="Q581" s="2322"/>
      <c r="R581" s="2322"/>
      <c r="S581" s="2322"/>
      <c r="T581" s="2322"/>
      <c r="U581" s="2322"/>
      <c r="V581" s="2322"/>
      <c r="W581" s="2322"/>
      <c r="X581" s="2322"/>
      <c r="Y581" s="2322"/>
      <c r="Z581" s="2322"/>
      <c r="AA581" s="2322"/>
      <c r="AB581" s="2322"/>
      <c r="AC581" s="2322"/>
      <c r="AD581" s="2322"/>
      <c r="AE581" s="2322"/>
      <c r="AF581" s="2322"/>
      <c r="AG581" s="2322"/>
      <c r="AH581" s="2322"/>
      <c r="AI581" s="2322"/>
      <c r="AJ581" s="2322"/>
      <c r="AK581" s="479"/>
      <c r="AL581" s="1126"/>
      <c r="AM581" s="443"/>
      <c r="AN581" s="437"/>
    </row>
    <row r="582" spans="1:42" s="398" customFormat="1" ht="12.75" customHeight="1">
      <c r="A582" s="443"/>
      <c r="B582" s="2322"/>
      <c r="C582" s="2322"/>
      <c r="D582" s="2322"/>
      <c r="E582" s="2322"/>
      <c r="F582" s="2322"/>
      <c r="G582" s="2322"/>
      <c r="H582" s="2322"/>
      <c r="I582" s="2322"/>
      <c r="J582" s="2322"/>
      <c r="K582" s="2322"/>
      <c r="L582" s="2322"/>
      <c r="M582" s="2322"/>
      <c r="N582" s="2322"/>
      <c r="O582" s="2322"/>
      <c r="P582" s="2322"/>
      <c r="Q582" s="2322"/>
      <c r="R582" s="2322"/>
      <c r="S582" s="2322"/>
      <c r="T582" s="2322"/>
      <c r="U582" s="2322"/>
      <c r="V582" s="2322"/>
      <c r="W582" s="2322"/>
      <c r="X582" s="2322"/>
      <c r="Y582" s="2322"/>
      <c r="Z582" s="2322"/>
      <c r="AA582" s="2322"/>
      <c r="AB582" s="2322"/>
      <c r="AC582" s="2322"/>
      <c r="AD582" s="2322"/>
      <c r="AE582" s="2322"/>
      <c r="AF582" s="2322"/>
      <c r="AG582" s="2322"/>
      <c r="AH582" s="2322"/>
      <c r="AI582" s="2322"/>
      <c r="AJ582" s="2322"/>
      <c r="AK582" s="479"/>
      <c r="AL582" s="1126"/>
      <c r="AM582" s="443"/>
      <c r="AN582" s="437"/>
    </row>
    <row r="583" spans="1:42" s="398" customFormat="1" ht="12.75" customHeight="1">
      <c r="A583" s="443"/>
      <c r="B583" s="2322"/>
      <c r="C583" s="2322"/>
      <c r="D583" s="2322"/>
      <c r="E583" s="2322"/>
      <c r="F583" s="2322"/>
      <c r="G583" s="2322"/>
      <c r="H583" s="2322"/>
      <c r="I583" s="2322"/>
      <c r="J583" s="2322"/>
      <c r="K583" s="2322"/>
      <c r="L583" s="2322"/>
      <c r="M583" s="2322"/>
      <c r="N583" s="2322"/>
      <c r="O583" s="2322"/>
      <c r="P583" s="2322"/>
      <c r="Q583" s="2322"/>
      <c r="R583" s="2322"/>
      <c r="S583" s="2322"/>
      <c r="T583" s="2322"/>
      <c r="U583" s="2322"/>
      <c r="V583" s="2322"/>
      <c r="W583" s="2322"/>
      <c r="X583" s="2322"/>
      <c r="Y583" s="2322"/>
      <c r="Z583" s="2322"/>
      <c r="AA583" s="2322"/>
      <c r="AB583" s="2322"/>
      <c r="AC583" s="2322"/>
      <c r="AD583" s="2322"/>
      <c r="AE583" s="2322"/>
      <c r="AF583" s="2322"/>
      <c r="AG583" s="2322"/>
      <c r="AH583" s="2322"/>
      <c r="AI583" s="2322"/>
      <c r="AJ583" s="2322"/>
      <c r="AK583" s="479"/>
      <c r="AL583" s="1126"/>
      <c r="AM583" s="443"/>
      <c r="AN583" s="437"/>
    </row>
    <row r="584" spans="1:42" ht="12.75" customHeight="1">
      <c r="A584" s="443"/>
      <c r="B584" s="2322"/>
      <c r="C584" s="2322"/>
      <c r="D584" s="2322"/>
      <c r="E584" s="2322"/>
      <c r="F584" s="2322"/>
      <c r="G584" s="2322"/>
      <c r="H584" s="2322"/>
      <c r="I584" s="2322"/>
      <c r="J584" s="2322"/>
      <c r="K584" s="2322"/>
      <c r="L584" s="2322"/>
      <c r="M584" s="2322"/>
      <c r="N584" s="2322"/>
      <c r="O584" s="2322"/>
      <c r="P584" s="2322"/>
      <c r="Q584" s="2322"/>
      <c r="R584" s="2322"/>
      <c r="S584" s="2322"/>
      <c r="T584" s="2322"/>
      <c r="U584" s="2322"/>
      <c r="V584" s="2322"/>
      <c r="W584" s="2322"/>
      <c r="X584" s="2322"/>
      <c r="Y584" s="2322"/>
      <c r="Z584" s="2322"/>
      <c r="AA584" s="2322"/>
      <c r="AB584" s="2322"/>
      <c r="AC584" s="2322"/>
      <c r="AD584" s="2322"/>
      <c r="AE584" s="2322"/>
      <c r="AF584" s="2322"/>
      <c r="AG584" s="2322"/>
      <c r="AH584" s="2322"/>
      <c r="AI584" s="2322"/>
      <c r="AJ584" s="2322"/>
      <c r="AK584" s="479"/>
      <c r="AL584" s="1126"/>
      <c r="AM584" s="443"/>
    </row>
    <row r="585" spans="1:42" s="398" customFormat="1" ht="12.75" customHeight="1">
      <c r="B585" s="2322"/>
      <c r="C585" s="2322"/>
      <c r="D585" s="2322"/>
      <c r="E585" s="2322"/>
      <c r="F585" s="2322"/>
      <c r="G585" s="2322"/>
      <c r="H585" s="2322"/>
      <c r="I585" s="2322"/>
      <c r="J585" s="2322"/>
      <c r="K585" s="2322"/>
      <c r="L585" s="2322"/>
      <c r="M585" s="2322"/>
      <c r="N585" s="2322"/>
      <c r="O585" s="2322"/>
      <c r="P585" s="2322"/>
      <c r="Q585" s="2322"/>
      <c r="R585" s="2322"/>
      <c r="S585" s="2322"/>
      <c r="T585" s="2322"/>
      <c r="U585" s="2322"/>
      <c r="V585" s="2322"/>
      <c r="W585" s="2322"/>
      <c r="X585" s="2322"/>
      <c r="Y585" s="2322"/>
      <c r="Z585" s="2322"/>
      <c r="AA585" s="2322"/>
      <c r="AB585" s="2322"/>
      <c r="AC585" s="2322"/>
      <c r="AD585" s="2322"/>
      <c r="AE585" s="2322"/>
      <c r="AF585" s="2322"/>
      <c r="AG585" s="2322"/>
      <c r="AH585" s="2322"/>
      <c r="AI585" s="2322"/>
      <c r="AJ585" s="2322"/>
      <c r="AK585" s="479"/>
      <c r="AL585" s="1126"/>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26"/>
      <c r="AN586" s="437"/>
    </row>
    <row r="587" spans="1:42" s="398" customFormat="1" ht="12.75" customHeight="1">
      <c r="B587" s="495" t="s">
        <v>2330</v>
      </c>
      <c r="C587" s="503"/>
      <c r="D587" s="1126"/>
      <c r="E587" s="1126"/>
      <c r="F587" s="1126"/>
      <c r="G587" s="1126"/>
      <c r="H587" s="1126"/>
      <c r="I587" s="1126"/>
      <c r="J587" s="1126"/>
      <c r="K587" s="1126"/>
      <c r="L587" s="1126"/>
      <c r="M587" s="1126"/>
      <c r="N587" s="1126"/>
      <c r="O587" s="1126"/>
      <c r="P587" s="1126"/>
      <c r="Q587" s="1126"/>
      <c r="R587" s="1126"/>
      <c r="S587" s="1126"/>
      <c r="T587" s="1126"/>
      <c r="U587" s="1126"/>
      <c r="V587" s="1126"/>
      <c r="W587" s="1126"/>
      <c r="X587" s="1126"/>
      <c r="Y587" s="1126"/>
      <c r="Z587" s="1126"/>
      <c r="AA587" s="1126"/>
      <c r="AB587" s="1126"/>
      <c r="AC587" s="1126"/>
      <c r="AD587" s="1126"/>
      <c r="AE587" s="1126"/>
      <c r="AF587" s="1126"/>
      <c r="AG587" s="1126"/>
      <c r="AH587" s="1126"/>
      <c r="AI587" s="1126"/>
      <c r="AN587" s="437"/>
      <c r="AP587" s="398" t="s">
        <v>816</v>
      </c>
    </row>
    <row r="588" spans="1:42" s="398" customFormat="1" ht="12.75" customHeight="1">
      <c r="B588" s="386"/>
      <c r="C588" s="503"/>
      <c r="D588" s="1126"/>
      <c r="E588" s="1126"/>
      <c r="F588" s="1126"/>
      <c r="G588" s="1126"/>
      <c r="H588" s="1126"/>
      <c r="I588" s="1126"/>
      <c r="J588" s="1126"/>
      <c r="K588" s="1126"/>
      <c r="L588" s="1126"/>
      <c r="M588" s="1126"/>
      <c r="N588" s="1126"/>
      <c r="O588" s="1126"/>
      <c r="P588" s="1126"/>
      <c r="Q588" s="1126"/>
      <c r="R588" s="1126"/>
      <c r="S588" s="1126"/>
      <c r="T588" s="1126"/>
      <c r="U588" s="1126"/>
      <c r="V588" s="1126"/>
      <c r="W588" s="1126"/>
      <c r="X588" s="1126"/>
      <c r="Y588" s="1126"/>
      <c r="Z588" s="1126"/>
      <c r="AA588" s="1126"/>
      <c r="AB588" s="1126"/>
      <c r="AC588" s="1126"/>
      <c r="AD588" s="1126"/>
      <c r="AE588" s="1126"/>
      <c r="AF588" s="1126"/>
      <c r="AG588" s="1126"/>
      <c r="AH588" s="1126"/>
      <c r="AI588" s="1126"/>
      <c r="AN588" s="437"/>
      <c r="AP588" s="398" t="s">
        <v>847</v>
      </c>
    </row>
    <row r="589" spans="1:42" s="398" customFormat="1" ht="12.75" customHeight="1">
      <c r="C589" s="389" t="s">
        <v>2331</v>
      </c>
      <c r="D589" s="504"/>
      <c r="E589" s="1126"/>
      <c r="F589" s="1126"/>
      <c r="G589" s="1126"/>
      <c r="H589" s="1126"/>
      <c r="I589" s="1126"/>
      <c r="J589" s="1126"/>
      <c r="K589" s="1126"/>
      <c r="L589" s="1126"/>
      <c r="M589" s="1126"/>
      <c r="N589" s="1126"/>
      <c r="O589" s="1126"/>
      <c r="P589" s="1126"/>
      <c r="Q589" s="1126"/>
      <c r="R589" s="1126"/>
      <c r="S589" s="1126"/>
      <c r="T589" s="1126"/>
      <c r="U589" s="1126"/>
      <c r="V589" s="1126"/>
      <c r="W589" s="1126"/>
      <c r="X589" s="1126"/>
      <c r="Y589" s="1126"/>
      <c r="Z589" s="1126"/>
      <c r="AA589" s="1126"/>
      <c r="AB589" s="1126"/>
      <c r="AC589" s="1126"/>
      <c r="AD589" s="1126"/>
      <c r="AE589" s="1126"/>
      <c r="AF589" s="1126"/>
      <c r="AG589" s="1126"/>
      <c r="AH589" s="1126"/>
      <c r="AI589" s="1126"/>
      <c r="AN589" s="437"/>
    </row>
    <row r="590" spans="1:42" s="398" customFormat="1" ht="12.75" customHeight="1">
      <c r="B590" s="386"/>
      <c r="C590" s="386"/>
      <c r="D590" s="1143"/>
      <c r="E590" s="1119"/>
      <c r="F590" s="1119"/>
      <c r="G590" s="1119"/>
      <c r="H590" s="1119"/>
      <c r="I590" s="1119"/>
      <c r="J590" s="1119"/>
      <c r="K590" s="1119"/>
      <c r="L590" s="1119"/>
      <c r="M590" s="1119"/>
      <c r="N590" s="1119"/>
      <c r="O590" s="1119"/>
      <c r="P590" s="1119"/>
      <c r="Q590" s="1119"/>
      <c r="R590" s="1119"/>
      <c r="S590" s="1119"/>
      <c r="T590" s="1119"/>
      <c r="U590" s="1119"/>
      <c r="V590" s="1119"/>
      <c r="W590" s="1119"/>
      <c r="X590" s="1119"/>
      <c r="Y590" s="1119"/>
      <c r="Z590" s="1119"/>
      <c r="AA590" s="1119"/>
      <c r="AB590" s="1119"/>
      <c r="AC590" s="1119"/>
      <c r="AD590" s="1119"/>
      <c r="AE590" s="1119"/>
      <c r="AF590" s="386"/>
      <c r="AG590" s="386"/>
      <c r="AH590" s="386"/>
      <c r="AI590" s="386"/>
      <c r="AJ590" s="386"/>
      <c r="AK590" s="386"/>
      <c r="AL590" s="386"/>
      <c r="AN590" s="437"/>
    </row>
    <row r="591" spans="1:42" s="398" customFormat="1" ht="12.75" customHeight="1">
      <c r="B591" s="386"/>
      <c r="C591" s="386"/>
      <c r="D591" s="495" t="s">
        <v>22</v>
      </c>
      <c r="E591" s="659" t="s">
        <v>2332</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23" t="s">
        <v>2071</v>
      </c>
      <c r="AG591" s="2323"/>
      <c r="AH591" s="2323"/>
      <c r="AI591" s="2323"/>
      <c r="AJ591" s="2323"/>
      <c r="AK591" s="2323"/>
      <c r="AL591" s="2323"/>
      <c r="AN591" s="437"/>
    </row>
    <row r="592" spans="1:42" s="398" customFormat="1" ht="12.75" customHeight="1">
      <c r="B592" s="386"/>
      <c r="C592" s="454"/>
      <c r="D592" s="495"/>
      <c r="E592" s="659" t="s">
        <v>2333</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2334</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2335</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2336</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2337</v>
      </c>
      <c r="AP595" s="398" t="b">
        <f>IF(Application!AF427&gt;=25,TRUE,FALSE)</f>
        <v>1</v>
      </c>
    </row>
    <row r="596" spans="1:42" s="398" customFormat="1" ht="12.75" customHeight="1">
      <c r="B596" s="386"/>
      <c r="C596" s="454"/>
      <c r="D596" s="495"/>
      <c r="E596" s="659" t="s">
        <v>2338</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0</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2339</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23" t="s">
        <v>2340</v>
      </c>
      <c r="AG598" s="2323"/>
      <c r="AH598" s="2323"/>
      <c r="AI598" s="2323"/>
      <c r="AJ598" s="2323"/>
      <c r="AK598" s="2323"/>
      <c r="AL598" s="2323"/>
      <c r="AN598" s="437"/>
    </row>
    <row r="599" spans="1:42" s="398" customFormat="1" ht="12.75" customHeight="1">
      <c r="B599" s="386"/>
      <c r="C599" s="733"/>
      <c r="D599" s="495"/>
      <c r="E599" s="659" t="s">
        <v>2341</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2342</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7</v>
      </c>
    </row>
    <row r="601" spans="1:42" s="398" customFormat="1" ht="12.75" customHeight="1">
      <c r="B601" s="449"/>
      <c r="C601" s="731"/>
      <c r="D601" s="495"/>
      <c r="E601" s="659" t="s">
        <v>2343</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2344</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2345</v>
      </c>
      <c r="AP603" s="398">
        <v>4</v>
      </c>
    </row>
    <row r="604" spans="1:42" s="398" customFormat="1" ht="12.75" customHeight="1">
      <c r="B604" s="386"/>
      <c r="C604" s="731"/>
      <c r="D604" s="495" t="s">
        <v>49</v>
      </c>
      <c r="E604" s="659" t="s">
        <v>2346</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23" t="s">
        <v>2347</v>
      </c>
      <c r="AG604" s="2323"/>
      <c r="AH604" s="2323"/>
      <c r="AI604" s="2323"/>
      <c r="AJ604" s="2323"/>
      <c r="AK604" s="2323"/>
      <c r="AL604" s="2323"/>
      <c r="AN604" s="437"/>
      <c r="AO604" s="450" t="s">
        <v>2348</v>
      </c>
      <c r="AP604" s="398">
        <v>3</v>
      </c>
    </row>
    <row r="605" spans="1:42" s="398" customFormat="1" ht="12.75" customHeight="1">
      <c r="B605" s="386"/>
      <c r="C605" s="733"/>
      <c r="D605" s="495"/>
      <c r="E605" s="659" t="s">
        <v>2341</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2342</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2349</v>
      </c>
    </row>
    <row r="607" spans="1:42" s="398" customFormat="1" ht="12.75" customHeight="1">
      <c r="B607" s="386"/>
      <c r="C607" s="733"/>
      <c r="D607" s="495"/>
      <c r="E607" s="659" t="s">
        <v>2343</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2350</v>
      </c>
    </row>
    <row r="608" spans="1:42" s="398" customFormat="1" ht="12.75" customHeight="1">
      <c r="B608" s="386"/>
      <c r="C608" s="733"/>
      <c r="D608" s="495"/>
      <c r="E608" s="659" t="s">
        <v>2344</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2351</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2345</v>
      </c>
      <c r="E610" s="659" t="s">
        <v>2352</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23" t="s">
        <v>2353</v>
      </c>
      <c r="AG610" s="2323"/>
      <c r="AH610" s="2323"/>
      <c r="AI610" s="2323"/>
      <c r="AJ610" s="2323"/>
      <c r="AK610" s="2323"/>
      <c r="AL610" s="2323"/>
      <c r="AN610" s="437"/>
      <c r="AO610" s="398" t="str">
        <f>X647</f>
        <v>N/A</v>
      </c>
    </row>
    <row r="611" spans="1:53" s="398" customFormat="1" ht="12.75" customHeight="1">
      <c r="B611" s="386"/>
      <c r="C611" s="733"/>
      <c r="D611" s="495"/>
      <c r="E611" s="659" t="s">
        <v>2354</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20"/>
      <c r="AV611" s="1120"/>
      <c r="AW611" s="1120"/>
      <c r="AX611" s="1120"/>
      <c r="AY611" s="1120"/>
      <c r="AZ611" s="1120"/>
      <c r="BA611" s="1120"/>
    </row>
    <row r="612" spans="1:53" s="398" customFormat="1" ht="12.75" customHeight="1">
      <c r="B612" s="449"/>
      <c r="C612" s="731"/>
      <c r="D612" s="495"/>
      <c r="E612" s="659" t="s">
        <v>2355</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2356</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2357</v>
      </c>
    </row>
    <row r="614" spans="1:53" s="398" customFormat="1" ht="12.75" customHeight="1">
      <c r="B614" s="449"/>
      <c r="C614" s="731"/>
      <c r="D614" s="495"/>
      <c r="E614" s="386" t="s">
        <v>2358</v>
      </c>
      <c r="O614" s="2468" t="s">
        <v>1000</v>
      </c>
      <c r="P614" s="2468"/>
      <c r="Q614" s="2468"/>
      <c r="R614" s="2468"/>
      <c r="S614" s="2468"/>
      <c r="T614" s="2468"/>
      <c r="U614" s="2468"/>
      <c r="V614" s="2468"/>
      <c r="W614" s="2468"/>
      <c r="X614" s="2468"/>
      <c r="Y614" s="2468"/>
      <c r="Z614" s="2468"/>
      <c r="AA614" s="2468"/>
      <c r="AB614" s="2468"/>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2348</v>
      </c>
      <c r="E616" s="659" t="s">
        <v>2359</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23" t="s">
        <v>2087</v>
      </c>
      <c r="AG616" s="2323"/>
      <c r="AH616" s="2323"/>
      <c r="AI616" s="2323"/>
      <c r="AJ616" s="2323"/>
      <c r="AK616" s="2323"/>
      <c r="AL616" s="2323"/>
      <c r="AN616" s="437"/>
    </row>
    <row r="617" spans="1:53" s="398" customFormat="1" ht="12.75" customHeight="1">
      <c r="B617" s="386"/>
      <c r="C617" s="731"/>
      <c r="D617" s="495"/>
      <c r="E617" s="659" t="s">
        <v>2360</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20"/>
      <c r="AF617" s="386"/>
      <c r="AG617" s="386"/>
      <c r="AH617" s="386"/>
      <c r="AI617" s="386"/>
      <c r="AJ617" s="386"/>
      <c r="AK617" s="386"/>
      <c r="AL617" s="386"/>
      <c r="AN617" s="437"/>
    </row>
    <row r="618" spans="1:53" s="398" customFormat="1" ht="12.75" customHeight="1">
      <c r="B618" s="386"/>
      <c r="C618" s="733"/>
      <c r="D618" s="386"/>
      <c r="E618" s="454"/>
      <c r="F618" s="1138"/>
      <c r="G618" s="1138"/>
      <c r="H618" s="1138"/>
      <c r="I618" s="1138"/>
      <c r="J618" s="1138"/>
      <c r="K618" s="1138"/>
      <c r="L618" s="1138"/>
      <c r="M618" s="1138"/>
      <c r="N618" s="1138"/>
      <c r="O618" s="1138"/>
      <c r="P618" s="1138"/>
      <c r="Q618" s="1138"/>
      <c r="R618" s="1138"/>
      <c r="S618" s="1138"/>
      <c r="T618" s="1138"/>
      <c r="U618" s="1138"/>
      <c r="V618" s="1138"/>
      <c r="W618" s="1138"/>
      <c r="X618" s="1138"/>
      <c r="Y618" s="1138"/>
      <c r="Z618" s="1138"/>
      <c r="AA618" s="1138"/>
      <c r="AB618" s="113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2361</v>
      </c>
      <c r="E619" s="1138"/>
      <c r="F619" s="1138"/>
      <c r="G619" s="1138"/>
      <c r="H619" s="2324" t="s">
        <v>22</v>
      </c>
      <c r="I619" s="2324"/>
      <c r="J619" s="1138"/>
      <c r="K619" s="1138"/>
      <c r="L619" s="1138"/>
      <c r="N619" s="17"/>
      <c r="O619" s="17"/>
      <c r="P619" s="17"/>
      <c r="Q619" s="927" t="s">
        <v>2362</v>
      </c>
      <c r="R619" s="2469"/>
      <c r="S619" s="2469"/>
      <c r="T619" s="2469"/>
      <c r="U619" s="2469"/>
      <c r="V619" s="2469"/>
      <c r="W619" s="2469"/>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38"/>
      <c r="F620" s="1138"/>
      <c r="G620" s="1138"/>
      <c r="H620" s="1138"/>
      <c r="I620" s="1138"/>
      <c r="J620" s="1138"/>
      <c r="K620" s="1138"/>
      <c r="L620" s="1138"/>
      <c r="M620" s="1138"/>
      <c r="N620" s="386"/>
      <c r="O620" s="386"/>
      <c r="P620" s="386"/>
      <c r="Q620" s="386"/>
      <c r="R620" s="386"/>
      <c r="S620" s="386"/>
      <c r="T620" s="386"/>
      <c r="U620" s="386"/>
      <c r="V620" s="386"/>
      <c r="W620" s="386"/>
      <c r="X620" s="386"/>
      <c r="Y620" s="2470" t="str">
        <f>IF(AND(H619="(i)",NOT(AP595)),AO612,IF(AND(H619="(iv)",OR(R619=AO608,R619=AO607),NOT(AP596)),AO613,""))</f>
        <v/>
      </c>
      <c r="Z620" s="2470"/>
      <c r="AA620" s="2470"/>
      <c r="AB620" s="2470"/>
      <c r="AC620" s="2470"/>
      <c r="AD620" s="2470"/>
      <c r="AE620" s="2470"/>
      <c r="AF620" s="2470"/>
      <c r="AG620" s="2470"/>
      <c r="AH620" s="2470"/>
      <c r="AI620" s="2470"/>
      <c r="AJ620" s="2470"/>
      <c r="AK620" s="2470"/>
      <c r="AL620" s="2470"/>
      <c r="AM620" s="2471"/>
      <c r="AN620" s="437"/>
      <c r="AO620" s="450" t="s">
        <v>27</v>
      </c>
      <c r="AP620" s="398">
        <v>2</v>
      </c>
      <c r="AT620" s="450" t="s">
        <v>27</v>
      </c>
      <c r="AU620" s="398">
        <v>2</v>
      </c>
    </row>
    <row r="621" spans="1:53" s="398" customFormat="1" ht="12.75" customHeight="1">
      <c r="B621" s="386"/>
      <c r="C621" s="733"/>
      <c r="D621" s="386"/>
      <c r="E621" s="1138"/>
      <c r="F621" s="1138"/>
      <c r="G621" s="1138"/>
      <c r="H621" s="1138"/>
      <c r="I621" s="1138"/>
      <c r="J621" s="1138"/>
      <c r="K621" s="1138"/>
      <c r="L621" s="1138"/>
      <c r="M621" s="1138"/>
      <c r="N621" s="386"/>
      <c r="O621" s="386"/>
      <c r="P621" s="386"/>
      <c r="Q621" s="386"/>
      <c r="X621" s="386"/>
      <c r="Y621" s="2470"/>
      <c r="Z621" s="2470"/>
      <c r="AA621" s="2470"/>
      <c r="AB621" s="2470"/>
      <c r="AC621" s="2470"/>
      <c r="AD621" s="2470"/>
      <c r="AE621" s="2470"/>
      <c r="AF621" s="2470"/>
      <c r="AG621" s="2470"/>
      <c r="AH621" s="2470"/>
      <c r="AI621" s="2470"/>
      <c r="AJ621" s="2470"/>
      <c r="AK621" s="2470"/>
      <c r="AL621" s="2470"/>
      <c r="AM621" s="2471"/>
      <c r="AN621" s="437"/>
      <c r="AO621" s="450"/>
      <c r="AT621" s="450"/>
    </row>
    <row r="622" spans="1:53" s="398" customFormat="1" ht="12.75" customHeight="1">
      <c r="B622" s="386"/>
      <c r="C622" s="733"/>
      <c r="D622" s="386" t="s">
        <v>2363</v>
      </c>
      <c r="E622" s="1138"/>
      <c r="F622" s="1138"/>
      <c r="G622" s="1138"/>
      <c r="H622" s="1138"/>
      <c r="I622" s="1138"/>
      <c r="J622" s="1138"/>
      <c r="K622" s="1138"/>
      <c r="L622" s="1138"/>
      <c r="M622" s="113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2364</v>
      </c>
      <c r="E623" s="1138"/>
      <c r="F623" s="1138"/>
      <c r="G623" s="1138"/>
      <c r="H623" s="1138"/>
      <c r="I623" s="1138"/>
      <c r="J623" s="1138"/>
      <c r="K623" s="1138"/>
      <c r="L623" s="1138"/>
      <c r="M623" s="113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2365</v>
      </c>
      <c r="E624" s="1138"/>
      <c r="F624" s="1138"/>
      <c r="G624" s="1138"/>
      <c r="H624" s="1138"/>
      <c r="I624" s="1138"/>
      <c r="J624" s="1138"/>
      <c r="K624" s="1138"/>
      <c r="L624" s="1138"/>
      <c r="M624" s="113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22" t="s">
        <v>2366</v>
      </c>
      <c r="E625" s="1138"/>
      <c r="F625" s="1138"/>
      <c r="G625" s="1138"/>
      <c r="H625" s="1138"/>
      <c r="I625" s="1138"/>
      <c r="J625" s="1138"/>
      <c r="K625" s="1138"/>
      <c r="L625" s="1138"/>
      <c r="M625" s="113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2361</v>
      </c>
      <c r="F627" s="1138"/>
      <c r="G627" s="1138"/>
      <c r="I627" s="2467" t="s">
        <v>816</v>
      </c>
      <c r="J627" s="2467"/>
      <c r="K627" s="2467"/>
      <c r="L627" s="2467"/>
      <c r="M627" s="2467"/>
      <c r="N627" s="2467"/>
      <c r="O627" s="2467"/>
      <c r="P627" s="2467"/>
      <c r="Q627" s="2467"/>
      <c r="R627" s="2467"/>
      <c r="S627" s="2467"/>
      <c r="T627" s="2467"/>
      <c r="U627" s="2467"/>
      <c r="V627" s="2467"/>
      <c r="W627" s="2467"/>
      <c r="X627" s="2467"/>
      <c r="Y627" s="2467"/>
      <c r="Z627" s="2467"/>
      <c r="AA627" s="2467"/>
      <c r="AB627" s="2467"/>
      <c r="AC627" s="2467"/>
      <c r="AD627" s="2467"/>
      <c r="AE627" s="2467"/>
      <c r="AF627" s="386"/>
      <c r="AG627" s="386"/>
      <c r="AH627" s="386"/>
      <c r="AI627" s="386"/>
      <c r="AJ627" s="386"/>
      <c r="AK627" s="386"/>
      <c r="AL627" s="386"/>
      <c r="AN627" s="437"/>
      <c r="AO627" s="398" t="s">
        <v>2367</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2368</v>
      </c>
      <c r="AP628" s="398">
        <v>2</v>
      </c>
    </row>
    <row r="629" spans="1:42" s="398" customFormat="1" ht="12.75" customHeight="1">
      <c r="B629" s="2330" t="s">
        <v>816</v>
      </c>
      <c r="C629" s="2330"/>
      <c r="D629" s="479"/>
      <c r="E629" s="2322" t="s">
        <v>2369</v>
      </c>
      <c r="F629" s="2322"/>
      <c r="G629" s="2322"/>
      <c r="H629" s="2322"/>
      <c r="I629" s="2322"/>
      <c r="J629" s="2322"/>
      <c r="K629" s="2322"/>
      <c r="L629" s="2322"/>
      <c r="M629" s="2322"/>
      <c r="N629" s="2322"/>
      <c r="O629" s="2322"/>
      <c r="P629" s="2322"/>
      <c r="Q629" s="2322"/>
      <c r="R629" s="2322"/>
      <c r="S629" s="2322"/>
      <c r="T629" s="2322"/>
      <c r="U629" s="2322"/>
      <c r="V629" s="2322"/>
      <c r="W629" s="2322"/>
      <c r="X629" s="2322"/>
      <c r="Y629" s="2322"/>
      <c r="Z629" s="2322"/>
      <c r="AA629" s="2322"/>
      <c r="AB629" s="2322"/>
      <c r="AC629" s="2322"/>
      <c r="AD629" s="2322"/>
      <c r="AE629" s="2322"/>
      <c r="AF629" s="2322"/>
      <c r="AG629" s="2322"/>
      <c r="AH629" s="479"/>
      <c r="AI629" s="479"/>
      <c r="AJ629" s="479"/>
      <c r="AK629" s="479"/>
      <c r="AL629" s="479"/>
      <c r="AN629" s="437"/>
    </row>
    <row r="630" spans="1:42" s="398" customFormat="1" ht="12.75" customHeight="1">
      <c r="B630" s="386"/>
      <c r="C630" s="733"/>
      <c r="D630" s="479"/>
      <c r="E630" s="2322"/>
      <c r="F630" s="2322"/>
      <c r="G630" s="2322"/>
      <c r="H630" s="2322"/>
      <c r="I630" s="2322"/>
      <c r="J630" s="2322"/>
      <c r="K630" s="2322"/>
      <c r="L630" s="2322"/>
      <c r="M630" s="2322"/>
      <c r="N630" s="2322"/>
      <c r="O630" s="2322"/>
      <c r="P630" s="2322"/>
      <c r="Q630" s="2322"/>
      <c r="R630" s="2322"/>
      <c r="S630" s="2322"/>
      <c r="T630" s="2322"/>
      <c r="U630" s="2322"/>
      <c r="V630" s="2322"/>
      <c r="W630" s="2322"/>
      <c r="X630" s="2322"/>
      <c r="Y630" s="2322"/>
      <c r="Z630" s="2322"/>
      <c r="AA630" s="2322"/>
      <c r="AB630" s="2322"/>
      <c r="AC630" s="2322"/>
      <c r="AD630" s="2322"/>
      <c r="AE630" s="2322"/>
      <c r="AF630" s="2322"/>
      <c r="AG630" s="2322"/>
      <c r="AH630" s="479"/>
      <c r="AI630" s="479"/>
      <c r="AJ630" s="479"/>
      <c r="AK630" s="479"/>
      <c r="AL630" s="479"/>
      <c r="AN630" s="437"/>
    </row>
    <row r="631" spans="1:42" s="398" customFormat="1" ht="12.75" customHeight="1">
      <c r="B631" s="386"/>
      <c r="C631" s="733"/>
      <c r="D631" s="479"/>
      <c r="E631" s="2322"/>
      <c r="F631" s="2322"/>
      <c r="G631" s="2322"/>
      <c r="H631" s="2322"/>
      <c r="I631" s="2322"/>
      <c r="J631" s="2322"/>
      <c r="K631" s="2322"/>
      <c r="L631" s="2322"/>
      <c r="M631" s="2322"/>
      <c r="N631" s="2322"/>
      <c r="O631" s="2322"/>
      <c r="P631" s="2322"/>
      <c r="Q631" s="2322"/>
      <c r="R631" s="2322"/>
      <c r="S631" s="2322"/>
      <c r="T631" s="2322"/>
      <c r="U631" s="2322"/>
      <c r="V631" s="2322"/>
      <c r="W631" s="2322"/>
      <c r="X631" s="2322"/>
      <c r="Y631" s="2322"/>
      <c r="Z631" s="2322"/>
      <c r="AA631" s="2322"/>
      <c r="AB631" s="2322"/>
      <c r="AC631" s="2322"/>
      <c r="AD631" s="2322"/>
      <c r="AE631" s="2322"/>
      <c r="AF631" s="2322"/>
      <c r="AG631" s="2322"/>
      <c r="AH631" s="479"/>
      <c r="AI631" s="479"/>
      <c r="AJ631" s="479"/>
      <c r="AK631" s="479"/>
      <c r="AL631" s="479"/>
      <c r="AN631" s="437"/>
    </row>
    <row r="632" spans="1:42" s="398" customFormat="1" ht="12.75" customHeight="1">
      <c r="B632" s="386"/>
      <c r="C632" s="733"/>
      <c r="D632" s="479"/>
      <c r="E632" s="2322"/>
      <c r="F632" s="2322"/>
      <c r="G632" s="2322"/>
      <c r="H632" s="2322"/>
      <c r="I632" s="2322"/>
      <c r="J632" s="2322"/>
      <c r="K632" s="2322"/>
      <c r="L632" s="2322"/>
      <c r="M632" s="2322"/>
      <c r="N632" s="2322"/>
      <c r="O632" s="2322"/>
      <c r="P632" s="2322"/>
      <c r="Q632" s="2322"/>
      <c r="R632" s="2322"/>
      <c r="S632" s="2322"/>
      <c r="T632" s="2322"/>
      <c r="U632" s="2322"/>
      <c r="V632" s="2322"/>
      <c r="W632" s="2322"/>
      <c r="X632" s="2322"/>
      <c r="Y632" s="2322"/>
      <c r="Z632" s="2322"/>
      <c r="AA632" s="2322"/>
      <c r="AB632" s="2322"/>
      <c r="AC632" s="2322"/>
      <c r="AD632" s="2322"/>
      <c r="AE632" s="2322"/>
      <c r="AF632" s="2322"/>
      <c r="AG632" s="2322"/>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2370</v>
      </c>
      <c r="AJ634" s="2325">
        <f>VLOOKUP($H$619,$AO$599:$AP$604,2,FALSE)+IF(R619=AO607,0,VLOOKUP($I$627,$AO$626:$AP$628,2,FALSE))</f>
        <v>7</v>
      </c>
      <c r="AK634" s="2326"/>
      <c r="AL634" s="435"/>
      <c r="AM634" s="507"/>
      <c r="AN634" s="437"/>
    </row>
    <row r="635" spans="1:42" s="398" customFormat="1" ht="12.75" customHeight="1">
      <c r="B635" s="386"/>
      <c r="C635" s="733"/>
      <c r="D635" s="386"/>
      <c r="E635" s="1138"/>
      <c r="F635" s="1138"/>
      <c r="G635" s="1138"/>
      <c r="H635" s="1138"/>
      <c r="I635" s="1138"/>
      <c r="J635" s="1138"/>
      <c r="K635" s="1138"/>
      <c r="L635" s="1138"/>
      <c r="M635" s="1138"/>
      <c r="N635" s="1138"/>
      <c r="O635" s="1138"/>
      <c r="P635" s="1138"/>
      <c r="Q635" s="1138"/>
      <c r="R635" s="1138"/>
      <c r="S635" s="1138"/>
      <c r="T635" s="1138"/>
      <c r="U635" s="1138"/>
      <c r="V635" s="1138"/>
      <c r="W635" s="1138"/>
      <c r="X635" s="1138"/>
      <c r="Y635" s="1138"/>
      <c r="Z635" s="1138"/>
      <c r="AA635" s="1138"/>
      <c r="AB635" s="1138"/>
      <c r="AC635" s="386"/>
      <c r="AD635" s="386"/>
      <c r="AE635" s="1138"/>
      <c r="AF635" s="1138"/>
      <c r="AG635" s="1138"/>
      <c r="AH635" s="1138"/>
      <c r="AI635" s="1138"/>
      <c r="AJ635" s="1138"/>
      <c r="AK635" s="1138"/>
      <c r="AL635" s="1138"/>
      <c r="AM635" s="507"/>
      <c r="AN635" s="437"/>
    </row>
    <row r="636" spans="1:42" s="398" customFormat="1" ht="12.75" customHeight="1">
      <c r="B636" s="386"/>
      <c r="C636" s="389" t="s">
        <v>2371</v>
      </c>
      <c r="D636" s="389"/>
      <c r="E636" s="1138"/>
      <c r="F636" s="1138"/>
      <c r="G636" s="1138"/>
      <c r="H636" s="1138"/>
      <c r="I636" s="1138"/>
      <c r="J636" s="1138"/>
      <c r="K636" s="1138"/>
      <c r="L636" s="1138"/>
      <c r="M636" s="1138"/>
      <c r="N636" s="1138"/>
      <c r="O636" s="1138"/>
      <c r="P636" s="1138"/>
      <c r="Q636" s="1138"/>
      <c r="R636" s="1138"/>
      <c r="S636" s="1138"/>
      <c r="T636" s="1138"/>
      <c r="U636" s="1138"/>
      <c r="V636" s="1138"/>
      <c r="W636" s="1138"/>
      <c r="X636" s="1138"/>
      <c r="Y636" s="1138"/>
      <c r="Z636" s="1138"/>
      <c r="AA636" s="1138"/>
      <c r="AB636" s="1138"/>
      <c r="AC636" s="386"/>
      <c r="AD636" s="386"/>
      <c r="AE636" s="386"/>
      <c r="AF636" s="386"/>
      <c r="AG636" s="386"/>
      <c r="AH636" s="386"/>
      <c r="AI636" s="386"/>
      <c r="AJ636" s="386"/>
      <c r="AK636" s="386"/>
      <c r="AL636" s="386"/>
      <c r="AN636" s="437"/>
    </row>
    <row r="637" spans="1:42" s="398" customFormat="1" ht="12.75" customHeight="1">
      <c r="B637" s="449"/>
      <c r="C637" s="386"/>
      <c r="D637" s="735"/>
      <c r="E637" s="1138"/>
      <c r="F637" s="1138"/>
      <c r="G637" s="1138"/>
      <c r="H637" s="1138"/>
      <c r="I637" s="1138"/>
      <c r="J637" s="1138"/>
      <c r="K637" s="1138"/>
      <c r="L637" s="1138"/>
      <c r="M637" s="1138"/>
      <c r="N637" s="1138"/>
      <c r="O637" s="1138"/>
      <c r="P637" s="1138"/>
      <c r="Q637" s="1138"/>
      <c r="R637" s="1138"/>
      <c r="S637" s="1138"/>
      <c r="T637" s="1138"/>
      <c r="U637" s="1138"/>
      <c r="V637" s="1138"/>
      <c r="W637" s="1138"/>
      <c r="X637" s="1138"/>
      <c r="Y637" s="1138"/>
      <c r="Z637" s="1138"/>
      <c r="AA637" s="1138"/>
      <c r="AB637" s="113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66" t="s">
        <v>2372</v>
      </c>
      <c r="F638" s="2466"/>
      <c r="G638" s="2466"/>
      <c r="H638" s="2466"/>
      <c r="I638" s="2466"/>
      <c r="J638" s="2466"/>
      <c r="K638" s="2466"/>
      <c r="L638" s="2466"/>
      <c r="M638" s="2466"/>
      <c r="N638" s="2466"/>
      <c r="O638" s="2466"/>
      <c r="P638" s="2466"/>
      <c r="Q638" s="2466"/>
      <c r="R638" s="2466"/>
      <c r="S638" s="2466"/>
      <c r="T638" s="2466"/>
      <c r="U638" s="2466"/>
      <c r="V638" s="2466"/>
      <c r="W638" s="2466"/>
      <c r="X638" s="2466"/>
      <c r="Y638" s="2466"/>
      <c r="Z638" s="2466"/>
      <c r="AA638" s="2466"/>
      <c r="AB638" s="2466"/>
      <c r="AC638" s="2466"/>
      <c r="AD638" s="2466"/>
      <c r="AE638" s="389"/>
      <c r="AF638" s="2323" t="s">
        <v>2087</v>
      </c>
      <c r="AG638" s="2323"/>
      <c r="AH638" s="2323"/>
      <c r="AI638" s="2323"/>
      <c r="AJ638" s="2323"/>
      <c r="AK638" s="2323"/>
      <c r="AL638" s="2323"/>
      <c r="AM638" s="398"/>
      <c r="AN638" s="510"/>
    </row>
    <row r="639" spans="1:42" s="398" customFormat="1" ht="12.75" customHeight="1">
      <c r="A639" s="1129"/>
      <c r="B639" s="386"/>
      <c r="C639" s="733"/>
      <c r="D639" s="495"/>
      <c r="E639" s="2466"/>
      <c r="F639" s="2466"/>
      <c r="G639" s="2466"/>
      <c r="H639" s="2466"/>
      <c r="I639" s="2466"/>
      <c r="J639" s="2466"/>
      <c r="K639" s="2466"/>
      <c r="L639" s="2466"/>
      <c r="M639" s="2466"/>
      <c r="N639" s="2466"/>
      <c r="O639" s="2466"/>
      <c r="P639" s="2466"/>
      <c r="Q639" s="2466"/>
      <c r="R639" s="2466"/>
      <c r="S639" s="2466"/>
      <c r="T639" s="2466"/>
      <c r="U639" s="2466"/>
      <c r="V639" s="2466"/>
      <c r="W639" s="2466"/>
      <c r="X639" s="2466"/>
      <c r="Y639" s="2466"/>
      <c r="Z639" s="2466"/>
      <c r="AA639" s="2466"/>
      <c r="AB639" s="2466"/>
      <c r="AC639" s="2466"/>
      <c r="AD639" s="2466"/>
      <c r="AE639" s="386"/>
      <c r="AF639" s="386"/>
      <c r="AG639" s="386"/>
      <c r="AH639" s="386"/>
      <c r="AI639" s="386"/>
      <c r="AJ639" s="386"/>
      <c r="AK639" s="386"/>
      <c r="AL639" s="386"/>
      <c r="AN639" s="437"/>
    </row>
    <row r="640" spans="1:42" s="398" customFormat="1" ht="12.75" customHeight="1">
      <c r="B640" s="386"/>
      <c r="C640" s="731"/>
      <c r="D640" s="495"/>
      <c r="E640" s="2466"/>
      <c r="F640" s="2466"/>
      <c r="G640" s="2466"/>
      <c r="H640" s="2466"/>
      <c r="I640" s="2466"/>
      <c r="J640" s="2466"/>
      <c r="K640" s="2466"/>
      <c r="L640" s="2466"/>
      <c r="M640" s="2466"/>
      <c r="N640" s="2466"/>
      <c r="O640" s="2466"/>
      <c r="P640" s="2466"/>
      <c r="Q640" s="2466"/>
      <c r="R640" s="2466"/>
      <c r="S640" s="2466"/>
      <c r="T640" s="2466"/>
      <c r="U640" s="2466"/>
      <c r="V640" s="2466"/>
      <c r="W640" s="2466"/>
      <c r="X640" s="2466"/>
      <c r="Y640" s="2466"/>
      <c r="Z640" s="2466"/>
      <c r="AA640" s="2466"/>
      <c r="AB640" s="2466"/>
      <c r="AC640" s="2466"/>
      <c r="AD640" s="2466"/>
      <c r="AE640" s="386"/>
      <c r="AF640" s="386"/>
      <c r="AG640" s="386"/>
      <c r="AH640" s="386"/>
      <c r="AI640" s="386"/>
      <c r="AJ640" s="386"/>
      <c r="AK640" s="386"/>
      <c r="AL640" s="386"/>
      <c r="AN640" s="437"/>
    </row>
    <row r="641" spans="1:42" s="398" customFormat="1" ht="12.75" customHeight="1">
      <c r="B641" s="386"/>
      <c r="C641" s="731"/>
      <c r="D641" s="495"/>
      <c r="E641" s="2466"/>
      <c r="F641" s="2466"/>
      <c r="G641" s="2466"/>
      <c r="H641" s="2466"/>
      <c r="I641" s="2466"/>
      <c r="J641" s="2466"/>
      <c r="K641" s="2466"/>
      <c r="L641" s="2466"/>
      <c r="M641" s="2466"/>
      <c r="N641" s="2466"/>
      <c r="O641" s="2466"/>
      <c r="P641" s="2466"/>
      <c r="Q641" s="2466"/>
      <c r="R641" s="2466"/>
      <c r="S641" s="2466"/>
      <c r="T641" s="2466"/>
      <c r="U641" s="2466"/>
      <c r="V641" s="2466"/>
      <c r="W641" s="2466"/>
      <c r="X641" s="2466"/>
      <c r="Y641" s="2466"/>
      <c r="Z641" s="2466"/>
      <c r="AA641" s="2466"/>
      <c r="AB641" s="2466"/>
      <c r="AC641" s="2466"/>
      <c r="AD641" s="2466"/>
      <c r="AE641" s="386"/>
      <c r="AF641" s="386"/>
      <c r="AG641" s="386"/>
      <c r="AH641" s="386"/>
      <c r="AI641" s="386"/>
      <c r="AJ641" s="386"/>
      <c r="AK641" s="386"/>
      <c r="AL641" s="386"/>
      <c r="AN641" s="437"/>
    </row>
    <row r="642" spans="1:42" s="398" customFormat="1" ht="12.75" customHeight="1">
      <c r="B642" s="386"/>
      <c r="C642" s="731"/>
      <c r="D642" s="495"/>
      <c r="E642" s="2466"/>
      <c r="F642" s="2466"/>
      <c r="G642" s="2466"/>
      <c r="H642" s="2466"/>
      <c r="I642" s="2466"/>
      <c r="J642" s="2466"/>
      <c r="K642" s="2466"/>
      <c r="L642" s="2466"/>
      <c r="M642" s="2466"/>
      <c r="N642" s="2466"/>
      <c r="O642" s="2466"/>
      <c r="P642" s="2466"/>
      <c r="Q642" s="2466"/>
      <c r="R642" s="2466"/>
      <c r="S642" s="2466"/>
      <c r="T642" s="2466"/>
      <c r="U642" s="2466"/>
      <c r="V642" s="2466"/>
      <c r="W642" s="2466"/>
      <c r="X642" s="2466"/>
      <c r="Y642" s="2466"/>
      <c r="Z642" s="2466"/>
      <c r="AA642" s="2466"/>
      <c r="AB642" s="2466"/>
      <c r="AC642" s="2466"/>
      <c r="AD642" s="2466"/>
      <c r="AE642" s="386"/>
      <c r="AF642" s="386"/>
      <c r="AG642" s="386"/>
      <c r="AH642" s="386"/>
      <c r="AI642" s="386"/>
      <c r="AJ642" s="386"/>
      <c r="AK642" s="386"/>
      <c r="AL642" s="386"/>
      <c r="AN642" s="437"/>
    </row>
    <row r="643" spans="1:42" s="398" customFormat="1" ht="12.75" customHeight="1">
      <c r="B643" s="386"/>
      <c r="C643" s="731"/>
      <c r="D643" s="495"/>
      <c r="E643" s="2466"/>
      <c r="F643" s="2466"/>
      <c r="G643" s="2466"/>
      <c r="H643" s="2466"/>
      <c r="I643" s="2466"/>
      <c r="J643" s="2466"/>
      <c r="K643" s="2466"/>
      <c r="L643" s="2466"/>
      <c r="M643" s="2466"/>
      <c r="N643" s="2466"/>
      <c r="O643" s="2466"/>
      <c r="P643" s="2466"/>
      <c r="Q643" s="2466"/>
      <c r="R643" s="2466"/>
      <c r="S643" s="2466"/>
      <c r="T643" s="2466"/>
      <c r="U643" s="2466"/>
      <c r="V643" s="2466"/>
      <c r="W643" s="2466"/>
      <c r="X643" s="2466"/>
      <c r="Y643" s="2466"/>
      <c r="Z643" s="2466"/>
      <c r="AA643" s="2466"/>
      <c r="AB643" s="2466"/>
      <c r="AC643" s="2466"/>
      <c r="AD643" s="2466"/>
      <c r="AE643" s="386"/>
      <c r="AF643" s="386"/>
      <c r="AG643" s="386"/>
      <c r="AH643" s="386"/>
      <c r="AI643" s="386"/>
      <c r="AJ643" s="386"/>
      <c r="AK643" s="386"/>
      <c r="AL643" s="386"/>
      <c r="AN643" s="437"/>
    </row>
    <row r="644" spans="1:42" s="398" customFormat="1" ht="12.75" customHeight="1">
      <c r="A644" s="475"/>
      <c r="B644" s="454"/>
      <c r="C644" s="739"/>
      <c r="D644" s="495"/>
      <c r="E644" s="2466"/>
      <c r="F644" s="2466"/>
      <c r="G644" s="2466"/>
      <c r="H644" s="2466"/>
      <c r="I644" s="2466"/>
      <c r="J644" s="2466"/>
      <c r="K644" s="2466"/>
      <c r="L644" s="2466"/>
      <c r="M644" s="2466"/>
      <c r="N644" s="2466"/>
      <c r="O644" s="2466"/>
      <c r="P644" s="2466"/>
      <c r="Q644" s="2466"/>
      <c r="R644" s="2466"/>
      <c r="S644" s="2466"/>
      <c r="T644" s="2466"/>
      <c r="U644" s="2466"/>
      <c r="V644" s="2466"/>
      <c r="W644" s="2466"/>
      <c r="X644" s="2466"/>
      <c r="Y644" s="2466"/>
      <c r="Z644" s="2466"/>
      <c r="AA644" s="2466"/>
      <c r="AB644" s="2466"/>
      <c r="AC644" s="2466"/>
      <c r="AD644" s="2466"/>
      <c r="AE644" s="454"/>
      <c r="AF644" s="454"/>
      <c r="AG644" s="454"/>
      <c r="AH644" s="454"/>
      <c r="AI644" s="454"/>
      <c r="AJ644" s="454"/>
      <c r="AK644" s="386"/>
      <c r="AL644" s="386"/>
      <c r="AN644" s="437"/>
    </row>
    <row r="645" spans="1:42" s="398" customFormat="1" ht="12.75" customHeight="1">
      <c r="B645" s="454"/>
      <c r="C645" s="739"/>
      <c r="D645" s="495"/>
      <c r="E645" s="2466"/>
      <c r="F645" s="2466"/>
      <c r="G645" s="2466"/>
      <c r="H645" s="2466"/>
      <c r="I645" s="2466"/>
      <c r="J645" s="2466"/>
      <c r="K645" s="2466"/>
      <c r="L645" s="2466"/>
      <c r="M645" s="2466"/>
      <c r="N645" s="2466"/>
      <c r="O645" s="2466"/>
      <c r="P645" s="2466"/>
      <c r="Q645" s="2466"/>
      <c r="R645" s="2466"/>
      <c r="S645" s="2466"/>
      <c r="T645" s="2466"/>
      <c r="U645" s="2466"/>
      <c r="V645" s="2466"/>
      <c r="W645" s="2466"/>
      <c r="X645" s="2466"/>
      <c r="Y645" s="2466"/>
      <c r="Z645" s="2466"/>
      <c r="AA645" s="2466"/>
      <c r="AB645" s="2466"/>
      <c r="AC645" s="2466"/>
      <c r="AD645" s="2466"/>
      <c r="AE645" s="454"/>
      <c r="AF645" s="454"/>
      <c r="AG645" s="454"/>
      <c r="AH645" s="454"/>
      <c r="AI645" s="454"/>
      <c r="AJ645" s="454"/>
      <c r="AK645" s="386"/>
      <c r="AL645" s="386"/>
      <c r="AN645" s="437"/>
    </row>
    <row r="646" spans="1:42" s="398" customFormat="1" ht="12" customHeight="1">
      <c r="B646" s="454"/>
      <c r="C646" s="739"/>
      <c r="D646" s="495"/>
      <c r="E646" s="1140"/>
      <c r="F646" s="1140"/>
      <c r="G646" s="1140"/>
      <c r="H646" s="1140"/>
      <c r="I646" s="1140"/>
      <c r="J646" s="1140"/>
      <c r="K646" s="1140"/>
      <c r="L646" s="1140"/>
      <c r="M646" s="1140"/>
      <c r="N646" s="1140"/>
      <c r="O646" s="1140"/>
      <c r="P646" s="1140"/>
      <c r="Q646" s="1140"/>
      <c r="R646" s="1140"/>
      <c r="S646" s="1140"/>
      <c r="T646" s="1140"/>
      <c r="U646" s="1140"/>
      <c r="V646" s="1140"/>
      <c r="W646" s="1140"/>
      <c r="X646" s="1140"/>
      <c r="Y646" s="1140"/>
      <c r="Z646" s="1140"/>
      <c r="AA646" s="1140"/>
      <c r="AB646" s="1140"/>
      <c r="AC646" s="1140"/>
      <c r="AD646" s="1140"/>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2373</v>
      </c>
      <c r="F647" s="740"/>
      <c r="G647" s="740"/>
      <c r="H647" s="740"/>
      <c r="I647" s="740"/>
      <c r="J647" s="740"/>
      <c r="K647" s="740"/>
      <c r="L647" s="740"/>
      <c r="M647" s="740"/>
      <c r="N647" s="740"/>
      <c r="O647" s="740"/>
      <c r="P647" s="740"/>
      <c r="Q647" s="740"/>
      <c r="R647" s="740"/>
      <c r="U647" s="740"/>
      <c r="V647" s="740"/>
      <c r="W647" s="740"/>
      <c r="X647" s="2330" t="s">
        <v>816</v>
      </c>
      <c r="Y647" s="2330"/>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2374</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23" t="s">
        <v>2375</v>
      </c>
      <c r="AG649" s="2323"/>
      <c r="AH649" s="2323"/>
      <c r="AI649" s="2323"/>
      <c r="AJ649" s="2323"/>
      <c r="AK649" s="2323"/>
      <c r="AL649" s="2323"/>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2345</v>
      </c>
      <c r="AP650" s="511">
        <v>4</v>
      </c>
    </row>
    <row r="651" spans="1:42" s="398" customFormat="1" ht="12.75" customHeight="1">
      <c r="B651" s="386"/>
      <c r="C651" s="731"/>
      <c r="D651" s="386" t="s">
        <v>2361</v>
      </c>
      <c r="E651" s="1138"/>
      <c r="F651" s="1138"/>
      <c r="G651" s="1138"/>
      <c r="H651" s="2324" t="s">
        <v>22</v>
      </c>
      <c r="I651" s="2324"/>
      <c r="J651" s="741"/>
      <c r="K651" s="741"/>
      <c r="L651" s="741"/>
      <c r="M651" s="741"/>
      <c r="N651" s="741"/>
      <c r="O651" s="741"/>
      <c r="P651" s="741"/>
      <c r="Q651" s="741"/>
      <c r="R651" s="741"/>
      <c r="S651" s="741"/>
      <c r="T651" s="741"/>
      <c r="U651" s="1138"/>
      <c r="V651" s="1138"/>
      <c r="W651" s="1138"/>
      <c r="X651" s="386"/>
      <c r="Y651" s="386"/>
      <c r="Z651" s="386"/>
      <c r="AA651" s="386"/>
      <c r="AB651" s="386"/>
      <c r="AC651" s="386"/>
      <c r="AD651" s="386"/>
      <c r="AE651" s="386"/>
      <c r="AF651" s="386"/>
      <c r="AG651" s="386"/>
      <c r="AH651" s="386"/>
      <c r="AI651" s="386"/>
      <c r="AJ651" s="386"/>
      <c r="AK651" s="386"/>
      <c r="AL651" s="386"/>
      <c r="AN651" s="437"/>
      <c r="AO651" s="450" t="s">
        <v>2348</v>
      </c>
      <c r="AP651" s="398">
        <v>3</v>
      </c>
    </row>
    <row r="652" spans="1:42" s="398" customFormat="1" ht="12.75" customHeight="1">
      <c r="B652" s="386"/>
      <c r="C652" s="731"/>
      <c r="D652" s="386"/>
      <c r="E652" s="1138"/>
      <c r="F652" s="741"/>
      <c r="G652" s="741"/>
      <c r="H652" s="741"/>
      <c r="I652" s="742"/>
      <c r="J652" s="741"/>
      <c r="K652" s="741"/>
      <c r="L652" s="741"/>
      <c r="M652" s="741"/>
      <c r="N652" s="741"/>
      <c r="O652" s="741"/>
      <c r="P652" s="741"/>
      <c r="Q652" s="741"/>
      <c r="R652" s="386"/>
      <c r="S652" s="386"/>
      <c r="T652" s="741"/>
      <c r="U652" s="1138"/>
      <c r="V652" s="1138"/>
      <c r="W652" s="1138"/>
      <c r="X652" s="1138"/>
      <c r="Y652" s="1138"/>
      <c r="Z652" s="1138"/>
      <c r="AA652" s="1138"/>
      <c r="AB652" s="1138"/>
      <c r="AC652" s="386"/>
      <c r="AD652" s="386"/>
      <c r="AE652" s="386"/>
      <c r="AF652" s="386"/>
      <c r="AG652" s="386"/>
      <c r="AH652" s="386"/>
      <c r="AI652" s="741"/>
      <c r="AJ652" s="741"/>
      <c r="AK652" s="741"/>
      <c r="AL652" s="741"/>
      <c r="AM652" s="512"/>
      <c r="AN652" s="437"/>
      <c r="AO652" s="450" t="s">
        <v>2376</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2377</v>
      </c>
      <c r="AJ653" s="2325">
        <f>VLOOKUP($H$651,$AO$618:$AP$620,2,FALSE)</f>
        <v>3</v>
      </c>
      <c r="AK653" s="2326"/>
      <c r="AL653" s="435"/>
      <c r="AN653" s="437"/>
      <c r="AO653" s="450" t="s">
        <v>2378</v>
      </c>
      <c r="AP653" s="398">
        <v>1</v>
      </c>
    </row>
    <row r="654" spans="1:42" s="398" customFormat="1" ht="12.75" customHeight="1">
      <c r="B654" s="386"/>
      <c r="C654" s="731"/>
      <c r="D654" s="386"/>
      <c r="E654" s="1138"/>
      <c r="F654" s="1138"/>
      <c r="G654" s="1138"/>
      <c r="H654" s="386"/>
      <c r="I654" s="386"/>
      <c r="J654" s="741"/>
      <c r="K654" s="741"/>
      <c r="L654" s="741"/>
      <c r="M654" s="741"/>
      <c r="N654" s="741"/>
      <c r="O654" s="741"/>
      <c r="P654" s="741"/>
      <c r="Q654" s="741"/>
      <c r="R654" s="741"/>
      <c r="S654" s="741"/>
      <c r="T654" s="741"/>
      <c r="U654" s="1138"/>
      <c r="V654" s="1138"/>
      <c r="W654" s="1138"/>
      <c r="X654" s="1138"/>
      <c r="Y654" s="1138"/>
      <c r="Z654" s="1138"/>
      <c r="AA654" s="1138"/>
      <c r="AB654" s="1138"/>
      <c r="AC654" s="386"/>
      <c r="AD654" s="386"/>
      <c r="AE654" s="386"/>
      <c r="AF654" s="386"/>
      <c r="AG654" s="386"/>
      <c r="AH654" s="386"/>
      <c r="AI654" s="386"/>
      <c r="AJ654" s="1127"/>
      <c r="AK654" s="386"/>
      <c r="AL654" s="386"/>
      <c r="AN654" s="437"/>
    </row>
    <row r="655" spans="1:42" s="398" customFormat="1" ht="12.75" customHeight="1">
      <c r="B655" s="386"/>
      <c r="C655" s="389" t="s">
        <v>2379</v>
      </c>
      <c r="D655" s="386"/>
      <c r="E655" s="113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20"/>
      <c r="AD655" s="1120"/>
      <c r="AE655" s="1120"/>
      <c r="AF655" s="1120"/>
      <c r="AG655" s="1120"/>
      <c r="AH655" s="1120"/>
      <c r="AI655" s="112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22" t="s">
        <v>2380</v>
      </c>
      <c r="F657" s="2322"/>
      <c r="G657" s="2322"/>
      <c r="H657" s="2322"/>
      <c r="I657" s="2322"/>
      <c r="J657" s="2322"/>
      <c r="K657" s="2322"/>
      <c r="L657" s="2322"/>
      <c r="M657" s="2322"/>
      <c r="N657" s="2322"/>
      <c r="O657" s="2322"/>
      <c r="P657" s="2322"/>
      <c r="Q657" s="2322"/>
      <c r="R657" s="2322"/>
      <c r="S657" s="2322"/>
      <c r="T657" s="2322"/>
      <c r="U657" s="2322"/>
      <c r="V657" s="2322"/>
      <c r="W657" s="2322"/>
      <c r="X657" s="2322"/>
      <c r="Y657" s="2322"/>
      <c r="Z657" s="2322"/>
      <c r="AA657" s="2322"/>
      <c r="AB657" s="2322"/>
      <c r="AC657" s="2322"/>
      <c r="AD657" s="2322"/>
      <c r="AE657" s="386"/>
      <c r="AF657" s="2323" t="s">
        <v>2087</v>
      </c>
      <c r="AG657" s="2323"/>
      <c r="AH657" s="2323"/>
      <c r="AI657" s="2323"/>
      <c r="AJ657" s="2323"/>
      <c r="AK657" s="2323"/>
      <c r="AL657" s="2323"/>
      <c r="AN657" s="437"/>
    </row>
    <row r="658" spans="1:42" s="398" customFormat="1" ht="12.75" customHeight="1">
      <c r="B658" s="386"/>
      <c r="C658" s="386"/>
      <c r="D658" s="495"/>
      <c r="E658" s="2322"/>
      <c r="F658" s="2322"/>
      <c r="G658" s="2322"/>
      <c r="H658" s="2322"/>
      <c r="I658" s="2322"/>
      <c r="J658" s="2322"/>
      <c r="K658" s="2322"/>
      <c r="L658" s="2322"/>
      <c r="M658" s="2322"/>
      <c r="N658" s="2322"/>
      <c r="O658" s="2322"/>
      <c r="P658" s="2322"/>
      <c r="Q658" s="2322"/>
      <c r="R658" s="2322"/>
      <c r="S658" s="2322"/>
      <c r="T658" s="2322"/>
      <c r="U658" s="2322"/>
      <c r="V658" s="2322"/>
      <c r="W658" s="2322"/>
      <c r="X658" s="2322"/>
      <c r="Y658" s="2322"/>
      <c r="Z658" s="2322"/>
      <c r="AA658" s="2322"/>
      <c r="AB658" s="2322"/>
      <c r="AC658" s="2322"/>
      <c r="AD658" s="2322"/>
      <c r="AE658" s="1120"/>
      <c r="AF658" s="1120"/>
      <c r="AG658" s="1120"/>
      <c r="AH658" s="1120"/>
      <c r="AI658" s="1120"/>
      <c r="AJ658" s="1120"/>
      <c r="AK658" s="1120"/>
      <c r="AL658" s="112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2381</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23" t="s">
        <v>2375</v>
      </c>
      <c r="AG660" s="2323"/>
      <c r="AH660" s="2323"/>
      <c r="AI660" s="2323"/>
      <c r="AJ660" s="2323"/>
      <c r="AK660" s="2323"/>
      <c r="AL660" s="2323"/>
      <c r="AN660" s="437"/>
    </row>
    <row r="661" spans="1:42" s="398" customFormat="1" ht="12.75" customHeight="1">
      <c r="B661" s="386"/>
      <c r="C661" s="731"/>
      <c r="D661" s="495"/>
      <c r="E661" s="454" t="s">
        <v>2382</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20"/>
      <c r="AF661" s="1120"/>
      <c r="AG661" s="1120"/>
      <c r="AH661" s="1120"/>
      <c r="AI661" s="1120"/>
      <c r="AJ661" s="1120"/>
      <c r="AK661" s="1120"/>
      <c r="AL661" s="112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2361</v>
      </c>
      <c r="E663" s="1138"/>
      <c r="F663" s="1138"/>
      <c r="G663" s="1138"/>
      <c r="H663" s="2324" t="s">
        <v>27</v>
      </c>
      <c r="I663" s="2324"/>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38"/>
      <c r="F664" s="1138"/>
      <c r="G664" s="454"/>
      <c r="H664" s="454"/>
      <c r="I664" s="454"/>
      <c r="J664" s="454"/>
      <c r="K664" s="454"/>
      <c r="L664" s="454"/>
      <c r="M664" s="454"/>
      <c r="N664" s="454"/>
      <c r="O664" s="454"/>
      <c r="P664" s="454"/>
      <c r="Q664" s="454"/>
      <c r="R664" s="454"/>
      <c r="S664" s="454"/>
      <c r="T664" s="454"/>
      <c r="U664" s="454"/>
      <c r="V664" s="454"/>
      <c r="W664" s="454"/>
      <c r="X664" s="454"/>
      <c r="Y664" s="454"/>
      <c r="Z664" s="1138"/>
      <c r="AA664" s="1138"/>
      <c r="AB664" s="113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2383</v>
      </c>
      <c r="AJ665" s="2325">
        <f>VLOOKUP(H663,AT618:AU620,2,FALSE)</f>
        <v>2</v>
      </c>
      <c r="AK665" s="2326"/>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2384</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2385</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22" t="s">
        <v>2386</v>
      </c>
      <c r="F670" s="2322"/>
      <c r="G670" s="2322"/>
      <c r="H670" s="2322"/>
      <c r="I670" s="2322"/>
      <c r="J670" s="2322"/>
      <c r="K670" s="2322"/>
      <c r="L670" s="2322"/>
      <c r="M670" s="2322"/>
      <c r="N670" s="2322"/>
      <c r="O670" s="2322"/>
      <c r="P670" s="2322"/>
      <c r="Q670" s="2322"/>
      <c r="R670" s="2322"/>
      <c r="S670" s="2322"/>
      <c r="T670" s="2322"/>
      <c r="U670" s="2322"/>
      <c r="V670" s="2322"/>
      <c r="W670" s="2322"/>
      <c r="X670" s="2322"/>
      <c r="Y670" s="2322"/>
      <c r="Z670" s="2322"/>
      <c r="AA670" s="2322"/>
      <c r="AB670" s="2322"/>
      <c r="AC670" s="2322"/>
      <c r="AD670" s="386"/>
      <c r="AE670" s="386"/>
      <c r="AF670" s="2323" t="s">
        <v>2347</v>
      </c>
      <c r="AG670" s="2323"/>
      <c r="AH670" s="2323"/>
      <c r="AI670" s="2323"/>
      <c r="AJ670" s="2323"/>
      <c r="AK670" s="2323"/>
      <c r="AL670" s="2323"/>
      <c r="AN670" s="437"/>
    </row>
    <row r="671" spans="1:42" s="398" customFormat="1" ht="12.75" customHeight="1">
      <c r="B671" s="386"/>
      <c r="C671" s="389"/>
      <c r="D671" s="386"/>
      <c r="E671" s="2322"/>
      <c r="F671" s="2322"/>
      <c r="G671" s="2322"/>
      <c r="H671" s="2322"/>
      <c r="I671" s="2322"/>
      <c r="J671" s="2322"/>
      <c r="K671" s="2322"/>
      <c r="L671" s="2322"/>
      <c r="M671" s="2322"/>
      <c r="N671" s="2322"/>
      <c r="O671" s="2322"/>
      <c r="P671" s="2322"/>
      <c r="Q671" s="2322"/>
      <c r="R671" s="2322"/>
      <c r="S671" s="2322"/>
      <c r="T671" s="2322"/>
      <c r="U671" s="2322"/>
      <c r="V671" s="2322"/>
      <c r="W671" s="2322"/>
      <c r="X671" s="2322"/>
      <c r="Y671" s="2322"/>
      <c r="Z671" s="2322"/>
      <c r="AA671" s="2322"/>
      <c r="AB671" s="2322"/>
      <c r="AC671" s="2322"/>
      <c r="AD671" s="386"/>
      <c r="AE671" s="386"/>
      <c r="AF671" s="386"/>
      <c r="AG671" s="386"/>
      <c r="AH671" s="386"/>
      <c r="AI671" s="386"/>
      <c r="AJ671" s="386"/>
      <c r="AK671" s="386"/>
      <c r="AL671" s="386"/>
      <c r="AN671" s="437"/>
    </row>
    <row r="672" spans="1:42" s="398" customFormat="1" ht="12.75" customHeight="1">
      <c r="B672" s="386"/>
      <c r="C672" s="389"/>
      <c r="D672" s="495"/>
      <c r="E672" s="2322"/>
      <c r="F672" s="2322"/>
      <c r="G672" s="2322"/>
      <c r="H672" s="2322"/>
      <c r="I672" s="2322"/>
      <c r="J672" s="2322"/>
      <c r="K672" s="2322"/>
      <c r="L672" s="2322"/>
      <c r="M672" s="2322"/>
      <c r="N672" s="2322"/>
      <c r="O672" s="2322"/>
      <c r="P672" s="2322"/>
      <c r="Q672" s="2322"/>
      <c r="R672" s="2322"/>
      <c r="S672" s="2322"/>
      <c r="T672" s="2322"/>
      <c r="U672" s="2322"/>
      <c r="V672" s="2322"/>
      <c r="W672" s="2322"/>
      <c r="X672" s="2322"/>
      <c r="Y672" s="2322"/>
      <c r="Z672" s="2322"/>
      <c r="AA672" s="2322"/>
      <c r="AB672" s="2322"/>
      <c r="AC672" s="2322"/>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22" t="s">
        <v>2387</v>
      </c>
      <c r="F674" s="2322"/>
      <c r="G674" s="2322"/>
      <c r="H674" s="2322"/>
      <c r="I674" s="2322"/>
      <c r="J674" s="2322"/>
      <c r="K674" s="2322"/>
      <c r="L674" s="2322"/>
      <c r="M674" s="2322"/>
      <c r="N674" s="2322"/>
      <c r="O674" s="2322"/>
      <c r="P674" s="2322"/>
      <c r="Q674" s="2322"/>
      <c r="R674" s="2322"/>
      <c r="S674" s="2322"/>
      <c r="T674" s="2322"/>
      <c r="U674" s="2322"/>
      <c r="V674" s="2322"/>
      <c r="W674" s="2322"/>
      <c r="X674" s="2322"/>
      <c r="Y674" s="2322"/>
      <c r="Z674" s="2322"/>
      <c r="AA674" s="2322"/>
      <c r="AB674" s="2322"/>
      <c r="AC674" s="2322"/>
      <c r="AD674" s="386"/>
      <c r="AE674" s="386"/>
      <c r="AF674" s="2323" t="s">
        <v>2353</v>
      </c>
      <c r="AG674" s="2323"/>
      <c r="AH674" s="2323"/>
      <c r="AI674" s="2323"/>
      <c r="AJ674" s="2323"/>
      <c r="AK674" s="2323"/>
      <c r="AL674" s="2323"/>
      <c r="AN674" s="437"/>
    </row>
    <row r="675" spans="1:42" s="398" customFormat="1" ht="12.75" customHeight="1">
      <c r="B675" s="386"/>
      <c r="C675" s="389"/>
      <c r="D675" s="386"/>
      <c r="E675" s="2322"/>
      <c r="F675" s="2322"/>
      <c r="G675" s="2322"/>
      <c r="H675" s="2322"/>
      <c r="I675" s="2322"/>
      <c r="J675" s="2322"/>
      <c r="K675" s="2322"/>
      <c r="L675" s="2322"/>
      <c r="M675" s="2322"/>
      <c r="N675" s="2322"/>
      <c r="O675" s="2322"/>
      <c r="P675" s="2322"/>
      <c r="Q675" s="2322"/>
      <c r="R675" s="2322"/>
      <c r="S675" s="2322"/>
      <c r="T675" s="2322"/>
      <c r="U675" s="2322"/>
      <c r="V675" s="2322"/>
      <c r="W675" s="2322"/>
      <c r="X675" s="2322"/>
      <c r="Y675" s="2322"/>
      <c r="Z675" s="2322"/>
      <c r="AA675" s="2322"/>
      <c r="AB675" s="2322"/>
      <c r="AC675" s="2322"/>
      <c r="AD675" s="386"/>
      <c r="AE675" s="386"/>
      <c r="AF675" s="386"/>
      <c r="AG675" s="386"/>
      <c r="AH675" s="386"/>
      <c r="AI675" s="386"/>
      <c r="AJ675" s="386"/>
      <c r="AK675" s="386"/>
      <c r="AL675" s="386"/>
      <c r="AN675" s="437"/>
    </row>
    <row r="676" spans="1:42" s="398" customFormat="1" ht="15" customHeight="1">
      <c r="B676" s="386"/>
      <c r="C676" s="389"/>
      <c r="D676" s="495"/>
      <c r="E676" s="2322"/>
      <c r="F676" s="2322"/>
      <c r="G676" s="2322"/>
      <c r="H676" s="2322"/>
      <c r="I676" s="2322"/>
      <c r="J676" s="2322"/>
      <c r="K676" s="2322"/>
      <c r="L676" s="2322"/>
      <c r="M676" s="2322"/>
      <c r="N676" s="2322"/>
      <c r="O676" s="2322"/>
      <c r="P676" s="2322"/>
      <c r="Q676" s="2322"/>
      <c r="R676" s="2322"/>
      <c r="S676" s="2322"/>
      <c r="T676" s="2322"/>
      <c r="U676" s="2322"/>
      <c r="V676" s="2322"/>
      <c r="W676" s="2322"/>
      <c r="X676" s="2322"/>
      <c r="Y676" s="2322"/>
      <c r="Z676" s="2322"/>
      <c r="AA676" s="2322"/>
      <c r="AB676" s="2322"/>
      <c r="AC676" s="2322"/>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22" t="s">
        <v>2388</v>
      </c>
      <c r="F678" s="2322"/>
      <c r="G678" s="2322"/>
      <c r="H678" s="2322"/>
      <c r="I678" s="2322"/>
      <c r="J678" s="2322"/>
      <c r="K678" s="2322"/>
      <c r="L678" s="2322"/>
      <c r="M678" s="2322"/>
      <c r="N678" s="2322"/>
      <c r="O678" s="2322"/>
      <c r="P678" s="2322"/>
      <c r="Q678" s="2322"/>
      <c r="R678" s="2322"/>
      <c r="S678" s="2322"/>
      <c r="T678" s="2322"/>
      <c r="U678" s="2322"/>
      <c r="V678" s="2322"/>
      <c r="W678" s="2322"/>
      <c r="X678" s="2322"/>
      <c r="Y678" s="2322"/>
      <c r="Z678" s="2322"/>
      <c r="AA678" s="2322"/>
      <c r="AB678" s="2322"/>
      <c r="AC678" s="2322"/>
      <c r="AD678" s="386"/>
      <c r="AE678" s="386"/>
      <c r="AF678" s="2323" t="s">
        <v>2087</v>
      </c>
      <c r="AG678" s="2323"/>
      <c r="AH678" s="2323"/>
      <c r="AI678" s="2323"/>
      <c r="AJ678" s="2323"/>
      <c r="AK678" s="2323"/>
      <c r="AL678" s="2323"/>
      <c r="AN678" s="437"/>
    </row>
    <row r="679" spans="1:42" s="398" customFormat="1" ht="12.75" customHeight="1">
      <c r="B679" s="386"/>
      <c r="C679" s="731"/>
      <c r="D679" s="386"/>
      <c r="E679" s="2322"/>
      <c r="F679" s="2322"/>
      <c r="G679" s="2322"/>
      <c r="H679" s="2322"/>
      <c r="I679" s="2322"/>
      <c r="J679" s="2322"/>
      <c r="K679" s="2322"/>
      <c r="L679" s="2322"/>
      <c r="M679" s="2322"/>
      <c r="N679" s="2322"/>
      <c r="O679" s="2322"/>
      <c r="P679" s="2322"/>
      <c r="Q679" s="2322"/>
      <c r="R679" s="2322"/>
      <c r="S679" s="2322"/>
      <c r="T679" s="2322"/>
      <c r="U679" s="2322"/>
      <c r="V679" s="2322"/>
      <c r="W679" s="2322"/>
      <c r="X679" s="2322"/>
      <c r="Y679" s="2322"/>
      <c r="Z679" s="2322"/>
      <c r="AA679" s="2322"/>
      <c r="AB679" s="2322"/>
      <c r="AC679" s="2322"/>
      <c r="AD679" s="386"/>
      <c r="AE679" s="2323"/>
      <c r="AF679" s="2323"/>
      <c r="AG679" s="2323"/>
      <c r="AH679" s="2323"/>
      <c r="AI679" s="2323"/>
      <c r="AJ679" s="2323"/>
      <c r="AK679" s="2323"/>
      <c r="AL679" s="1120"/>
      <c r="AN679" s="437"/>
      <c r="AO679" s="398" t="s">
        <v>816</v>
      </c>
      <c r="AP679" s="505">
        <v>0</v>
      </c>
    </row>
    <row r="680" spans="1:42" s="398" customFormat="1" ht="12.75" customHeight="1">
      <c r="A680" s="1129"/>
      <c r="B680" s="386"/>
      <c r="C680" s="386"/>
      <c r="D680" s="495"/>
      <c r="E680" s="2322"/>
      <c r="F680" s="2322"/>
      <c r="G680" s="2322"/>
      <c r="H680" s="2322"/>
      <c r="I680" s="2322"/>
      <c r="J680" s="2322"/>
      <c r="K680" s="2322"/>
      <c r="L680" s="2322"/>
      <c r="M680" s="2322"/>
      <c r="N680" s="2322"/>
      <c r="O680" s="2322"/>
      <c r="P680" s="2322"/>
      <c r="Q680" s="2322"/>
      <c r="R680" s="2322"/>
      <c r="S680" s="2322"/>
      <c r="T680" s="2322"/>
      <c r="U680" s="2322"/>
      <c r="V680" s="2322"/>
      <c r="W680" s="2322"/>
      <c r="X680" s="2322"/>
      <c r="Y680" s="2322"/>
      <c r="Z680" s="2322"/>
      <c r="AA680" s="2322"/>
      <c r="AB680" s="2322"/>
      <c r="AC680" s="2322"/>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51"/>
      <c r="F681" s="1151"/>
      <c r="G681" s="1151"/>
      <c r="H681" s="1151"/>
      <c r="I681" s="1151"/>
      <c r="J681" s="1151"/>
      <c r="K681" s="1151"/>
      <c r="L681" s="1151"/>
      <c r="M681" s="1151"/>
      <c r="N681" s="1151"/>
      <c r="O681" s="1151"/>
      <c r="P681" s="1151"/>
      <c r="Q681" s="1151"/>
      <c r="R681" s="1151"/>
      <c r="S681" s="1151"/>
      <c r="T681" s="1151"/>
      <c r="U681" s="1151"/>
      <c r="V681" s="1151"/>
      <c r="W681" s="1151"/>
      <c r="X681" s="1151"/>
      <c r="Y681" s="1151"/>
      <c r="Z681" s="1151"/>
      <c r="AA681" s="1151"/>
      <c r="AB681" s="1151"/>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2345</v>
      </c>
      <c r="E682" s="2322" t="s">
        <v>2389</v>
      </c>
      <c r="F682" s="2322"/>
      <c r="G682" s="2322"/>
      <c r="H682" s="2322"/>
      <c r="I682" s="2322"/>
      <c r="J682" s="2322"/>
      <c r="K682" s="2322"/>
      <c r="L682" s="2322"/>
      <c r="M682" s="2322"/>
      <c r="N682" s="2322"/>
      <c r="O682" s="2322"/>
      <c r="P682" s="2322"/>
      <c r="Q682" s="2322"/>
      <c r="R682" s="2322"/>
      <c r="S682" s="2322"/>
      <c r="T682" s="2322"/>
      <c r="U682" s="2322"/>
      <c r="V682" s="2322"/>
      <c r="W682" s="2322"/>
      <c r="X682" s="2322"/>
      <c r="Y682" s="2322"/>
      <c r="Z682" s="2322"/>
      <c r="AA682" s="2322"/>
      <c r="AB682" s="2322"/>
      <c r="AC682" s="2322"/>
      <c r="AD682" s="386"/>
      <c r="AE682" s="386"/>
      <c r="AF682" s="2323" t="s">
        <v>2353</v>
      </c>
      <c r="AG682" s="2323"/>
      <c r="AH682" s="2323"/>
      <c r="AI682" s="2323"/>
      <c r="AJ682" s="2323"/>
      <c r="AK682" s="2323"/>
      <c r="AL682" s="2323"/>
      <c r="AN682" s="437"/>
    </row>
    <row r="683" spans="1:42" s="398" customFormat="1" ht="12.75" customHeight="1">
      <c r="A683" s="502"/>
      <c r="B683" s="386"/>
      <c r="C683" s="746"/>
      <c r="D683" s="495"/>
      <c r="E683" s="2322"/>
      <c r="F683" s="2322"/>
      <c r="G683" s="2322"/>
      <c r="H683" s="2322"/>
      <c r="I683" s="2322"/>
      <c r="J683" s="2322"/>
      <c r="K683" s="2322"/>
      <c r="L683" s="2322"/>
      <c r="M683" s="2322"/>
      <c r="N683" s="2322"/>
      <c r="O683" s="2322"/>
      <c r="P683" s="2322"/>
      <c r="Q683" s="2322"/>
      <c r="R683" s="2322"/>
      <c r="S683" s="2322"/>
      <c r="T683" s="2322"/>
      <c r="U683" s="2322"/>
      <c r="V683" s="2322"/>
      <c r="W683" s="2322"/>
      <c r="X683" s="2322"/>
      <c r="Y683" s="2322"/>
      <c r="Z683" s="2322"/>
      <c r="AA683" s="2322"/>
      <c r="AB683" s="2322"/>
      <c r="AC683" s="2322"/>
      <c r="AD683" s="386"/>
      <c r="AE683" s="1120"/>
      <c r="AF683" s="1120"/>
      <c r="AG683" s="1120"/>
      <c r="AH683" s="1120"/>
      <c r="AI683" s="1120"/>
      <c r="AJ683" s="1120"/>
      <c r="AK683" s="1120"/>
      <c r="AL683" s="1120"/>
      <c r="AM683" s="436"/>
      <c r="AN683" s="437"/>
    </row>
    <row r="684" spans="1:42" s="398" customFormat="1" ht="12.75" customHeight="1">
      <c r="A684" s="502"/>
      <c r="B684" s="386"/>
      <c r="C684" s="746"/>
      <c r="D684" s="495"/>
      <c r="E684" s="2322"/>
      <c r="F684" s="2322"/>
      <c r="G684" s="2322"/>
      <c r="H684" s="2322"/>
      <c r="I684" s="2322"/>
      <c r="J684" s="2322"/>
      <c r="K684" s="2322"/>
      <c r="L684" s="2322"/>
      <c r="M684" s="2322"/>
      <c r="N684" s="2322"/>
      <c r="O684" s="2322"/>
      <c r="P684" s="2322"/>
      <c r="Q684" s="2322"/>
      <c r="R684" s="2322"/>
      <c r="S684" s="2322"/>
      <c r="T684" s="2322"/>
      <c r="U684" s="2322"/>
      <c r="V684" s="2322"/>
      <c r="W684" s="2322"/>
      <c r="X684" s="2322"/>
      <c r="Y684" s="2322"/>
      <c r="Z684" s="2322"/>
      <c r="AA684" s="2322"/>
      <c r="AB684" s="2322"/>
      <c r="AC684" s="2322"/>
      <c r="AD684" s="386"/>
      <c r="AE684" s="1120"/>
      <c r="AF684" s="1120"/>
      <c r="AG684" s="1120"/>
      <c r="AH684" s="1120"/>
      <c r="AI684" s="1120"/>
      <c r="AJ684" s="1120"/>
      <c r="AK684" s="1120"/>
      <c r="AL684" s="112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20"/>
      <c r="AM685" s="436"/>
      <c r="AN685" s="437"/>
    </row>
    <row r="686" spans="1:42" s="398" customFormat="1" ht="12.75" customHeight="1">
      <c r="B686" s="386"/>
      <c r="C686" s="731"/>
      <c r="D686" s="495" t="s">
        <v>2348</v>
      </c>
      <c r="E686" s="2322" t="s">
        <v>2390</v>
      </c>
      <c r="F686" s="2322"/>
      <c r="G686" s="2322"/>
      <c r="H686" s="2322"/>
      <c r="I686" s="2322"/>
      <c r="J686" s="2322"/>
      <c r="K686" s="2322"/>
      <c r="L686" s="2322"/>
      <c r="M686" s="2322"/>
      <c r="N686" s="2322"/>
      <c r="O686" s="2322"/>
      <c r="P686" s="2322"/>
      <c r="Q686" s="2322"/>
      <c r="R686" s="2322"/>
      <c r="S686" s="2322"/>
      <c r="T686" s="2322"/>
      <c r="U686" s="2322"/>
      <c r="V686" s="2322"/>
      <c r="W686" s="2322"/>
      <c r="X686" s="2322"/>
      <c r="Y686" s="2322"/>
      <c r="Z686" s="2322"/>
      <c r="AA686" s="2322"/>
      <c r="AB686" s="2322"/>
      <c r="AC686" s="2322"/>
      <c r="AD686" s="386"/>
      <c r="AE686" s="386"/>
      <c r="AF686" s="2323" t="s">
        <v>2087</v>
      </c>
      <c r="AG686" s="2323"/>
      <c r="AH686" s="2323"/>
      <c r="AI686" s="2323"/>
      <c r="AJ686" s="2323"/>
      <c r="AK686" s="2323"/>
      <c r="AL686" s="2323"/>
      <c r="AM686" s="436"/>
      <c r="AN686" s="437"/>
    </row>
    <row r="687" spans="1:42" s="398" customFormat="1" ht="12.75" customHeight="1">
      <c r="B687" s="386"/>
      <c r="C687" s="731"/>
      <c r="D687" s="495"/>
      <c r="E687" s="2322"/>
      <c r="F687" s="2322"/>
      <c r="G687" s="2322"/>
      <c r="H687" s="2322"/>
      <c r="I687" s="2322"/>
      <c r="J687" s="2322"/>
      <c r="K687" s="2322"/>
      <c r="L687" s="2322"/>
      <c r="M687" s="2322"/>
      <c r="N687" s="2322"/>
      <c r="O687" s="2322"/>
      <c r="P687" s="2322"/>
      <c r="Q687" s="2322"/>
      <c r="R687" s="2322"/>
      <c r="S687" s="2322"/>
      <c r="T687" s="2322"/>
      <c r="U687" s="2322"/>
      <c r="V687" s="2322"/>
      <c r="W687" s="2322"/>
      <c r="X687" s="2322"/>
      <c r="Y687" s="2322"/>
      <c r="Z687" s="2322"/>
      <c r="AA687" s="2322"/>
      <c r="AB687" s="2322"/>
      <c r="AC687" s="2322"/>
      <c r="AD687" s="386"/>
      <c r="AE687" s="386"/>
      <c r="AF687" s="386"/>
      <c r="AG687" s="386"/>
      <c r="AH687" s="386"/>
      <c r="AI687" s="386"/>
      <c r="AJ687" s="386"/>
      <c r="AK687" s="386"/>
      <c r="AL687" s="386"/>
      <c r="AM687" s="436"/>
      <c r="AN687" s="437"/>
    </row>
    <row r="688" spans="1:42" s="398" customFormat="1" ht="12.75" customHeight="1">
      <c r="B688" s="386"/>
      <c r="C688" s="731"/>
      <c r="D688" s="495"/>
      <c r="E688" s="2322"/>
      <c r="F688" s="2322"/>
      <c r="G688" s="2322"/>
      <c r="H688" s="2322"/>
      <c r="I688" s="2322"/>
      <c r="J688" s="2322"/>
      <c r="K688" s="2322"/>
      <c r="L688" s="2322"/>
      <c r="M688" s="2322"/>
      <c r="N688" s="2322"/>
      <c r="O688" s="2322"/>
      <c r="P688" s="2322"/>
      <c r="Q688" s="2322"/>
      <c r="R688" s="2322"/>
      <c r="S688" s="2322"/>
      <c r="T688" s="2322"/>
      <c r="U688" s="2322"/>
      <c r="V688" s="2322"/>
      <c r="W688" s="2322"/>
      <c r="X688" s="2322"/>
      <c r="Y688" s="2322"/>
      <c r="Z688" s="2322"/>
      <c r="AA688" s="2322"/>
      <c r="AB688" s="2322"/>
      <c r="AC688" s="2322"/>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29"/>
      <c r="B690" s="386"/>
      <c r="C690" s="731"/>
      <c r="D690" s="495" t="s">
        <v>2376</v>
      </c>
      <c r="E690" s="2322" t="s">
        <v>2391</v>
      </c>
      <c r="F690" s="2322"/>
      <c r="G690" s="2322"/>
      <c r="H690" s="2322"/>
      <c r="I690" s="2322"/>
      <c r="J690" s="2322"/>
      <c r="K690" s="2322"/>
      <c r="L690" s="2322"/>
      <c r="M690" s="2322"/>
      <c r="N690" s="2322"/>
      <c r="O690" s="2322"/>
      <c r="P690" s="2322"/>
      <c r="Q690" s="2322"/>
      <c r="R690" s="2322"/>
      <c r="S690" s="2322"/>
      <c r="T690" s="2322"/>
      <c r="U690" s="2322"/>
      <c r="V690" s="2322"/>
      <c r="W690" s="2322"/>
      <c r="X690" s="2322"/>
      <c r="Y690" s="2322"/>
      <c r="Z690" s="2322"/>
      <c r="AA690" s="2322"/>
      <c r="AB690" s="2322"/>
      <c r="AC690" s="2322"/>
      <c r="AD690" s="386"/>
      <c r="AE690" s="386"/>
      <c r="AF690" s="2323" t="s">
        <v>2375</v>
      </c>
      <c r="AG690" s="2323"/>
      <c r="AH690" s="2323"/>
      <c r="AI690" s="2323"/>
      <c r="AJ690" s="2323"/>
      <c r="AK690" s="2323"/>
      <c r="AL690" s="2323"/>
      <c r="AM690" s="436"/>
      <c r="AN690" s="437"/>
    </row>
    <row r="691" spans="1:50" s="398" customFormat="1" ht="12.75" customHeight="1">
      <c r="A691" s="1129"/>
      <c r="B691" s="386"/>
      <c r="C691" s="731"/>
      <c r="D691" s="495"/>
      <c r="E691" s="2322"/>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2322"/>
      <c r="AD691" s="386"/>
      <c r="AE691" s="386"/>
      <c r="AF691" s="1120"/>
      <c r="AG691" s="1120"/>
      <c r="AH691" s="1120"/>
      <c r="AI691" s="1120"/>
      <c r="AJ691" s="1120"/>
      <c r="AK691" s="1120"/>
      <c r="AL691" s="1120"/>
      <c r="AM691" s="436"/>
      <c r="AN691" s="437"/>
    </row>
    <row r="692" spans="1:50" s="398" customFormat="1" ht="12.75" customHeight="1">
      <c r="A692" s="1129"/>
      <c r="B692" s="386"/>
      <c r="C692" s="731"/>
      <c r="D692" s="495"/>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2322"/>
      <c r="AD692" s="386"/>
      <c r="AE692" s="1120"/>
      <c r="AF692" s="1120"/>
      <c r="AG692" s="1120"/>
      <c r="AH692" s="1120"/>
      <c r="AI692" s="1120"/>
      <c r="AJ692" s="1120"/>
      <c r="AK692" s="1120"/>
      <c r="AL692" s="1120"/>
      <c r="AM692" s="436"/>
      <c r="AN692" s="437"/>
    </row>
    <row r="693" spans="1:50" s="398" customFormat="1" ht="12.75" customHeight="1">
      <c r="A693" s="1129"/>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20"/>
      <c r="AF693" s="386"/>
      <c r="AG693" s="386"/>
      <c r="AH693" s="386"/>
      <c r="AI693" s="386"/>
      <c r="AJ693" s="386"/>
      <c r="AK693" s="386"/>
      <c r="AL693" s="386"/>
      <c r="AM693" s="436"/>
      <c r="AN693" s="437"/>
      <c r="AO693" s="398" t="s">
        <v>816</v>
      </c>
      <c r="AP693" s="475">
        <v>0</v>
      </c>
    </row>
    <row r="694" spans="1:50" s="398" customFormat="1" ht="12.75" customHeight="1">
      <c r="A694" s="1129"/>
      <c r="B694" s="386"/>
      <c r="C694" s="731"/>
      <c r="D694" s="495" t="s">
        <v>2378</v>
      </c>
      <c r="E694" s="2322" t="s">
        <v>2392</v>
      </c>
      <c r="F694" s="2322"/>
      <c r="G694" s="2322"/>
      <c r="H694" s="2322"/>
      <c r="I694" s="2322"/>
      <c r="J694" s="2322"/>
      <c r="K694" s="2322"/>
      <c r="L694" s="2322"/>
      <c r="M694" s="2322"/>
      <c r="N694" s="2322"/>
      <c r="O694" s="2322"/>
      <c r="P694" s="2322"/>
      <c r="Q694" s="2322"/>
      <c r="R694" s="2322"/>
      <c r="S694" s="2322"/>
      <c r="T694" s="2322"/>
      <c r="U694" s="2322"/>
      <c r="V694" s="2322"/>
      <c r="W694" s="2322"/>
      <c r="X694" s="2322"/>
      <c r="Y694" s="2322"/>
      <c r="Z694" s="2322"/>
      <c r="AA694" s="2322"/>
      <c r="AB694" s="2322"/>
      <c r="AC694" s="2322"/>
      <c r="AD694" s="386"/>
      <c r="AE694" s="386"/>
      <c r="AF694" s="2323" t="s">
        <v>2393</v>
      </c>
      <c r="AG694" s="2323"/>
      <c r="AH694" s="2323"/>
      <c r="AI694" s="2323"/>
      <c r="AJ694" s="2323"/>
      <c r="AK694" s="2323"/>
      <c r="AL694" s="2323"/>
      <c r="AM694" s="436"/>
      <c r="AN694" s="437"/>
      <c r="AO694" s="450" t="s">
        <v>22</v>
      </c>
      <c r="AP694" s="398">
        <v>3</v>
      </c>
    </row>
    <row r="695" spans="1:50" s="398" customFormat="1" ht="12.75" customHeight="1">
      <c r="A695" s="1129"/>
      <c r="B695" s="386"/>
      <c r="C695" s="731"/>
      <c r="D695" s="495"/>
      <c r="E695" s="2322"/>
      <c r="F695" s="2322"/>
      <c r="G695" s="2322"/>
      <c r="H695" s="2322"/>
      <c r="I695" s="2322"/>
      <c r="J695" s="2322"/>
      <c r="K695" s="2322"/>
      <c r="L695" s="2322"/>
      <c r="M695" s="2322"/>
      <c r="N695" s="2322"/>
      <c r="O695" s="2322"/>
      <c r="P695" s="2322"/>
      <c r="Q695" s="2322"/>
      <c r="R695" s="2322"/>
      <c r="S695" s="2322"/>
      <c r="T695" s="2322"/>
      <c r="U695" s="2322"/>
      <c r="V695" s="2322"/>
      <c r="W695" s="2322"/>
      <c r="X695" s="2322"/>
      <c r="Y695" s="2322"/>
      <c r="Z695" s="2322"/>
      <c r="AA695" s="2322"/>
      <c r="AB695" s="2322"/>
      <c r="AC695" s="2322"/>
      <c r="AD695" s="386"/>
      <c r="AE695" s="386"/>
      <c r="AF695" s="1120"/>
      <c r="AG695" s="1120"/>
      <c r="AH695" s="1120"/>
      <c r="AI695" s="1120"/>
      <c r="AJ695" s="1120"/>
      <c r="AK695" s="1120"/>
      <c r="AL695" s="1120"/>
      <c r="AM695" s="436"/>
      <c r="AN695" s="437"/>
      <c r="AO695" s="450" t="s">
        <v>27</v>
      </c>
      <c r="AP695" s="398">
        <v>2</v>
      </c>
    </row>
    <row r="696" spans="1:50" s="398" customFormat="1" ht="12.75" customHeight="1">
      <c r="A696" s="1129"/>
      <c r="B696" s="386"/>
      <c r="C696" s="731"/>
      <c r="D696" s="495"/>
      <c r="E696" s="2322"/>
      <c r="F696" s="2322"/>
      <c r="G696" s="2322"/>
      <c r="H696" s="2322"/>
      <c r="I696" s="2322"/>
      <c r="J696" s="2322"/>
      <c r="K696" s="2322"/>
      <c r="L696" s="2322"/>
      <c r="M696" s="2322"/>
      <c r="N696" s="2322"/>
      <c r="O696" s="2322"/>
      <c r="P696" s="2322"/>
      <c r="Q696" s="2322"/>
      <c r="R696" s="2322"/>
      <c r="S696" s="2322"/>
      <c r="T696" s="2322"/>
      <c r="U696" s="2322"/>
      <c r="V696" s="2322"/>
      <c r="W696" s="2322"/>
      <c r="X696" s="2322"/>
      <c r="Y696" s="2322"/>
      <c r="Z696" s="2322"/>
      <c r="AA696" s="2322"/>
      <c r="AB696" s="2322"/>
      <c r="AC696" s="2322"/>
      <c r="AD696" s="386"/>
      <c r="AE696" s="1120"/>
      <c r="AF696" s="1120"/>
      <c r="AG696" s="1120"/>
      <c r="AH696" s="1120"/>
      <c r="AI696" s="1120"/>
      <c r="AJ696" s="1120"/>
      <c r="AK696" s="1120"/>
      <c r="AL696" s="1120"/>
      <c r="AM696" s="436"/>
      <c r="AN696" s="437"/>
    </row>
    <row r="697" spans="1:50" s="398" customFormat="1" ht="12.75" customHeight="1">
      <c r="A697" s="502"/>
      <c r="B697" s="386"/>
      <c r="C697" s="746"/>
      <c r="D697" s="495"/>
      <c r="E697" s="1119"/>
      <c r="F697" s="1119"/>
      <c r="G697" s="1119"/>
      <c r="H697" s="1119"/>
      <c r="I697" s="1119"/>
      <c r="J697" s="1119"/>
      <c r="K697" s="1119"/>
      <c r="L697" s="1119"/>
      <c r="M697" s="1119"/>
      <c r="N697" s="1119"/>
      <c r="O697" s="1119"/>
      <c r="P697" s="1119"/>
      <c r="Q697" s="1119"/>
      <c r="R697" s="1119"/>
      <c r="S697" s="1119"/>
      <c r="T697" s="1119"/>
      <c r="U697" s="1119"/>
      <c r="V697" s="1119"/>
      <c r="W697" s="1119"/>
      <c r="X697" s="1119"/>
      <c r="Y697" s="1119"/>
      <c r="Z697" s="1119"/>
      <c r="AA697" s="1119"/>
      <c r="AB697" s="1119"/>
      <c r="AC697" s="1119"/>
      <c r="AD697" s="386"/>
      <c r="AE697" s="1120"/>
      <c r="AF697" s="1120"/>
      <c r="AG697" s="1120"/>
      <c r="AH697" s="1120"/>
      <c r="AI697" s="1120"/>
      <c r="AJ697" s="1120"/>
      <c r="AK697" s="1120"/>
      <c r="AL697" s="1120"/>
      <c r="AM697" s="436"/>
      <c r="AN697" s="437"/>
    </row>
    <row r="698" spans="1:50" s="398" customFormat="1" ht="12.75" customHeight="1">
      <c r="A698" s="1129"/>
      <c r="B698" s="386"/>
      <c r="C698" s="731"/>
      <c r="D698" s="386" t="s">
        <v>2361</v>
      </c>
      <c r="E698" s="1138"/>
      <c r="F698" s="1138"/>
      <c r="G698" s="1138"/>
      <c r="H698" s="2324" t="s">
        <v>22</v>
      </c>
      <c r="I698" s="2324"/>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29"/>
      <c r="B699" s="386"/>
      <c r="C699" s="731"/>
      <c r="D699" s="386"/>
      <c r="E699" s="1138"/>
      <c r="F699" s="1138"/>
      <c r="G699" s="454"/>
      <c r="H699" s="454"/>
      <c r="I699" s="454"/>
      <c r="J699" s="454"/>
      <c r="K699" s="454"/>
      <c r="L699" s="454"/>
      <c r="M699" s="454"/>
      <c r="N699" s="454"/>
      <c r="O699" s="454"/>
      <c r="P699" s="454"/>
      <c r="Q699" s="454"/>
      <c r="R699" s="454"/>
      <c r="S699" s="454"/>
      <c r="T699" s="454"/>
      <c r="U699" s="454"/>
      <c r="V699" s="454"/>
      <c r="W699" s="454"/>
      <c r="X699" s="454"/>
      <c r="Y699" s="454"/>
      <c r="Z699" s="1138"/>
      <c r="AA699" s="1138"/>
      <c r="AB699" s="113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2394</v>
      </c>
      <c r="AJ700" s="2325">
        <f>VLOOKUP($H$698,$AO$646:$AP$653,2,FALSE)</f>
        <v>5</v>
      </c>
      <c r="AK700" s="2326"/>
      <c r="AL700" s="435"/>
      <c r="AN700" s="437"/>
    </row>
    <row r="701" spans="1:50" s="398" customFormat="1" ht="12.75" customHeight="1">
      <c r="A701" s="1129"/>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43"/>
      <c r="AE701" s="386"/>
      <c r="AF701" s="386"/>
      <c r="AG701" s="386"/>
      <c r="AH701" s="386"/>
      <c r="AI701" s="386"/>
      <c r="AJ701" s="386"/>
      <c r="AK701" s="386"/>
      <c r="AL701" s="386"/>
      <c r="AN701" s="437"/>
    </row>
    <row r="702" spans="1:50" s="398" customFormat="1" ht="12.75" customHeight="1">
      <c r="A702" s="1129"/>
      <c r="B702" s="386"/>
      <c r="C702" s="389" t="s">
        <v>2395</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43"/>
      <c r="AE702" s="386"/>
      <c r="AF702" s="386"/>
      <c r="AG702" s="386"/>
      <c r="AH702" s="386"/>
      <c r="AI702" s="386"/>
      <c r="AJ702" s="386"/>
      <c r="AK702" s="386"/>
      <c r="AL702" s="386"/>
      <c r="AN702" s="437"/>
      <c r="AW702" s="17" t="s">
        <v>2396</v>
      </c>
      <c r="AX702" s="398">
        <f>Application!Q212</f>
        <v>10</v>
      </c>
    </row>
    <row r="703" spans="1:50" s="398" customFormat="1" ht="12.75" customHeight="1">
      <c r="A703" s="1129"/>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2397</v>
      </c>
      <c r="AX703" s="928">
        <f>Application!G761</f>
        <v>151</v>
      </c>
    </row>
    <row r="704" spans="1:50" s="398" customFormat="1" ht="12.75" customHeight="1">
      <c r="A704" s="1129"/>
      <c r="B704" s="386"/>
      <c r="C704" s="747"/>
      <c r="D704" s="495" t="s">
        <v>22</v>
      </c>
      <c r="E704" s="2328" t="s">
        <v>2398</v>
      </c>
      <c r="F704" s="2328"/>
      <c r="G704" s="2328"/>
      <c r="H704" s="2328"/>
      <c r="I704" s="2328"/>
      <c r="J704" s="2328"/>
      <c r="K704" s="2328"/>
      <c r="L704" s="2328"/>
      <c r="M704" s="2328"/>
      <c r="N704" s="2328"/>
      <c r="O704" s="2328"/>
      <c r="P704" s="2328"/>
      <c r="Q704" s="2328"/>
      <c r="R704" s="2328"/>
      <c r="S704" s="2328"/>
      <c r="T704" s="2328"/>
      <c r="U704" s="2328"/>
      <c r="V704" s="2328"/>
      <c r="W704" s="2328"/>
      <c r="X704" s="2328"/>
      <c r="Y704" s="2328"/>
      <c r="Z704" s="2328"/>
      <c r="AA704" s="2328"/>
      <c r="AB704" s="2328"/>
      <c r="AC704" s="386"/>
      <c r="AD704" s="386"/>
      <c r="AE704" s="386"/>
      <c r="AF704" s="2323" t="s">
        <v>2087</v>
      </c>
      <c r="AG704" s="2323"/>
      <c r="AH704" s="2323"/>
      <c r="AI704" s="2323"/>
      <c r="AJ704" s="2323"/>
      <c r="AK704" s="2323"/>
      <c r="AL704" s="2323"/>
      <c r="AN704" s="437"/>
      <c r="AW704" s="17" t="s">
        <v>2399</v>
      </c>
      <c r="AX704" s="398">
        <f>Application!DE761</f>
        <v>39</v>
      </c>
    </row>
    <row r="705" spans="1:51" s="398" customFormat="1" ht="12.75" customHeight="1">
      <c r="A705" s="1129"/>
      <c r="B705" s="386"/>
      <c r="C705" s="747"/>
      <c r="D705" s="495"/>
      <c r="E705" s="2328"/>
      <c r="F705" s="2328"/>
      <c r="G705" s="2328"/>
      <c r="H705" s="2328"/>
      <c r="I705" s="2328"/>
      <c r="J705" s="2328"/>
      <c r="K705" s="2328"/>
      <c r="L705" s="2328"/>
      <c r="M705" s="2328"/>
      <c r="N705" s="2328"/>
      <c r="O705" s="2328"/>
      <c r="P705" s="2328"/>
      <c r="Q705" s="2328"/>
      <c r="R705" s="2328"/>
      <c r="S705" s="2328"/>
      <c r="T705" s="2328"/>
      <c r="U705" s="2328"/>
      <c r="V705" s="2328"/>
      <c r="W705" s="2328"/>
      <c r="X705" s="2328"/>
      <c r="Y705" s="2328"/>
      <c r="Z705" s="2328"/>
      <c r="AA705" s="2328"/>
      <c r="AB705" s="2328"/>
      <c r="AC705" s="386"/>
      <c r="AD705" s="386"/>
      <c r="AE705" s="386"/>
      <c r="AF705" s="386"/>
      <c r="AG705" s="386"/>
      <c r="AH705" s="386"/>
      <c r="AI705" s="386"/>
      <c r="AJ705" s="386"/>
      <c r="AK705" s="386"/>
      <c r="AL705" s="386"/>
      <c r="AN705" s="437"/>
      <c r="AW705" s="17" t="s">
        <v>2400</v>
      </c>
      <c r="AX705" s="398">
        <f>Application!DJ761</f>
        <v>0</v>
      </c>
    </row>
    <row r="706" spans="1:51" s="398" customFormat="1" ht="12.75" customHeight="1">
      <c r="A706" s="1129"/>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2401</v>
      </c>
      <c r="AX706" s="398">
        <f>Application!DO761</f>
        <v>0</v>
      </c>
    </row>
    <row r="707" spans="1:51" s="398" customFormat="1" ht="12.75" customHeight="1">
      <c r="B707" s="386"/>
      <c r="C707" s="731"/>
      <c r="D707" s="495" t="s">
        <v>27</v>
      </c>
      <c r="E707" s="2322" t="s">
        <v>2402</v>
      </c>
      <c r="F707" s="2322"/>
      <c r="G707" s="2322"/>
      <c r="H707" s="2322"/>
      <c r="I707" s="2322"/>
      <c r="J707" s="2322"/>
      <c r="K707" s="2322"/>
      <c r="L707" s="2322"/>
      <c r="M707" s="2322"/>
      <c r="N707" s="2322"/>
      <c r="O707" s="2322"/>
      <c r="P707" s="2322"/>
      <c r="Q707" s="2322"/>
      <c r="R707" s="2322"/>
      <c r="S707" s="2322"/>
      <c r="T707" s="2322"/>
      <c r="U707" s="2322"/>
      <c r="V707" s="2322"/>
      <c r="W707" s="2322"/>
      <c r="X707" s="2322"/>
      <c r="Y707" s="2322"/>
      <c r="Z707" s="2322"/>
      <c r="AA707" s="2322"/>
      <c r="AB707" s="2322"/>
      <c r="AC707" s="386"/>
      <c r="AD707" s="386"/>
      <c r="AE707" s="386"/>
      <c r="AF707" s="2323" t="s">
        <v>2087</v>
      </c>
      <c r="AG707" s="2323"/>
      <c r="AH707" s="2323"/>
      <c r="AI707" s="2323"/>
      <c r="AJ707" s="2323"/>
      <c r="AK707" s="2323"/>
      <c r="AL707" s="2323"/>
      <c r="AN707" s="437"/>
      <c r="AW707" s="17" t="s">
        <v>2403</v>
      </c>
      <c r="AX707" s="398">
        <f>AX704+AX705+AX706</f>
        <v>39</v>
      </c>
    </row>
    <row r="708" spans="1:51" s="398" customFormat="1" ht="12.75" customHeight="1">
      <c r="B708" s="386"/>
      <c r="C708" s="739"/>
      <c r="D708" s="495"/>
      <c r="E708" s="2322"/>
      <c r="F708" s="2322"/>
      <c r="G708" s="2322"/>
      <c r="H708" s="2322"/>
      <c r="I708" s="2322"/>
      <c r="J708" s="2322"/>
      <c r="K708" s="2322"/>
      <c r="L708" s="2322"/>
      <c r="M708" s="2322"/>
      <c r="N708" s="2322"/>
      <c r="O708" s="2322"/>
      <c r="P708" s="2322"/>
      <c r="Q708" s="2322"/>
      <c r="R708" s="2322"/>
      <c r="S708" s="2322"/>
      <c r="T708" s="2322"/>
      <c r="U708" s="2322"/>
      <c r="V708" s="2322"/>
      <c r="W708" s="2322"/>
      <c r="X708" s="2322"/>
      <c r="Y708" s="2322"/>
      <c r="Z708" s="2322"/>
      <c r="AA708" s="2322"/>
      <c r="AB708" s="2322"/>
      <c r="AC708" s="386"/>
      <c r="AD708" s="386"/>
      <c r="AE708" s="454"/>
      <c r="AF708" s="386"/>
      <c r="AG708" s="386"/>
      <c r="AH708" s="386"/>
      <c r="AI708" s="386"/>
      <c r="AJ708" s="386"/>
      <c r="AK708" s="386"/>
      <c r="AL708" s="386"/>
      <c r="AN708" s="437"/>
      <c r="AO708" s="2392" t="b">
        <f>IF(Application!D211="Special Needs",IF(AY708&gt;=0.25,TRUE,FALSE),IF(AX708&gt;=0.25,TRUE,FALSE))</f>
        <v>1</v>
      </c>
      <c r="AP708" s="2392"/>
      <c r="AW708" s="17" t="s">
        <v>2404</v>
      </c>
      <c r="AX708" s="398">
        <f>IFERROR(AX707/AX703,0)</f>
        <v>0.25827814569536423</v>
      </c>
      <c r="AY708" s="398">
        <f>IFERROR(AX707/(AX703-AX702),0)</f>
        <v>0.27659574468085107</v>
      </c>
    </row>
    <row r="709" spans="1:51" s="398" customFormat="1" ht="12.75" customHeight="1">
      <c r="B709" s="386"/>
      <c r="C709" s="739"/>
      <c r="E709" s="2322"/>
      <c r="F709" s="2322"/>
      <c r="G709" s="2322"/>
      <c r="H709" s="2322"/>
      <c r="I709" s="2322"/>
      <c r="J709" s="2322"/>
      <c r="K709" s="2322"/>
      <c r="L709" s="2322"/>
      <c r="M709" s="2322"/>
      <c r="N709" s="2322"/>
      <c r="O709" s="2322"/>
      <c r="P709" s="2322"/>
      <c r="Q709" s="2322"/>
      <c r="R709" s="2322"/>
      <c r="S709" s="2322"/>
      <c r="T709" s="2322"/>
      <c r="U709" s="2322"/>
      <c r="V709" s="2322"/>
      <c r="W709" s="2322"/>
      <c r="X709" s="2322"/>
      <c r="Y709" s="2322"/>
      <c r="Z709" s="2322"/>
      <c r="AA709" s="2322"/>
      <c r="AB709" s="2322"/>
      <c r="AC709" s="386"/>
      <c r="AD709" s="386"/>
      <c r="AE709" s="454"/>
      <c r="AF709" s="454"/>
      <c r="AG709" s="454"/>
      <c r="AH709" s="454"/>
      <c r="AI709" s="454"/>
      <c r="AJ709" s="454"/>
      <c r="AK709" s="454"/>
      <c r="AL709" s="454"/>
      <c r="AN709" s="437"/>
      <c r="AW709" s="11"/>
    </row>
    <row r="710" spans="1:51" s="398" customFormat="1" ht="28.5" customHeight="1">
      <c r="B710" s="386"/>
      <c r="C710" s="739"/>
      <c r="D710" s="386"/>
      <c r="E710" s="2322"/>
      <c r="F710" s="2322"/>
      <c r="G710" s="2322"/>
      <c r="H710" s="2322"/>
      <c r="I710" s="2322"/>
      <c r="J710" s="2322"/>
      <c r="K710" s="2322"/>
      <c r="L710" s="2322"/>
      <c r="M710" s="2322"/>
      <c r="N710" s="2322"/>
      <c r="O710" s="2322"/>
      <c r="P710" s="2322"/>
      <c r="Q710" s="2322"/>
      <c r="R710" s="2322"/>
      <c r="S710" s="2322"/>
      <c r="T710" s="2322"/>
      <c r="U710" s="2322"/>
      <c r="V710" s="2322"/>
      <c r="W710" s="2322"/>
      <c r="X710" s="2322"/>
      <c r="Y710" s="2322"/>
      <c r="Z710" s="2322"/>
      <c r="AA710" s="2322"/>
      <c r="AB710" s="2322"/>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51"/>
      <c r="F711" s="1151"/>
      <c r="G711" s="1151"/>
      <c r="H711" s="1151"/>
      <c r="I711" s="1151"/>
      <c r="J711" s="1151"/>
      <c r="K711" s="1151"/>
      <c r="L711" s="1151"/>
      <c r="M711" s="1151"/>
      <c r="N711" s="1151"/>
      <c r="O711" s="1151"/>
      <c r="P711" s="1151"/>
      <c r="Q711" s="1151"/>
      <c r="R711" s="1151"/>
      <c r="S711" s="1151"/>
      <c r="T711" s="1151"/>
      <c r="U711" s="1151"/>
      <c r="V711" s="1151"/>
      <c r="W711" s="1151"/>
      <c r="X711" s="1151"/>
      <c r="Y711" s="1151"/>
      <c r="Z711" s="1151"/>
      <c r="AA711" s="1151"/>
      <c r="AB711" s="1151"/>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22" t="s">
        <v>2405</v>
      </c>
      <c r="F712" s="2322"/>
      <c r="G712" s="2322"/>
      <c r="H712" s="2322"/>
      <c r="I712" s="2322"/>
      <c r="J712" s="2322"/>
      <c r="K712" s="2322"/>
      <c r="L712" s="2322"/>
      <c r="M712" s="2322"/>
      <c r="N712" s="2322"/>
      <c r="O712" s="2322"/>
      <c r="P712" s="2322"/>
      <c r="Q712" s="2322"/>
      <c r="R712" s="2322"/>
      <c r="S712" s="2322"/>
      <c r="T712" s="2322"/>
      <c r="U712" s="2322"/>
      <c r="V712" s="2322"/>
      <c r="W712" s="2322"/>
      <c r="X712" s="2322"/>
      <c r="Y712" s="2322"/>
      <c r="Z712" s="2322"/>
      <c r="AA712" s="2322"/>
      <c r="AB712" s="2322"/>
      <c r="AC712" s="386"/>
      <c r="AD712" s="386"/>
      <c r="AE712" s="386"/>
      <c r="AF712" s="2323" t="s">
        <v>2375</v>
      </c>
      <c r="AG712" s="2323"/>
      <c r="AH712" s="2323"/>
      <c r="AI712" s="2323"/>
      <c r="AJ712" s="2323"/>
      <c r="AK712" s="2323"/>
      <c r="AL712" s="2323"/>
      <c r="AN712" s="437"/>
      <c r="AO712" s="450" t="s">
        <v>27</v>
      </c>
      <c r="AP712" s="398">
        <v>1</v>
      </c>
    </row>
    <row r="713" spans="1:51" s="398" customFormat="1" ht="12" customHeight="1">
      <c r="B713" s="386"/>
      <c r="C713" s="731"/>
      <c r="E713" s="2322"/>
      <c r="F713" s="2322"/>
      <c r="G713" s="2322"/>
      <c r="H713" s="2322"/>
      <c r="I713" s="2322"/>
      <c r="J713" s="2322"/>
      <c r="K713" s="2322"/>
      <c r="L713" s="2322"/>
      <c r="M713" s="2322"/>
      <c r="N713" s="2322"/>
      <c r="O713" s="2322"/>
      <c r="P713" s="2322"/>
      <c r="Q713" s="2322"/>
      <c r="R713" s="2322"/>
      <c r="S713" s="2322"/>
      <c r="T713" s="2322"/>
      <c r="U713" s="2322"/>
      <c r="V713" s="2322"/>
      <c r="W713" s="2322"/>
      <c r="X713" s="2322"/>
      <c r="Y713" s="2322"/>
      <c r="Z713" s="2322"/>
      <c r="AA713" s="2322"/>
      <c r="AB713" s="2322"/>
      <c r="AC713" s="386"/>
      <c r="AD713" s="386"/>
      <c r="AE713" s="454"/>
      <c r="AF713" s="386"/>
      <c r="AG713" s="386"/>
      <c r="AH713" s="386"/>
      <c r="AI713" s="386"/>
      <c r="AJ713" s="386"/>
      <c r="AK713" s="386"/>
      <c r="AL713" s="386"/>
      <c r="AN713" s="437"/>
    </row>
    <row r="714" spans="1:51" s="398" customFormat="1" ht="12" customHeight="1">
      <c r="B714" s="386"/>
      <c r="C714" s="731"/>
      <c r="D714" s="386"/>
      <c r="E714" s="2322"/>
      <c r="F714" s="2322"/>
      <c r="G714" s="2322"/>
      <c r="H714" s="2322"/>
      <c r="I714" s="2322"/>
      <c r="J714" s="2322"/>
      <c r="K714" s="2322"/>
      <c r="L714" s="2322"/>
      <c r="M714" s="2322"/>
      <c r="N714" s="2322"/>
      <c r="O714" s="2322"/>
      <c r="P714" s="2322"/>
      <c r="Q714" s="2322"/>
      <c r="R714" s="2322"/>
      <c r="S714" s="2322"/>
      <c r="T714" s="2322"/>
      <c r="U714" s="2322"/>
      <c r="V714" s="2322"/>
      <c r="W714" s="2322"/>
      <c r="X714" s="2322"/>
      <c r="Y714" s="2322"/>
      <c r="Z714" s="2322"/>
      <c r="AA714" s="2322"/>
      <c r="AB714" s="2322"/>
      <c r="AC714" s="386"/>
      <c r="AD714" s="386"/>
      <c r="AE714" s="454"/>
      <c r="AF714" s="386"/>
      <c r="AG714" s="386"/>
      <c r="AH714" s="386"/>
      <c r="AI714" s="386"/>
      <c r="AJ714" s="386"/>
      <c r="AK714" s="386"/>
      <c r="AL714" s="386"/>
      <c r="AN714" s="437"/>
    </row>
    <row r="715" spans="1:51" s="398" customFormat="1" ht="12" customHeight="1">
      <c r="B715" s="386"/>
      <c r="C715" s="731"/>
      <c r="D715" s="386"/>
      <c r="E715" s="2322"/>
      <c r="F715" s="2322"/>
      <c r="G715" s="2322"/>
      <c r="H715" s="2322"/>
      <c r="I715" s="2322"/>
      <c r="J715" s="2322"/>
      <c r="K715" s="2322"/>
      <c r="L715" s="2322"/>
      <c r="M715" s="2322"/>
      <c r="N715" s="2322"/>
      <c r="O715" s="2322"/>
      <c r="P715" s="2322"/>
      <c r="Q715" s="2322"/>
      <c r="R715" s="2322"/>
      <c r="S715" s="2322"/>
      <c r="T715" s="2322"/>
      <c r="U715" s="2322"/>
      <c r="V715" s="2322"/>
      <c r="W715" s="2322"/>
      <c r="X715" s="2322"/>
      <c r="Y715" s="2322"/>
      <c r="Z715" s="2322"/>
      <c r="AA715" s="2322"/>
      <c r="AB715" s="2322"/>
      <c r="AC715" s="386"/>
      <c r="AD715" s="386"/>
      <c r="AE715" s="454"/>
      <c r="AF715" s="386"/>
      <c r="AG715" s="386"/>
      <c r="AH715" s="386"/>
      <c r="AI715" s="386"/>
      <c r="AJ715" s="386"/>
      <c r="AK715" s="386"/>
      <c r="AL715" s="386"/>
      <c r="AN715" s="437"/>
    </row>
    <row r="716" spans="1:51" s="415" customFormat="1" ht="13.15" customHeight="1">
      <c r="A716" s="398"/>
      <c r="B716" s="386"/>
      <c r="C716" s="731"/>
      <c r="D716" s="386"/>
      <c r="E716" s="2322"/>
      <c r="F716" s="2322"/>
      <c r="G716" s="2322"/>
      <c r="H716" s="2322"/>
      <c r="I716" s="2322"/>
      <c r="J716" s="2322"/>
      <c r="K716" s="2322"/>
      <c r="L716" s="2322"/>
      <c r="M716" s="2322"/>
      <c r="N716" s="2322"/>
      <c r="O716" s="2322"/>
      <c r="P716" s="2322"/>
      <c r="Q716" s="2322"/>
      <c r="R716" s="2322"/>
      <c r="S716" s="2322"/>
      <c r="T716" s="2322"/>
      <c r="U716" s="2322"/>
      <c r="V716" s="2322"/>
      <c r="W716" s="2322"/>
      <c r="X716" s="2322"/>
      <c r="Y716" s="2322"/>
      <c r="Z716" s="2322"/>
      <c r="AA716" s="2322"/>
      <c r="AB716" s="2322"/>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19"/>
      <c r="F717" s="1119"/>
      <c r="G717" s="1119"/>
      <c r="H717" s="1119"/>
      <c r="I717" s="1119"/>
      <c r="J717" s="1119"/>
      <c r="K717" s="1119"/>
      <c r="L717" s="1119"/>
      <c r="M717" s="1119"/>
      <c r="N717" s="1119"/>
      <c r="O717" s="1119"/>
      <c r="P717" s="1119"/>
      <c r="Q717" s="1119"/>
      <c r="R717" s="1119"/>
      <c r="S717" s="1119"/>
      <c r="T717" s="1119"/>
      <c r="U717" s="1119"/>
      <c r="V717" s="1119"/>
      <c r="W717" s="1119"/>
      <c r="X717" s="1119"/>
      <c r="Y717" s="1119"/>
      <c r="Z717" s="1119"/>
      <c r="AA717" s="1119"/>
      <c r="AB717" s="1119"/>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22" t="s">
        <v>2406</v>
      </c>
      <c r="F718" s="2322"/>
      <c r="G718" s="2322"/>
      <c r="H718" s="2322"/>
      <c r="I718" s="2322"/>
      <c r="J718" s="2322"/>
      <c r="K718" s="2322"/>
      <c r="L718" s="2322"/>
      <c r="M718" s="2322"/>
      <c r="N718" s="2322"/>
      <c r="O718" s="2322"/>
      <c r="P718" s="2322"/>
      <c r="Q718" s="2322"/>
      <c r="R718" s="2322"/>
      <c r="S718" s="2322"/>
      <c r="T718" s="2322"/>
      <c r="U718" s="2322"/>
      <c r="V718" s="2322"/>
      <c r="W718" s="2322"/>
      <c r="X718" s="2322"/>
      <c r="Y718" s="2322"/>
      <c r="Z718" s="2322"/>
      <c r="AA718" s="2322"/>
      <c r="AB718" s="2322"/>
      <c r="AC718" s="386"/>
      <c r="AD718" s="386"/>
      <c r="AE718" s="454"/>
      <c r="AF718" s="454"/>
      <c r="AG718" s="454"/>
      <c r="AH718" s="454"/>
      <c r="AI718" s="454"/>
      <c r="AJ718" s="386"/>
      <c r="AK718" s="386"/>
      <c r="AL718" s="386"/>
      <c r="AM718" s="398"/>
      <c r="AN718" s="515"/>
      <c r="AO718" s="450" t="s">
        <v>27</v>
      </c>
      <c r="AP718" s="398">
        <f>3*$AO$708</f>
        <v>3</v>
      </c>
    </row>
    <row r="719" spans="1:51" s="415" customFormat="1" ht="12.75" customHeight="1">
      <c r="A719" s="398"/>
      <c r="B719" s="386"/>
      <c r="C719" s="731"/>
      <c r="D719" s="386"/>
      <c r="E719" s="2322"/>
      <c r="F719" s="2322"/>
      <c r="G719" s="2322"/>
      <c r="H719" s="2322"/>
      <c r="I719" s="2322"/>
      <c r="J719" s="2322"/>
      <c r="K719" s="2322"/>
      <c r="L719" s="2322"/>
      <c r="M719" s="2322"/>
      <c r="N719" s="2322"/>
      <c r="O719" s="2322"/>
      <c r="P719" s="2322"/>
      <c r="Q719" s="2322"/>
      <c r="R719" s="2322"/>
      <c r="S719" s="2322"/>
      <c r="T719" s="2322"/>
      <c r="U719" s="2322"/>
      <c r="V719" s="2322"/>
      <c r="W719" s="2322"/>
      <c r="X719" s="2322"/>
      <c r="Y719" s="2322"/>
      <c r="Z719" s="2322"/>
      <c r="AA719" s="2322"/>
      <c r="AB719" s="2322"/>
      <c r="AC719" s="386"/>
      <c r="AD719" s="386"/>
      <c r="AE719" s="454"/>
      <c r="AF719" s="454"/>
      <c r="AG719" s="454"/>
      <c r="AH719" s="454"/>
      <c r="AI719" s="454"/>
      <c r="AJ719" s="386"/>
      <c r="AK719" s="386"/>
      <c r="AL719" s="386"/>
      <c r="AM719" s="398"/>
      <c r="AN719" s="515"/>
      <c r="AO719" s="450" t="s">
        <v>49</v>
      </c>
      <c r="AP719" s="398">
        <f>2*$AO$708</f>
        <v>2</v>
      </c>
    </row>
    <row r="720" spans="1:51" s="415" customFormat="1" ht="12.75" customHeight="1">
      <c r="A720" s="398"/>
      <c r="B720" s="386"/>
      <c r="C720" s="731"/>
      <c r="D720" s="386"/>
      <c r="E720" s="2322"/>
      <c r="F720" s="2322"/>
      <c r="G720" s="2322"/>
      <c r="H720" s="2322"/>
      <c r="I720" s="2322"/>
      <c r="J720" s="2322"/>
      <c r="K720" s="2322"/>
      <c r="L720" s="2322"/>
      <c r="M720" s="2322"/>
      <c r="N720" s="2322"/>
      <c r="O720" s="2322"/>
      <c r="P720" s="2322"/>
      <c r="Q720" s="2322"/>
      <c r="R720" s="2322"/>
      <c r="S720" s="2322"/>
      <c r="T720" s="2322"/>
      <c r="U720" s="2322"/>
      <c r="V720" s="2322"/>
      <c r="W720" s="2322"/>
      <c r="X720" s="2322"/>
      <c r="Y720" s="2322"/>
      <c r="Z720" s="2322"/>
      <c r="AA720" s="2322"/>
      <c r="AB720" s="2322"/>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19"/>
      <c r="F721" s="1119"/>
      <c r="G721" s="1119"/>
      <c r="H721" s="1119"/>
      <c r="I721" s="1119"/>
      <c r="J721" s="1119"/>
      <c r="K721" s="1119"/>
      <c r="L721" s="1119"/>
      <c r="M721" s="1119"/>
      <c r="N721" s="1119"/>
      <c r="O721" s="1119"/>
      <c r="P721" s="1119"/>
      <c r="Q721" s="1119"/>
      <c r="R721" s="1119"/>
      <c r="S721" s="1119"/>
      <c r="T721" s="1119"/>
      <c r="U721" s="1119"/>
      <c r="V721" s="1119"/>
      <c r="W721" s="1119"/>
      <c r="X721" s="1119"/>
      <c r="Y721" s="1119"/>
      <c r="Z721" s="1119"/>
      <c r="AA721" s="1119"/>
      <c r="AB721" s="1119"/>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2361</v>
      </c>
      <c r="E722" s="1138"/>
      <c r="F722" s="1138"/>
      <c r="G722" s="1138"/>
      <c r="H722" s="2324" t="s">
        <v>27</v>
      </c>
      <c r="I722" s="2324"/>
      <c r="J722" s="1119"/>
      <c r="K722" s="1119"/>
      <c r="L722" s="1119"/>
      <c r="M722" s="1119"/>
      <c r="N722" s="1119"/>
      <c r="O722" s="1119"/>
      <c r="P722" s="1119"/>
      <c r="Q722" s="1119"/>
      <c r="R722" s="1119"/>
      <c r="S722" s="1119"/>
      <c r="T722" s="1119"/>
      <c r="U722" s="1119"/>
      <c r="V722" s="1119"/>
      <c r="W722" s="1119"/>
      <c r="X722" s="1119"/>
      <c r="Y722" s="1119"/>
      <c r="Z722" s="1119"/>
      <c r="AA722" s="1119"/>
      <c r="AB722" s="1119"/>
      <c r="AC722" s="386"/>
      <c r="AD722" s="386"/>
      <c r="AE722" s="454"/>
      <c r="AF722" s="454"/>
      <c r="AG722" s="454"/>
      <c r="AH722" s="454"/>
      <c r="AI722" s="454"/>
      <c r="AJ722" s="386"/>
      <c r="AK722" s="386"/>
      <c r="AL722" s="386"/>
      <c r="AM722" s="398"/>
      <c r="AN722" s="515"/>
      <c r="AP722" s="415" t="s">
        <v>2407</v>
      </c>
    </row>
    <row r="723" spans="1:43" s="415" customFormat="1">
      <c r="A723" s="398"/>
      <c r="B723" s="386"/>
      <c r="C723" s="731"/>
      <c r="D723" s="386"/>
      <c r="E723" s="1119"/>
      <c r="F723" s="1119"/>
      <c r="G723" s="1119"/>
      <c r="H723" s="1119"/>
      <c r="I723" s="1119"/>
      <c r="J723" s="1119"/>
      <c r="K723" s="1119"/>
      <c r="L723" s="1119"/>
      <c r="M723" s="1119"/>
      <c r="N723" s="1119"/>
      <c r="O723" s="1119"/>
      <c r="P723" s="1119"/>
      <c r="Q723" s="1119"/>
      <c r="R723" s="1119"/>
      <c r="S723" s="1119"/>
      <c r="T723" s="1119"/>
      <c r="U723" s="1119"/>
      <c r="V723" s="1119"/>
      <c r="W723" s="1119"/>
      <c r="X723" s="1119"/>
      <c r="Y723" s="1119"/>
      <c r="Z723" s="1119"/>
      <c r="AA723" s="1119"/>
      <c r="AB723" s="1119"/>
      <c r="AC723" s="386"/>
      <c r="AD723" s="386"/>
      <c r="AE723" s="454"/>
      <c r="AF723" s="454"/>
      <c r="AG723" s="454"/>
      <c r="AH723" s="454"/>
      <c r="AI723" s="454"/>
      <c r="AJ723" s="386"/>
      <c r="AK723" s="386"/>
      <c r="AL723" s="386"/>
      <c r="AM723" s="398"/>
      <c r="AN723" s="515"/>
      <c r="AP723" s="415" t="s">
        <v>2371</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2408</v>
      </c>
      <c r="AJ724" s="2325">
        <f>VLOOKUP($H$722,$AO$716:$AP$719,2,FALSE)</f>
        <v>3</v>
      </c>
      <c r="AK724" s="2326"/>
      <c r="AL724" s="435"/>
      <c r="AM724" s="398"/>
      <c r="AN724" s="515"/>
      <c r="AP724" s="415" t="s">
        <v>2379</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2409</v>
      </c>
    </row>
    <row r="726" spans="1:43" s="415" customFormat="1" ht="12.75" customHeight="1">
      <c r="A726" s="398"/>
      <c r="B726" s="386"/>
      <c r="C726" s="389" t="s">
        <v>2410</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2411</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2412</v>
      </c>
    </row>
    <row r="728" spans="1:43" s="415" customFormat="1" ht="12.75" customHeight="1">
      <c r="A728" s="475"/>
      <c r="B728" s="386"/>
      <c r="C728" s="731"/>
      <c r="D728" s="495" t="s">
        <v>22</v>
      </c>
      <c r="E728" s="2464" t="s">
        <v>2413</v>
      </c>
      <c r="F728" s="2464"/>
      <c r="G728" s="2464"/>
      <c r="H728" s="2464"/>
      <c r="I728" s="2464"/>
      <c r="J728" s="2464"/>
      <c r="K728" s="2464"/>
      <c r="L728" s="2464"/>
      <c r="M728" s="2464"/>
      <c r="N728" s="2464"/>
      <c r="O728" s="2464"/>
      <c r="P728" s="2464"/>
      <c r="Q728" s="2464"/>
      <c r="R728" s="2464"/>
      <c r="S728" s="2464"/>
      <c r="T728" s="2464"/>
      <c r="U728" s="2464"/>
      <c r="V728" s="2464"/>
      <c r="W728" s="2464"/>
      <c r="X728" s="2464"/>
      <c r="Y728" s="2464"/>
      <c r="Z728" s="2464"/>
      <c r="AA728" s="2464"/>
      <c r="AB728" s="2464"/>
      <c r="AC728" s="386"/>
      <c r="AD728" s="386"/>
      <c r="AE728" s="386"/>
      <c r="AF728" s="2323" t="s">
        <v>2087</v>
      </c>
      <c r="AG728" s="2323"/>
      <c r="AH728" s="2323"/>
      <c r="AI728" s="2323"/>
      <c r="AJ728" s="2323"/>
      <c r="AK728" s="2323"/>
      <c r="AL728" s="2323"/>
      <c r="AM728" s="398"/>
      <c r="AN728" s="515"/>
      <c r="AP728" s="415" t="s">
        <v>2414</v>
      </c>
    </row>
    <row r="729" spans="1:43" s="415" customFormat="1" ht="12" customHeight="1">
      <c r="A729" s="398"/>
      <c r="B729" s="386"/>
      <c r="C729" s="733"/>
      <c r="D729" s="495"/>
      <c r="E729" s="2464"/>
      <c r="F729" s="2464"/>
      <c r="G729" s="2464"/>
      <c r="H729" s="2464"/>
      <c r="I729" s="2464"/>
      <c r="J729" s="2464"/>
      <c r="K729" s="2464"/>
      <c r="L729" s="2464"/>
      <c r="M729" s="2464"/>
      <c r="N729" s="2464"/>
      <c r="O729" s="2464"/>
      <c r="P729" s="2464"/>
      <c r="Q729" s="2464"/>
      <c r="R729" s="2464"/>
      <c r="S729" s="2464"/>
      <c r="T729" s="2464"/>
      <c r="U729" s="2464"/>
      <c r="V729" s="2464"/>
      <c r="W729" s="2464"/>
      <c r="X729" s="2464"/>
      <c r="Y729" s="2464"/>
      <c r="Z729" s="2464"/>
      <c r="AA729" s="2464"/>
      <c r="AB729" s="2464"/>
      <c r="AC729" s="386"/>
      <c r="AD729" s="386"/>
      <c r="AE729" s="386"/>
      <c r="AF729" s="386"/>
      <c r="AG729" s="386"/>
      <c r="AH729" s="386"/>
      <c r="AI729" s="386"/>
      <c r="AJ729" s="386"/>
      <c r="AK729" s="386"/>
      <c r="AL729" s="386"/>
      <c r="AM729" s="398"/>
      <c r="AN729" s="515"/>
      <c r="AP729" s="415" t="s">
        <v>2415</v>
      </c>
    </row>
    <row r="730" spans="1:43" s="415" customFormat="1" ht="14.25" customHeight="1">
      <c r="A730" s="398"/>
      <c r="B730" s="449"/>
      <c r="C730" s="731"/>
      <c r="D730" s="495"/>
      <c r="E730" s="2464"/>
      <c r="F730" s="2464"/>
      <c r="G730" s="2464"/>
      <c r="H730" s="2464"/>
      <c r="I730" s="2464"/>
      <c r="J730" s="2464"/>
      <c r="K730" s="2464"/>
      <c r="L730" s="2464"/>
      <c r="M730" s="2464"/>
      <c r="N730" s="2464"/>
      <c r="O730" s="2464"/>
      <c r="P730" s="2464"/>
      <c r="Q730" s="2464"/>
      <c r="R730" s="2464"/>
      <c r="S730" s="2464"/>
      <c r="T730" s="2464"/>
      <c r="U730" s="2464"/>
      <c r="V730" s="2464"/>
      <c r="W730" s="2464"/>
      <c r="X730" s="2464"/>
      <c r="Y730" s="2464"/>
      <c r="Z730" s="2464"/>
      <c r="AA730" s="2464"/>
      <c r="AB730" s="2464"/>
      <c r="AC730" s="386"/>
      <c r="AD730" s="386"/>
      <c r="AE730" s="454"/>
      <c r="AF730" s="386"/>
      <c r="AG730" s="386"/>
      <c r="AH730" s="386"/>
      <c r="AI730" s="386"/>
      <c r="AJ730" s="386"/>
      <c r="AK730" s="386"/>
      <c r="AL730" s="386"/>
      <c r="AM730" s="398"/>
      <c r="AN730" s="515"/>
      <c r="AP730" s="415" t="s">
        <v>2416</v>
      </c>
    </row>
    <row r="731" spans="1:43" s="415" customFormat="1" ht="14.25" customHeight="1">
      <c r="A731" s="398"/>
      <c r="B731" s="449"/>
      <c r="C731" s="731"/>
      <c r="D731" s="495"/>
      <c r="E731" s="1138"/>
      <c r="F731" s="1138"/>
      <c r="G731" s="1138"/>
      <c r="H731" s="1138"/>
      <c r="I731" s="1138"/>
      <c r="J731" s="1138"/>
      <c r="K731" s="1138"/>
      <c r="L731" s="1138"/>
      <c r="M731" s="1138"/>
      <c r="N731" s="1138"/>
      <c r="O731" s="1138"/>
      <c r="P731" s="1138"/>
      <c r="Q731" s="1138"/>
      <c r="R731" s="1138"/>
      <c r="S731" s="1138"/>
      <c r="T731" s="1138"/>
      <c r="U731" s="1138"/>
      <c r="V731" s="1138"/>
      <c r="W731" s="1138"/>
      <c r="X731" s="1138"/>
      <c r="Y731" s="1138"/>
      <c r="Z731" s="1138"/>
      <c r="AA731" s="1138"/>
      <c r="AB731" s="1138"/>
      <c r="AC731" s="386"/>
      <c r="AD731" s="386"/>
      <c r="AE731" s="454"/>
      <c r="AF731" s="386"/>
      <c r="AG731" s="386"/>
      <c r="AH731" s="386"/>
      <c r="AI731" s="386"/>
      <c r="AJ731" s="386"/>
      <c r="AK731" s="386"/>
      <c r="AL731" s="386"/>
      <c r="AM731" s="398"/>
      <c r="AN731" s="515"/>
      <c r="AP731" s="517" t="s">
        <v>2417</v>
      </c>
    </row>
    <row r="732" spans="1:43" s="415" customFormat="1" ht="14.25" customHeight="1">
      <c r="A732" s="398"/>
      <c r="B732" s="386"/>
      <c r="C732" s="731"/>
      <c r="D732" s="495" t="s">
        <v>27</v>
      </c>
      <c r="E732" s="2465" t="s">
        <v>2418</v>
      </c>
      <c r="F732" s="2465"/>
      <c r="G732" s="2465"/>
      <c r="H732" s="2465"/>
      <c r="I732" s="2465"/>
      <c r="J732" s="2465"/>
      <c r="K732" s="2465"/>
      <c r="L732" s="2465"/>
      <c r="M732" s="2465"/>
      <c r="N732" s="2465"/>
      <c r="O732" s="2465"/>
      <c r="P732" s="2465"/>
      <c r="Q732" s="2465"/>
      <c r="R732" s="2465"/>
      <c r="S732" s="2465"/>
      <c r="T732" s="2465"/>
      <c r="U732" s="2465"/>
      <c r="V732" s="2465"/>
      <c r="W732" s="2465"/>
      <c r="X732" s="2465"/>
      <c r="Y732" s="2465"/>
      <c r="Z732" s="2465"/>
      <c r="AA732" s="2465"/>
      <c r="AB732" s="2465"/>
      <c r="AC732" s="386"/>
      <c r="AD732" s="386"/>
      <c r="AE732" s="386"/>
      <c r="AF732" s="2323" t="s">
        <v>2375</v>
      </c>
      <c r="AG732" s="2323"/>
      <c r="AH732" s="2323"/>
      <c r="AI732" s="2323"/>
      <c r="AJ732" s="2323"/>
      <c r="AK732" s="2323"/>
      <c r="AL732" s="2323"/>
      <c r="AM732" s="398"/>
      <c r="AN732" s="516"/>
    </row>
    <row r="733" spans="1:43" s="415" customFormat="1" ht="12.75" customHeight="1">
      <c r="A733" s="398"/>
      <c r="B733" s="386"/>
      <c r="C733" s="733"/>
      <c r="D733" s="386"/>
      <c r="E733" s="2465"/>
      <c r="F733" s="2465"/>
      <c r="G733" s="2465"/>
      <c r="H733" s="2465"/>
      <c r="I733" s="2465"/>
      <c r="J733" s="2465"/>
      <c r="K733" s="2465"/>
      <c r="L733" s="2465"/>
      <c r="M733" s="2465"/>
      <c r="N733" s="2465"/>
      <c r="O733" s="2465"/>
      <c r="P733" s="2465"/>
      <c r="Q733" s="2465"/>
      <c r="R733" s="2465"/>
      <c r="S733" s="2465"/>
      <c r="T733" s="2465"/>
      <c r="U733" s="2465"/>
      <c r="V733" s="2465"/>
      <c r="W733" s="2465"/>
      <c r="X733" s="2465"/>
      <c r="Y733" s="2465"/>
      <c r="Z733" s="2465"/>
      <c r="AA733" s="2465"/>
      <c r="AB733" s="2465"/>
      <c r="AC733" s="386"/>
      <c r="AD733" s="386"/>
      <c r="AE733" s="386"/>
      <c r="AF733" s="386"/>
      <c r="AG733" s="386"/>
      <c r="AH733" s="386"/>
      <c r="AI733" s="386"/>
      <c r="AJ733" s="386"/>
      <c r="AK733" s="386"/>
      <c r="AL733" s="386"/>
      <c r="AM733" s="398"/>
      <c r="AN733" s="515"/>
      <c r="AP733" s="398" t="s">
        <v>816</v>
      </c>
      <c r="AQ733" s="505">
        <v>0</v>
      </c>
    </row>
    <row r="734" spans="1:43" s="415" customFormat="1" ht="14.25" customHeight="1">
      <c r="A734" s="398"/>
      <c r="B734" s="386"/>
      <c r="C734" s="733"/>
      <c r="D734" s="386"/>
      <c r="E734" s="2465"/>
      <c r="F734" s="2465"/>
      <c r="G734" s="2465"/>
      <c r="H734" s="2465"/>
      <c r="I734" s="2465"/>
      <c r="J734" s="2465"/>
      <c r="K734" s="2465"/>
      <c r="L734" s="2465"/>
      <c r="M734" s="2465"/>
      <c r="N734" s="2465"/>
      <c r="O734" s="2465"/>
      <c r="P734" s="2465"/>
      <c r="Q734" s="2465"/>
      <c r="R734" s="2465"/>
      <c r="S734" s="2465"/>
      <c r="T734" s="2465"/>
      <c r="U734" s="2465"/>
      <c r="V734" s="2465"/>
      <c r="W734" s="2465"/>
      <c r="X734" s="2465"/>
      <c r="Y734" s="2465"/>
      <c r="Z734" s="2465"/>
      <c r="AA734" s="2465"/>
      <c r="AB734" s="2465"/>
      <c r="AC734" s="386"/>
      <c r="AD734" s="386"/>
      <c r="AE734" s="386"/>
      <c r="AF734" s="386"/>
      <c r="AG734" s="386"/>
      <c r="AH734" s="386"/>
      <c r="AI734" s="386"/>
      <c r="AJ734" s="386"/>
      <c r="AK734" s="386"/>
      <c r="AL734" s="386"/>
      <c r="AM734" s="398"/>
      <c r="AN734" s="515"/>
      <c r="AP734" s="450" t="s">
        <v>22</v>
      </c>
      <c r="AQ734" s="398">
        <v>3</v>
      </c>
    </row>
    <row r="735" spans="1:43" s="415" customFormat="1" ht="14.25" customHeight="1">
      <c r="A735" s="398"/>
      <c r="B735" s="386"/>
      <c r="C735" s="733"/>
      <c r="D735" s="386"/>
      <c r="E735" s="1139"/>
      <c r="F735" s="1139"/>
      <c r="G735" s="1139"/>
      <c r="H735" s="1139"/>
      <c r="I735" s="1139"/>
      <c r="J735" s="1139"/>
      <c r="K735" s="1139"/>
      <c r="L735" s="1139"/>
      <c r="M735" s="1139"/>
      <c r="N735" s="1139"/>
      <c r="O735" s="1139"/>
      <c r="P735" s="1139"/>
      <c r="Q735" s="1139"/>
      <c r="R735" s="1139"/>
      <c r="S735" s="1139"/>
      <c r="T735" s="1139"/>
      <c r="U735" s="1139"/>
      <c r="V735" s="1139"/>
      <c r="W735" s="1139"/>
      <c r="X735" s="1139"/>
      <c r="Y735" s="1139"/>
      <c r="Z735" s="1139"/>
      <c r="AA735" s="1139"/>
      <c r="AB735" s="1139"/>
      <c r="AC735" s="386"/>
      <c r="AD735" s="386"/>
      <c r="AE735" s="386"/>
      <c r="AF735" s="386"/>
      <c r="AG735" s="386"/>
      <c r="AH735" s="386"/>
      <c r="AI735" s="386"/>
      <c r="AJ735" s="386"/>
      <c r="AK735" s="386"/>
      <c r="AL735" s="386"/>
      <c r="AM735" s="398"/>
      <c r="AN735" s="515"/>
      <c r="AP735" s="450" t="s">
        <v>27</v>
      </c>
      <c r="AQ735" s="398">
        <v>2</v>
      </c>
    </row>
    <row r="736" spans="1:43" s="415" customFormat="1" ht="14.25" customHeight="1">
      <c r="A736" s="398"/>
      <c r="B736" s="386"/>
      <c r="C736" s="733"/>
      <c r="D736" s="386" t="s">
        <v>2361</v>
      </c>
      <c r="E736" s="1138"/>
      <c r="F736" s="1138"/>
      <c r="G736" s="1138"/>
      <c r="H736" s="2324" t="s">
        <v>816</v>
      </c>
      <c r="I736" s="2324"/>
      <c r="J736" s="1139"/>
      <c r="K736" s="1139"/>
      <c r="L736" s="1139"/>
      <c r="M736" s="1139"/>
      <c r="N736" s="1139"/>
      <c r="O736" s="1139"/>
      <c r="P736" s="1139"/>
      <c r="Q736" s="1139"/>
      <c r="R736" s="1139"/>
      <c r="S736" s="1139"/>
      <c r="T736" s="1139"/>
      <c r="U736" s="1139"/>
      <c r="V736" s="1139"/>
      <c r="W736" s="1139"/>
      <c r="X736" s="1139"/>
      <c r="Y736" s="1139"/>
      <c r="Z736" s="1139"/>
      <c r="AA736" s="1139"/>
      <c r="AB736" s="113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39"/>
      <c r="F737" s="1139"/>
      <c r="G737" s="1139"/>
      <c r="H737" s="1139"/>
      <c r="I737" s="1139"/>
      <c r="J737" s="1139"/>
      <c r="K737" s="1139"/>
      <c r="L737" s="1139"/>
      <c r="M737" s="1139"/>
      <c r="N737" s="1139"/>
      <c r="O737" s="1139"/>
      <c r="P737" s="1139"/>
      <c r="Q737" s="1139"/>
      <c r="R737" s="1139"/>
      <c r="S737" s="1139"/>
      <c r="T737" s="1139"/>
      <c r="U737" s="1139"/>
      <c r="V737" s="1139"/>
      <c r="W737" s="1139"/>
      <c r="X737" s="1139"/>
      <c r="Y737" s="1139"/>
      <c r="Z737" s="1139"/>
      <c r="AA737" s="1139"/>
      <c r="AB737" s="113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2419</v>
      </c>
      <c r="AJ738" s="2325">
        <f>VLOOKUP($H$736,$AP$733:$AQ$735,2,FALSE)</f>
        <v>0</v>
      </c>
      <c r="AK738" s="2326"/>
      <c r="AL738" s="435"/>
      <c r="AM738" s="398"/>
      <c r="AN738" s="515"/>
      <c r="AP738" s="2325"/>
      <c r="AQ738" s="2326"/>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2420</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22" t="s">
        <v>2421</v>
      </c>
      <c r="F742" s="2322"/>
      <c r="G742" s="2322"/>
      <c r="H742" s="2322"/>
      <c r="I742" s="2322"/>
      <c r="J742" s="2322"/>
      <c r="K742" s="2322"/>
      <c r="L742" s="2322"/>
      <c r="M742" s="2322"/>
      <c r="N742" s="2322"/>
      <c r="O742" s="2322"/>
      <c r="P742" s="2322"/>
      <c r="Q742" s="2322"/>
      <c r="R742" s="2322"/>
      <c r="S742" s="2322"/>
      <c r="T742" s="2322"/>
      <c r="U742" s="2322"/>
      <c r="V742" s="2322"/>
      <c r="W742" s="2322"/>
      <c r="X742" s="2322"/>
      <c r="Y742" s="2322"/>
      <c r="Z742" s="2322"/>
      <c r="AA742" s="2322"/>
      <c r="AB742" s="2322"/>
      <c r="AC742" s="386"/>
      <c r="AD742" s="386"/>
      <c r="AE742" s="386"/>
      <c r="AF742" s="2323" t="s">
        <v>2087</v>
      </c>
      <c r="AG742" s="2323"/>
      <c r="AH742" s="2323"/>
      <c r="AI742" s="2323"/>
      <c r="AJ742" s="2323"/>
      <c r="AK742" s="2323"/>
      <c r="AL742" s="2323"/>
      <c r="AM742" s="398"/>
      <c r="AN742" s="515"/>
      <c r="AT742" s="11"/>
      <c r="AU742" s="11"/>
      <c r="AV742" s="11"/>
      <c r="AW742" s="11"/>
      <c r="AX742" s="11"/>
      <c r="AY742" s="11"/>
      <c r="AZ742" s="11"/>
    </row>
    <row r="743" spans="1:81" s="415" customFormat="1">
      <c r="A743" s="398"/>
      <c r="B743" s="386"/>
      <c r="C743" s="733"/>
      <c r="D743" s="495"/>
      <c r="E743" s="2322"/>
      <c r="F743" s="2322"/>
      <c r="G743" s="2322"/>
      <c r="H743" s="2322"/>
      <c r="I743" s="2322"/>
      <c r="J743" s="2322"/>
      <c r="K743" s="2322"/>
      <c r="L743" s="2322"/>
      <c r="M743" s="2322"/>
      <c r="N743" s="2322"/>
      <c r="O743" s="2322"/>
      <c r="P743" s="2322"/>
      <c r="Q743" s="2322"/>
      <c r="R743" s="2322"/>
      <c r="S743" s="2322"/>
      <c r="T743" s="2322"/>
      <c r="U743" s="2322"/>
      <c r="V743" s="2322"/>
      <c r="W743" s="2322"/>
      <c r="X743" s="2322"/>
      <c r="Y743" s="2322"/>
      <c r="Z743" s="2322"/>
      <c r="AA743" s="2322"/>
      <c r="AB743" s="2322"/>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22" t="s">
        <v>2422</v>
      </c>
      <c r="F745" s="2322"/>
      <c r="G745" s="2322"/>
      <c r="H745" s="2322"/>
      <c r="I745" s="2322"/>
      <c r="J745" s="2322"/>
      <c r="K745" s="2322"/>
      <c r="L745" s="2322"/>
      <c r="M745" s="2322"/>
      <c r="N745" s="2322"/>
      <c r="O745" s="2322"/>
      <c r="P745" s="2322"/>
      <c r="Q745" s="2322"/>
      <c r="R745" s="2322"/>
      <c r="S745" s="2322"/>
      <c r="T745" s="2322"/>
      <c r="U745" s="2322"/>
      <c r="V745" s="2322"/>
      <c r="W745" s="2322"/>
      <c r="X745" s="2322"/>
      <c r="Y745" s="2322"/>
      <c r="Z745" s="2322"/>
      <c r="AA745" s="2322"/>
      <c r="AB745" s="2322"/>
      <c r="AC745" s="386"/>
      <c r="AD745" s="386"/>
      <c r="AE745" s="386"/>
      <c r="AF745" s="2323" t="s">
        <v>2375</v>
      </c>
      <c r="AG745" s="2323"/>
      <c r="AH745" s="2323"/>
      <c r="AI745" s="2323"/>
      <c r="AJ745" s="2323"/>
      <c r="AK745" s="2323"/>
      <c r="AL745" s="2323"/>
      <c r="AM745" s="398"/>
      <c r="AN745" s="515"/>
      <c r="AT745" s="11"/>
      <c r="AU745" s="11"/>
      <c r="AV745" s="11"/>
      <c r="AW745" s="11"/>
      <c r="AX745" s="11"/>
      <c r="AY745" s="11"/>
      <c r="AZ745" s="11"/>
    </row>
    <row r="746" spans="1:81" s="415" customFormat="1">
      <c r="A746" s="398"/>
      <c r="B746" s="386"/>
      <c r="C746" s="733"/>
      <c r="D746" s="386"/>
      <c r="E746" s="2322"/>
      <c r="F746" s="2322"/>
      <c r="G746" s="2322"/>
      <c r="H746" s="2322"/>
      <c r="I746" s="2322"/>
      <c r="J746" s="2322"/>
      <c r="K746" s="2322"/>
      <c r="L746" s="2322"/>
      <c r="M746" s="2322"/>
      <c r="N746" s="2322"/>
      <c r="O746" s="2322"/>
      <c r="P746" s="2322"/>
      <c r="Q746" s="2322"/>
      <c r="R746" s="2322"/>
      <c r="S746" s="2322"/>
      <c r="T746" s="2322"/>
      <c r="U746" s="2322"/>
      <c r="V746" s="2322"/>
      <c r="W746" s="2322"/>
      <c r="X746" s="2322"/>
      <c r="Y746" s="2322"/>
      <c r="Z746" s="2322"/>
      <c r="AA746" s="2322"/>
      <c r="AB746" s="2322"/>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19"/>
      <c r="F747" s="1119"/>
      <c r="G747" s="1119"/>
      <c r="H747" s="1119"/>
      <c r="I747" s="1119"/>
      <c r="J747" s="1119"/>
      <c r="K747" s="1119"/>
      <c r="L747" s="1119"/>
      <c r="M747" s="1119"/>
      <c r="N747" s="1119"/>
      <c r="O747" s="1119"/>
      <c r="P747" s="1119"/>
      <c r="Q747" s="1119"/>
      <c r="R747" s="1119"/>
      <c r="S747" s="1119"/>
      <c r="T747" s="1119"/>
      <c r="U747" s="1119"/>
      <c r="V747" s="1119"/>
      <c r="W747" s="1119"/>
      <c r="X747" s="1119"/>
      <c r="Y747" s="1119"/>
      <c r="Z747" s="1119"/>
      <c r="AA747" s="1119"/>
      <c r="AB747" s="1119"/>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2361</v>
      </c>
      <c r="E748" s="1138"/>
      <c r="F748" s="1138"/>
      <c r="G748" s="1138"/>
      <c r="H748" s="2324" t="s">
        <v>816</v>
      </c>
      <c r="I748" s="2324"/>
      <c r="J748" s="1119"/>
      <c r="K748" s="1119"/>
      <c r="L748" s="1119"/>
      <c r="M748" s="1119"/>
      <c r="N748" s="1119"/>
      <c r="O748" s="1119"/>
      <c r="P748" s="1119"/>
      <c r="Q748" s="1119"/>
      <c r="R748" s="1119"/>
      <c r="S748" s="1119"/>
      <c r="T748" s="1119"/>
      <c r="U748" s="1119"/>
      <c r="V748" s="1119"/>
      <c r="W748" s="1119"/>
      <c r="X748" s="1119"/>
      <c r="Y748" s="1119"/>
      <c r="Z748" s="1119"/>
      <c r="AA748" s="1119"/>
      <c r="AB748" s="1119"/>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19"/>
      <c r="F749" s="1119"/>
      <c r="G749" s="1119"/>
      <c r="H749" s="1119"/>
      <c r="I749" s="1119"/>
      <c r="J749" s="1119"/>
      <c r="K749" s="1119"/>
      <c r="L749" s="1119"/>
      <c r="M749" s="1119"/>
      <c r="N749" s="1119"/>
      <c r="O749" s="1119"/>
      <c r="P749" s="1119"/>
      <c r="Q749" s="1119"/>
      <c r="R749" s="1119"/>
      <c r="S749" s="1119"/>
      <c r="T749" s="1119"/>
      <c r="U749" s="1119"/>
      <c r="V749" s="1119"/>
      <c r="W749" s="1119"/>
      <c r="X749" s="1119"/>
      <c r="Y749" s="1119"/>
      <c r="Z749" s="1119"/>
      <c r="AA749" s="1119"/>
      <c r="AB749" s="1119"/>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2423</v>
      </c>
      <c r="AJ750" s="2325">
        <f>VLOOKUP($H$748,$AO$679:$AP$681,2,FALSE)</f>
        <v>0</v>
      </c>
      <c r="AK750" s="2326"/>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19"/>
      <c r="K751" s="1119"/>
      <c r="L751" s="1119"/>
      <c r="M751" s="1119"/>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2424</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22" t="s">
        <v>2425</v>
      </c>
      <c r="F754" s="2322"/>
      <c r="G754" s="2322"/>
      <c r="H754" s="2322"/>
      <c r="I754" s="2322"/>
      <c r="J754" s="2322"/>
      <c r="K754" s="2322"/>
      <c r="L754" s="2322"/>
      <c r="M754" s="2322"/>
      <c r="N754" s="2322"/>
      <c r="O754" s="2322"/>
      <c r="P754" s="2322"/>
      <c r="Q754" s="2322"/>
      <c r="R754" s="2322"/>
      <c r="S754" s="2322"/>
      <c r="T754" s="2322"/>
      <c r="U754" s="2322"/>
      <c r="V754" s="2322"/>
      <c r="W754" s="2322"/>
      <c r="X754" s="2322"/>
      <c r="Y754" s="2322"/>
      <c r="Z754" s="2322"/>
      <c r="AA754" s="2322"/>
      <c r="AB754" s="2322"/>
      <c r="AC754" s="386"/>
      <c r="AD754" s="386"/>
      <c r="AE754" s="386"/>
      <c r="AF754" s="2323" t="s">
        <v>2087</v>
      </c>
      <c r="AG754" s="2323"/>
      <c r="AH754" s="2323"/>
      <c r="AI754" s="2323"/>
      <c r="AJ754" s="2323"/>
      <c r="AK754" s="2323"/>
      <c r="AL754" s="2323"/>
      <c r="AM754" s="398"/>
      <c r="AN754" s="515"/>
      <c r="AT754" s="11"/>
      <c r="AU754" s="11"/>
      <c r="AV754" s="11"/>
      <c r="AW754" s="11"/>
      <c r="AX754" s="11"/>
      <c r="AY754" s="11"/>
      <c r="AZ754" s="11"/>
    </row>
    <row r="755" spans="1:81" s="415" customFormat="1">
      <c r="A755" s="398"/>
      <c r="B755" s="386"/>
      <c r="C755" s="731"/>
      <c r="D755" s="495"/>
      <c r="E755" s="2322"/>
      <c r="F755" s="2322"/>
      <c r="G755" s="2322"/>
      <c r="H755" s="2322"/>
      <c r="I755" s="2322"/>
      <c r="J755" s="2322"/>
      <c r="K755" s="2322"/>
      <c r="L755" s="2322"/>
      <c r="M755" s="2322"/>
      <c r="N755" s="2322"/>
      <c r="O755" s="2322"/>
      <c r="P755" s="2322"/>
      <c r="Q755" s="2322"/>
      <c r="R755" s="2322"/>
      <c r="S755" s="2322"/>
      <c r="T755" s="2322"/>
      <c r="U755" s="2322"/>
      <c r="V755" s="2322"/>
      <c r="W755" s="2322"/>
      <c r="X755" s="2322"/>
      <c r="Y755" s="2322"/>
      <c r="Z755" s="2322"/>
      <c r="AA755" s="2322"/>
      <c r="AB755" s="2322"/>
      <c r="AC755" s="386"/>
      <c r="AD755" s="386"/>
      <c r="AE755" s="386"/>
      <c r="AF755" s="1120"/>
      <c r="AG755" s="1120"/>
      <c r="AH755" s="1120"/>
      <c r="AI755" s="1120"/>
      <c r="AJ755" s="1120"/>
      <c r="AK755" s="1120"/>
      <c r="AL755" s="1120"/>
      <c r="AM755" s="398"/>
      <c r="AN755" s="515"/>
      <c r="AT755" s="11"/>
      <c r="AU755" s="11"/>
      <c r="AV755" s="11"/>
      <c r="AW755" s="11"/>
      <c r="AX755" s="11"/>
      <c r="AY755" s="11"/>
      <c r="AZ755" s="11"/>
    </row>
    <row r="756" spans="1:81" s="415" customFormat="1">
      <c r="A756" s="398"/>
      <c r="B756" s="386"/>
      <c r="C756" s="733"/>
      <c r="D756" s="495"/>
      <c r="E756" s="2322"/>
      <c r="F756" s="2322"/>
      <c r="G756" s="2322"/>
      <c r="H756" s="2322"/>
      <c r="I756" s="2322"/>
      <c r="J756" s="2322"/>
      <c r="K756" s="2322"/>
      <c r="L756" s="2322"/>
      <c r="M756" s="2322"/>
      <c r="N756" s="2322"/>
      <c r="O756" s="2322"/>
      <c r="P756" s="2322"/>
      <c r="Q756" s="2322"/>
      <c r="R756" s="2322"/>
      <c r="S756" s="2322"/>
      <c r="T756" s="2322"/>
      <c r="U756" s="2322"/>
      <c r="V756" s="2322"/>
      <c r="W756" s="2322"/>
      <c r="X756" s="2322"/>
      <c r="Y756" s="2322"/>
      <c r="Z756" s="2322"/>
      <c r="AA756" s="2322"/>
      <c r="AB756" s="2322"/>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22"/>
      <c r="F757" s="2322"/>
      <c r="G757" s="2322"/>
      <c r="H757" s="2322"/>
      <c r="I757" s="2322"/>
      <c r="J757" s="2322"/>
      <c r="K757" s="2322"/>
      <c r="L757" s="2322"/>
      <c r="M757" s="2322"/>
      <c r="N757" s="2322"/>
      <c r="O757" s="2322"/>
      <c r="P757" s="2322"/>
      <c r="Q757" s="2322"/>
      <c r="R757" s="2322"/>
      <c r="S757" s="2322"/>
      <c r="T757" s="2322"/>
      <c r="U757" s="2322"/>
      <c r="V757" s="2322"/>
      <c r="W757" s="2322"/>
      <c r="X757" s="2322"/>
      <c r="Y757" s="2322"/>
      <c r="Z757" s="2322"/>
      <c r="AA757" s="2322"/>
      <c r="AB757" s="2322"/>
      <c r="AC757" s="386"/>
      <c r="AD757" s="386"/>
      <c r="AE757" s="386"/>
      <c r="AF757" s="386"/>
      <c r="AG757" s="386"/>
      <c r="AH757" s="386"/>
      <c r="AI757" s="386"/>
      <c r="AJ757" s="386"/>
      <c r="AK757" s="386"/>
      <c r="AL757" s="386"/>
      <c r="AM757" s="398"/>
      <c r="AN757" s="384"/>
      <c r="AO757" s="11"/>
    </row>
    <row r="758" spans="1:81" s="415" customFormat="1">
      <c r="A758" s="1129"/>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22" t="s">
        <v>2426</v>
      </c>
      <c r="F759" s="2322"/>
      <c r="G759" s="2322"/>
      <c r="H759" s="2322"/>
      <c r="I759" s="2322"/>
      <c r="J759" s="2322"/>
      <c r="K759" s="2322"/>
      <c r="L759" s="2322"/>
      <c r="M759" s="2322"/>
      <c r="N759" s="2322"/>
      <c r="O759" s="2322"/>
      <c r="P759" s="2322"/>
      <c r="Q759" s="2322"/>
      <c r="R759" s="2322"/>
      <c r="S759" s="2322"/>
      <c r="T759" s="2322"/>
      <c r="U759" s="2322"/>
      <c r="V759" s="2322"/>
      <c r="W759" s="2322"/>
      <c r="X759" s="2322"/>
      <c r="Y759" s="2322"/>
      <c r="Z759" s="2322"/>
      <c r="AA759" s="2322"/>
      <c r="AB759" s="1151"/>
      <c r="AC759" s="386"/>
      <c r="AD759" s="386"/>
      <c r="AE759" s="386"/>
      <c r="AF759" s="2323" t="s">
        <v>2375</v>
      </c>
      <c r="AG759" s="2323"/>
      <c r="AH759" s="2323"/>
      <c r="AI759" s="2323"/>
      <c r="AJ759" s="2323"/>
      <c r="AK759" s="2323"/>
      <c r="AL759" s="2323"/>
      <c r="AM759" s="398"/>
      <c r="AN759" s="515"/>
      <c r="AO759" s="23"/>
      <c r="AP759" s="11"/>
    </row>
    <row r="760" spans="1:81" s="415" customFormat="1">
      <c r="A760" s="398"/>
      <c r="B760" s="386"/>
      <c r="C760" s="731"/>
      <c r="D760" s="495"/>
      <c r="E760" s="2322"/>
      <c r="F760" s="2322"/>
      <c r="G760" s="2322"/>
      <c r="H760" s="2322"/>
      <c r="I760" s="2322"/>
      <c r="J760" s="2322"/>
      <c r="K760" s="2322"/>
      <c r="L760" s="2322"/>
      <c r="M760" s="2322"/>
      <c r="N760" s="2322"/>
      <c r="O760" s="2322"/>
      <c r="P760" s="2322"/>
      <c r="Q760" s="2322"/>
      <c r="R760" s="2322"/>
      <c r="S760" s="2322"/>
      <c r="T760" s="2322"/>
      <c r="U760" s="2322"/>
      <c r="V760" s="2322"/>
      <c r="W760" s="2322"/>
      <c r="X760" s="2322"/>
      <c r="Y760" s="2322"/>
      <c r="Z760" s="2322"/>
      <c r="AA760" s="2322"/>
      <c r="AB760" s="1151"/>
      <c r="AC760" s="386"/>
      <c r="AD760" s="386"/>
      <c r="AE760" s="386"/>
      <c r="AF760" s="1120"/>
      <c r="AG760" s="1120"/>
      <c r="AH760" s="1120"/>
      <c r="AI760" s="1120"/>
      <c r="AJ760" s="1120"/>
      <c r="AK760" s="1120"/>
      <c r="AL760" s="1120"/>
      <c r="AM760" s="398"/>
      <c r="AN760" s="515"/>
      <c r="AO760" s="23"/>
      <c r="AP760" s="11"/>
    </row>
    <row r="761" spans="1:81" s="415" customFormat="1">
      <c r="A761" s="398"/>
      <c r="B761" s="386"/>
      <c r="C761" s="731"/>
      <c r="D761" s="386"/>
      <c r="E761" s="2322"/>
      <c r="F761" s="2322"/>
      <c r="G761" s="2322"/>
      <c r="H761" s="2322"/>
      <c r="I761" s="2322"/>
      <c r="J761" s="2322"/>
      <c r="K761" s="2322"/>
      <c r="L761" s="2322"/>
      <c r="M761" s="2322"/>
      <c r="N761" s="2322"/>
      <c r="O761" s="2322"/>
      <c r="P761" s="2322"/>
      <c r="Q761" s="2322"/>
      <c r="R761" s="2322"/>
      <c r="S761" s="2322"/>
      <c r="T761" s="2322"/>
      <c r="U761" s="2322"/>
      <c r="V761" s="2322"/>
      <c r="W761" s="2322"/>
      <c r="X761" s="2322"/>
      <c r="Y761" s="2322"/>
      <c r="Z761" s="2322"/>
      <c r="AA761" s="2322"/>
      <c r="AB761" s="1151"/>
      <c r="AC761" s="1120"/>
      <c r="AD761" s="1120"/>
      <c r="AE761" s="1120"/>
      <c r="AF761" s="1120"/>
      <c r="AG761" s="1120"/>
      <c r="AH761" s="1120"/>
      <c r="AI761" s="1120"/>
      <c r="AJ761" s="386"/>
      <c r="AK761" s="386"/>
      <c r="AL761" s="386"/>
      <c r="AM761" s="398"/>
      <c r="AN761" s="515"/>
      <c r="AO761" s="23"/>
      <c r="AP761" s="11"/>
    </row>
    <row r="762" spans="1:81" s="415" customFormat="1">
      <c r="A762" s="398"/>
      <c r="B762" s="386"/>
      <c r="C762" s="731"/>
      <c r="D762" s="386"/>
      <c r="E762" s="2322"/>
      <c r="F762" s="2322"/>
      <c r="G762" s="2322"/>
      <c r="H762" s="2322"/>
      <c r="I762" s="2322"/>
      <c r="J762" s="2322"/>
      <c r="K762" s="2322"/>
      <c r="L762" s="2322"/>
      <c r="M762" s="2322"/>
      <c r="N762" s="2322"/>
      <c r="O762" s="2322"/>
      <c r="P762" s="2322"/>
      <c r="Q762" s="2322"/>
      <c r="R762" s="2322"/>
      <c r="S762" s="2322"/>
      <c r="T762" s="2322"/>
      <c r="U762" s="2322"/>
      <c r="V762" s="2322"/>
      <c r="W762" s="2322"/>
      <c r="X762" s="2322"/>
      <c r="Y762" s="2322"/>
      <c r="Z762" s="2322"/>
      <c r="AA762" s="2322"/>
      <c r="AB762" s="1151"/>
      <c r="AC762" s="1120"/>
      <c r="AD762" s="1120"/>
      <c r="AE762" s="1120"/>
      <c r="AF762" s="1120"/>
      <c r="AG762" s="1120"/>
      <c r="AH762" s="1120"/>
      <c r="AI762" s="112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20"/>
      <c r="AD763" s="1120"/>
      <c r="AE763" s="1120"/>
      <c r="AF763" s="1120"/>
      <c r="AG763" s="1120"/>
      <c r="AH763" s="1120"/>
      <c r="AI763" s="1120"/>
      <c r="AJ763" s="386"/>
      <c r="AK763" s="386"/>
      <c r="AL763" s="386"/>
      <c r="AM763" s="398"/>
      <c r="AN763" s="515"/>
    </row>
    <row r="764" spans="1:81" s="415" customFormat="1" ht="12.75" customHeight="1">
      <c r="A764" s="398"/>
      <c r="B764" s="386"/>
      <c r="C764" s="731"/>
      <c r="D764" s="386" t="s">
        <v>2361</v>
      </c>
      <c r="E764" s="1138"/>
      <c r="F764" s="1138"/>
      <c r="G764" s="1138"/>
      <c r="H764" s="2324" t="s">
        <v>22</v>
      </c>
      <c r="I764" s="2324"/>
      <c r="J764" s="479"/>
      <c r="K764" s="479"/>
      <c r="L764" s="479"/>
      <c r="M764" s="479"/>
      <c r="N764" s="479"/>
      <c r="O764" s="479"/>
      <c r="P764" s="479"/>
      <c r="Q764" s="479"/>
      <c r="R764" s="479"/>
      <c r="S764" s="479"/>
      <c r="T764" s="479"/>
      <c r="U764" s="479"/>
      <c r="V764" s="479"/>
      <c r="W764" s="479"/>
      <c r="X764" s="479"/>
      <c r="Y764" s="479"/>
      <c r="Z764" s="479"/>
      <c r="AA764" s="479"/>
      <c r="AB764" s="479"/>
      <c r="AC764" s="1120"/>
      <c r="AD764" s="1120"/>
      <c r="AE764" s="1120"/>
      <c r="AF764" s="1120"/>
      <c r="AG764" s="1120"/>
      <c r="AH764" s="1120"/>
      <c r="AI764" s="112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20"/>
      <c r="AD765" s="1120"/>
      <c r="AE765" s="1120"/>
      <c r="AF765" s="1120"/>
      <c r="AG765" s="1120"/>
      <c r="AH765" s="1120"/>
      <c r="AI765" s="112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2427</v>
      </c>
      <c r="AJ766" s="2325">
        <f>VLOOKUP($H$764,$AO$693:$AP$695,2,FALSE)</f>
        <v>3</v>
      </c>
      <c r="AK766" s="2326"/>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19"/>
      <c r="M767" s="1119"/>
      <c r="N767" s="1119"/>
      <c r="O767" s="1119"/>
      <c r="P767" s="1119"/>
      <c r="Q767" s="1119"/>
      <c r="R767" s="1119"/>
      <c r="S767" s="1119"/>
      <c r="T767" s="1119"/>
      <c r="U767" s="1119"/>
      <c r="V767" s="454"/>
      <c r="W767" s="454"/>
      <c r="X767" s="454"/>
      <c r="Y767" s="454"/>
      <c r="Z767" s="1138"/>
      <c r="AA767" s="1138"/>
      <c r="AB767" s="113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2416</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22" t="s">
        <v>2428</v>
      </c>
      <c r="F770" s="2322"/>
      <c r="G770" s="2322"/>
      <c r="H770" s="2322"/>
      <c r="I770" s="2322"/>
      <c r="J770" s="2322"/>
      <c r="K770" s="2322"/>
      <c r="L770" s="2322"/>
      <c r="M770" s="2322"/>
      <c r="N770" s="2322"/>
      <c r="O770" s="2322"/>
      <c r="P770" s="2322"/>
      <c r="Q770" s="2322"/>
      <c r="R770" s="2322"/>
      <c r="S770" s="2322"/>
      <c r="T770" s="2322"/>
      <c r="U770" s="2322"/>
      <c r="V770" s="2322"/>
      <c r="W770" s="2322"/>
      <c r="X770" s="2322"/>
      <c r="Y770" s="2322"/>
      <c r="Z770" s="2322"/>
      <c r="AA770" s="2322"/>
      <c r="AB770" s="2322"/>
      <c r="AC770" s="386"/>
      <c r="AD770" s="386"/>
      <c r="AE770" s="386"/>
      <c r="AF770" s="2323" t="s">
        <v>2375</v>
      </c>
      <c r="AG770" s="2323"/>
      <c r="AH770" s="2323"/>
      <c r="AI770" s="2323"/>
      <c r="AJ770" s="2323"/>
      <c r="AK770" s="2323"/>
      <c r="AL770" s="2323"/>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22"/>
      <c r="F771" s="2322"/>
      <c r="G771" s="2322"/>
      <c r="H771" s="2322"/>
      <c r="I771" s="2322"/>
      <c r="J771" s="2322"/>
      <c r="K771" s="2322"/>
      <c r="L771" s="2322"/>
      <c r="M771" s="2322"/>
      <c r="N771" s="2322"/>
      <c r="O771" s="2322"/>
      <c r="P771" s="2322"/>
      <c r="Q771" s="2322"/>
      <c r="R771" s="2322"/>
      <c r="S771" s="2322"/>
      <c r="T771" s="2322"/>
      <c r="U771" s="2322"/>
      <c r="V771" s="2322"/>
      <c r="W771" s="2322"/>
      <c r="X771" s="2322"/>
      <c r="Y771" s="2322"/>
      <c r="Z771" s="2322"/>
      <c r="AA771" s="2322"/>
      <c r="AB771" s="2322"/>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22" t="s">
        <v>2429</v>
      </c>
      <c r="F773" s="2322"/>
      <c r="G773" s="2322"/>
      <c r="H773" s="2322"/>
      <c r="I773" s="2322"/>
      <c r="J773" s="2322"/>
      <c r="K773" s="2322"/>
      <c r="L773" s="2322"/>
      <c r="M773" s="2322"/>
      <c r="N773" s="2322"/>
      <c r="O773" s="2322"/>
      <c r="P773" s="2322"/>
      <c r="Q773" s="2322"/>
      <c r="R773" s="2322"/>
      <c r="S773" s="2322"/>
      <c r="T773" s="2322"/>
      <c r="U773" s="2322"/>
      <c r="V773" s="2322"/>
      <c r="W773" s="2322"/>
      <c r="X773" s="2322"/>
      <c r="Y773" s="2322"/>
      <c r="Z773" s="2322"/>
      <c r="AA773" s="2322"/>
      <c r="AB773" s="2322"/>
      <c r="AC773" s="386"/>
      <c r="AD773" s="386"/>
      <c r="AE773" s="386"/>
      <c r="AF773" s="2323" t="s">
        <v>2393</v>
      </c>
      <c r="AG773" s="2323"/>
      <c r="AH773" s="2323"/>
      <c r="AI773" s="2323"/>
      <c r="AJ773" s="2323"/>
      <c r="AK773" s="2323"/>
      <c r="AL773" s="2323"/>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22"/>
      <c r="F774" s="2322"/>
      <c r="G774" s="2322"/>
      <c r="H774" s="2322"/>
      <c r="I774" s="2322"/>
      <c r="J774" s="2322"/>
      <c r="K774" s="2322"/>
      <c r="L774" s="2322"/>
      <c r="M774" s="2322"/>
      <c r="N774" s="2322"/>
      <c r="O774" s="2322"/>
      <c r="P774" s="2322"/>
      <c r="Q774" s="2322"/>
      <c r="R774" s="2322"/>
      <c r="S774" s="2322"/>
      <c r="T774" s="2322"/>
      <c r="U774" s="2322"/>
      <c r="V774" s="2322"/>
      <c r="W774" s="2322"/>
      <c r="X774" s="2322"/>
      <c r="Y774" s="2322"/>
      <c r="Z774" s="2322"/>
      <c r="AA774" s="2322"/>
      <c r="AB774" s="2322"/>
      <c r="AC774" s="386"/>
      <c r="AD774" s="386"/>
      <c r="AE774" s="112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19"/>
      <c r="F775" s="1119"/>
      <c r="G775" s="1119"/>
      <c r="H775" s="1119"/>
      <c r="I775" s="1119"/>
      <c r="J775" s="1119"/>
      <c r="K775" s="1119"/>
      <c r="L775" s="1119"/>
      <c r="M775" s="1119"/>
      <c r="N775" s="1119"/>
      <c r="O775" s="1119"/>
      <c r="P775" s="1119"/>
      <c r="Q775" s="1119"/>
      <c r="R775" s="1119"/>
      <c r="S775" s="1119"/>
      <c r="T775" s="1119"/>
      <c r="U775" s="1119"/>
      <c r="V775" s="1119"/>
      <c r="W775" s="1119"/>
      <c r="X775" s="1119"/>
      <c r="Y775" s="1119"/>
      <c r="Z775" s="1119"/>
      <c r="AA775" s="1119"/>
      <c r="AB775" s="1119"/>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2361</v>
      </c>
      <c r="E776" s="1138"/>
      <c r="F776" s="1138"/>
      <c r="G776" s="1138"/>
      <c r="H776" s="2324" t="s">
        <v>22</v>
      </c>
      <c r="I776" s="2324"/>
      <c r="J776" s="1119"/>
      <c r="K776" s="1119"/>
      <c r="L776" s="1119"/>
      <c r="M776" s="1119"/>
      <c r="N776" s="1119"/>
      <c r="O776" s="1119"/>
      <c r="P776" s="1119"/>
      <c r="Q776" s="386"/>
      <c r="R776" s="386"/>
      <c r="S776" s="386"/>
      <c r="T776" s="386"/>
      <c r="U776" s="386"/>
      <c r="V776" s="386"/>
      <c r="W776" s="1119"/>
      <c r="X776" s="1119"/>
      <c r="Y776" s="1119"/>
      <c r="Z776" s="1119"/>
      <c r="AA776" s="1119"/>
      <c r="AB776" s="1119"/>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4.25"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2430</v>
      </c>
      <c r="AJ778" s="2325">
        <f>VLOOKUP($H$776,$AO$710:$AP$712,2,FALSE)</f>
        <v>2</v>
      </c>
      <c r="AK778" s="2326"/>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7"/>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2417</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7"/>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7"/>
      <c r="AJ781" s="435"/>
      <c r="AK781" s="435"/>
      <c r="AL781" s="435"/>
      <c r="AM781" s="398"/>
      <c r="AN781" s="515"/>
    </row>
    <row r="782" spans="1:74" s="415" customFormat="1" ht="13.9" customHeight="1">
      <c r="A782" s="398"/>
      <c r="B782" s="454"/>
      <c r="C782" s="739"/>
      <c r="D782" s="495" t="s">
        <v>22</v>
      </c>
      <c r="E782" s="2322" t="s">
        <v>2431</v>
      </c>
      <c r="F782" s="2322"/>
      <c r="G782" s="2322"/>
      <c r="H782" s="2322"/>
      <c r="I782" s="2322"/>
      <c r="J782" s="2322"/>
      <c r="K782" s="2322"/>
      <c r="L782" s="2322"/>
      <c r="M782" s="2322"/>
      <c r="N782" s="2322"/>
      <c r="O782" s="2322"/>
      <c r="P782" s="2322"/>
      <c r="Q782" s="2322"/>
      <c r="R782" s="2322"/>
      <c r="S782" s="2322"/>
      <c r="T782" s="2322"/>
      <c r="U782" s="2322"/>
      <c r="V782" s="2322"/>
      <c r="W782" s="2322"/>
      <c r="X782" s="2322"/>
      <c r="Y782" s="2322"/>
      <c r="Z782" s="2322"/>
      <c r="AA782" s="2322"/>
      <c r="AB782" s="2322"/>
      <c r="AC782" s="2322"/>
      <c r="AD782" s="2322"/>
      <c r="AE782" s="386"/>
      <c r="AF782" s="2323" t="s">
        <v>2375</v>
      </c>
      <c r="AG782" s="2323"/>
      <c r="AH782" s="2323"/>
      <c r="AI782" s="2323"/>
      <c r="AJ782" s="2323"/>
      <c r="AK782" s="2323"/>
      <c r="AL782" s="2323"/>
      <c r="AM782" s="452"/>
      <c r="AN782" s="515"/>
      <c r="AO782" s="398" t="s">
        <v>816</v>
      </c>
      <c r="AP782" s="505">
        <v>0</v>
      </c>
    </row>
    <row r="783" spans="1:74" s="415" customFormat="1" ht="13.9" customHeight="1">
      <c r="A783" s="398"/>
      <c r="B783" s="454"/>
      <c r="C783" s="739"/>
      <c r="D783" s="495"/>
      <c r="E783" s="2322"/>
      <c r="F783" s="2322"/>
      <c r="G783" s="2322"/>
      <c r="H783" s="2322"/>
      <c r="I783" s="2322"/>
      <c r="J783" s="2322"/>
      <c r="K783" s="2322"/>
      <c r="L783" s="2322"/>
      <c r="M783" s="2322"/>
      <c r="N783" s="2322"/>
      <c r="O783" s="2322"/>
      <c r="P783" s="2322"/>
      <c r="Q783" s="2322"/>
      <c r="R783" s="2322"/>
      <c r="S783" s="2322"/>
      <c r="T783" s="2322"/>
      <c r="U783" s="2322"/>
      <c r="V783" s="2322"/>
      <c r="W783" s="2322"/>
      <c r="X783" s="2322"/>
      <c r="Y783" s="2322"/>
      <c r="Z783" s="2322"/>
      <c r="AA783" s="2322"/>
      <c r="AB783" s="2322"/>
      <c r="AC783" s="2322"/>
      <c r="AD783" s="2322"/>
      <c r="AE783" s="386"/>
      <c r="AF783" s="1120"/>
      <c r="AG783" s="1120"/>
      <c r="AH783" s="1120"/>
      <c r="AI783" s="1120"/>
      <c r="AJ783" s="1120"/>
      <c r="AK783" s="1120"/>
      <c r="AL783" s="1120"/>
      <c r="AM783" s="452"/>
      <c r="AN783" s="515"/>
      <c r="AO783" s="450" t="s">
        <v>22</v>
      </c>
      <c r="AP783" s="398">
        <v>2</v>
      </c>
    </row>
    <row r="784" spans="1:74" s="415" customFormat="1">
      <c r="A784" s="398"/>
      <c r="B784" s="454"/>
      <c r="C784" s="739"/>
      <c r="D784" s="495"/>
      <c r="E784" s="2322"/>
      <c r="F784" s="2322"/>
      <c r="G784" s="2322"/>
      <c r="H784" s="2322"/>
      <c r="I784" s="2322"/>
      <c r="J784" s="2322"/>
      <c r="K784" s="2322"/>
      <c r="L784" s="2322"/>
      <c r="M784" s="2322"/>
      <c r="N784" s="2322"/>
      <c r="O784" s="2322"/>
      <c r="P784" s="2322"/>
      <c r="Q784" s="2322"/>
      <c r="R784" s="2322"/>
      <c r="S784" s="2322"/>
      <c r="T784" s="2322"/>
      <c r="U784" s="2322"/>
      <c r="V784" s="2322"/>
      <c r="W784" s="2322"/>
      <c r="X784" s="2322"/>
      <c r="Y784" s="2322"/>
      <c r="Z784" s="2322"/>
      <c r="AA784" s="2322"/>
      <c r="AB784" s="2322"/>
      <c r="AC784" s="2322"/>
      <c r="AD784" s="2322"/>
      <c r="AE784" s="386"/>
      <c r="AF784" s="386"/>
      <c r="AG784" s="386"/>
      <c r="AH784" s="386"/>
      <c r="AI784" s="386"/>
      <c r="AJ784" s="386"/>
      <c r="AK784" s="386"/>
      <c r="AL784" s="112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75" customHeight="1">
      <c r="A785" s="398"/>
      <c r="B785" s="454"/>
      <c r="C785" s="739"/>
      <c r="D785" s="495"/>
      <c r="E785" s="2322"/>
      <c r="F785" s="2322"/>
      <c r="G785" s="2322"/>
      <c r="H785" s="2322"/>
      <c r="I785" s="2322"/>
      <c r="J785" s="2322"/>
      <c r="K785" s="2322"/>
      <c r="L785" s="2322"/>
      <c r="M785" s="2322"/>
      <c r="N785" s="2322"/>
      <c r="O785" s="2322"/>
      <c r="P785" s="2322"/>
      <c r="Q785" s="2322"/>
      <c r="R785" s="2322"/>
      <c r="S785" s="2322"/>
      <c r="T785" s="2322"/>
      <c r="U785" s="2322"/>
      <c r="V785" s="2322"/>
      <c r="W785" s="2322"/>
      <c r="X785" s="2322"/>
      <c r="Y785" s="2322"/>
      <c r="Z785" s="2322"/>
      <c r="AA785" s="2322"/>
      <c r="AB785" s="2322"/>
      <c r="AC785" s="2322"/>
      <c r="AD785" s="2322"/>
      <c r="AE785" s="1120"/>
      <c r="AF785" s="1120"/>
      <c r="AG785" s="1120"/>
      <c r="AH785" s="1120"/>
      <c r="AI785" s="1120"/>
      <c r="AJ785" s="1120"/>
      <c r="AK785" s="1120"/>
      <c r="AL785" s="112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8"/>
      <c r="F786" s="1128"/>
      <c r="G786" s="1128"/>
      <c r="H786" s="1128"/>
      <c r="I786" s="1128"/>
      <c r="J786" s="1128"/>
      <c r="K786" s="1128"/>
      <c r="L786" s="1128"/>
      <c r="M786" s="1128"/>
      <c r="N786" s="1128"/>
      <c r="O786" s="1128"/>
      <c r="P786" s="1128"/>
      <c r="Q786" s="1128"/>
      <c r="R786" s="1128"/>
      <c r="S786" s="1128"/>
      <c r="T786" s="1128"/>
      <c r="U786" s="1128"/>
      <c r="V786" s="1128"/>
      <c r="W786" s="1128"/>
      <c r="X786" s="1128"/>
      <c r="Y786" s="1128"/>
      <c r="Z786" s="1128"/>
      <c r="AA786" s="1128"/>
      <c r="AB786" s="1128"/>
      <c r="AC786" s="1128"/>
      <c r="AD786" s="1128"/>
      <c r="AE786" s="1120"/>
      <c r="AF786" s="386"/>
      <c r="AG786" s="386"/>
      <c r="AH786" s="386"/>
      <c r="AI786" s="386"/>
      <c r="AJ786" s="386"/>
      <c r="AK786" s="386"/>
      <c r="AL786" s="386"/>
      <c r="AM786" s="452"/>
      <c r="AN786" s="437"/>
    </row>
    <row r="787" spans="1:81" s="398" customFormat="1" ht="12.75" customHeight="1">
      <c r="B787" s="454"/>
      <c r="C787" s="739"/>
      <c r="D787" s="495" t="s">
        <v>27</v>
      </c>
      <c r="E787" s="2463" t="s">
        <v>2432</v>
      </c>
      <c r="F787" s="2463"/>
      <c r="G787" s="2463"/>
      <c r="H787" s="2463"/>
      <c r="I787" s="2463"/>
      <c r="J787" s="2463"/>
      <c r="K787" s="2463"/>
      <c r="L787" s="2463"/>
      <c r="M787" s="2463"/>
      <c r="N787" s="2463"/>
      <c r="O787" s="2463"/>
      <c r="P787" s="2463"/>
      <c r="Q787" s="2463"/>
      <c r="R787" s="2463"/>
      <c r="S787" s="2463"/>
      <c r="T787" s="2463"/>
      <c r="U787" s="2463"/>
      <c r="V787" s="2463"/>
      <c r="W787" s="2463"/>
      <c r="X787" s="2463"/>
      <c r="Y787" s="2463"/>
      <c r="Z787" s="2463"/>
      <c r="AA787" s="2463"/>
      <c r="AB787" s="2463"/>
      <c r="AC787" s="2463"/>
      <c r="AD787" s="2463"/>
      <c r="AE787" s="386"/>
      <c r="AF787" s="2323" t="s">
        <v>2087</v>
      </c>
      <c r="AG787" s="2323"/>
      <c r="AH787" s="2323"/>
      <c r="AI787" s="2323"/>
      <c r="AJ787" s="2323"/>
      <c r="AK787" s="2323"/>
      <c r="AL787" s="2323"/>
      <c r="AM787" s="452"/>
      <c r="AN787" s="437"/>
    </row>
    <row r="788" spans="1:81" s="398" customFormat="1" ht="12.75" customHeight="1">
      <c r="B788" s="454"/>
      <c r="C788" s="739"/>
      <c r="D788" s="495"/>
      <c r="E788" s="2463"/>
      <c r="F788" s="2463"/>
      <c r="G788" s="2463"/>
      <c r="H788" s="2463"/>
      <c r="I788" s="2463"/>
      <c r="J788" s="2463"/>
      <c r="K788" s="2463"/>
      <c r="L788" s="2463"/>
      <c r="M788" s="2463"/>
      <c r="N788" s="2463"/>
      <c r="O788" s="2463"/>
      <c r="P788" s="2463"/>
      <c r="Q788" s="2463"/>
      <c r="R788" s="2463"/>
      <c r="S788" s="2463"/>
      <c r="T788" s="2463"/>
      <c r="U788" s="2463"/>
      <c r="V788" s="2463"/>
      <c r="W788" s="2463"/>
      <c r="X788" s="2463"/>
      <c r="Y788" s="2463"/>
      <c r="Z788" s="2463"/>
      <c r="AA788" s="2463"/>
      <c r="AB788" s="2463"/>
      <c r="AC788" s="2463"/>
      <c r="AD788" s="2463"/>
      <c r="AE788" s="1120"/>
      <c r="AF788" s="1120"/>
      <c r="AG788" s="1120"/>
      <c r="AH788" s="1120"/>
      <c r="AI788" s="1120"/>
      <c r="AJ788" s="1120"/>
      <c r="AK788" s="1120"/>
      <c r="AL788" s="1120"/>
      <c r="AM788" s="452"/>
      <c r="AN788" s="437"/>
    </row>
    <row r="789" spans="1:81" s="398" customFormat="1" ht="12.75" customHeight="1">
      <c r="B789" s="454"/>
      <c r="C789" s="739"/>
      <c r="D789" s="495"/>
      <c r="E789" s="2463"/>
      <c r="F789" s="2463"/>
      <c r="G789" s="2463"/>
      <c r="H789" s="2463"/>
      <c r="I789" s="2463"/>
      <c r="J789" s="2463"/>
      <c r="K789" s="2463"/>
      <c r="L789" s="2463"/>
      <c r="M789" s="2463"/>
      <c r="N789" s="2463"/>
      <c r="O789" s="2463"/>
      <c r="P789" s="2463"/>
      <c r="Q789" s="2463"/>
      <c r="R789" s="2463"/>
      <c r="S789" s="2463"/>
      <c r="T789" s="2463"/>
      <c r="U789" s="2463"/>
      <c r="V789" s="2463"/>
      <c r="W789" s="2463"/>
      <c r="X789" s="2463"/>
      <c r="Y789" s="2463"/>
      <c r="Z789" s="2463"/>
      <c r="AA789" s="2463"/>
      <c r="AB789" s="2463"/>
      <c r="AC789" s="2463"/>
      <c r="AD789" s="2463"/>
      <c r="AE789" s="1120"/>
      <c r="AF789" s="1120"/>
      <c r="AG789" s="1120"/>
      <c r="AH789" s="1120"/>
      <c r="AI789" s="1120"/>
      <c r="AJ789" s="1120"/>
      <c r="AK789" s="1120"/>
      <c r="AL789" s="1120"/>
      <c r="AM789" s="452"/>
      <c r="AN789" s="437"/>
    </row>
    <row r="790" spans="1:81" s="398" customFormat="1" ht="12.75" customHeight="1">
      <c r="B790" s="454"/>
      <c r="C790" s="739"/>
      <c r="D790" s="495"/>
      <c r="E790" s="2463"/>
      <c r="F790" s="2463"/>
      <c r="G790" s="2463"/>
      <c r="H790" s="2463"/>
      <c r="I790" s="2463"/>
      <c r="J790" s="2463"/>
      <c r="K790" s="2463"/>
      <c r="L790" s="2463"/>
      <c r="M790" s="2463"/>
      <c r="N790" s="2463"/>
      <c r="O790" s="2463"/>
      <c r="P790" s="2463"/>
      <c r="Q790" s="2463"/>
      <c r="R790" s="2463"/>
      <c r="S790" s="2463"/>
      <c r="T790" s="2463"/>
      <c r="U790" s="2463"/>
      <c r="V790" s="2463"/>
      <c r="W790" s="2463"/>
      <c r="X790" s="2463"/>
      <c r="Y790" s="2463"/>
      <c r="Z790" s="2463"/>
      <c r="AA790" s="2463"/>
      <c r="AB790" s="2463"/>
      <c r="AC790" s="2463"/>
      <c r="AD790" s="2463"/>
      <c r="AE790" s="1120"/>
      <c r="AF790" s="1120"/>
      <c r="AG790" s="1120"/>
      <c r="AH790" s="1120"/>
      <c r="AI790" s="1120"/>
      <c r="AJ790" s="1120"/>
      <c r="AK790" s="1120"/>
      <c r="AL790" s="112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2361</v>
      </c>
      <c r="E792" s="1138"/>
      <c r="F792" s="1138"/>
      <c r="G792" s="1138"/>
      <c r="H792" s="2324" t="s">
        <v>816</v>
      </c>
      <c r="I792" s="2324"/>
      <c r="J792" s="1119"/>
      <c r="K792" s="1119"/>
      <c r="L792" s="1119"/>
      <c r="M792" s="1119"/>
      <c r="N792" s="1119"/>
      <c r="O792" s="1119"/>
      <c r="P792" s="1119"/>
      <c r="Q792" s="1119"/>
      <c r="R792" s="1119"/>
      <c r="S792" s="1119"/>
      <c r="T792" s="1119"/>
      <c r="U792" s="1119"/>
      <c r="V792" s="1119"/>
      <c r="W792" s="1119"/>
      <c r="X792" s="1119"/>
      <c r="Y792" s="1119"/>
      <c r="Z792" s="1119"/>
      <c r="AA792" s="1119"/>
      <c r="AB792" s="1119"/>
      <c r="AC792" s="1119"/>
      <c r="AD792" s="1119"/>
      <c r="AE792" s="1119"/>
      <c r="AF792" s="1119"/>
      <c r="AG792" s="454"/>
      <c r="AH792" s="386"/>
      <c r="AI792" s="1127"/>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7"/>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2433</v>
      </c>
      <c r="AJ794" s="2325">
        <f>VLOOKUP($H$792,$AO$782:$AP$784,2,FALSE)</f>
        <v>0</v>
      </c>
      <c r="AK794" s="2326"/>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7"/>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2434</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7"/>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9" customHeight="1">
      <c r="A798" s="398"/>
      <c r="B798" s="454"/>
      <c r="C798" s="739"/>
      <c r="D798" s="495" t="s">
        <v>22</v>
      </c>
      <c r="E798" s="2322" t="s">
        <v>2435</v>
      </c>
      <c r="F798" s="2322"/>
      <c r="G798" s="2322"/>
      <c r="H798" s="2322"/>
      <c r="I798" s="2322"/>
      <c r="J798" s="2322"/>
      <c r="K798" s="2322"/>
      <c r="L798" s="2322"/>
      <c r="M798" s="2322"/>
      <c r="N798" s="2322"/>
      <c r="O798" s="2322"/>
      <c r="P798" s="2322"/>
      <c r="Q798" s="2322"/>
      <c r="R798" s="2322"/>
      <c r="S798" s="2322"/>
      <c r="T798" s="2322"/>
      <c r="U798" s="2322"/>
      <c r="V798" s="2322"/>
      <c r="W798" s="2322"/>
      <c r="X798" s="2322"/>
      <c r="Y798" s="2322"/>
      <c r="Z798" s="2322"/>
      <c r="AA798" s="2322"/>
      <c r="AB798" s="2322"/>
      <c r="AC798" s="2322"/>
      <c r="AD798" s="2322"/>
      <c r="AE798" s="386"/>
      <c r="AF798" s="2323" t="s">
        <v>2087</v>
      </c>
      <c r="AG798" s="2323"/>
      <c r="AH798" s="2323"/>
      <c r="AI798" s="2323"/>
      <c r="AJ798" s="2323"/>
      <c r="AK798" s="2323"/>
      <c r="AL798" s="2323"/>
      <c r="AM798" s="452"/>
      <c r="AN798" s="515"/>
      <c r="AO798" s="450" t="s">
        <v>847</v>
      </c>
      <c r="AP798" s="398">
        <v>3</v>
      </c>
      <c r="AT798" s="506"/>
      <c r="AU798" s="506"/>
      <c r="AV798" s="506"/>
      <c r="AW798" s="506"/>
      <c r="AX798" s="506"/>
      <c r="AY798" s="506"/>
      <c r="AZ798" s="506"/>
    </row>
    <row r="799" spans="1:81" s="415" customFormat="1" ht="13.9" customHeight="1">
      <c r="A799" s="398"/>
      <c r="B799" s="454"/>
      <c r="C799" s="739"/>
      <c r="D799" s="495"/>
      <c r="E799" s="2322"/>
      <c r="F799" s="2322"/>
      <c r="G799" s="2322"/>
      <c r="H799" s="2322"/>
      <c r="I799" s="2322"/>
      <c r="J799" s="2322"/>
      <c r="K799" s="2322"/>
      <c r="L799" s="2322"/>
      <c r="M799" s="2322"/>
      <c r="N799" s="2322"/>
      <c r="O799" s="2322"/>
      <c r="P799" s="2322"/>
      <c r="Q799" s="2322"/>
      <c r="R799" s="2322"/>
      <c r="S799" s="2322"/>
      <c r="T799" s="2322"/>
      <c r="U799" s="2322"/>
      <c r="V799" s="2322"/>
      <c r="W799" s="2322"/>
      <c r="X799" s="2322"/>
      <c r="Y799" s="2322"/>
      <c r="Z799" s="2322"/>
      <c r="AA799" s="2322"/>
      <c r="AB799" s="2322"/>
      <c r="AC799" s="2322"/>
      <c r="AD799" s="2322"/>
      <c r="AE799" s="386"/>
      <c r="AF799" s="1120"/>
      <c r="AG799" s="1120"/>
      <c r="AH799" s="1120"/>
      <c r="AI799" s="1120"/>
      <c r="AJ799" s="1120"/>
      <c r="AK799" s="1120"/>
      <c r="AL799" s="1120"/>
      <c r="AM799" s="452"/>
      <c r="AN799" s="515"/>
      <c r="AO799" s="450"/>
      <c r="AP799" s="398"/>
      <c r="AT799" s="506"/>
      <c r="AU799" s="506"/>
      <c r="AV799" s="506"/>
      <c r="AW799" s="506"/>
      <c r="AX799" s="506"/>
      <c r="AY799" s="506"/>
      <c r="AZ799" s="506"/>
    </row>
    <row r="800" spans="1:81" s="415" customFormat="1">
      <c r="A800" s="398"/>
      <c r="B800" s="454"/>
      <c r="C800" s="739"/>
      <c r="D800" s="495"/>
      <c r="E800" s="2322"/>
      <c r="F800" s="2322"/>
      <c r="G800" s="2322"/>
      <c r="H800" s="2322"/>
      <c r="I800" s="2322"/>
      <c r="J800" s="2322"/>
      <c r="K800" s="2322"/>
      <c r="L800" s="2322"/>
      <c r="M800" s="2322"/>
      <c r="N800" s="2322"/>
      <c r="O800" s="2322"/>
      <c r="P800" s="2322"/>
      <c r="Q800" s="2322"/>
      <c r="R800" s="2322"/>
      <c r="S800" s="2322"/>
      <c r="T800" s="2322"/>
      <c r="U800" s="2322"/>
      <c r="V800" s="2322"/>
      <c r="W800" s="2322"/>
      <c r="X800" s="2322"/>
      <c r="Y800" s="2322"/>
      <c r="Z800" s="2322"/>
      <c r="AA800" s="2322"/>
      <c r="AB800" s="2322"/>
      <c r="AC800" s="2322"/>
      <c r="AD800" s="2322"/>
      <c r="AE800" s="1120"/>
      <c r="AF800" s="1120"/>
      <c r="AG800" s="1120"/>
      <c r="AH800" s="1120"/>
      <c r="AI800" s="1120"/>
      <c r="AJ800" s="1120"/>
      <c r="AK800" s="1120"/>
      <c r="AL800" s="1120"/>
      <c r="AM800" s="452"/>
      <c r="AN800" s="515"/>
      <c r="AO800" s="450"/>
      <c r="AP800" s="398"/>
      <c r="AT800" s="506"/>
      <c r="AU800" s="506"/>
      <c r="AV800" s="506"/>
      <c r="AW800" s="506"/>
      <c r="AX800" s="506"/>
      <c r="AY800" s="506"/>
      <c r="AZ800" s="506"/>
    </row>
    <row r="801" spans="1:81" s="415" customFormat="1">
      <c r="A801" s="398"/>
      <c r="B801" s="454"/>
      <c r="C801" s="739"/>
      <c r="D801" s="495"/>
      <c r="E801" s="2322"/>
      <c r="F801" s="2322"/>
      <c r="G801" s="2322"/>
      <c r="H801" s="2322"/>
      <c r="I801" s="2322"/>
      <c r="J801" s="2322"/>
      <c r="K801" s="2322"/>
      <c r="L801" s="2322"/>
      <c r="M801" s="2322"/>
      <c r="N801" s="2322"/>
      <c r="O801" s="2322"/>
      <c r="P801" s="2322"/>
      <c r="Q801" s="2322"/>
      <c r="R801" s="2322"/>
      <c r="S801" s="2322"/>
      <c r="T801" s="2322"/>
      <c r="U801" s="2322"/>
      <c r="V801" s="2322"/>
      <c r="W801" s="2322"/>
      <c r="X801" s="2322"/>
      <c r="Y801" s="2322"/>
      <c r="Z801" s="2322"/>
      <c r="AA801" s="2322"/>
      <c r="AB801" s="2322"/>
      <c r="AC801" s="2322"/>
      <c r="AD801" s="2322"/>
      <c r="AE801" s="1120"/>
      <c r="AF801" s="1120"/>
      <c r="AG801" s="1120"/>
      <c r="AH801" s="1120"/>
      <c r="AI801" s="1120"/>
      <c r="AJ801" s="1120"/>
      <c r="AK801" s="1120"/>
      <c r="AL801" s="1120"/>
      <c r="AM801" s="452"/>
      <c r="AN801" s="515"/>
      <c r="AO801" s="522"/>
      <c r="AT801" s="506"/>
      <c r="AU801" s="506"/>
      <c r="AV801" s="506"/>
      <c r="AW801" s="506"/>
      <c r="AX801" s="506"/>
      <c r="AY801" s="506"/>
      <c r="AZ801" s="506"/>
    </row>
    <row r="802" spans="1:81" s="415" customFormat="1">
      <c r="A802" s="398"/>
      <c r="B802" s="454"/>
      <c r="C802" s="739"/>
      <c r="D802" s="495"/>
      <c r="E802" s="1119"/>
      <c r="F802" s="1119"/>
      <c r="G802" s="1119"/>
      <c r="H802" s="1119"/>
      <c r="I802" s="1119"/>
      <c r="J802" s="1119"/>
      <c r="K802" s="1119"/>
      <c r="L802" s="1119"/>
      <c r="M802" s="1119"/>
      <c r="N802" s="1119"/>
      <c r="O802" s="1119"/>
      <c r="P802" s="1119"/>
      <c r="Q802" s="1119"/>
      <c r="R802" s="1119"/>
      <c r="S802" s="1119"/>
      <c r="T802" s="1119"/>
      <c r="U802" s="1119"/>
      <c r="V802" s="1119"/>
      <c r="W802" s="1119"/>
      <c r="X802" s="1119"/>
      <c r="Y802" s="1119"/>
      <c r="Z802" s="1119"/>
      <c r="AA802" s="1119"/>
      <c r="AB802" s="1119"/>
      <c r="AC802" s="1119"/>
      <c r="AD802" s="1119"/>
      <c r="AE802" s="1120"/>
      <c r="AF802" s="1120"/>
      <c r="AG802" s="1120"/>
      <c r="AH802" s="1120"/>
      <c r="AI802" s="1120"/>
      <c r="AJ802" s="1120"/>
      <c r="AK802" s="1120"/>
      <c r="AL802" s="1120"/>
      <c r="AM802" s="452"/>
      <c r="AN802" s="515"/>
      <c r="AO802" s="522"/>
      <c r="AT802" s="506"/>
      <c r="AU802" s="506"/>
      <c r="AV802" s="506"/>
      <c r="AW802" s="506"/>
      <c r="AX802" s="506"/>
      <c r="AY802" s="506"/>
      <c r="AZ802" s="506"/>
    </row>
    <row r="803" spans="1:81" s="415" customFormat="1">
      <c r="A803" s="398"/>
      <c r="B803" s="454"/>
      <c r="C803" s="739"/>
      <c r="D803" s="386" t="s">
        <v>2361</v>
      </c>
      <c r="E803" s="1138"/>
      <c r="F803" s="1138"/>
      <c r="G803" s="1138"/>
      <c r="H803" s="2324" t="s">
        <v>816</v>
      </c>
      <c r="I803" s="2324"/>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7"/>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2436</v>
      </c>
      <c r="AJ805" s="2325">
        <f>VLOOKUP($H$803,$AO$797:$AP$798,2,FALSE)</f>
        <v>0</v>
      </c>
      <c r="AK805" s="2326"/>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2437</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22" t="s">
        <v>2438</v>
      </c>
      <c r="F809" s="2322"/>
      <c r="G809" s="2322"/>
      <c r="H809" s="2322"/>
      <c r="I809" s="2322"/>
      <c r="J809" s="2322"/>
      <c r="K809" s="2322"/>
      <c r="L809" s="2322"/>
      <c r="M809" s="2322"/>
      <c r="N809" s="2322"/>
      <c r="O809" s="2322"/>
      <c r="P809" s="2322"/>
      <c r="Q809" s="2322"/>
      <c r="R809" s="2322"/>
      <c r="S809" s="2322"/>
      <c r="T809" s="2322"/>
      <c r="U809" s="2322"/>
      <c r="V809" s="2322"/>
      <c r="W809" s="2322"/>
      <c r="X809" s="2322"/>
      <c r="Y809" s="2322"/>
      <c r="Z809" s="2322"/>
      <c r="AA809" s="2322"/>
      <c r="AB809" s="2322"/>
      <c r="AC809" s="2322"/>
      <c r="AD809" s="2322"/>
      <c r="AE809" s="399"/>
      <c r="AF809" s="2323" t="s">
        <v>2347</v>
      </c>
      <c r="AG809" s="2323"/>
      <c r="AH809" s="2323"/>
      <c r="AI809" s="2323"/>
      <c r="AJ809" s="2323"/>
      <c r="AK809" s="2323"/>
      <c r="AL809" s="2323"/>
      <c r="AN809" s="437"/>
    </row>
    <row r="810" spans="1:81" s="398" customFormat="1" ht="12.75" customHeight="1">
      <c r="B810" s="454"/>
      <c r="C810" s="519"/>
      <c r="D810" s="495"/>
      <c r="E810" s="2322"/>
      <c r="F810" s="2322"/>
      <c r="G810" s="2322"/>
      <c r="H810" s="2322"/>
      <c r="I810" s="2322"/>
      <c r="J810" s="2322"/>
      <c r="K810" s="2322"/>
      <c r="L810" s="2322"/>
      <c r="M810" s="2322"/>
      <c r="N810" s="2322"/>
      <c r="O810" s="2322"/>
      <c r="P810" s="2322"/>
      <c r="Q810" s="2322"/>
      <c r="R810" s="2322"/>
      <c r="S810" s="2322"/>
      <c r="T810" s="2322"/>
      <c r="U810" s="2322"/>
      <c r="V810" s="2322"/>
      <c r="W810" s="2322"/>
      <c r="X810" s="2322"/>
      <c r="Y810" s="2322"/>
      <c r="Z810" s="2322"/>
      <c r="AA810" s="2322"/>
      <c r="AB810" s="2322"/>
      <c r="AC810" s="2322"/>
      <c r="AD810" s="2322"/>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2361</v>
      </c>
      <c r="E812" s="1138"/>
      <c r="F812" s="1138"/>
      <c r="G812" s="1138"/>
      <c r="H812" s="2324" t="s">
        <v>816</v>
      </c>
      <c r="I812" s="2324"/>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7"/>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2439</v>
      </c>
      <c r="AJ814" s="2325">
        <f>IF(H812="Yes",5,0)</f>
        <v>0</v>
      </c>
      <c r="AK814" s="2326"/>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2440</v>
      </c>
      <c r="AK816" s="2325">
        <f>IF(($AJ$634+$AJ$653+$AJ$665+$AJ$700+$AJ$724+$AJ$738+$AJ$750+$AJ$766+$AJ$778+$AJ$794+AJ805+AJ814)&gt;10,10,($AJ$634+$AJ$653+$AJ$665+$AJ$700+$AJ$724+$AJ$738+$AJ$750+$AJ$766+$AJ$778+$AJ$794+AJ805+AJ814))</f>
        <v>10</v>
      </c>
      <c r="AL816" s="2371"/>
      <c r="AM816" s="2326"/>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7"/>
      <c r="AJ817" s="1127"/>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52" t="s">
        <v>2441</v>
      </c>
      <c r="B819" s="2453"/>
      <c r="C819" s="2453"/>
      <c r="D819" s="2453"/>
      <c r="E819" s="2453"/>
      <c r="F819" s="2453"/>
      <c r="G819" s="2453"/>
      <c r="H819" s="2453"/>
      <c r="I819" s="2453"/>
      <c r="J819" s="2453"/>
      <c r="K819" s="2453"/>
      <c r="L819" s="2453"/>
      <c r="M819" s="2453"/>
      <c r="N819" s="2453"/>
      <c r="O819" s="2453"/>
      <c r="P819" s="2453"/>
      <c r="Q819" s="2453"/>
      <c r="R819" s="2453"/>
      <c r="S819" s="2453"/>
      <c r="T819" s="2453"/>
      <c r="U819" s="2453"/>
      <c r="V819" s="2453"/>
      <c r="W819" s="2453"/>
      <c r="X819" s="2453"/>
      <c r="Y819" s="2453"/>
      <c r="Z819" s="2453"/>
      <c r="AA819" s="2453"/>
      <c r="AB819" s="2453"/>
      <c r="AC819" s="2453"/>
      <c r="AD819" s="2453"/>
      <c r="AE819" s="2453"/>
      <c r="AF819" s="2453"/>
      <c r="AG819" s="2453"/>
      <c r="AH819" s="2453"/>
      <c r="AI819" s="2453"/>
      <c r="AJ819" s="2453"/>
      <c r="AK819" s="2453"/>
      <c r="AL819" s="2453"/>
      <c r="AM819" s="2453"/>
    </row>
    <row r="820" spans="1:43">
      <c r="A820" s="2454"/>
      <c r="B820" s="2454"/>
      <c r="C820" s="2454"/>
      <c r="D820" s="2454"/>
      <c r="E820" s="2454"/>
      <c r="F820" s="2454"/>
      <c r="G820" s="2454"/>
      <c r="H820" s="2454"/>
      <c r="I820" s="2454"/>
      <c r="J820" s="2454"/>
      <c r="K820" s="2454"/>
      <c r="L820" s="2454"/>
      <c r="M820" s="2454"/>
      <c r="N820" s="2454"/>
      <c r="O820" s="2454"/>
      <c r="P820" s="2454"/>
      <c r="Q820" s="2454"/>
      <c r="R820" s="2454"/>
      <c r="S820" s="2454"/>
      <c r="T820" s="2454"/>
      <c r="U820" s="2454"/>
      <c r="V820" s="2454"/>
      <c r="W820" s="2454"/>
      <c r="X820" s="2454"/>
      <c r="Y820" s="2454"/>
      <c r="Z820" s="2454"/>
      <c r="AA820" s="2454"/>
      <c r="AB820" s="2454"/>
      <c r="AC820" s="2454"/>
      <c r="AD820" s="2454"/>
      <c r="AE820" s="2454"/>
      <c r="AF820" s="2454"/>
      <c r="AG820" s="2454"/>
      <c r="AH820" s="2454"/>
      <c r="AI820" s="2454"/>
      <c r="AJ820" s="2454"/>
      <c r="AK820" s="2454"/>
      <c r="AL820" s="2454"/>
      <c r="AM820" s="2454"/>
      <c r="AO820" s="641"/>
      <c r="AP820" s="641"/>
      <c r="AQ820" s="641"/>
    </row>
    <row r="821" spans="1:43">
      <c r="A821" s="398"/>
      <c r="B821" s="416"/>
      <c r="C821" s="417"/>
      <c r="D821" s="417"/>
      <c r="E821" s="417"/>
      <c r="F821" s="417"/>
      <c r="G821" s="417"/>
      <c r="H821" s="417"/>
      <c r="I821" s="1126"/>
      <c r="J821" s="1126"/>
      <c r="K821" s="1126"/>
      <c r="L821" s="1126"/>
      <c r="M821" s="1126"/>
      <c r="N821" s="1126"/>
      <c r="O821" s="1126"/>
      <c r="P821" s="1126"/>
      <c r="Q821" s="1126"/>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398"/>
      <c r="B822" s="2398"/>
      <c r="C822" s="2398"/>
      <c r="D822" s="2398"/>
      <c r="E822" s="2398"/>
      <c r="F822" s="2398"/>
      <c r="G822" s="2398"/>
      <c r="H822" s="2398"/>
      <c r="I822" s="2398"/>
      <c r="J822" s="2398"/>
      <c r="K822" s="2398"/>
      <c r="L822" s="2398"/>
      <c r="M822" s="2398"/>
      <c r="N822" s="2398"/>
      <c r="O822" s="2398"/>
      <c r="P822" s="2398"/>
      <c r="Q822" s="2398"/>
      <c r="R822" s="2398"/>
      <c r="S822" s="2398"/>
      <c r="T822" s="2398"/>
      <c r="U822" s="2398"/>
      <c r="V822" s="2398"/>
      <c r="W822" s="2398"/>
      <c r="X822" s="2398"/>
      <c r="Y822" s="2398"/>
      <c r="Z822" s="2398"/>
      <c r="AA822" s="2398"/>
      <c r="AB822" s="2398"/>
      <c r="AC822" s="2398"/>
      <c r="AD822" s="2398"/>
      <c r="AE822" s="2398"/>
      <c r="AF822" s="2398"/>
      <c r="AG822" s="2398"/>
      <c r="AH822" s="2398"/>
      <c r="AI822" s="2398"/>
      <c r="AJ822" s="2398"/>
      <c r="AK822" s="2398"/>
      <c r="AL822" s="2398"/>
      <c r="AM822" s="2398"/>
      <c r="AP822" s="641"/>
      <c r="AQ822" s="641"/>
    </row>
    <row r="823" spans="1:43">
      <c r="A823" s="2398"/>
      <c r="B823" s="2398"/>
      <c r="C823" s="2398"/>
      <c r="D823" s="2398"/>
      <c r="E823" s="2398"/>
      <c r="F823" s="2398"/>
      <c r="G823" s="2398"/>
      <c r="H823" s="2398"/>
      <c r="I823" s="2398"/>
      <c r="J823" s="2398"/>
      <c r="K823" s="2398"/>
      <c r="L823" s="2398"/>
      <c r="M823" s="2398"/>
      <c r="N823" s="2398"/>
      <c r="O823" s="2398"/>
      <c r="P823" s="2398"/>
      <c r="Q823" s="2398"/>
      <c r="R823" s="2398"/>
      <c r="S823" s="2398"/>
      <c r="T823" s="2398"/>
      <c r="U823" s="2398"/>
      <c r="V823" s="2398"/>
      <c r="W823" s="2398"/>
      <c r="X823" s="2398"/>
      <c r="Y823" s="2398"/>
      <c r="Z823" s="2398"/>
      <c r="AA823" s="2398"/>
      <c r="AB823" s="2398"/>
      <c r="AC823" s="2398"/>
      <c r="AD823" s="2398"/>
      <c r="AE823" s="2398"/>
      <c r="AF823" s="2398"/>
      <c r="AG823" s="2398"/>
      <c r="AH823" s="2398"/>
      <c r="AI823" s="2398"/>
      <c r="AJ823" s="2398"/>
      <c r="AK823" s="2398"/>
      <c r="AL823" s="2398"/>
      <c r="AM823" s="2398"/>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55" t="s">
        <v>2442</v>
      </c>
      <c r="U824" s="2456"/>
      <c r="V824" s="2456"/>
      <c r="W824" s="2456"/>
      <c r="X824" s="2456"/>
      <c r="Y824" s="2457"/>
      <c r="Z824" s="2455" t="s">
        <v>2443</v>
      </c>
      <c r="AA824" s="2456"/>
      <c r="AB824" s="2456"/>
      <c r="AC824" s="2456"/>
      <c r="AD824" s="2456"/>
      <c r="AE824" s="2457"/>
      <c r="AF824" s="2455" t="s">
        <v>2444</v>
      </c>
      <c r="AG824" s="2456"/>
      <c r="AH824" s="2456"/>
      <c r="AI824" s="2456"/>
      <c r="AJ824" s="2456"/>
      <c r="AK824" s="2457"/>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58"/>
      <c r="U825" s="2459"/>
      <c r="V825" s="2459"/>
      <c r="W825" s="2459"/>
      <c r="X825" s="2459"/>
      <c r="Y825" s="2460"/>
      <c r="Z825" s="2458"/>
      <c r="AA825" s="2459"/>
      <c r="AB825" s="2459"/>
      <c r="AC825" s="2459"/>
      <c r="AD825" s="2459"/>
      <c r="AE825" s="2460"/>
      <c r="AF825" s="2458"/>
      <c r="AG825" s="2459"/>
      <c r="AH825" s="2459"/>
      <c r="AI825" s="2459"/>
      <c r="AJ825" s="2459"/>
      <c r="AK825" s="2460"/>
      <c r="AL825" s="643"/>
      <c r="AM825" s="436"/>
      <c r="AO825" s="641"/>
      <c r="AP825" s="641"/>
      <c r="AQ825" s="641"/>
    </row>
    <row r="826" spans="1:43">
      <c r="A826" s="644" t="s">
        <v>53</v>
      </c>
      <c r="B826" s="2413" t="str">
        <f>B7</f>
        <v xml:space="preserve">Acquisition/Rehabilitation Project Priorities </v>
      </c>
      <c r="C826" s="2413"/>
      <c r="D826" s="2413"/>
      <c r="E826" s="2413"/>
      <c r="F826" s="2413"/>
      <c r="G826" s="2413"/>
      <c r="H826" s="2413"/>
      <c r="I826" s="2413"/>
      <c r="J826" s="2413"/>
      <c r="K826" s="2413"/>
      <c r="L826" s="2413"/>
      <c r="M826" s="2413"/>
      <c r="N826" s="2413"/>
      <c r="O826" s="2413"/>
      <c r="P826" s="2413"/>
      <c r="Q826" s="2413"/>
      <c r="R826" s="2413"/>
      <c r="S826" s="2414"/>
      <c r="T826" s="2440">
        <f>AK61</f>
        <v>0</v>
      </c>
      <c r="U826" s="2417"/>
      <c r="V826" s="2417"/>
      <c r="W826" s="2417"/>
      <c r="X826" s="2417"/>
      <c r="Y826" s="2418"/>
      <c r="Z826" s="2416">
        <v>20</v>
      </c>
      <c r="AA826" s="2417"/>
      <c r="AB826" s="2417"/>
      <c r="AC826" s="2417"/>
      <c r="AD826" s="2417"/>
      <c r="AE826" s="2418"/>
      <c r="AF826" s="2396">
        <f>IF(T826&gt;Z826,Z826,T826)</f>
        <v>0</v>
      </c>
      <c r="AG826" s="2396"/>
      <c r="AH826" s="2396"/>
      <c r="AI826" s="2396"/>
      <c r="AJ826" s="2396"/>
      <c r="AK826" s="2396"/>
      <c r="AL826" s="643"/>
      <c r="AM826" s="436"/>
      <c r="AO826" s="641"/>
      <c r="AP826" s="641"/>
      <c r="AQ826" s="641"/>
    </row>
    <row r="827" spans="1:43">
      <c r="A827" s="644" t="s">
        <v>2292</v>
      </c>
      <c r="B827" s="2413" t="s">
        <v>621</v>
      </c>
      <c r="C827" s="2413"/>
      <c r="D827" s="2413"/>
      <c r="E827" s="2413"/>
      <c r="F827" s="2413"/>
      <c r="G827" s="2413"/>
      <c r="H827" s="2413"/>
      <c r="I827" s="2413"/>
      <c r="J827" s="2413"/>
      <c r="K827" s="2413"/>
      <c r="L827" s="2413"/>
      <c r="M827" s="2413"/>
      <c r="N827" s="2413"/>
      <c r="O827" s="2413"/>
      <c r="P827" s="2413"/>
      <c r="Q827" s="2413"/>
      <c r="R827" s="2413"/>
      <c r="S827" s="2414"/>
      <c r="T827" s="2440">
        <f>AK83</f>
        <v>10</v>
      </c>
      <c r="U827" s="2417"/>
      <c r="V827" s="2417"/>
      <c r="W827" s="2417"/>
      <c r="X827" s="2417"/>
      <c r="Y827" s="2418"/>
      <c r="Z827" s="2416">
        <v>10</v>
      </c>
      <c r="AA827" s="2417"/>
      <c r="AB827" s="2417"/>
      <c r="AC827" s="2417"/>
      <c r="AD827" s="2417"/>
      <c r="AE827" s="2418"/>
      <c r="AF827" s="2396">
        <f>IF(T827&gt;Z827,Z827,T827)</f>
        <v>10</v>
      </c>
      <c r="AG827" s="2396"/>
      <c r="AH827" s="2396"/>
      <c r="AI827" s="2396"/>
      <c r="AJ827" s="2396"/>
      <c r="AK827" s="2396"/>
      <c r="AL827" s="643"/>
      <c r="AM827" s="436"/>
      <c r="AO827" s="641"/>
      <c r="AP827" s="641"/>
      <c r="AQ827" s="641"/>
    </row>
    <row r="828" spans="1:43">
      <c r="A828" s="644" t="s">
        <v>2301</v>
      </c>
      <c r="B828" s="2413" t="s">
        <v>2042</v>
      </c>
      <c r="C828" s="2413"/>
      <c r="D828" s="2413"/>
      <c r="E828" s="2413"/>
      <c r="F828" s="2413"/>
      <c r="G828" s="2413"/>
      <c r="H828" s="2413"/>
      <c r="I828" s="2413"/>
      <c r="J828" s="2413"/>
      <c r="K828" s="2413"/>
      <c r="L828" s="2413"/>
      <c r="M828" s="2413"/>
      <c r="N828" s="2413"/>
      <c r="O828" s="2413"/>
      <c r="P828" s="2413"/>
      <c r="Q828" s="2413"/>
      <c r="R828" s="2413"/>
      <c r="S828" s="2414"/>
      <c r="T828" s="2440">
        <f ca="1">AK108</f>
        <v>20</v>
      </c>
      <c r="U828" s="2417"/>
      <c r="V828" s="2417"/>
      <c r="W828" s="2417"/>
      <c r="X828" s="2417"/>
      <c r="Y828" s="2418"/>
      <c r="Z828" s="2416">
        <v>20</v>
      </c>
      <c r="AA828" s="2417"/>
      <c r="AB828" s="2417"/>
      <c r="AC828" s="2417"/>
      <c r="AD828" s="2417"/>
      <c r="AE828" s="2418"/>
      <c r="AF828" s="2396">
        <f ca="1">IF(T828&gt;Z828,Z828,T828)</f>
        <v>20</v>
      </c>
      <c r="AG828" s="2396"/>
      <c r="AH828" s="2396"/>
      <c r="AI828" s="2396"/>
      <c r="AJ828" s="2396"/>
      <c r="AK828" s="2396"/>
      <c r="AL828" s="643"/>
      <c r="AM828" s="436"/>
      <c r="AO828" s="641"/>
      <c r="AP828" s="641"/>
      <c r="AQ828" s="641"/>
    </row>
    <row r="829" spans="1:43">
      <c r="A829" s="644" t="s">
        <v>2445</v>
      </c>
      <c r="B829" s="2413" t="s">
        <v>2053</v>
      </c>
      <c r="C829" s="2413"/>
      <c r="D829" s="2413"/>
      <c r="E829" s="2413"/>
      <c r="F829" s="2413"/>
      <c r="G829" s="2413"/>
      <c r="H829" s="2413"/>
      <c r="I829" s="2413"/>
      <c r="J829" s="2413"/>
      <c r="K829" s="2413"/>
      <c r="L829" s="2413"/>
      <c r="M829" s="2413"/>
      <c r="N829" s="2413"/>
      <c r="O829" s="2413"/>
      <c r="P829" s="2413"/>
      <c r="Q829" s="2413"/>
      <c r="R829" s="2413"/>
      <c r="S829" s="2414"/>
      <c r="T829" s="2440">
        <f>AK142</f>
        <v>10</v>
      </c>
      <c r="U829" s="2417"/>
      <c r="V829" s="2417"/>
      <c r="W829" s="2417"/>
      <c r="X829" s="2417"/>
      <c r="Y829" s="2418"/>
      <c r="Z829" s="2416">
        <v>10</v>
      </c>
      <c r="AA829" s="2417"/>
      <c r="AB829" s="2417"/>
      <c r="AC829" s="2417"/>
      <c r="AD829" s="2417"/>
      <c r="AE829" s="2418"/>
      <c r="AF829" s="2396">
        <f>IF(T829&gt;Z829,Z829,T829)</f>
        <v>10</v>
      </c>
      <c r="AG829" s="2396"/>
      <c r="AH829" s="2396"/>
      <c r="AI829" s="2396"/>
      <c r="AJ829" s="2396"/>
      <c r="AK829" s="2396"/>
      <c r="AL829" s="643"/>
      <c r="AM829" s="436"/>
      <c r="AO829" s="641"/>
      <c r="AP829" s="641"/>
      <c r="AQ829" s="641"/>
    </row>
    <row r="830" spans="1:43">
      <c r="A830" s="645" t="s">
        <v>2446</v>
      </c>
      <c r="B830" s="2413" t="s">
        <v>2447</v>
      </c>
      <c r="C830" s="2413"/>
      <c r="D830" s="2413"/>
      <c r="E830" s="2413"/>
      <c r="F830" s="2413"/>
      <c r="G830" s="2413"/>
      <c r="H830" s="2413"/>
      <c r="I830" s="2413"/>
      <c r="J830" s="2413"/>
      <c r="K830" s="2413"/>
      <c r="L830" s="2413"/>
      <c r="M830" s="2413"/>
      <c r="N830" s="2413"/>
      <c r="O830" s="2413"/>
      <c r="P830" s="2413"/>
      <c r="Q830" s="2413"/>
      <c r="R830" s="2413"/>
      <c r="S830" s="2414"/>
      <c r="T830" s="2415">
        <f>SUM(T831:Y832)</f>
        <v>10</v>
      </c>
      <c r="U830" s="2415"/>
      <c r="V830" s="2415"/>
      <c r="W830" s="2415"/>
      <c r="X830" s="2415"/>
      <c r="Y830" s="2415"/>
      <c r="Z830" s="2396">
        <v>10</v>
      </c>
      <c r="AA830" s="2396"/>
      <c r="AB830" s="2396"/>
      <c r="AC830" s="2396"/>
      <c r="AD830" s="2396"/>
      <c r="AE830" s="2396"/>
      <c r="AF830" s="2396">
        <f>IF(T830&gt;Z830,Z830,T830)</f>
        <v>10</v>
      </c>
      <c r="AG830" s="2396"/>
      <c r="AH830" s="2396"/>
      <c r="AI830" s="2396"/>
      <c r="AJ830" s="2396"/>
      <c r="AK830" s="2396"/>
      <c r="AL830" s="643"/>
      <c r="AM830" s="436"/>
    </row>
    <row r="831" spans="1:43">
      <c r="A831" s="385"/>
      <c r="B831" s="441"/>
      <c r="C831" s="2419" t="s">
        <v>2448</v>
      </c>
      <c r="D831" s="2419"/>
      <c r="E831" s="2419"/>
      <c r="F831" s="2419"/>
      <c r="G831" s="2419"/>
      <c r="H831" s="2419"/>
      <c r="I831" s="2419"/>
      <c r="J831" s="2419"/>
      <c r="K831" s="2419"/>
      <c r="L831" s="2419"/>
      <c r="M831" s="2419"/>
      <c r="N831" s="2419"/>
      <c r="O831" s="2419"/>
      <c r="P831" s="2419"/>
      <c r="Q831" s="2419"/>
      <c r="R831" s="2419"/>
      <c r="S831" s="2420"/>
      <c r="T831" s="2421">
        <f>AJ165</f>
        <v>7</v>
      </c>
      <c r="U831" s="2421"/>
      <c r="V831" s="2421"/>
      <c r="W831" s="2421"/>
      <c r="X831" s="2421"/>
      <c r="Y831" s="2421"/>
      <c r="Z831" s="2422">
        <v>7</v>
      </c>
      <c r="AA831" s="2422"/>
      <c r="AB831" s="2422"/>
      <c r="AC831" s="2422"/>
      <c r="AD831" s="2422"/>
      <c r="AE831" s="2422"/>
      <c r="AF831" s="2423"/>
      <c r="AG831" s="2423"/>
      <c r="AH831" s="2423"/>
      <c r="AI831" s="2423"/>
      <c r="AJ831" s="2423"/>
      <c r="AK831" s="2423"/>
      <c r="AL831" s="643"/>
      <c r="AM831" s="436"/>
    </row>
    <row r="832" spans="1:43">
      <c r="A832" s="440"/>
      <c r="B832" s="441"/>
      <c r="C832" s="2419" t="s">
        <v>1871</v>
      </c>
      <c r="D832" s="2419"/>
      <c r="E832" s="2419"/>
      <c r="F832" s="2419"/>
      <c r="G832" s="2419"/>
      <c r="H832" s="2419"/>
      <c r="I832" s="2419"/>
      <c r="J832" s="2419"/>
      <c r="K832" s="2419"/>
      <c r="L832" s="2419"/>
      <c r="M832" s="2419"/>
      <c r="N832" s="2419"/>
      <c r="O832" s="2419"/>
      <c r="P832" s="2419"/>
      <c r="Q832" s="2419"/>
      <c r="R832" s="2419"/>
      <c r="S832" s="2420"/>
      <c r="T832" s="2421">
        <f>AJ179</f>
        <v>3</v>
      </c>
      <c r="U832" s="2421"/>
      <c r="V832" s="2421"/>
      <c r="W832" s="2421"/>
      <c r="X832" s="2421"/>
      <c r="Y832" s="2421"/>
      <c r="Z832" s="2422">
        <v>3</v>
      </c>
      <c r="AA832" s="2422"/>
      <c r="AB832" s="2422"/>
      <c r="AC832" s="2422"/>
      <c r="AD832" s="2422"/>
      <c r="AE832" s="2422"/>
      <c r="AF832" s="2423"/>
      <c r="AG832" s="2423"/>
      <c r="AH832" s="2423"/>
      <c r="AI832" s="2423"/>
      <c r="AJ832" s="2423"/>
      <c r="AK832" s="2423"/>
      <c r="AL832" s="643"/>
      <c r="AM832" s="436"/>
      <c r="AO832" s="398"/>
    </row>
    <row r="833" spans="1:81">
      <c r="A833" s="645" t="s">
        <v>2099</v>
      </c>
      <c r="B833" s="2413" t="s">
        <v>2449</v>
      </c>
      <c r="C833" s="2413"/>
      <c r="D833" s="2413"/>
      <c r="E833" s="2413"/>
      <c r="F833" s="2413"/>
      <c r="G833" s="2413"/>
      <c r="H833" s="2413"/>
      <c r="I833" s="2413"/>
      <c r="J833" s="2413"/>
      <c r="K833" s="2413"/>
      <c r="L833" s="2413"/>
      <c r="M833" s="2413"/>
      <c r="N833" s="2413"/>
      <c r="O833" s="2413"/>
      <c r="P833" s="2413"/>
      <c r="Q833" s="2413"/>
      <c r="R833" s="2413"/>
      <c r="S833" s="2414"/>
      <c r="T833" s="2415">
        <f>AK190</f>
        <v>10</v>
      </c>
      <c r="U833" s="2415"/>
      <c r="V833" s="2415"/>
      <c r="W833" s="2415"/>
      <c r="X833" s="2415"/>
      <c r="Y833" s="2415"/>
      <c r="Z833" s="2396">
        <v>10</v>
      </c>
      <c r="AA833" s="2396"/>
      <c r="AB833" s="2396"/>
      <c r="AC833" s="2396"/>
      <c r="AD833" s="2396"/>
      <c r="AE833" s="2396"/>
      <c r="AF833" s="2396">
        <f>IF(T833&gt;Z833,Z833,T833)</f>
        <v>10</v>
      </c>
      <c r="AG833" s="2396"/>
      <c r="AH833" s="2396"/>
      <c r="AI833" s="2396"/>
      <c r="AJ833" s="2396"/>
      <c r="AK833" s="2396"/>
      <c r="AL833" s="643"/>
      <c r="AM833" s="436"/>
    </row>
    <row r="834" spans="1:81" hidden="1">
      <c r="A834" s="644" t="s">
        <v>2109</v>
      </c>
      <c r="B834" s="2413" t="s">
        <v>2110</v>
      </c>
      <c r="C834" s="2413"/>
      <c r="D834" s="2413"/>
      <c r="E834" s="2413"/>
      <c r="F834" s="2413"/>
      <c r="G834" s="2413"/>
      <c r="H834" s="2413"/>
      <c r="I834" s="2413"/>
      <c r="J834" s="2413"/>
      <c r="K834" s="2413"/>
      <c r="L834" s="2413"/>
      <c r="M834" s="2413"/>
      <c r="N834" s="2413"/>
      <c r="O834" s="2413"/>
      <c r="P834" s="2413"/>
      <c r="Q834" s="2413"/>
      <c r="R834" s="2413"/>
      <c r="S834" s="2414"/>
      <c r="T834" s="2415">
        <f>AK272</f>
        <v>0</v>
      </c>
      <c r="U834" s="2415"/>
      <c r="V834" s="2415"/>
      <c r="W834" s="2415"/>
      <c r="X834" s="2415"/>
      <c r="Y834" s="2415"/>
      <c r="Z834" s="2416">
        <v>8</v>
      </c>
      <c r="AA834" s="2417"/>
      <c r="AB834" s="2417"/>
      <c r="AC834" s="2417"/>
      <c r="AD834" s="2417"/>
      <c r="AE834" s="2418"/>
      <c r="AF834" s="2396"/>
      <c r="AG834" s="2396"/>
      <c r="AH834" s="2396"/>
      <c r="AI834" s="2396"/>
      <c r="AJ834" s="2396"/>
      <c r="AK834" s="2396"/>
      <c r="AL834" s="643"/>
      <c r="AM834" s="436"/>
    </row>
    <row r="835" spans="1:81" s="384" customFormat="1" hidden="1">
      <c r="A835" s="645" t="s">
        <v>1007</v>
      </c>
      <c r="B835" s="2413" t="s">
        <v>2450</v>
      </c>
      <c r="C835" s="2413"/>
      <c r="D835" s="2413"/>
      <c r="E835" s="2413"/>
      <c r="F835" s="2413"/>
      <c r="G835" s="2413"/>
      <c r="H835" s="2413"/>
      <c r="I835" s="2413"/>
      <c r="J835" s="2413"/>
      <c r="K835" s="2413"/>
      <c r="L835" s="2413"/>
      <c r="M835" s="2413"/>
      <c r="N835" s="2413"/>
      <c r="O835" s="2413"/>
      <c r="P835" s="2413"/>
      <c r="Q835" s="2413"/>
      <c r="R835" s="2413"/>
      <c r="S835" s="2414"/>
      <c r="T835" s="2415">
        <f>IF(AK548&gt;5,5,AK548)</f>
        <v>0</v>
      </c>
      <c r="U835" s="2415"/>
      <c r="V835" s="2415"/>
      <c r="W835" s="2415"/>
      <c r="X835" s="2415"/>
      <c r="Y835" s="2415"/>
      <c r="Z835" s="2396">
        <v>5</v>
      </c>
      <c r="AA835" s="2396"/>
      <c r="AB835" s="2396"/>
      <c r="AC835" s="2396"/>
      <c r="AD835" s="2396"/>
      <c r="AE835" s="2396"/>
      <c r="AF835" s="2396"/>
      <c r="AG835" s="2396"/>
      <c r="AH835" s="2396"/>
      <c r="AI835" s="2396"/>
      <c r="AJ835" s="2396"/>
      <c r="AK835" s="2396"/>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13" t="str">
        <f>B275</f>
        <v>Readiness to Proceed</v>
      </c>
      <c r="C836" s="2413"/>
      <c r="D836" s="2413"/>
      <c r="E836" s="2413"/>
      <c r="F836" s="2413"/>
      <c r="G836" s="2413"/>
      <c r="H836" s="2413"/>
      <c r="I836" s="2413"/>
      <c r="J836" s="2413"/>
      <c r="K836" s="2413"/>
      <c r="L836" s="2413"/>
      <c r="M836" s="2413"/>
      <c r="N836" s="2413"/>
      <c r="O836" s="2413"/>
      <c r="P836" s="2413"/>
      <c r="Q836" s="2413"/>
      <c r="R836" s="2413"/>
      <c r="S836" s="2414"/>
      <c r="T836" s="2415">
        <f>AK298</f>
        <v>10</v>
      </c>
      <c r="U836" s="2415"/>
      <c r="V836" s="2415"/>
      <c r="W836" s="2415"/>
      <c r="X836" s="2415"/>
      <c r="Y836" s="2415"/>
      <c r="Z836" s="2396">
        <v>10</v>
      </c>
      <c r="AA836" s="2396"/>
      <c r="AB836" s="2396"/>
      <c r="AC836" s="2396"/>
      <c r="AD836" s="2396"/>
      <c r="AE836" s="2396"/>
      <c r="AF836" s="2424">
        <f>IF(T836&gt;Z836,Z836,T836)</f>
        <v>10</v>
      </c>
      <c r="AG836" s="2425"/>
      <c r="AH836" s="2425"/>
      <c r="AI836" s="2425"/>
      <c r="AJ836" s="2425"/>
      <c r="AK836" s="2426"/>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13" t="str">
        <f>B301</f>
        <v>Access to Opportunity</v>
      </c>
      <c r="C837" s="2413"/>
      <c r="D837" s="2413"/>
      <c r="E837" s="2413"/>
      <c r="F837" s="2413"/>
      <c r="G837" s="2413"/>
      <c r="H837" s="2413"/>
      <c r="I837" s="2413"/>
      <c r="J837" s="2413"/>
      <c r="K837" s="2413"/>
      <c r="L837" s="2413"/>
      <c r="M837" s="2413"/>
      <c r="N837" s="2413"/>
      <c r="O837" s="2413"/>
      <c r="P837" s="2413"/>
      <c r="Q837" s="2413"/>
      <c r="R837" s="2413"/>
      <c r="S837" s="2414"/>
      <c r="T837" s="2415">
        <f>AK351</f>
        <v>9</v>
      </c>
      <c r="U837" s="2415"/>
      <c r="V837" s="2415"/>
      <c r="W837" s="2415"/>
      <c r="X837" s="2415"/>
      <c r="Y837" s="2415"/>
      <c r="Z837" s="2424">
        <v>10</v>
      </c>
      <c r="AA837" s="2425"/>
      <c r="AB837" s="2425"/>
      <c r="AC837" s="2425"/>
      <c r="AD837" s="2425"/>
      <c r="AE837" s="2426"/>
      <c r="AF837" s="2424">
        <f>IF(T837&gt;Z837,Z837,T837)</f>
        <v>9</v>
      </c>
      <c r="AG837" s="2425"/>
      <c r="AH837" s="2425"/>
      <c r="AI837" s="2425"/>
      <c r="AJ837" s="2425"/>
      <c r="AK837" s="2426"/>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35"/>
      <c r="C838" s="646" t="s">
        <v>2451</v>
      </c>
      <c r="D838" s="647"/>
      <c r="E838" s="647"/>
      <c r="F838" s="647"/>
      <c r="G838" s="647"/>
      <c r="H838" s="647"/>
      <c r="I838" s="647"/>
      <c r="J838" s="647"/>
      <c r="K838" s="647"/>
      <c r="L838" s="647"/>
      <c r="M838" s="647"/>
      <c r="N838" s="647"/>
      <c r="O838" s="647"/>
      <c r="P838" s="647"/>
      <c r="Q838" s="647"/>
      <c r="R838" s="1135"/>
      <c r="S838" s="1136"/>
      <c r="T838" s="2421">
        <f>AK351</f>
        <v>9</v>
      </c>
      <c r="U838" s="2421"/>
      <c r="V838" s="2421"/>
      <c r="W838" s="2421"/>
      <c r="X838" s="2421"/>
      <c r="Y838" s="2421"/>
      <c r="Z838" s="2325">
        <v>20</v>
      </c>
      <c r="AA838" s="2371"/>
      <c r="AB838" s="2371"/>
      <c r="AC838" s="2371"/>
      <c r="AD838" s="2371"/>
      <c r="AE838" s="2326"/>
      <c r="AF838" s="2423"/>
      <c r="AG838" s="2423"/>
      <c r="AH838" s="2423"/>
      <c r="AI838" s="2423"/>
      <c r="AJ838" s="2423"/>
      <c r="AK838" s="2423"/>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13" t="s">
        <v>2196</v>
      </c>
      <c r="C839" s="2413"/>
      <c r="D839" s="2413"/>
      <c r="E839" s="2413"/>
      <c r="F839" s="2413"/>
      <c r="G839" s="2413"/>
      <c r="H839" s="2413"/>
      <c r="I839" s="2413"/>
      <c r="J839" s="2413"/>
      <c r="K839" s="2413"/>
      <c r="L839" s="2413"/>
      <c r="M839" s="2413"/>
      <c r="N839" s="2413"/>
      <c r="O839" s="2413"/>
      <c r="P839" s="2413"/>
      <c r="Q839" s="2413"/>
      <c r="R839" s="2413"/>
      <c r="S839" s="2414"/>
      <c r="T839" s="2415">
        <f>AK482</f>
        <v>10</v>
      </c>
      <c r="U839" s="2415"/>
      <c r="V839" s="2415"/>
      <c r="W839" s="2415"/>
      <c r="X839" s="2415"/>
      <c r="Y839" s="2415"/>
      <c r="Z839" s="2424">
        <v>10</v>
      </c>
      <c r="AA839" s="2425"/>
      <c r="AB839" s="2425"/>
      <c r="AC839" s="2425"/>
      <c r="AD839" s="2425"/>
      <c r="AE839" s="2426"/>
      <c r="AF839" s="2396">
        <f>IF(T839&gt;Z839,Z839,T839)</f>
        <v>10</v>
      </c>
      <c r="AG839" s="2396"/>
      <c r="AH839" s="2396"/>
      <c r="AI839" s="2396"/>
      <c r="AJ839" s="2396"/>
      <c r="AK839" s="2396"/>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13" t="s">
        <v>2312</v>
      </c>
      <c r="C840" s="2413"/>
      <c r="D840" s="2413"/>
      <c r="E840" s="2413"/>
      <c r="F840" s="2413"/>
      <c r="G840" s="2413"/>
      <c r="H840" s="2413"/>
      <c r="I840" s="2413"/>
      <c r="J840" s="2413"/>
      <c r="K840" s="2413"/>
      <c r="L840" s="2413"/>
      <c r="M840" s="2413"/>
      <c r="N840" s="2413"/>
      <c r="O840" s="2413"/>
      <c r="P840" s="2413"/>
      <c r="Q840" s="2413"/>
      <c r="R840" s="2413"/>
      <c r="S840" s="2414"/>
      <c r="T840" s="2415">
        <f>AK572</f>
        <v>12</v>
      </c>
      <c r="U840" s="2415"/>
      <c r="V840" s="2415"/>
      <c r="W840" s="2415"/>
      <c r="X840" s="2415"/>
      <c r="Y840" s="2415"/>
      <c r="Z840" s="2424">
        <v>12</v>
      </c>
      <c r="AA840" s="2425"/>
      <c r="AB840" s="2425"/>
      <c r="AC840" s="2425"/>
      <c r="AD840" s="2425"/>
      <c r="AE840" s="2426"/>
      <c r="AF840" s="2396">
        <f>IF(T840&gt;Z840,Z840,T840)</f>
        <v>12</v>
      </c>
      <c r="AG840" s="2396"/>
      <c r="AH840" s="2396"/>
      <c r="AI840" s="2396"/>
      <c r="AJ840" s="2396"/>
      <c r="AK840" s="2396"/>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13" t="s">
        <v>2452</v>
      </c>
      <c r="C841" s="2413"/>
      <c r="D841" s="2413"/>
      <c r="E841" s="2413"/>
      <c r="F841" s="2413"/>
      <c r="G841" s="2413"/>
      <c r="H841" s="2413"/>
      <c r="I841" s="2413"/>
      <c r="J841" s="2413"/>
      <c r="K841" s="2413"/>
      <c r="L841" s="2413"/>
      <c r="M841" s="2413"/>
      <c r="N841" s="2413"/>
      <c r="O841" s="2413"/>
      <c r="P841" s="2413"/>
      <c r="Q841" s="2413"/>
      <c r="R841" s="2413"/>
      <c r="S841" s="2414"/>
      <c r="T841" s="2415">
        <f>AK816</f>
        <v>10</v>
      </c>
      <c r="U841" s="2415"/>
      <c r="V841" s="2415"/>
      <c r="W841" s="2415"/>
      <c r="X841" s="2415"/>
      <c r="Y841" s="2415"/>
      <c r="Z841" s="2424">
        <v>10</v>
      </c>
      <c r="AA841" s="2425"/>
      <c r="AB841" s="2425"/>
      <c r="AC841" s="2425"/>
      <c r="AD841" s="2425"/>
      <c r="AE841" s="2426"/>
      <c r="AF841" s="2396">
        <f>IF(T841&gt;Z841,Z841,T841)</f>
        <v>10</v>
      </c>
      <c r="AG841" s="2396"/>
      <c r="AH841" s="2396"/>
      <c r="AI841" s="2396"/>
      <c r="AJ841" s="2396"/>
      <c r="AK841" s="2396"/>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2453</v>
      </c>
      <c r="B842" s="530" t="s">
        <v>2454</v>
      </c>
      <c r="C842" s="530"/>
      <c r="D842" s="530"/>
      <c r="E842" s="530"/>
      <c r="F842" s="530"/>
      <c r="G842" s="530"/>
      <c r="H842" s="530"/>
      <c r="I842" s="530"/>
      <c r="J842" s="530"/>
      <c r="K842" s="530"/>
      <c r="L842" s="530"/>
      <c r="M842" s="530"/>
      <c r="N842" s="530"/>
      <c r="O842" s="530"/>
      <c r="P842" s="530"/>
      <c r="Q842" s="530"/>
      <c r="R842" s="530"/>
      <c r="S842" s="979"/>
      <c r="T842" s="2427"/>
      <c r="U842" s="2427"/>
      <c r="V842" s="2427"/>
      <c r="W842" s="2427"/>
      <c r="X842" s="2427"/>
      <c r="Y842" s="2427"/>
      <c r="Z842" s="2422" t="s">
        <v>2455</v>
      </c>
      <c r="AA842" s="2422"/>
      <c r="AB842" s="2422"/>
      <c r="AC842" s="2422"/>
      <c r="AD842" s="2422"/>
      <c r="AE842" s="2422"/>
      <c r="AF842" s="2424">
        <f>ABS(T842)</f>
        <v>0</v>
      </c>
      <c r="AG842" s="2425"/>
      <c r="AH842" s="2425"/>
      <c r="AI842" s="2425"/>
      <c r="AJ842" s="2425"/>
      <c r="AK842" s="2426"/>
      <c r="AL842" s="113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428" t="s">
        <v>2456</v>
      </c>
      <c r="B843" s="2429"/>
      <c r="C843" s="2429"/>
      <c r="D843" s="2429"/>
      <c r="E843" s="2429"/>
      <c r="F843" s="2429"/>
      <c r="G843" s="2429"/>
      <c r="H843" s="2429"/>
      <c r="I843" s="2429"/>
      <c r="J843" s="2429"/>
      <c r="K843" s="2429"/>
      <c r="L843" s="2429"/>
      <c r="M843" s="2429"/>
      <c r="N843" s="2429"/>
      <c r="O843" s="2429"/>
      <c r="P843" s="2429"/>
      <c r="Q843" s="2429"/>
      <c r="R843" s="2429"/>
      <c r="S843" s="2429"/>
      <c r="T843" s="2429"/>
      <c r="U843" s="2429"/>
      <c r="V843" s="2429"/>
      <c r="W843" s="2429"/>
      <c r="X843" s="2429"/>
      <c r="Y843" s="2429"/>
      <c r="Z843" s="2429"/>
      <c r="AA843" s="2429"/>
      <c r="AB843" s="2429"/>
      <c r="AC843" s="2429"/>
      <c r="AD843" s="2429"/>
      <c r="AE843" s="2430"/>
      <c r="AF843" s="2434">
        <f ca="1">SUM(AF826:AK841)-AF842</f>
        <v>111</v>
      </c>
      <c r="AG843" s="2435"/>
      <c r="AH843" s="2435"/>
      <c r="AI843" s="2435"/>
      <c r="AJ843" s="2435"/>
      <c r="AK843" s="2436"/>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431"/>
      <c r="B844" s="2432"/>
      <c r="C844" s="2432"/>
      <c r="D844" s="2432"/>
      <c r="E844" s="2432"/>
      <c r="F844" s="2432"/>
      <c r="G844" s="2432"/>
      <c r="H844" s="2432"/>
      <c r="I844" s="2432"/>
      <c r="J844" s="2432"/>
      <c r="K844" s="2432"/>
      <c r="L844" s="2432"/>
      <c r="M844" s="2432"/>
      <c r="N844" s="2432"/>
      <c r="O844" s="2432"/>
      <c r="P844" s="2432"/>
      <c r="Q844" s="2432"/>
      <c r="R844" s="2432"/>
      <c r="S844" s="2432"/>
      <c r="T844" s="2432"/>
      <c r="U844" s="2432"/>
      <c r="V844" s="2432"/>
      <c r="W844" s="2432"/>
      <c r="X844" s="2432"/>
      <c r="Y844" s="2432"/>
      <c r="Z844" s="2432"/>
      <c r="AA844" s="2432"/>
      <c r="AB844" s="2432"/>
      <c r="AC844" s="2432"/>
      <c r="AD844" s="2432"/>
      <c r="AE844" s="2433"/>
      <c r="AF844" s="2437"/>
      <c r="AG844" s="2438"/>
      <c r="AH844" s="2438"/>
      <c r="AI844" s="2438"/>
      <c r="AJ844" s="2438"/>
      <c r="AK844" s="2439"/>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Jordan M. Johnson</cp:lastModifiedBy>
  <cp:revision/>
  <cp:lastPrinted>2026-05-16T03:12:20Z</cp:lastPrinted>
  <dcterms:created xsi:type="dcterms:W3CDTF">2007-12-27T18:26:28Z</dcterms:created>
  <dcterms:modified xsi:type="dcterms:W3CDTF">2026-05-18T15:57:40Z</dcterms:modified>
  <cp:category/>
  <cp:contentStatus/>
</cp:coreProperties>
</file>