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showInkAnnotation="0" codeName="ThisWorkbook" defaultThemeVersion="124226"/>
  <mc:AlternateContent xmlns:mc="http://schemas.openxmlformats.org/markup-compatibility/2006">
    <mc:Choice Requires="x15">
      <x15ac:absPath xmlns:x15ac="http://schemas.microsoft.com/office/spreadsheetml/2010/11/ac" url="G:\Shared drives\PRIME D+B\ACTIVE PROJECTS\125 Bethany Scotts Valley\TCAC\Application\Draft\"/>
    </mc:Choice>
  </mc:AlternateContent>
  <xr:revisionPtr revIDLastSave="0" documentId="13_ncr:1_{13E709EB-DE46-4A27-AEE0-48F599EF4613}"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40440" yWindow="870" windowWidth="32870" windowHeight="1798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4" l="1"/>
  <c r="S10" i="4"/>
  <c r="C30" i="4"/>
  <c r="AG458" i="3"/>
  <c r="S46" i="4"/>
  <c r="S45" i="4"/>
  <c r="Q635" i="3" l="1"/>
  <c r="E30" i="4" l="1"/>
  <c r="E5" i="4"/>
  <c r="C51" i="4"/>
  <c r="E51" i="4" s="1"/>
  <c r="C49" i="4"/>
  <c r="C69" i="4"/>
  <c r="E69" i="4" s="1"/>
  <c r="E99" i="4"/>
  <c r="C33" i="4"/>
  <c r="E33" i="4" s="1"/>
  <c r="C32" i="4"/>
  <c r="E32" i="4" s="1"/>
  <c r="E95" i="4"/>
  <c r="E94" i="4"/>
  <c r="E93" i="4"/>
  <c r="E92" i="4"/>
  <c r="E90" i="4"/>
  <c r="E89" i="4"/>
  <c r="E88" i="4"/>
  <c r="E87" i="4"/>
  <c r="E86" i="4"/>
  <c r="E85" i="4"/>
  <c r="E84" i="4"/>
  <c r="E83" i="4"/>
  <c r="E79" i="4"/>
  <c r="E76" i="4"/>
  <c r="E75" i="4"/>
  <c r="E74" i="4"/>
  <c r="E73" i="4"/>
  <c r="E72" i="4"/>
  <c r="E68" i="4"/>
  <c r="E67" i="4"/>
  <c r="E66" i="4"/>
  <c r="E65" i="4"/>
  <c r="E61" i="4"/>
  <c r="E60" i="4"/>
  <c r="E59" i="4"/>
  <c r="E58" i="4"/>
  <c r="E57" i="4"/>
  <c r="E56" i="4"/>
  <c r="E53" i="4"/>
  <c r="E52" i="4"/>
  <c r="E50" i="4"/>
  <c r="E48" i="4"/>
  <c r="E47" i="4"/>
  <c r="E46" i="4"/>
  <c r="E45" i="4"/>
  <c r="E43" i="4"/>
  <c r="E40" i="4"/>
  <c r="E37" i="4"/>
  <c r="E36" i="4"/>
  <c r="E35" i="4"/>
  <c r="E34" i="4"/>
  <c r="E31" i="4"/>
  <c r="E29" i="4"/>
  <c r="E4" i="4"/>
  <c r="C80" i="4"/>
  <c r="E80" i="4" s="1"/>
  <c r="C91" i="4"/>
  <c r="E91" i="4" s="1"/>
  <c r="E49" i="4" l="1"/>
  <c r="S49" i="4"/>
  <c r="AA928" i="3"/>
  <c r="AA958" i="3"/>
  <c r="AA927" i="3"/>
  <c r="T635" i="3"/>
  <c r="AF635" i="3" s="1"/>
  <c r="AC898" i="3"/>
  <c r="AM567" i="3" l="1"/>
  <c r="AG452" i="3" l="1"/>
  <c r="S80" i="4"/>
  <c r="S79" i="4"/>
  <c r="S43" i="4"/>
  <c r="S99" i="4"/>
  <c r="S95" i="4"/>
  <c r="S94" i="4"/>
  <c r="S93" i="4"/>
  <c r="S92" i="4"/>
  <c r="S91" i="4"/>
  <c r="S90" i="4"/>
  <c r="S89" i="4"/>
  <c r="S87" i="4"/>
  <c r="S86" i="4"/>
  <c r="S85" i="4"/>
  <c r="S84" i="4"/>
  <c r="S53" i="4"/>
  <c r="S52" i="4"/>
  <c r="S51" i="4"/>
  <c r="S50" i="4"/>
  <c r="S48" i="4"/>
  <c r="S47" i="4"/>
  <c r="S41" i="4"/>
  <c r="S40" i="4"/>
  <c r="S37" i="4"/>
  <c r="S36" i="4"/>
  <c r="S35" i="4"/>
  <c r="S34" i="4"/>
  <c r="S31" i="4"/>
  <c r="S30" i="4"/>
  <c r="S29" i="4"/>
  <c r="S33" i="4"/>
  <c r="S32"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E86" i="13"/>
  <c r="F86" i="13" s="1"/>
  <c r="E85" i="13"/>
  <c r="F85" i="13" s="1"/>
  <c r="E84" i="13"/>
  <c r="F84" i="13" s="1"/>
  <c r="E79" i="13"/>
  <c r="F79" i="13" s="1"/>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9" i="13"/>
  <c r="B10" i="13"/>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S65" i="4" s="1"/>
  <c r="E65" i="13" s="1"/>
  <c r="F65" i="13"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42" i="13" l="1"/>
  <c r="C10" i="13"/>
  <c r="C11" i="13" s="1"/>
  <c r="F10" i="13"/>
  <c r="C8" i="13"/>
  <c r="F81" i="13"/>
  <c r="F54" i="13"/>
  <c r="F70" i="13"/>
  <c r="C54" i="13"/>
  <c r="C77" i="13"/>
  <c r="C70" i="13"/>
  <c r="C38" i="13"/>
  <c r="F38" i="13"/>
  <c r="C81" i="13"/>
  <c r="C96" i="13"/>
  <c r="F96" i="13"/>
  <c r="C62" i="13"/>
  <c r="S70" i="4"/>
  <c r="E70"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12" i="13" l="1"/>
  <c r="D105" i="11"/>
  <c r="F63" i="13"/>
  <c r="F97" i="13" s="1"/>
  <c r="F105" i="13" s="1"/>
  <c r="F107" i="13" s="1"/>
  <c r="C63" i="13"/>
  <c r="C97" i="13" s="1"/>
  <c r="C105" i="13" s="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7" i="21" l="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03" i="3" l="1"/>
  <c r="AJ1038" i="3"/>
  <c r="AJ1045" i="3"/>
  <c r="I15" i="21" s="1"/>
  <c r="AC46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<sst xmlns="http://schemas.openxmlformats.org/spreadsheetml/2006/main" count="5062" uniqueCount="2767">
  <si>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</si>
  <si>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</si>
  <si>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</si>
  <si>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</si>
  <si>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</si>
  <si>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</si>
  <si>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</si>
  <si>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</si>
  <si>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</si>
  <si>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</si>
  <si>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</si>
  <si>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</si>
  <si>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</si>
  <si>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</si>
  <si>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</si>
  <si>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</si>
  <si>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</si>
  <si>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</si>
  <si>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</si>
  <si>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</si>
  <si>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</si>
  <si>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</si>
  <si>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</si>
  <si>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</si>
  <si>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</si>
  <si>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</si>
  <si>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</si>
  <si>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</si>
  <si>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</si>
  <si>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</si>
  <si>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</si>
  <si>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</si>
  <si>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</si>
  <si>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</si>
  <si>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</si>
  <si>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</si>
  <si>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</si>
  <si>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</si>
  <si>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</si>
  <si>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</si>
  <si>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</si>
  <si>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</si>
  <si>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</si>
  <si>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</si>
  <si>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</si>
  <si>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</si>
  <si>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</si>
  <si>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</si>
  <si>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</si>
  <si>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</si>
  <si>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</si>
  <si>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</si>
  <si>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</si>
  <si>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</si>
  <si>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</si>
  <si>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</si>
  <si>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</si>
  <si>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</si>
  <si>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</si>
  <si>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</si>
  <si>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</si>
  <si>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</si>
  <si>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</si>
  <si>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</si>
  <si>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</si>
  <si>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</si>
  <si>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</si>
  <si>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</si>
  <si>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</si>
  <si>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</si>
  <si>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</si>
  <si>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</si>
  <si>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</si>
  <si>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</si>
  <si>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</si>
  <si>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</si>
  <si>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</si>
  <si>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</si>
  <si>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</si>
  <si>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</si>
  <si>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</si>
  <si>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</si>
  <si>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</si>
  <si>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</si>
  <si>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</si>
  <si>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</si>
  <si>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</si>
  <si>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</si>
  <si>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</si>
  <si>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</si>
  <si>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</si>
  <si>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</si>
  <si>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</si>
  <si>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</si>
  <si>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</si>
  <si>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</si>
  <si>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</si>
  <si>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</si>
  <si>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</si>
  <si>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</si>
  <si>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</si>
  <si>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</si>
  <si>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</si>
  <si>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</si>
  <si>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</si>
  <si>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</si>
  <si>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</si>
  <si>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</si>
  <si>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</si>
  <si>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</si>
  <si>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</si>
  <si>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</si>
  <si>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</si>
  <si>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</si>
  <si>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</si>
  <si>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</si>
  <si>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</si>
  <si>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</si>
  <si>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</si>
  <si>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</si>
  <si>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</si>
  <si>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</si>
  <si>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</si>
  <si>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</si>
  <si>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</si>
  <si>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</si>
  <si>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</si>
  <si>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</si>
  <si>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</si>
  <si>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</si>
  <si>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</si>
  <si>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</si>
  <si>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</si>
  <si>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</si>
  <si>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</si>
  <si>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</si>
  <si>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</si>
  <si>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</si>
  <si>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</si>
  <si>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</si>
  <si>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</si>
  <si>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</si>
  <si>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</si>
  <si>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</si>
  <si>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</si>
  <si>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</si>
  <si>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</si>
  <si>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</si>
  <si>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</si>
  <si>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</si>
  <si>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</si>
  <si>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</si>
  <si>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</si>
  <si>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</si>
  <si>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</si>
  <si>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</si>
  <si>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</si>
  <si>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</si>
  <si>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</si>
  <si>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</si>
  <si>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</si>
  <si>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</si>
  <si>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</si>
  <si>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</si>
  <si>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</si>
  <si>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</si>
  <si>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</si>
  <si>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</si>
  <si>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</si>
  <si>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</si>
  <si>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</si>
  <si>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</si>
  <si>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</si>
  <si>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</si>
  <si>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</si>
  <si>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</si>
  <si>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</si>
  <si>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</si>
  <si>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</si>
  <si>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</si>
  <si>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</si>
  <si>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</si>
  <si>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</si>
  <si>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</si>
  <si>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</si>
  <si>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</si>
  <si>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</si>
  <si>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</si>
  <si>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</si>
  <si>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</si>
  <si>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</si>
  <si>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</si>
  <si>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</si>
  <si>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</si>
  <si>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</si>
  <si>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</si>
  <si>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</si>
  <si>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</si>
  <si>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</si>
  <si>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</si>
  <si>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</si>
  <si>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</si>
  <si>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</si>
  <si>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</si>
  <si>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</si>
  <si>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</si>
  <si>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</si>
  <si>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</si>
  <si>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</si>
  <si>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</si>
  <si>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</si>
  <si>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</si>
  <si>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</si>
  <si>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</si>
  <si>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</si>
  <si>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</si>
  <si>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</si>
  <si>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</si>
  <si>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</si>
  <si>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</si>
  <si>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</si>
  <si>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</si>
  <si>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</si>
  <si>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</si>
  <si>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</si>
  <si>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</si>
  <si>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</si>
  <si>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</si>
  <si>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</si>
  <si>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</si>
  <si>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</si>
  <si>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</si>
  <si>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</si>
  <si>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</si>
  <si>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</si>
  <si>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</si>
  <si>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</si>
  <si>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</si>
  <si>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</si>
  <si>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</si>
  <si>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</si>
  <si>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</si>
  <si>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</si>
  <si>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</si>
  <si>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</si>
  <si>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</si>
  <si>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</si>
  <si>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</si>
  <si>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</si>
  <si>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</si>
  <si>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</si>
  <si>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</si>
  <si>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</si>
  <si>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</si>
  <si>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</si>
  <si>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</si>
  <si>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</si>
  <si>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</si>
  <si>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</si>
  <si>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</si>
  <si>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</si>
  <si>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</si>
  <si>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</si>
  <si>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</si>
  <si>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</si>
  <si>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</si>
  <si>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</si>
  <si>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</si>
  <si>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</si>
  <si>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</si>
  <si>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</si>
  <si>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</si>
  <si>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</si>
  <si>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</si>
  <si>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</si>
  <si>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</si>
  <si>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</si>
  <si>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</si>
  <si>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</si>
  <si>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</si>
  <si>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</si>
  <si>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</si>
  <si>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</si>
  <si>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</si>
  <si>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</si>
  <si>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</si>
  <si>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</si>
  <si>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</si>
  <si>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</si>
  <si>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</si>
  <si>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</si>
  <si>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</si>
  <si>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</si>
  <si>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</si>
  <si>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</si>
  <si>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</si>
  <si>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</si>
  <si>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</si>
  <si>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</si>
  <si>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</si>
  <si>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</si>
  <si>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</si>
  <si>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</si>
  <si>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</si>
  <si>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</si>
  <si>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</si>
  <si>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</si>
  <si>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</si>
  <si>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</si>
  <si>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</si>
  <si>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</si>
  <si>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</si>
  <si>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</si>
  <si>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</si>
  <si>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</si>
  <si>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</si>
  <si>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</si>
  <si>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</si>
  <si>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</si>
  <si>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</si>
  <si>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</si>
  <si>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</si>
  <si>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</si>
  <si>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</si>
  <si>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</si>
  <si>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</si>
  <si>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</si>
  <si>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</si>
  <si>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</si>
  <si>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</si>
  <si>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</si>
  <si>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</si>
  <si>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</si>
  <si>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</si>
  <si>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</si>
  <si>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</si>
  <si>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</si>
  <si>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</si>
  <si>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</si>
  <si>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</si>
  <si>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</si>
  <si>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</si>
  <si>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</si>
  <si>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</si>
  <si>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</si>
  <si>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</si>
  <si>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</si>
  <si>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</si>
  <si>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</si>
  <si>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</si>
  <si>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</si>
  <si>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</si>
  <si>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</si>
  <si>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</si>
  <si>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</si>
  <si>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</si>
  <si>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</si>
  <si>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</si>
  <si>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</si>
  <si>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</si>
  <si>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</si>
  <si>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</si>
  <si>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</si>
  <si>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</si>
  <si>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</si>
  <si>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</si>
  <si>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</si>
  <si>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</si>
  <si>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</si>
  <si>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</si>
  <si>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</si>
  <si>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</si>
  <si>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</si>
  <si>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</si>
  <si>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</si>
  <si>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</si>
  <si>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</si>
  <si>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</si>
  <si>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</si>
  <si>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</si>
  <si>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</si>
  <si>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</si>
  <si>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</si>
  <si>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</si>
  <si>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</si>
  <si>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</si>
  <si>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</si>
  <si>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</si>
  <si>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</si>
  <si>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</si>
  <si>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</si>
  <si>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</si>
  <si>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</si>
  <si>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</si>
  <si>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</si>
  <si>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</si>
  <si>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</si>
  <si>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</si>
  <si>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</si>
  <si>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</si>
  <si>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</si>
  <si>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</si>
  <si>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</si>
  <si>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</si>
  <si>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</si>
  <si>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</si>
  <si>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</si>
  <si>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</si>
  <si>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</si>
  <si>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</si>
  <si>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</si>
  <si>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</si>
  <si>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</si>
  <si>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</si>
  <si>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</si>
  <si>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</si>
  <si>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</si>
  <si>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</si>
  <si>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</si>
  <si>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</si>
  <si>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</si>
  <si>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</si>
  <si>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</si>
  <si>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</si>
  <si>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</si>
  <si>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</si>
  <si>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</si>
  <si>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</si>
  <si>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</si>
  <si>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</si>
  <si>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</si>
  <si>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</si>
  <si>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</si>
  <si>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</si>
  <si>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</si>
  <si>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</si>
  <si>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</si>
  <si>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</si>
  <si>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</si>
  <si>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</si>
  <si>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</si>
  <si>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</si>
  <si>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</si>
  <si>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</si>
  <si>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</si>
  <si>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</si>
  <si>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</si>
  <si>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</si>
  <si>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</si>
  <si>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</si>
  <si>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</si>
  <si>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</si>
  <si>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</si>
  <si>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</si>
  <si>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</si>
  <si>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</si>
  <si>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</si>
  <si>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</si>
  <si>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</si>
  <si>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</si>
  <si>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</si>
  <si>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</si>
  <si>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</si>
  <si>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</si>
  <si>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</si>
  <si>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</si>
  <si>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</si>
  <si>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</si>
  <si>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</si>
  <si>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</si>
  <si>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</si>
  <si>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</si>
  <si>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</si>
  <si>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</si>
  <si>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</si>
  <si>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</si>
  <si>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</si>
  <si>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</si>
  <si>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</si>
  <si>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</si>
  <si>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</si>
  <si>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</si>
  <si>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</si>
  <si>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</si>
  <si>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</si>
  <si>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</si>
  <si>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</si>
  <si>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</si>
  <si>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</si>
  <si>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</si>
  <si>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</si>
  <si>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</si>
  <si>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</si>
  <si>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</si>
  <si>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</si>
  <si>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</si>
  <si>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</si>
  <si>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</si>
  <si>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</si>
  <si>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</si>
  <si>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</si>
  <si>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</si>
  <si>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</si>
  <si>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</si>
  <si>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</si>
  <si>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</si>
  <si>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</si>
  <si>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</si>
  <si>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</si>
  <si>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</si>
  <si>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</si>
  <si>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</si>
  <si>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</si>
  <si>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</si>
  <si>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</si>
  <si>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</si>
  <si>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</si>
  <si>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</si>
  <si>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</si>
  <si>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</si>
  <si>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</si>
  <si>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</si>
  <si>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</si>
  <si>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</si>
  <si>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</si>
  <si>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</si>
  <si>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</si>
  <si>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</si>
  <si>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</si>
  <si>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</si>
  <si>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</si>
  <si>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</si>
  <si>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</si>
  <si>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</si>
  <si>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</si>
  <si>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</si>
  <si>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</si>
  <si>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</si>
  <si>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</si>
  <si>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</si>
  <si>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</si>
  <si>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</si>
  <si>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</si>
  <si>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</si>
  <si>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</si>
  <si>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</si>
  <si>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</si>
  <si>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</si>
  <si>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</si>
  <si>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</si>
  <si>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</si>
  <si>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</si>
  <si>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</si>
  <si>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</si>
  <si>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</si>
  <si>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</si>
  <si>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</si>
  <si>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</si>
  <si>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</si>
  <si>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</si>
  <si>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</si>
  <si>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</si>
  <si>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</si>
  <si>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</si>
  <si>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</si>
  <si>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</si>
  <si>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</si>
  <si>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</si>
  <si>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</si>
  <si>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</si>
  <si>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</si>
  <si>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</si>
  <si>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</si>
  <si>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</si>
  <si>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</si>
  <si>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</si>
  <si>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</si>
  <si>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</si>
  <si>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</si>
  <si>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</si>
  <si>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</si>
  <si>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</si>
  <si>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</si>
  <si>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</si>
  <si>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</si>
  <si>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</si>
  <si>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</si>
  <si>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</si>
  <si>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</si>
  <si>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</si>
  <si>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</si>
  <si>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</si>
  <si>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</si>
  <si>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</si>
  <si>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</si>
  <si>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</si>
  <si>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</si>
  <si>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</si>
  <si>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</si>
  <si>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</si>
  <si>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</si>
  <si>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</si>
  <si>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</si>
  <si>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</si>
  <si>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</si>
  <si>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</si>
  <si>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</si>
  <si>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</si>
  <si>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</si>
  <si>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</si>
  <si>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</si>
  <si>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</si>
  <si>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</si>
  <si>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</si>
  <si>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</si>
  <si>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</si>
  <si>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</si>
  <si>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</si>
  <si>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</si>
  <si>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</si>
  <si>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</si>
  <si>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</si>
  <si>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</si>
  <si>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</si>
  <si>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</si>
  <si>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</si>
  <si>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</si>
  <si>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</si>
  <si>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</si>
  <si>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</si>
  <si>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</si>
  <si>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</si>
  <si>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</si>
  <si>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</si>
  <si>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</si>
  <si>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</si>
  <si>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</si>
  <si>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</si>
  <si>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</si>
  <si>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</si>
  <si>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</si>
  <si>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</si>
  <si>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</si>
  <si>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</si>
  <si>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</si>
  <si>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</si>
  <si>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</si>
  <si>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</si>
  <si>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</si>
  <si>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</si>
  <si>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</si>
  <si>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</si>
  <si>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</si>
  <si>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</si>
  <si>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</si>
  <si>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</si>
  <si>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</si>
  <si>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</si>
  <si>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</si>
  <si>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</si>
  <si>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</si>
  <si>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</si>
  <si>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</si>
  <si>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</si>
  <si>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</si>
  <si>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</si>
  <si>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</si>
  <si>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</si>
  <si>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</si>
  <si>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</si>
  <si>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</si>
  <si>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</si>
  <si>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</si>
  <si>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</si>
  <si>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</si>
  <si>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</si>
  <si>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</si>
  <si>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</si>
  <si>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</si>
  <si>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</si>
  <si>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</si>
  <si>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</si>
  <si>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</si>
  <si>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</si>
  <si>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</si>
  <si>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</si>
  <si>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</si>
  <si>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</si>
  <si>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</si>
  <si>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</si>
  <si>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</si>
  <si>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</si>
  <si>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</si>
  <si>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</si>
  <si>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</si>
  <si>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</si>
  <si>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</si>
  <si>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</si>
  <si>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</si>
  <si>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</si>
  <si>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</si>
  <si>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</si>
  <si>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</si>
  <si>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</si>
  <si>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</si>
  <si>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</si>
  <si>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</si>
  <si>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</si>
  <si>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</si>
  <si>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</si>
  <si>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</si>
  <si>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</si>
  <si>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</si>
  <si>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</si>
  <si>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</si>
  <si>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</si>
  <si>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</si>
  <si>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</si>
  <si>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</si>
  <si>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</si>
  <si>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</si>
  <si>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</si>
  <si>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</si>
  <si>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</si>
  <si>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</si>
  <si>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</si>
  <si>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</si>
  <si>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</si>
  <si>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</si>
  <si>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</si>
  <si>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</si>
  <si>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</si>
  <si>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</si>
  <si>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</si>
  <si>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</si>
  <si>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</si>
  <si>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</si>
  <si>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</si>
  <si>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</si>
  <si>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</si>
  <si>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</si>
  <si>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</si>
  <si>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</si>
  <si>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</si>
  <si>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</si>
  <si>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</si>
  <si>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</si>
  <si>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</si>
  <si>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</si>
  <si>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</si>
  <si>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</si>
  <si>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</si>
  <si>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</si>
  <si>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</si>
  <si>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</si>
  <si>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</si>
  <si>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</si>
  <si>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</si>
  <si>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</si>
  <si>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</si>
  <si>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</si>
  <si>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</si>
  <si>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</si>
  <si>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</si>
  <si>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</si>
  <si>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</si>
  <si>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</si>
  <si>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</si>
  <si>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</si>
  <si>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</si>
  <si>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</si>
  <si>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</si>
  <si>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</si>
  <si>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</si>
  <si>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</si>
  <si>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</si>
  <si>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</si>
  <si>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</si>
  <si>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</si>
  <si>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</si>
  <si>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</si>
  <si>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</si>
  <si>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</si>
  <si>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</si>
  <si>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</si>
  <si>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</si>
  <si>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</si>
  <si>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</si>
  <si>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</si>
  <si>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</si>
  <si>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</si>
  <si>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</si>
  <si>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</si>
  <si>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</si>
  <si>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</si>
  <si>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</si>
  <si>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</si>
  <si>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</si>
  <si>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</si>
  <si>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</si>
  <si>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</si>
  <si>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</si>
  <si>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</si>
  <si>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</si>
  <si>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</si>
  <si>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</si>
  <si>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</si>
  <si>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</si>
  <si>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</si>
  <si>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</si>
  <si>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</si>
  <si>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</si>
  <si>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</si>
  <si>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</si>
  <si>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</si>
  <si>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</si>
  <si>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</si>
  <si>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</si>
  <si>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</si>
  <si>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</si>
  <si>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</si>
  <si>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</si>
  <si>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</si>
  <si>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</si>
  <si>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</si>
  <si>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</si>
  <si>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</si>
  <si>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</si>
  <si>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</si>
  <si>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</si>
  <si>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</si>
  <si>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</si>
  <si>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</si>
  <si>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</si>
  <si>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</si>
  <si>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</si>
  <si>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</si>
  <si>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</si>
  <si>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</si>
  <si>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</si>
  <si>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</si>
  <si>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</si>
  <si>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</si>
  <si>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</si>
  <si>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</si>
  <si>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</si>
  <si>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</si>
  <si>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</si>
  <si>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</si>
  <si>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</si>
  <si>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</si>
  <si>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</si>
  <si>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</si>
  <si>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</si>
  <si>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</si>
  <si>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</si>
  <si>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</si>
  <si>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</si>
  <si>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</si>
  <si>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</si>
  <si>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</si>
  <si>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</si>
  <si>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</si>
  <si>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</si>
  <si>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</si>
  <si>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</si>
  <si>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</si>
  <si>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</si>
  <si>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</si>
  <si>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</si>
  <si>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</si>
  <si>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</si>
  <si>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</si>
  <si>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</si>
  <si>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</si>
  <si>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</si>
  <si>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</si>
  <si>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</si>
  <si>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</si>
  <si>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</si>
  <si>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</si>
  <si>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</si>
  <si>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</si>
  <si>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</si>
  <si>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</si>
  <si>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</si>
  <si>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</si>
  <si>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</si>
  <si>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</si>
  <si>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</si>
  <si>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</si>
  <si>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</si>
  <si>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</si>
  <si>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</si>
  <si>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</si>
  <si>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</si>
  <si>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</si>
  <si>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</si>
  <si>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</si>
  <si>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</si>
  <si>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</si>
  <si>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</si>
  <si>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</si>
  <si>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</si>
  <si>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</si>
  <si>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</si>
  <si>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</si>
  <si>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</si>
  <si>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</si>
  <si>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</si>
  <si>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</si>
  <si>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</si>
  <si>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</si>
  <si>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</si>
  <si>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</si>
  <si>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</si>
  <si>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</si>
  <si>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</si>
  <si>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</si>
  <si>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</si>
  <si>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</si>
  <si>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</si>
  <si>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</si>
  <si>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</si>
  <si>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</si>
  <si>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</si>
  <si>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</si>
  <si>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</si>
  <si>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</si>
  <si>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</si>
  <si>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</si>
  <si>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</si>
  <si>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</si>
  <si>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</si>
  <si>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</si>
  <si>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</si>
  <si>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</si>
  <si>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</si>
  <si>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</si>
  <si>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</si>
  <si>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</si>
  <si>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</si>
  <si>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</si>
  <si>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</si>
  <si>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</si>
  <si>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</si>
  <si>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</si>
  <si>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</si>
  <si>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</si>
  <si>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</si>
  <si>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</si>
  <si>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</si>
  <si>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</si>
  <si>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</si>
  <si>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</si>
  <si>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</si>
  <si>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</si>
  <si>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</si>
  <si>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</si>
  <si>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</si>
  <si>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</si>
  <si>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</si>
  <si>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</si>
  <si>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</si>
  <si>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</si>
  <si>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</si>
  <si>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</si>
  <si>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</si>
  <si>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</si>
  <si>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</si>
  <si>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</si>
  <si>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</si>
  <si>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</si>
  <si>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</si>
  <si>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</si>
  <si>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</si>
  <si>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</si>
  <si>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</si>
  <si>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</si>
  <si>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</si>
  <si>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</si>
  <si>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</si>
  <si>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</si>
  <si>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</si>
  <si>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</si>
  <si>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</si>
  <si>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</si>
  <si>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</si>
  <si>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</si>
  <si>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</si>
  <si>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</si>
  <si>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</si>
  <si>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</si>
  <si>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</si>
  <si>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</si>
  <si>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</si>
  <si>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</si>
  <si>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</si>
  <si>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</si>
  <si>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</si>
  <si>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</si>
  <si>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</si>
  <si>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</si>
  <si>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</si>
  <si>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</si>
  <si>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</si>
  <si>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</si>
  <si>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</si>
  <si>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</si>
  <si>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</si>
  <si>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</si>
  <si>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</si>
  <si>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</si>
  <si>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</si>
  <si>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</si>
  <si>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</si>
  <si>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</si>
  <si>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</si>
  <si>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</si>
  <si>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</si>
  <si>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</si>
  <si>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</si>
  <si>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</si>
  <si>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</si>
  <si>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</si>
  <si>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</si>
  <si>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</si>
  <si>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</si>
  <si>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</si>
  <si>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</si>
  <si>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</si>
  <si>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</si>
  <si>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</si>
  <si>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</si>
  <si>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</si>
  <si>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</si>
  <si>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</si>
  <si>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</si>
  <si>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</si>
  <si>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</si>
  <si>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</si>
  <si>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</si>
  <si>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</si>
  <si>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</si>
  <si>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</si>
  <si>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</si>
  <si>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</si>
  <si>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</si>
  <si>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</si>
  <si>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</si>
  <si>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</si>
  <si>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</si>
  <si>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</si>
  <si>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</si>
  <si>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</si>
  <si>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</si>
  <si>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</si>
  <si>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</si>
  <si>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</si>
  <si>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</si>
  <si>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</si>
  <si>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</si>
  <si>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</si>
  <si>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</si>
  <si>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</si>
  <si>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</si>
  <si>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</si>
  <si>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</si>
  <si>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</si>
  <si>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</si>
  <si>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</si>
  <si>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</si>
  <si>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</si>
  <si>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</si>
  <si>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</si>
  <si>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</si>
  <si>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</si>
  <si>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</si>
  <si>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</si>
  <si>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</si>
  <si>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</si>
  <si>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</si>
  <si>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</si>
  <si>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</si>
  <si>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</si>
  <si>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</si>
  <si>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</si>
  <si>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</si>
  <si>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</si>
  <si>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</si>
  <si>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</si>
  <si>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</si>
  <si>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</si>
  <si>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</si>
  <si>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</si>
  <si>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</si>
  <si>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</si>
  <si>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</si>
  <si>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</si>
  <si>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</si>
  <si>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</si>
  <si>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</si>
  <si>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</si>
  <si>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</si>
  <si>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</si>
  <si>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</si>
  <si>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</si>
  <si>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</si>
  <si>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</si>
  <si>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</si>
  <si>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</si>
  <si>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</si>
  <si>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</si>
  <si>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</si>
  <si>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</si>
  <si>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</si>
  <si>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</si>
  <si>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</si>
  <si>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</si>
  <si>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</si>
  <si>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</si>
  <si>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</si>
  <si>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</si>
  <si>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</si>
  <si>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</si>
  <si>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</si>
  <si>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</si>
  <si>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</si>
  <si>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</si>
  <si>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</si>
  <si>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</si>
  <si>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</si>
  <si>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</si>
  <si>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</si>
  <si>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</si>
  <si>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</si>
  <si>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</si>
  <si>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</si>
  <si>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</si>
  <si>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</si>
  <si>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</si>
  <si>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</si>
  <si>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</si>
  <si>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</si>
  <si>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</si>
  <si>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</si>
  <si>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</si>
  <si>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</si>
  <si>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</si>
  <si>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</si>
  <si>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</si>
  <si>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</si>
  <si>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</si>
  <si>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</si>
  <si>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</si>
  <si>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</si>
  <si>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</si>
  <si>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</si>
  <si>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</si>
  <si>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</si>
  <si>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</si>
  <si>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</si>
  <si>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</si>
  <si>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</si>
  <si>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</si>
  <si>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</si>
  <si>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</si>
  <si>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</si>
  <si>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</si>
  <si>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</si>
  <si>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</si>
  <si>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</si>
  <si>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</si>
  <si>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</si>
  <si>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</si>
  <si>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</si>
  <si>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</si>
  <si>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</si>
  <si>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</si>
  <si>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</si>
  <si>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</si>
  <si>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</si>
  <si>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</si>
  <si>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</si>
  <si>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</si>
  <si>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</si>
  <si>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</si>
  <si>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</si>
  <si>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</si>
  <si>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</si>
  <si>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</si>
  <si>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</si>
  <si>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</si>
  <si>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</si>
  <si>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</si>
  <si>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</si>
  <si>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</si>
  <si>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</si>
  <si>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</si>
  <si>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</si>
  <si>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</si>
  <si>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</si>
  <si>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</si>
  <si>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</si>
  <si>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</si>
  <si>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</si>
  <si>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</si>
  <si>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</si>
  <si>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</si>
  <si>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</si>
  <si>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</si>
  <si>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</si>
  <si>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</si>
  <si>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</si>
  <si>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</si>
  <si>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</si>
  <si>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</si>
  <si>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</si>
  <si>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</si>
  <si>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</si>
  <si>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</si>
  <si>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</si>
  <si>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</si>
  <si>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</si>
  <si>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</si>
  <si>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</si>
  <si>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</si>
  <si>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</si>
  <si>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</si>
  <si>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</si>
  <si>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</si>
  <si>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</si>
  <si>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</si>
  <si>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</si>
  <si>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</si>
  <si>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</si>
  <si>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</si>
  <si>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</si>
  <si>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</si>
  <si>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</si>
  <si>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</si>
  <si>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</si>
  <si>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</si>
  <si>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</si>
  <si>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</si>
  <si>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</si>
  <si>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</si>
  <si>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</si>
  <si>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</si>
  <si>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</si>
  <si>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</si>
  <si>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</si>
  <si>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</si>
  <si>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</si>
  <si>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</si>
  <si>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</si>
  <si>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</si>
  <si>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</si>
  <si>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</si>
  <si>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</si>
  <si>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</si>
  <si>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</si>
  <si>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</si>
  <si>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</si>
  <si>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</si>
  <si>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</si>
  <si>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</si>
  <si>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</si>
  <si>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</si>
  <si>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</si>
  <si>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</si>
  <si>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</si>
  <si>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</si>
  <si>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</si>
  <si>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</si>
  <si>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</si>
  <si>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</si>
  <si>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</si>
  <si>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</si>
  <si>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</si>
  <si>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</si>
  <si>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</si>
  <si>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</si>
  <si>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</si>
  <si>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</si>
  <si>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</si>
  <si>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</si>
  <si>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</si>
  <si>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</si>
  <si>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</si>
  <si>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</si>
  <si>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</si>
  <si>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</si>
  <si>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</si>
  <si>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</si>
  <si>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</si>
  <si>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</si>
  <si>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</si>
  <si>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</si>
  <si>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</si>
  <si>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</si>
  <si>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</si>
  <si>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</si>
  <si>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</si>
  <si>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</si>
  <si>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</si>
  <si>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</si>
  <si>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</si>
  <si>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</si>
  <si>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</si>
  <si>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</si>
  <si>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</si>
  <si>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</si>
  <si>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</si>
  <si>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</si>
  <si>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</si>
  <si>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</si>
  <si>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</si>
  <si>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</si>
  <si>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</si>
  <si>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</si>
  <si>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</si>
  <si>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</si>
  <si>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</si>
  <si>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</si>
  <si>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</si>
  <si>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</si>
  <si>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</si>
  <si>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</si>
  <si>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</si>
  <si>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</si>
  <si>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</si>
  <si>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</si>
  <si>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</si>
  <si>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</si>
  <si>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</si>
  <si>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</si>
  <si>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</si>
  <si>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</si>
  <si>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</si>
  <si>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</si>
  <si>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</si>
  <si>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</si>
  <si>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</si>
  <si>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</si>
  <si>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</si>
  <si>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</si>
  <si>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</si>
  <si>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</si>
  <si>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</si>
  <si>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</si>
  <si>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</si>
  <si>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</si>
  <si>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</si>
  <si>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</si>
  <si>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</si>
  <si>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</si>
  <si>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</si>
  <si>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</si>
  <si>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</si>
  <si>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</si>
  <si>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</si>
  <si>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</si>
  <si>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</si>
  <si>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</si>
  <si>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</si>
  <si>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</si>
  <si>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</si>
  <si>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</si>
  <si>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</si>
  <si>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</si>
  <si>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</si>
  <si>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</si>
  <si>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</si>
  <si>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</si>
  <si>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</si>
  <si>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</si>
  <si>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</si>
  <si>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</si>
  <si>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</si>
  <si>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</si>
  <si>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</si>
  <si>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</si>
  <si>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</si>
  <si>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</si>
  <si>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</si>
  <si>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</si>
  <si>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</si>
  <si>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</si>
  <si>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</si>
  <si>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</si>
  <si>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</si>
  <si>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</si>
  <si>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</si>
  <si>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</si>
  <si>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</si>
  <si>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</si>
  <si>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</si>
  <si>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</si>
  <si>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</si>
  <si>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</si>
  <si>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</si>
  <si>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</si>
  <si>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</si>
  <si>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</si>
  <si>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</si>
  <si>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</si>
  <si>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</si>
  <si>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</si>
  <si>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</si>
  <si>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</si>
  <si>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</si>
  <si>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</si>
  <si>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</si>
  <si>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</si>
  <si>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</si>
  <si>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</si>
  <si>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</si>
  <si>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</si>
  <si>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</si>
  <si>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</si>
  <si>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</si>
  <si>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</si>
  <si>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</si>
  <si>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</si>
  <si>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</si>
  <si>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</si>
  <si>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</si>
  <si>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</si>
  <si>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</si>
  <si>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</si>
  <si>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</si>
  <si>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</si>
  <si>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</si>
  <si>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</si>
  <si>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</si>
  <si>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</si>
  <si>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</si>
  <si>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</si>
  <si>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</si>
  <si>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</si>
  <si>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</si>
  <si>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</si>
  <si>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</si>
  <si>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</si>
  <si>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</si>
  <si>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</si>
  <si>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</si>
  <si>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</si>
  <si>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</si>
  <si>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</si>
  <si>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</si>
  <si>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</si>
  <si>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</si>
  <si>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</si>
  <si>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</si>
  <si>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</si>
  <si>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</si>
  <si>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</si>
  <si>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</si>
  <si>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</si>
  <si>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</si>
  <si>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</si>
  <si>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</si>
  <si>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</si>
  <si>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</si>
  <si>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</si>
  <si>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</si>
  <si>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</si>
  <si>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</si>
  <si>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</si>
  <si>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</si>
  <si>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</si>
  <si>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</si>
  <si>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</si>
  <si>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</si>
  <si>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</si>
  <si>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</si>
  <si>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</si>
  <si>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</si>
  <si>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</si>
  <si>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</si>
  <si>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</si>
  <si>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</si>
  <si>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</si>
  <si>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</si>
  <si>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</si>
  <si>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</si>
  <si>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</si>
  <si>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</si>
  <si>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</si>
  <si>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</si>
  <si>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</si>
  <si>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</si>
  <si>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</si>
  <si>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</si>
  <si>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</si>
  <si>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</si>
  <si>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</si>
  <si>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</si>
  <si>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</si>
  <si>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</si>
  <si>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</si>
  <si>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</si>
  <si>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</si>
  <si>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</si>
  <si>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</si>
  <si>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</si>
  <si>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</si>
  <si>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</si>
  <si>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</si>
  <si>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</si>
  <si>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</si>
  <si>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</si>
  <si>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</si>
  <si>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</si>
  <si>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</si>
  <si>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</si>
  <si>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</si>
  <si>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</si>
  <si>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</si>
  <si>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</si>
  <si>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</si>
  <si>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</si>
  <si>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</si>
  <si>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</si>
  <si>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</si>
  <si>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</si>
  <si>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</si>
  <si>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</si>
  <si>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</si>
  <si>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</si>
  <si>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</si>
  <si>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</si>
  <si>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</si>
  <si>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</si>
  <si>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</si>
  <si>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</si>
  <si>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</si>
  <si>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</si>
  <si>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</si>
  <si>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</si>
  <si>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</si>
  <si>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</si>
  <si>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</si>
  <si>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</si>
  <si>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</si>
  <si>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</si>
  <si>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</si>
  <si>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</si>
  <si>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</si>
  <si>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</si>
  <si>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</si>
  <si>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</si>
  <si>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</si>
  <si>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</si>
  <si>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</si>
  <si>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</si>
  <si>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</si>
  <si>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</si>
  <si>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</si>
  <si>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</si>
  <si>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</si>
  <si>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</si>
  <si>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</si>
  <si>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</si>
  <si>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</si>
  <si>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</si>
  <si>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</si>
  <si>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</si>
  <si>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</si>
  <si>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</si>
  <si>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</si>
  <si>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</si>
  <si>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</si>
  <si>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</si>
  <si>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</si>
  <si>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</si>
  <si>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</si>
  <si>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</si>
  <si>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</si>
  <si>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</si>
  <si>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</si>
  <si>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</si>
  <si>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</si>
  <si>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</si>
  <si>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</si>
  <si>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</si>
  <si>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</si>
  <si>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</si>
  <si>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</si>
  <si>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</si>
  <si>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</si>
  <si>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</si>
  <si>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</si>
  <si>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</si>
  <si>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</si>
  <si>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</si>
  <si>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</si>
  <si>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</si>
  <si>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</si>
  <si>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</si>
  <si>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</si>
  <si>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</si>
  <si>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</si>
  <si>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</si>
  <si>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</si>
  <si>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</si>
  <si>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</si>
  <si>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</si>
  <si>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</si>
  <si>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</si>
  <si>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</si>
  <si>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</si>
  <si>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</si>
  <si>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</si>
  <si>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</si>
  <si>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</si>
  <si>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</si>
  <si>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</si>
  <si>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</si>
  <si>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</si>
  <si>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</si>
  <si>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</si>
  <si>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</si>
  <si>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</si>
  <si>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</si>
  <si>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</si>
  <si>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</si>
  <si>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</si>
  <si>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</si>
  <si>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</si>
  <si>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</si>
  <si>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</si>
  <si>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</si>
  <si>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</si>
  <si>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</si>
  <si>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</si>
  <si>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</si>
  <si>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</si>
  <si>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</si>
  <si>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</si>
  <si>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</si>
  <si>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</si>
  <si>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</si>
  <si>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</si>
  <si>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</si>
  <si>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</si>
  <si>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</si>
  <si>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</si>
  <si>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</si>
  <si>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</si>
  <si>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</si>
  <si>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</si>
  <si>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</si>
  <si>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</si>
  <si>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</si>
  <si>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</si>
  <si>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</si>
  <si>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</si>
  <si>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</si>
  <si>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</si>
  <si>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</si>
  <si>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</si>
  <si>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</si>
  <si>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</si>
  <si>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</si>
  <si>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</si>
  <si>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</si>
  <si>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</si>
  <si>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</si>
  <si>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</si>
  <si>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</si>
  <si>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</si>
  <si>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</si>
  <si>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</si>
  <si>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</si>
  <si>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</si>
  <si>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</si>
  <si>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</si>
  <si>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</si>
  <si>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</si>
  <si>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</si>
  <si>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</si>
  <si>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</si>
  <si>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</si>
  <si>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</si>
  <si>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</si>
  <si>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</si>
  <si>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</si>
  <si>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</si>
  <si>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</si>
  <si>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</si>
  <si>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</si>
  <si>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</si>
  <si>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</si>
  <si>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</si>
  <si>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</si>
  <si>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</si>
  <si>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</si>
  <si>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</si>
  <si>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</si>
  <si>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</si>
  <si>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</si>
  <si>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</si>
  <si>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</si>
  <si>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</si>
  <si>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</si>
  <si>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</si>
  <si>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</si>
  <si>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</si>
  <si>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</si>
  <si>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</si>
  <si>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</si>
  <si>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</si>
  <si>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</si>
  <si>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</si>
  <si>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</si>
  <si>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</si>
  <si>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</si>
  <si>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</si>
  <si>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</si>
  <si>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</si>
  <si>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</si>
  <si>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</si>
  <si>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</si>
  <si>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</si>
  <si>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</si>
  <si>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</si>
  <si>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</si>
  <si>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</si>
  <si>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</si>
  <si>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</si>
  <si>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</si>
  <si>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</si>
  <si>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</si>
  <si>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</si>
  <si>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</si>
  <si>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</si>
  <si>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</si>
  <si>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</si>
  <si>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</si>
  <si>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</si>
  <si>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</si>
  <si>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</si>
  <si>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</si>
  <si>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</si>
  <si>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</si>
  <si>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</si>
  <si>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</si>
  <si>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</si>
  <si>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</si>
  <si>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</si>
  <si>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</si>
  <si>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</si>
  <si>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</si>
  <si>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</si>
  <si>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</si>
  <si>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</si>
  <si>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</si>
  <si>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</si>
  <si>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</si>
  <si>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</si>
  <si>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</si>
  <si>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</si>
  <si>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</si>
  <si>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</si>
  <si>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</si>
  <si>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</si>
  <si>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</si>
  <si>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</si>
  <si>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</si>
  <si>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</si>
  <si>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</si>
  <si>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</si>
  <si>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</si>
  <si>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</si>
  <si>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</si>
  <si>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</si>
  <si>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</si>
  <si>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</si>
  <si>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</si>
  <si>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</si>
  <si>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</si>
  <si>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</si>
  <si>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</si>
  <si>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</si>
  <si>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</si>
  <si>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</si>
  <si>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</si>
  <si>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</si>
  <si>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</si>
  <si>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</si>
  <si>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</si>
  <si>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</si>
  <si>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</si>
  <si>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</si>
  <si>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</si>
  <si>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</si>
  <si>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</si>
  <si>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</si>
  <si>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</si>
  <si>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</si>
  <si>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</si>
  <si>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</si>
  <si>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</si>
  <si>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</si>
  <si>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</si>
  <si>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</si>
  <si>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</si>
  <si>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</si>
  <si>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</si>
  <si>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</si>
  <si>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</si>
  <si>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</si>
  <si>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</si>
  <si>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</si>
  <si>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</si>
  <si>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</si>
  <si>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</si>
  <si>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</si>
  <si>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</si>
  <si>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</si>
  <si>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</si>
  <si>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</si>
  <si>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</si>
  <si>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</si>
  <si>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</si>
  <si>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</si>
  <si>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</si>
  <si>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</si>
  <si>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</si>
  <si>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</si>
  <si>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</si>
  <si>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</si>
  <si>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</si>
  <si>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</si>
  <si>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</si>
  <si>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</si>
  <si>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</si>
  <si>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</si>
  <si>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</si>
  <si>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</si>
  <si>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</si>
  <si>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</si>
  <si>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</si>
  <si>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</si>
  <si>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</si>
  <si>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</si>
  <si>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</si>
  <si>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</si>
  <si>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</si>
  <si>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</si>
  <si>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</si>
  <si>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</si>
  <si>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</si>
  <si>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</si>
  <si>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</si>
  <si>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</si>
  <si>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</si>
  <si>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</si>
  <si>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</si>
  <si>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</si>
  <si>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</si>
  <si>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</si>
  <si>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</si>
  <si>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</si>
  <si>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</si>
  <si>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</si>
  <si>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</si>
  <si>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</si>
  <si>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</si>
  <si>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</si>
  <si>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</si>
  <si>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</si>
  <si>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</si>
  <si>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</si>
  <si>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</si>
  <si>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</si>
  <si>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</si>
  <si>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</si>
  <si>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</si>
  <si>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</si>
  <si>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</si>
  <si>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</si>
  <si>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</si>
  <si>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</si>
  <si>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</si>
  <si>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</si>
  <si>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</si>
  <si>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</si>
  <si>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</si>
  <si>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</si>
  <si>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</si>
  <si>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</si>
  <si>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</si>
  <si>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</si>
  <si>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</si>
  <si>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</si>
  <si>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</si>
  <si>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</si>
  <si>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</si>
  <si>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</si>
  <si>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</si>
  <si>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</si>
  <si>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</si>
  <si>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</si>
  <si>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</si>
  <si>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</si>
  <si>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</si>
  <si>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</si>
  <si>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</si>
  <si>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</si>
  <si>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</si>
  <si>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</si>
  <si>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</si>
  <si>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</si>
  <si>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</si>
  <si>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</si>
  <si>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</si>
  <si>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</si>
  <si>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</si>
  <si>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</si>
  <si>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</si>
  <si>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</si>
  <si>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</si>
  <si>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</si>
  <si>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</si>
  <si>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</si>
  <si>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</si>
  <si>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</si>
  <si>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</si>
  <si>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</si>
  <si>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</si>
  <si>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</si>
  <si>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</si>
  <si>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</si>
  <si>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</si>
  <si>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</si>
  <si>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</si>
  <si>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</si>
  <si>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</si>
  <si>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</si>
  <si>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</si>
  <si>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</si>
  <si>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</si>
  <si>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</si>
  <si>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</si>
  <si>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</si>
  <si>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</si>
  <si>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</si>
  <si>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</si>
  <si>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</si>
  <si>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</si>
  <si>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</si>
  <si>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</si>
  <si>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</si>
  <si>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</si>
  <si>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</si>
  <si>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</si>
  <si>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</si>
  <si>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</si>
  <si>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</si>
  <si>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</si>
  <si>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</si>
  <si>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</si>
  <si>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</si>
  <si>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</si>
  <si>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</si>
  <si>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</si>
  <si>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</si>
  <si>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</si>
  <si>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</si>
  <si>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</si>
  <si>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</si>
  <si>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</si>
  <si>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</si>
  <si>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</si>
  <si>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</si>
  <si>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</si>
  <si>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</si>
  <si>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</si>
  <si>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</si>
  <si>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</si>
  <si>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</si>
  <si>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</si>
  <si>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</si>
  <si>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</si>
  <si>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</si>
  <si>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</si>
  <si>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</si>
  <si>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</si>
  <si>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</si>
  <si>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</si>
  <si>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</si>
  <si>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</si>
  <si>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</si>
  <si>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</si>
  <si>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</si>
  <si>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</si>
  <si>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</si>
  <si>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</si>
  <si>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</si>
  <si>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</si>
  <si>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</si>
  <si>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</si>
  <si>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</si>
  <si>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</si>
  <si>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</si>
  <si>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</si>
  <si>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</si>
  <si>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</si>
  <si>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</si>
  <si>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</si>
  <si>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</si>
  <si>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</si>
  <si>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</si>
  <si>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</si>
  <si>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</si>
  <si>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</si>
  <si>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</si>
  <si>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</si>
  <si>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</si>
  <si>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</si>
  <si>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</si>
  <si>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</si>
  <si>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</si>
  <si>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</si>
  <si>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</si>
  <si>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</si>
  <si>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</si>
  <si>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</si>
  <si>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</si>
  <si>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</si>
  <si>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</si>
  <si>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</si>
  <si>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</si>
  <si>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</si>
  <si>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</si>
  <si>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</si>
  <si>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</si>
  <si>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</si>
  <si>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</si>
  <si>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</si>
  <si>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</si>
  <si>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</si>
  <si>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</si>
  <si>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</si>
  <si>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</si>
  <si>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</si>
  <si>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</si>
  <si>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</si>
  <si>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</si>
  <si>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</si>
  <si>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</si>
  <si>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</si>
  <si>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</si>
  <si>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</si>
  <si>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</si>
  <si>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</si>
  <si>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</si>
  <si>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</si>
  <si>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</si>
  <si>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</si>
  <si>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</si>
  <si>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</si>
  <si>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</si>
  <si>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</si>
  <si>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</si>
  <si>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</si>
  <si>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</si>
  <si>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</si>
  <si>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</si>
  <si>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</si>
  <si>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</si>
  <si>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</si>
  <si>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</si>
  <si>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</si>
  <si>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</si>
  <si>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</si>
  <si>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</si>
  <si>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</si>
  <si>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</si>
  <si>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</si>
  <si>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</si>
  <si>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</si>
  <si>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</si>
  <si>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</si>
  <si>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</si>
  <si>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</si>
  <si>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</si>
  <si>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</si>
  <si>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</si>
  <si>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</si>
  <si>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</si>
  <si>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</si>
  <si>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</si>
  <si>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</si>
  <si>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</si>
  <si>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</si>
  <si>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</si>
  <si>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</si>
  <si>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</si>
  <si>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</si>
  <si>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</si>
  <si>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</si>
  <si>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</si>
  <si>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</si>
  <si>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</si>
  <si>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</si>
  <si>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</si>
  <si>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</si>
  <si>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</si>
  <si>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</si>
  <si>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</si>
  <si>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</si>
  <si>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</si>
  <si>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</si>
  <si>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</si>
  <si>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</si>
  <si>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</si>
  <si>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</si>
  <si>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</si>
  <si>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</si>
  <si>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</si>
  <si>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</si>
  <si>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</si>
  <si>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</si>
  <si>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</si>
  <si>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</si>
  <si>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</si>
  <si>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</si>
  <si>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</si>
  <si>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</si>
  <si>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</si>
  <si>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</si>
  <si>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</si>
  <si>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</si>
  <si>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</si>
  <si>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</si>
  <si>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</si>
  <si>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</si>
  <si>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</si>
  <si>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</si>
  <si>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</si>
  <si>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</si>
  <si>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</si>
  <si>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</si>
  <si>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</si>
  <si>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</si>
  <si>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</si>
  <si>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</si>
  <si>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</si>
  <si>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</si>
  <si>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</si>
  <si>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</si>
  <si>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</si>
  <si>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</si>
  <si>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</si>
  <si>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</si>
  <si>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</si>
  <si>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</si>
  <si>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</si>
  <si>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</si>
  <si>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</si>
  <si>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</si>
  <si>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</si>
  <si>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</si>
  <si>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</si>
  <si>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</si>
  <si>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</si>
  <si>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</si>
  <si>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</si>
  <si>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</si>
  <si>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</si>
  <si>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</si>
  <si>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</si>
  <si>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</si>
  <si>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</si>
  <si>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</si>
  <si>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</si>
  <si>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</si>
  <si>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</si>
  <si>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</si>
  <si>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</si>
  <si>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</si>
  <si>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</si>
  <si>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</si>
  <si>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</si>
  <si>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</si>
  <si>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</si>
  <si>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</si>
  <si>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</si>
  <si>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</si>
  <si>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</si>
  <si>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</si>
  <si>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</si>
  <si>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</si>
  <si>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</si>
  <si>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</si>
  <si>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</si>
  <si>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</si>
  <si>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</si>
  <si>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</si>
  <si>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</si>
  <si>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</si>
  <si>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</si>
  <si>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</si>
  <si>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</si>
  <si>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</si>
  <si>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</si>
  <si>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</si>
  <si>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</si>
  <si>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</si>
  <si>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</si>
  <si>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</si>
  <si>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</si>
  <si>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</si>
  <si>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</si>
  <si>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</si>
  <si>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</si>
  <si>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</si>
  <si>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</si>
  <si>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</si>
  <si>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</si>
  <si>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</si>
  <si>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</si>
  <si>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</si>
  <si>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</si>
  <si>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</si>
  <si>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</si>
  <si>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</si>
  <si>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</si>
  <si>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</si>
  <si>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</si>
  <si>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</si>
  <si>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</si>
  <si>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</si>
  <si>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</si>
  <si>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</si>
  <si>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</si>
  <si>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</si>
  <si>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</si>
  <si>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</si>
  <si>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</si>
  <si>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</si>
  <si>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</si>
  <si>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</si>
  <si>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</si>
  <si>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</si>
  <si>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</si>
  <si>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</si>
  <si>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</si>
  <si>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</si>
  <si>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</si>
  <si>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</si>
  <si>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</si>
  <si>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</si>
  <si>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</si>
  <si>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</si>
  <si>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</si>
  <si>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</si>
  <si>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</si>
  <si>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</si>
  <si>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</si>
  <si>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</si>
  <si>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</si>
  <si>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</si>
  <si>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</si>
  <si>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</si>
  <si>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</si>
  <si>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</si>
  <si>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</si>
  <si>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</si>
  <si>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</si>
  <si>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</si>
  <si>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</si>
  <si>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</si>
  <si>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</si>
  <si>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</si>
  <si>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</si>
  <si>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</si>
  <si>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</si>
  <si>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</si>
  <si>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</si>
  <si>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</si>
  <si>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</si>
  <si>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</si>
  <si>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</si>
  <si>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</si>
  <si>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</si>
  <si>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</si>
  <si>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</si>
  <si>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</si>
  <si>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</si>
  <si>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</si>
  <si>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</si>
  <si>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</si>
  <si>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</si>
  <si>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</si>
  <si>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</si>
  <si>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</si>
  <si>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</si>
  <si>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</si>
  <si>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</si>
  <si>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</si>
  <si>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</si>
  <si>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</si>
  <si>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</si>
  <si>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</si>
  <si>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</si>
  <si>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</si>
  <si>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</si>
  <si>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</si>
  <si>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</si>
  <si>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</si>
  <si>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</si>
  <si>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</si>
  <si>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</si>
  <si>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</si>
  <si>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</si>
  <si>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</si>
  <si>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</si>
  <si>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</si>
  <si>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</si>
  <si>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</si>
  <si>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</si>
  <si>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</si>
  <si>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</si>
  <si>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</si>
  <si>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</si>
  <si>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</si>
  <si>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</si>
  <si>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</si>
  <si>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</si>
  <si>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</si>
  <si>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</si>
  <si>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</si>
  <si>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</si>
  <si>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</si>
  <si>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</si>
  <si>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</si>
  <si>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</si>
  <si>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</si>
  <si>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</si>
  <si>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</si>
  <si>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</si>
  <si>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</si>
  <si>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</si>
  <si>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</si>
  <si>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</si>
  <si>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</si>
  <si>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</si>
  <si>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</si>
  <si>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</si>
  <si>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</si>
  <si>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</si>
  <si>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</si>
  <si>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</si>
  <si>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</si>
  <si>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</si>
  <si>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</si>
  <si>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</si>
  <si>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</si>
  <si>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</si>
  <si>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</si>
  <si>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</si>
  <si>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</si>
  <si>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</si>
  <si>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</si>
  <si>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</si>
  <si>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</si>
  <si>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</si>
  <si>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</si>
  <si>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</si>
  <si>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</si>
  <si>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</si>
  <si>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</si>
  <si>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</si>
  <si>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</si>
  <si>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</si>
  <si>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</si>
  <si>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</si>
  <si>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</si>
  <si>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</si>
  <si>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</si>
  <si>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</si>
  <si>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</si>
  <si>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</si>
  <si>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</si>
  <si>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</si>
  <si>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</si>
  <si>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</si>
  <si>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</si>
  <si>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</si>
  <si>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</si>
  <si>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</si>
  <si>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</si>
  <si>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</si>
  <si>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</si>
  <si>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</si>
  <si>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</si>
  <si>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</si>
  <si>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</si>
  <si>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</si>
  <si>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</si>
  <si>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</si>
  <si>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</si>
  <si>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</si>
  <si>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</si>
  <si>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</si>
  <si>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</si>
  <si>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</si>
  <si>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</si>
  <si>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</si>
  <si>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</si>
  <si>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</si>
  <si>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</si>
  <si>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</si>
  <si>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</si>
  <si>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</si>
  <si>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</si>
  <si>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</si>
  <si>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</si>
  <si>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</si>
  <si>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</si>
  <si>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</si>
  <si>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</si>
  <si>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</si>
  <si>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</si>
  <si>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</si>
  <si>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</si>
  <si>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</si>
  <si>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</si>
  <si>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</si>
  <si>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</si>
  <si>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</si>
  <si>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</si>
  <si>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</si>
  <si>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</si>
  <si>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</si>
  <si>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</si>
  <si>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</si>
  <si>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</si>
  <si>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</si>
  <si>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</si>
  <si>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</si>
  <si>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</si>
  <si>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</si>
  <si>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</si>
  <si>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</si>
  <si>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</si>
  <si>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</si>
  <si>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</si>
  <si>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</si>
  <si>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</si>
  <si>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</si>
  <si>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</si>
  <si>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</si>
  <si>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</si>
  <si>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</si>
  <si>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</si>
  <si>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</si>
  <si>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</si>
  <si>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</si>
  <si>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</si>
  <si>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</si>
  <si>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</si>
  <si>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</si>
  <si>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</si>
  <si>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</si>
  <si>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</si>
  <si>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</si>
  <si>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</si>
  <si>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</si>
  <si>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</si>
  <si>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</si>
  <si>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</si>
  <si>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</si>
  <si>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</si>
  <si>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</si>
  <si>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</si>
  <si>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</si>
  <si>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</si>
  <si>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</si>
  <si>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</si>
  <si>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</si>
  <si>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</si>
  <si>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</si>
  <si>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</si>
  <si>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</si>
  <si>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</si>
  <si>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</si>
  <si>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</si>
  <si>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</si>
  <si>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</si>
  <si>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</si>
  <si>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</si>
  <si>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</si>
  <si>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</si>
  <si>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</si>
  <si>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</si>
  <si>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</si>
  <si>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</si>
  <si>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</si>
  <si>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</si>
  <si>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</si>
  <si>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</si>
  <si>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</si>
  <si>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</si>
  <si>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</si>
  <si>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</si>
  <si>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</si>
  <si>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</si>
  <si>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</si>
  <si>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</si>
  <si>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</si>
  <si>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</si>
  <si>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</si>
  <si>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</si>
  <si>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</si>
  <si>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</si>
  <si>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</si>
  <si>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</si>
  <si>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</si>
  <si>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</si>
  <si>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</si>
  <si>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</si>
  <si>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</si>
  <si>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</si>
  <si>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</si>
  <si>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</si>
  <si>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</si>
  <si>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</si>
  <si>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</si>
  <si>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</si>
  <si>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</si>
  <si>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</si>
  <si>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</si>
  <si>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</si>
  <si>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</si>
  <si>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</si>
  <si>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</si>
  <si>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</si>
  <si>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</si>
  <si>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</si>
  <si>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</si>
  <si>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</si>
  <si>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</si>
  <si>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</si>
  <si>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</si>
  <si>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</si>
  <si>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</si>
  <si>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</si>
  <si>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</si>
  <si>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</si>
  <si>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</si>
  <si>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</si>
  <si>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</si>
  <si>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</si>
  <si>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</si>
  <si>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</si>
  <si>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</si>
  <si>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</si>
  <si>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</si>
  <si>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</si>
  <si>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</si>
  <si>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</si>
  <si>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</si>
  <si>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</si>
  <si>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</si>
  <si>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</si>
  <si>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</si>
  <si>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</si>
  <si>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</si>
  <si>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</si>
  <si>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</si>
  <si>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</si>
  <si>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</si>
  <si>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</si>
  <si>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</si>
  <si>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</si>
  <si>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</si>
  <si>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</si>
  <si>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</si>
  <si>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</si>
  <si>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</si>
  <si>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</si>
  <si>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</si>
  <si>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</si>
  <si>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</si>
  <si>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</si>
  <si>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</si>
  <si>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</si>
  <si>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</si>
  <si>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</si>
  <si>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</si>
  <si>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</si>
  <si>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</si>
  <si>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</si>
  <si>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</si>
  <si>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</si>
  <si>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</si>
  <si>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</si>
  <si>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</si>
  <si>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</si>
  <si>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</si>
  <si>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</si>
  <si>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</si>
  <si>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</si>
  <si>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</si>
  <si>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</si>
  <si>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</si>
  <si>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</si>
  <si>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</si>
  <si>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</si>
  <si>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</si>
  <si>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</si>
  <si>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</si>
  <si>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</si>
  <si>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</si>
  <si>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</si>
  <si>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</si>
  <si>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</si>
  <si>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</si>
  <si>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</si>
  <si>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</si>
  <si>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</si>
  <si>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</si>
  <si>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</si>
  <si>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</si>
  <si>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</si>
  <si>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</si>
  <si>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</si>
  <si>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</si>
  <si>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</si>
  <si>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</si>
  <si>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</si>
  <si>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</si>
  <si>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</si>
  <si>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</si>
  <si>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</si>
  <si>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</si>
  <si>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125 Bethany Affordable, L.P. </t>
  </si>
  <si>
    <t>125 Bethany</t>
  </si>
  <si>
    <t>City of Scotts Valley</t>
  </si>
  <si>
    <t>Mali LaGoe</t>
  </si>
  <si>
    <t>1 Civic Center Drive</t>
  </si>
  <si>
    <t>Scotts Valley</t>
  </si>
  <si>
    <t>831-440-5600</t>
  </si>
  <si>
    <t>831-438-2793</t>
  </si>
  <si>
    <t>mlagoe@scottsvalley.gov</t>
  </si>
  <si>
    <t>125 Bethany Drive, Scotts Valley, CA 95066</t>
  </si>
  <si>
    <t>023-102-15-000</t>
  </si>
  <si>
    <t>40%/60% Average Income</t>
  </si>
  <si>
    <t>2021 Vanesta Place- Suite A</t>
  </si>
  <si>
    <t>Manhattan</t>
  </si>
  <si>
    <t>Marc Welk</t>
  </si>
  <si>
    <t>619-890-9355</t>
  </si>
  <si>
    <t>marc@theprimecompany.com</t>
  </si>
  <si>
    <t>KS</t>
  </si>
  <si>
    <t>125 Bethany LLC</t>
  </si>
  <si>
    <t>Administrative GP</t>
  </si>
  <si>
    <t>Managing GP</t>
  </si>
  <si>
    <t>Elsey Holdings (DBA- The Prime Company)</t>
  </si>
  <si>
    <t>The Prime Company</t>
  </si>
  <si>
    <t>Administrative General Partner</t>
  </si>
  <si>
    <t>2021 Vanesta Pl- Suite A</t>
  </si>
  <si>
    <t>Manhattan, KS 66503</t>
  </si>
  <si>
    <t>858-675-0702</t>
  </si>
  <si>
    <t>Chris Elsey</t>
  </si>
  <si>
    <t>Prime Design</t>
  </si>
  <si>
    <t>Gubb &amp; Barshay</t>
  </si>
  <si>
    <t>235 Montgomery St, Suite 1110</t>
  </si>
  <si>
    <t>San Francisco, CA 94104</t>
  </si>
  <si>
    <t>Nicole Kline</t>
  </si>
  <si>
    <t>415.781.6600</t>
  </si>
  <si>
    <t>nkline@gubbandbarshay.com</t>
  </si>
  <si>
    <t>Prime Build</t>
  </si>
  <si>
    <t>Novogradac &amp; Company LLP</t>
  </si>
  <si>
    <t>211 E Ocean Blvd., 6th Fl</t>
  </si>
  <si>
    <t>Long Beach</t>
  </si>
  <si>
    <t>Craig Staswick</t>
  </si>
  <si>
    <t>562.256.3555</t>
  </si>
  <si>
    <t>Craig.Staswick@novoco.com</t>
  </si>
  <si>
    <t>Redstone Equity Partners</t>
  </si>
  <si>
    <t>7130 Avenida Encinas, Suite 201</t>
  </si>
  <si>
    <t>Carlsbad, CA 92011</t>
  </si>
  <si>
    <t>Kinetic Valuation Group</t>
  </si>
  <si>
    <t>3901 S. 147th Street, Suite 144</t>
  </si>
  <si>
    <t>Omaha, NE, 68144</t>
  </si>
  <si>
    <t>Jay A. Wortmann</t>
  </si>
  <si>
    <t>402-202-0771</t>
  </si>
  <si>
    <t>jay@kvgteam.com</t>
  </si>
  <si>
    <t>California Housing Finance Agency</t>
  </si>
  <si>
    <t>500 Capitola Mall Suite 400</t>
  </si>
  <si>
    <t>Sacramento, CA 95814</t>
  </si>
  <si>
    <t>Jessica McQueen</t>
  </si>
  <si>
    <t>(916) 326.8623</t>
  </si>
  <si>
    <t>jmcqueen@calhfa.ca.gov</t>
  </si>
  <si>
    <t xml:space="preserve">800 Iron Point Road </t>
  </si>
  <si>
    <t>Folsom, CA 95630</t>
  </si>
  <si>
    <t xml:space="preserve">George Garcia </t>
  </si>
  <si>
    <t>916.357.5300</t>
  </si>
  <si>
    <t>713.268.5111</t>
  </si>
  <si>
    <t>George.Garcia@assetliving.com</t>
  </si>
  <si>
    <t>785-317-5265</t>
  </si>
  <si>
    <t>Chris@theprimecompany.com</t>
  </si>
  <si>
    <t>619-535-3904</t>
  </si>
  <si>
    <t>Andy Markenson</t>
  </si>
  <si>
    <t>andy.markenson@rsequity.com</t>
  </si>
  <si>
    <t>Secured by Fee Interest</t>
  </si>
  <si>
    <t>Heritage Real Estate Ventures</t>
  </si>
  <si>
    <t>Eli May &amp; Caroline Marani (Co- managers)</t>
  </si>
  <si>
    <t xml:space="preserve">CP-P: Professional Commercial. The Project will obtain entitlements utilizing AB 2011 which allows for a CEQA-exempt, ministerial approval process for multifamily housing developments on sites within a zone where office, retail or parking are the principally permitted use. </t>
  </si>
  <si>
    <t>Construction Loan (Tax- Exempt)</t>
  </si>
  <si>
    <t>Construction Loan (Taxable)</t>
  </si>
  <si>
    <t>Federal LIHTC Equity</t>
  </si>
  <si>
    <t>State LIHTC Equity</t>
  </si>
  <si>
    <t>Deferred Costs</t>
  </si>
  <si>
    <t>300 South Grand Avenue</t>
  </si>
  <si>
    <t>Los Angeles, CA 90071</t>
  </si>
  <si>
    <t>Hao Li</t>
  </si>
  <si>
    <t>212-239-1914</t>
  </si>
  <si>
    <t>Permanent Loan</t>
  </si>
  <si>
    <t>AB 2011</t>
  </si>
  <si>
    <t>Tax Exempt- Private</t>
  </si>
  <si>
    <t>Taxable- Private</t>
  </si>
  <si>
    <t>Equity- Private</t>
  </si>
  <si>
    <t>2021 Vanesta Place, Suite A</t>
  </si>
  <si>
    <t>Other: (GC Bonds)</t>
  </si>
  <si>
    <t>Other: ()</t>
  </si>
  <si>
    <t>Community Revitalization and Development Corporation</t>
  </si>
  <si>
    <t>P.O. Box 990490</t>
  </si>
  <si>
    <t>CA</t>
  </si>
  <si>
    <t>Redding</t>
  </si>
  <si>
    <t>Shelby Marocco</t>
  </si>
  <si>
    <t>530.241.6960</t>
  </si>
  <si>
    <t>shelby@crdc.org</t>
  </si>
  <si>
    <t>Housing Authority of the County of  Santa Cruz</t>
  </si>
  <si>
    <t>VCA Green</t>
  </si>
  <si>
    <t>Victoria McAlister</t>
  </si>
  <si>
    <t>714.787.1564</t>
  </si>
  <si>
    <t>VMcalister@vca-green.com</t>
  </si>
  <si>
    <t>1845 W. Orangewood Ave, Suite 220</t>
  </si>
  <si>
    <t>Orange, CA 92868</t>
  </si>
  <si>
    <t>(Misc Admin)</t>
  </si>
  <si>
    <t>Payroll taxes/Benefits</t>
  </si>
  <si>
    <t>(Misc late fees, etc.)</t>
  </si>
  <si>
    <t>Tax Exempt- Recycled Bonds</t>
  </si>
  <si>
    <t>Other: (Other Legal)</t>
  </si>
  <si>
    <t xml:space="preserve">Community Revitalization and Development Corporation </t>
  </si>
  <si>
    <t>Provided</t>
  </si>
  <si>
    <t>Inner City Infill Site</t>
  </si>
  <si>
    <t>Not Applicable</t>
  </si>
  <si>
    <t>96 units on a 1.32 acre site by AB 2011. 73.28 units per acre</t>
  </si>
  <si>
    <t>96 units on a 1.32 acre site &gt; 20 DU/AC Per AB 2011</t>
  </si>
  <si>
    <t>NA</t>
  </si>
  <si>
    <t>81.87'</t>
  </si>
  <si>
    <t>1 to 1</t>
  </si>
  <si>
    <t>FPI Management Inc</t>
  </si>
  <si>
    <t>14th</t>
  </si>
  <si>
    <t>May</t>
  </si>
  <si>
    <t>, Manhattan</t>
  </si>
  <si>
    <t>, Kansas</t>
  </si>
  <si>
    <t>Owner</t>
  </si>
  <si>
    <t>Elsey Affordable Developers,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</si>
</sst>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26493">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19" fillId="0" borderId="0" xfId="0" quotePrefix="1" applyFont="1" applyProtection="1">
      <protection locked="0"/>
    </xf>
    <xf numFmtId="0" fontId="19" fillId="0" borderId="0" xfId="0" applyFont="1" applyAlignment="1">
      <alignment horizontal="left"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0" fontId="26" fillId="0" borderId="0" xfId="0" applyFont="1" applyAlignment="1">
      <alignment horizontal="left" vertical="top" wrapText="1"/>
    </xf>
    <xf numFmtId="0" fontId="19" fillId="0" borderId="0" xfId="0" applyFont="1" applyAlignment="1">
      <alignment horizontal="left" vertical="top" wrapText="1"/>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569" applyAlignment="1">
      <alignment wrapText="1"/>
    </xf>
    <xf numFmtId="0" fontId="19" fillId="0" borderId="0" xfId="0" applyFont="1" applyAlignment="1">
      <alignment vertical="center" wrapText="1"/>
    </xf>
    <xf numFmtId="0" fontId="19" fillId="0" borderId="0" xfId="1192" applyAlignment="1">
      <alignment horizontal="left" vertical="top"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19" fillId="0" borderId="0" xfId="569"/>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vertical="top" wrapText="1"/>
    </xf>
    <xf numFmtId="0" fontId="20" fillId="0" borderId="0" xfId="244" applyAlignment="1" applyProtection="1">
      <alignment horizontal="left" vertical="top" wrapText="1"/>
    </xf>
    <xf numFmtId="0" fontId="37" fillId="0" borderId="0" xfId="569" applyFont="1" applyAlignment="1">
      <alignment horizontal="center"/>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16" fillId="0" borderId="0" xfId="569" applyFont="1" applyAlignment="1">
      <alignment horizontal="center"/>
    </xf>
    <xf numFmtId="0" fontId="117" fillId="0" borderId="0" xfId="569" applyFont="1"/>
    <xf numFmtId="0" fontId="26" fillId="0" borderId="0" xfId="569" applyFont="1" applyAlignment="1">
      <alignment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8" fillId="0" borderId="0" xfId="543" applyFont="1" applyAlignment="1">
      <alignment horizontal="center"/>
    </xf>
    <xf numFmtId="0" fontId="0" fillId="0" borderId="0" xfId="0" applyAlignment="1">
      <alignment horizontal="center"/>
    </xf>
    <xf numFmtId="0" fontId="19" fillId="0" borderId="0" xfId="543" applyAlignment="1">
      <alignment wrapText="1"/>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8" fillId="5" borderId="4" xfId="0" applyFont="1" applyFill="1" applyBorder="1" applyAlignment="1" applyProtection="1">
      <alignment wrapText="1"/>
      <protection locked="0"/>
    </xf>
    <xf numFmtId="1" fontId="28" fillId="5" borderId="11" xfId="0" applyNumberFormat="1" applyFont="1" applyFill="1" applyBorder="1" applyAlignment="1" applyProtection="1">
      <alignment horizontal="center"/>
      <protection locked="0"/>
    </xf>
    <xf numFmtId="0" fontId="28"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8" fillId="5" borderId="4" xfId="0" applyFont="1" applyFill="1" applyBorder="1" applyAlignment="1" applyProtection="1">
      <alignment horizontal="left"/>
      <protection locked="0"/>
    </xf>
    <xf numFmtId="0" fontId="26" fillId="0" borderId="11" xfId="0" applyFont="1" applyBorder="1" applyAlignment="1">
      <alignment horizontal="center" vertic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0" fontId="19" fillId="43" borderId="11" xfId="0" applyFont="1" applyFill="1" applyBorder="1" applyAlignment="1" applyProtection="1">
      <alignment horizontal="center"/>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6"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26" fillId="0" borderId="9" xfId="0" applyFont="1" applyBorder="1" applyAlignment="1">
      <alignment horizontal="center"/>
    </xf>
    <xf numFmtId="0" fontId="26" fillId="0" borderId="6" xfId="0" applyFont="1" applyBorder="1" applyAlignment="1">
      <alignment horizontal="center"/>
    </xf>
    <xf numFmtId="0" fontId="0" fillId="5" borderId="4"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6" fontId="19" fillId="5" borderId="4" xfId="0" applyNumberFormat="1" applyFont="1" applyFill="1" applyBorder="1" applyAlignment="1" applyProtection="1">
      <alignment horizontal="left"/>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28" fillId="0" borderId="0" xfId="0" applyFont="1" applyAlignment="1">
      <alignment horizontal="left" vertical="top" wrapText="1"/>
    </xf>
    <xf numFmtId="0" fontId="19" fillId="5" borderId="6" xfId="0" applyFont="1" applyFill="1" applyBorder="1" applyAlignment="1" applyProtection="1">
      <alignment horizontal="left"/>
      <protection locked="0"/>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0" fontId="27" fillId="0" borderId="0" xfId="0" applyFont="1" applyAlignment="1">
      <alignment horizontal="center"/>
    </xf>
    <xf numFmtId="0" fontId="25" fillId="3" borderId="0" xfId="0" applyFont="1" applyFill="1" applyAlignment="1">
      <alignment horizontal="center" vertical="center"/>
    </xf>
    <xf numFmtId="166" fontId="28" fillId="5" borderId="6" xfId="0" applyNumberFormat="1" applyFont="1" applyFill="1" applyBorder="1" applyAlignment="1" applyProtection="1">
      <alignment horizontal="left"/>
      <protection locked="0"/>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11" xfId="0" applyBorder="1" applyAlignment="1">
      <alignment horizontal="center"/>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6" xfId="0" applyBorder="1" applyAlignment="1">
      <alignment horizontal="center"/>
    </xf>
    <xf numFmtId="0" fontId="0" fillId="0" borderId="10" xfId="0"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11" xfId="0" applyFont="1" applyBorder="1" applyAlignment="1">
      <alignment horizontal="center"/>
    </xf>
    <xf numFmtId="0" fontId="28" fillId="45" borderId="11" xfId="0" applyFont="1" applyFill="1" applyBorder="1" applyAlignment="1">
      <alignment horizontal="center"/>
    </xf>
    <xf numFmtId="0" fontId="28" fillId="2" borderId="11" xfId="0" applyFont="1" applyFill="1" applyBorder="1" applyAlignment="1">
      <alignment horizontal="center"/>
    </xf>
    <xf numFmtId="0" fontId="19" fillId="0" borderId="11" xfId="543"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168" fontId="0" fillId="5" borderId="11" xfId="0" applyNumberFormat="1" applyFill="1" applyBorder="1" applyAlignment="1" applyProtection="1">
      <alignment horizontal="right"/>
      <protection locked="0"/>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0" fontId="26" fillId="0" borderId="0" xfId="0" applyFont="1" applyAlignment="1">
      <alignment horizontal="center" vertical="center"/>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19" fillId="0" borderId="3" xfId="0" applyFont="1" applyBorder="1"/>
    <xf numFmtId="0" fontId="19" fillId="0" borderId="4" xfId="0" applyFont="1" applyBorder="1"/>
    <xf numFmtId="0" fontId="19" fillId="0" borderId="5" xfId="0" applyFont="1" applyBorder="1"/>
    <xf numFmtId="3" fontId="0" fillId="0" borderId="4" xfId="0" applyNumberFormat="1" applyBorder="1" applyAlignment="1">
      <alignment horizontal="right"/>
    </xf>
    <xf numFmtId="3" fontId="0" fillId="0" borderId="5" xfId="0" applyNumberFormat="1" applyBorder="1" applyAlignment="1">
      <alignment horizontal="right"/>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6" fillId="0" borderId="7" xfId="0" applyFont="1" applyBorder="1" applyAlignment="1">
      <alignment horizontal="center" wrapText="1"/>
    </xf>
    <xf numFmtId="0" fontId="28"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center"/>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19" fillId="0" borderId="0" xfId="543" applyAlignment="1">
      <alignment horizontal="center"/>
    </xf>
    <xf numFmtId="2" fontId="19" fillId="0" borderId="0" xfId="543" applyNumberFormat="1" applyAlignment="1">
      <alignment horizontal="center"/>
    </xf>
    <xf numFmtId="168" fontId="0" fillId="5" borderId="11" xfId="0" applyNumberFormat="1" applyFill="1" applyBorder="1" applyProtection="1">
      <protection locked="0"/>
    </xf>
    <xf numFmtId="168" fontId="0" fillId="0" borderId="11" xfId="0" applyNumberFormat="1" applyBorder="1"/>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0" fillId="0" borderId="11" xfId="0" applyNumberFormat="1" applyBorder="1" applyAlignment="1">
      <alignment horizontal="right"/>
    </xf>
    <xf numFmtId="0" fontId="28" fillId="0" borderId="4" xfId="0" applyFont="1" applyBorder="1" applyAlignment="1">
      <alignment horizontal="center"/>
    </xf>
    <xf numFmtId="0" fontId="26" fillId="0" borderId="2" xfId="0" applyFont="1" applyBorder="1" applyAlignment="1">
      <alignment horizontal="right"/>
    </xf>
    <xf numFmtId="0" fontId="26" fillId="0" borderId="7" xfId="0" applyFont="1" applyBorder="1" applyAlignment="1">
      <alignment horizontal="right"/>
    </xf>
    <xf numFmtId="14" fontId="0" fillId="5" borderId="3" xfId="0" quotePrefix="1"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0" fontId="19" fillId="0" borderId="1" xfId="0" applyFont="1" applyBorder="1" applyAlignment="1">
      <alignment horizontal="center" vertical="top" wrapText="1"/>
    </xf>
    <xf numFmtId="171" fontId="19" fillId="0" borderId="0" xfId="543" applyNumberFormat="1" applyAlignment="1">
      <alignment horizontal="center"/>
    </xf>
    <xf numFmtId="0" fontId="26"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19" fillId="5" borderId="11" xfId="0" applyFont="1" applyFill="1" applyBorder="1" applyAlignment="1" applyProtection="1">
      <alignment horizontal="left" wrapText="1"/>
      <protection locked="0"/>
    </xf>
    <xf numFmtId="0" fontId="28" fillId="5" borderId="5" xfId="0" applyFont="1" applyFill="1" applyBorder="1" applyAlignment="1" applyProtection="1">
      <alignment wrapText="1"/>
      <protection locked="0"/>
    </xf>
    <xf numFmtId="0" fontId="19" fillId="5" borderId="4" xfId="0" applyFont="1" applyFill="1" applyBorder="1" applyAlignment="1" applyProtection="1">
      <alignment wrapText="1"/>
      <protection locked="0"/>
    </xf>
    <xf numFmtId="14" fontId="0" fillId="5" borderId="6" xfId="0" applyNumberFormat="1" applyFill="1" applyBorder="1" applyAlignment="1" applyProtection="1">
      <alignment horizontal="center"/>
      <protection locked="0"/>
    </xf>
    <xf numFmtId="3" fontId="28" fillId="5" borderId="11" xfId="0" applyNumberFormat="1" applyFon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9" fontId="19" fillId="0" borderId="0" xfId="543" applyNumberFormat="1" applyAlignment="1">
      <alignment horizontal="center" vertical="center"/>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6" fillId="5" borderId="11" xfId="0" applyFont="1" applyFill="1" applyBorder="1" applyAlignment="1" applyProtection="1">
      <alignment horizontal="center"/>
      <protection locked="0"/>
    </xf>
    <xf numFmtId="171" fontId="19" fillId="0" borderId="0" xfId="543" applyNumberFormat="1" applyAlignment="1">
      <alignment horizontal="right"/>
    </xf>
    <xf numFmtId="168" fontId="157" fillId="0" borderId="0" xfId="0" applyNumberFormat="1" applyFont="1" applyAlignment="1">
      <alignment horizontal="center" vertical="center"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5" borderId="3" xfId="0" quotePrefix="1" applyFill="1" applyBorder="1" applyAlignment="1" applyProtection="1">
      <alignment horizontal="right"/>
      <protection locked="0"/>
    </xf>
    <xf numFmtId="0" fontId="28" fillId="0" borderId="11" xfId="0" applyFont="1" applyBorder="1" applyAlignment="1">
      <alignment horizontal="center"/>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14" fontId="28" fillId="5" borderId="4" xfId="0" applyNumberFormat="1" applyFont="1" applyFill="1" applyBorder="1" applyAlignment="1" applyProtection="1">
      <alignment horizontal="right"/>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2" fontId="0" fillId="0" borderId="6" xfId="0" applyNumberFormat="1" applyBorder="1" applyAlignment="1">
      <alignment horizontal="center"/>
    </xf>
    <xf numFmtId="166" fontId="19"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5" xfId="0" applyBorder="1" applyAlignment="1">
      <alignment horizontal="left"/>
    </xf>
    <xf numFmtId="20" fontId="0" fillId="5" borderId="3" xfId="0" applyNumberFormat="1" applyFill="1" applyBorder="1" applyAlignment="1" applyProtection="1">
      <alignment horizontal="left"/>
      <protection locked="0"/>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168" fontId="28" fillId="0" borderId="11" xfId="0" applyNumberFormat="1" applyFont="1" applyBorder="1" applyAlignment="1">
      <alignment horizontal="center"/>
    </xf>
    <xf numFmtId="49" fontId="0" fillId="5" borderId="6" xfId="0" applyNumberFormat="1"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80" fontId="0" fillId="0" borderId="6" xfId="0" applyNumberForma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168" fontId="19" fillId="0" borderId="3" xfId="0" applyNumberFormat="1" applyFont="1" applyBorder="1" applyAlignment="1">
      <alignment horizontal="left" vertical="top"/>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 fontId="0" fillId="5" borderId="6" xfId="0" applyNumberFormat="1" applyFill="1" applyBorder="1" applyAlignment="1" applyProtection="1">
      <alignment horizontal="left"/>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7"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168" fontId="28" fillId="5" borderId="6" xfId="0" applyNumberFormat="1" applyFont="1" applyFill="1" applyBorder="1" applyAlignment="1" applyProtection="1">
      <alignment horizontal="right"/>
      <protection locked="0"/>
    </xf>
    <xf numFmtId="178" fontId="2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8" fillId="5" borderId="11" xfId="0" applyFont="1" applyFill="1" applyBorder="1" applyAlignment="1" applyProtection="1">
      <alignment horizontal="center"/>
      <protection locked="0"/>
    </xf>
    <xf numFmtId="1" fontId="28" fillId="5" borderId="6" xfId="0" applyNumberFormat="1" applyFont="1" applyFill="1" applyBorder="1" applyAlignment="1" applyProtection="1">
      <alignment horizontal="right"/>
      <protection locked="0"/>
    </xf>
    <xf numFmtId="0" fontId="38" fillId="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4"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0" fontId="28" fillId="0" borderId="11" xfId="0" applyNumberFormat="1" applyFont="1" applyBorder="1" applyAlignment="1">
      <alignment horizontal="center"/>
    </xf>
    <xf numFmtId="3" fontId="0" fillId="0" borderId="6" xfId="0" applyNumberFormat="1" applyBorder="1" applyAlignment="1">
      <alignment horizontal="right"/>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0" fontId="19" fillId="43" borderId="4" xfId="0" applyFont="1" applyFill="1" applyBorder="1" applyAlignment="1" applyProtection="1">
      <alignment horizontal="left" wrapText="1"/>
      <protection locked="0"/>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6" fillId="0" borderId="10" xfId="0" applyFont="1" applyBorder="1" applyAlignment="1">
      <alignment horizontal="center"/>
    </xf>
    <xf numFmtId="3" fontId="2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26493">
    <cellStyle name="20% - Accent1" xfId="1" builtinId="30" customBuiltin="1"/>
    <cellStyle name="20% - Accent1 10" xfId="4504" xr:uid="{00000000-0005-0000-0000-000001000000}"/>
    <cellStyle name="20% - Accent1 10 2" xfId="22270" xr:uid="{01B0C358-4BAA-4BB2-A0EE-2D0C74C0AA2E}"/>
    <cellStyle name="20% - Accent1 10 3" xfId="13830" xr:uid="{72BA6E76-3A3C-425E-9A80-76B5C9F1370C}"/>
    <cellStyle name="20% - Accent1 11" xfId="8758" xr:uid="{2F735C8D-70CB-4E84-A95A-4445894745BC}"/>
    <cellStyle name="20% - Accent1 11 2" xfId="18053" xr:uid="{53F5E9E5-A850-4C10-92D3-76A6D31BF549}"/>
    <cellStyle name="20% - Accent1 12" xfId="9613" xr:uid="{709437B3-27D5-44DE-86DE-8151985D5198}"/>
    <cellStyle name="20% - Accent1 2" xfId="2" xr:uid="{00000000-0005-0000-0000-000002000000}"/>
    <cellStyle name="20% - Accent1 2 10" xfId="8797" xr:uid="{7F4BEAE6-CC35-4B07-89BD-8FC5D6B3D35B}"/>
    <cellStyle name="20% - Accent1 2 10 2" xfId="18054" xr:uid="{65FB0569-245F-40B0-A183-79123B9DD1C5}"/>
    <cellStyle name="20% - Accent1 2 11" xfId="9614" xr:uid="{A62DAAA1-3E42-4460-979F-50C4F4E26AA4}"/>
    <cellStyle name="20% - Accent1 2 2" xfId="3" xr:uid="{00000000-0005-0000-0000-000003000000}"/>
    <cellStyle name="20% - Accent1 2 2 10" xfId="9615" xr:uid="{79A5A30C-F1C3-4926-BC0F-F9A17607F505}"/>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24832" xr:uid="{CE0344ED-D4CA-4ED2-8A99-1602F9340503}"/>
    <cellStyle name="20% - Accent1 2 2 2 2 2 2 3" xfId="16392" xr:uid="{C6743A94-E769-48FF-92D3-B57F3F852A6C}"/>
    <cellStyle name="20% - Accent1 2 2 2 2 2 3" xfId="20615" xr:uid="{92F1EDD6-8D4B-4275-A731-5E2EDC6BB40E}"/>
    <cellStyle name="20% - Accent1 2 2 2 2 2 4" xfId="12175" xr:uid="{4C036E00-8041-44A8-8C04-119887BC323E}"/>
    <cellStyle name="20% - Accent1 2 2 2 2 3" xfId="4921" xr:uid="{00000000-0005-0000-0000-000008000000}"/>
    <cellStyle name="20% - Accent1 2 2 2 2 3 2" xfId="22687" xr:uid="{56E948B1-56A3-4E71-8AF3-29C4906A7F22}"/>
    <cellStyle name="20% - Accent1 2 2 2 2 3 3" xfId="14247" xr:uid="{EA9E28C2-FA5A-4BD9-A59C-AD4812F15078}"/>
    <cellStyle name="20% - Accent1 2 2 2 2 4" xfId="9532" xr:uid="{D5FAB462-C5A9-4306-AA37-C118C84F9393}"/>
    <cellStyle name="20% - Accent1 2 2 2 2 4 2" xfId="18470" xr:uid="{19F09DE6-F24B-4E8B-900A-FCB99D4886E9}"/>
    <cellStyle name="20% - Accent1 2 2 2 2 5" xfId="10030" xr:uid="{8DF1E221-980F-4EE8-8564-44FDC7BFDFFB}"/>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25245" xr:uid="{9025EB90-971A-4D5E-BB29-F885027224C7}"/>
    <cellStyle name="20% - Accent1 2 2 2 3 2 2 3" xfId="16805" xr:uid="{72427617-A16B-4764-AFF3-C57335AAC52A}"/>
    <cellStyle name="20% - Accent1 2 2 2 3 2 3" xfId="21028" xr:uid="{BD13B53B-75E3-4A79-9103-86DF311A080F}"/>
    <cellStyle name="20% - Accent1 2 2 2 3 2 4" xfId="12588" xr:uid="{47C318DF-42FE-494F-AEC4-907F2CC60A71}"/>
    <cellStyle name="20% - Accent1 2 2 2 3 3" xfId="5334" xr:uid="{00000000-0005-0000-0000-00000C000000}"/>
    <cellStyle name="20% - Accent1 2 2 2 3 3 2" xfId="23100" xr:uid="{312E7EDD-8E68-4279-80CA-71EA587A2007}"/>
    <cellStyle name="20% - Accent1 2 2 2 3 3 3" xfId="14660" xr:uid="{FB1A2F23-898C-4FF6-99C1-55ADDE9745C4}"/>
    <cellStyle name="20% - Accent1 2 2 2 3 4" xfId="18883" xr:uid="{8573024B-7C91-4C9A-9351-2CB4278A177E}"/>
    <cellStyle name="20% - Accent1 2 2 2 3 5" xfId="10443" xr:uid="{75A68897-5023-4640-8884-DA0D8A90585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25658" xr:uid="{CC3E7A9B-B9EF-4814-AE2D-DAF45387F4DE}"/>
    <cellStyle name="20% - Accent1 2 2 2 4 2 2 3" xfId="17218" xr:uid="{2D9D6EA5-692C-4186-B862-A9C21AD4C3E4}"/>
    <cellStyle name="20% - Accent1 2 2 2 4 2 3" xfId="21441" xr:uid="{DC249A72-A318-44C1-9E97-27C5B55777AC}"/>
    <cellStyle name="20% - Accent1 2 2 2 4 2 4" xfId="13001" xr:uid="{0A68E522-E5EC-4E7C-A724-A368EDF1BD5C}"/>
    <cellStyle name="20% - Accent1 2 2 2 4 3" xfId="5747" xr:uid="{00000000-0005-0000-0000-000010000000}"/>
    <cellStyle name="20% - Accent1 2 2 2 4 3 2" xfId="23513" xr:uid="{07237DF0-0044-4CCB-B599-D2E02629D68D}"/>
    <cellStyle name="20% - Accent1 2 2 2 4 3 3" xfId="15073" xr:uid="{8AC2FD9C-5A77-4571-8DC4-D38FB0183960}"/>
    <cellStyle name="20% - Accent1 2 2 2 4 4" xfId="19296" xr:uid="{EF61417F-71E6-453C-975F-10062E1A8BD6}"/>
    <cellStyle name="20% - Accent1 2 2 2 4 5" xfId="10856" xr:uid="{0E188005-EAC0-4134-8073-6F3451F3018D}"/>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26071" xr:uid="{BE6D4EEF-EA2B-47C8-94F2-2FD5E74782BA}"/>
    <cellStyle name="20% - Accent1 2 2 2 5 2 2 3" xfId="17631" xr:uid="{E0B84BD7-33D7-4312-8E74-B5D7E3506B8D}"/>
    <cellStyle name="20% - Accent1 2 2 2 5 2 3" xfId="21854" xr:uid="{98A34EBD-8BED-423A-9CFF-B844318933AC}"/>
    <cellStyle name="20% - Accent1 2 2 2 5 2 4" xfId="13414" xr:uid="{F703E28E-D89F-4609-A908-381191B6AD8C}"/>
    <cellStyle name="20% - Accent1 2 2 2 5 3" xfId="6160" xr:uid="{00000000-0005-0000-0000-000014000000}"/>
    <cellStyle name="20% - Accent1 2 2 2 5 3 2" xfId="23926" xr:uid="{467B0F6D-69D1-4FA9-80B6-F228051D80E4}"/>
    <cellStyle name="20% - Accent1 2 2 2 5 3 3" xfId="15486" xr:uid="{BBE5C446-9743-4A09-BA4C-B2026885237F}"/>
    <cellStyle name="20% - Accent1 2 2 2 5 4" xfId="19709" xr:uid="{ED08C065-1D17-4FE3-9F24-015027D4B802}"/>
    <cellStyle name="20% - Accent1 2 2 2 5 5" xfId="11269" xr:uid="{E6D13D33-3524-45BF-B502-0947DECF4F51}"/>
    <cellStyle name="20% - Accent1 2 2 2 6" xfId="2267" xr:uid="{00000000-0005-0000-0000-000015000000}"/>
    <cellStyle name="20% - Accent1 2 2 2 6 2" xfId="6573" xr:uid="{00000000-0005-0000-0000-000016000000}"/>
    <cellStyle name="20% - Accent1 2 2 2 6 2 2" xfId="24339" xr:uid="{BFCB1541-9EDA-4E85-BAD9-B37651A5E614}"/>
    <cellStyle name="20% - Accent1 2 2 2 6 2 3" xfId="15899" xr:uid="{382227B8-CCCD-49E8-A949-C7A7D238A945}"/>
    <cellStyle name="20% - Accent1 2 2 2 6 3" xfId="20122" xr:uid="{32818870-BDBE-453A-9B80-335507E11E14}"/>
    <cellStyle name="20% - Accent1 2 2 2 6 4" xfId="11682" xr:uid="{4FDB9530-CD18-4837-BC53-8F1D74498483}"/>
    <cellStyle name="20% - Accent1 2 2 2 7" xfId="4507" xr:uid="{00000000-0005-0000-0000-000017000000}"/>
    <cellStyle name="20% - Accent1 2 2 2 7 2" xfId="22273" xr:uid="{D4BAE117-23F4-470C-A6EE-9CBE1F426319}"/>
    <cellStyle name="20% - Accent1 2 2 2 7 3" xfId="13833" xr:uid="{55E40092-C0F6-4621-8AA7-25DC39CE0AF8}"/>
    <cellStyle name="20% - Accent1 2 2 2 8" xfId="9107" xr:uid="{4168D01E-823F-4E8F-9A1D-70697AC1F241}"/>
    <cellStyle name="20% - Accent1 2 2 2 8 2" xfId="18056" xr:uid="{3DFCB108-1D56-44E1-B7CD-A335325A88C8}"/>
    <cellStyle name="20% - Accent1 2 2 2 9" xfId="9616" xr:uid="{FC05809E-5D59-443D-B660-6BA6949BBA5F}"/>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24831" xr:uid="{86203518-BFE7-4E6B-BEFD-3DAC37D34CF8}"/>
    <cellStyle name="20% - Accent1 2 2 3 2 2 3" xfId="16391" xr:uid="{9A1553DD-BD5C-439C-B6B3-82BA4A437CA7}"/>
    <cellStyle name="20% - Accent1 2 2 3 2 3" xfId="20614" xr:uid="{3943BAC7-E921-493E-8B5C-E8DAEB2E1324}"/>
    <cellStyle name="20% - Accent1 2 2 3 2 4" xfId="12174" xr:uid="{8D380B64-45DD-49E9-A6FD-8E8C4E077328}"/>
    <cellStyle name="20% - Accent1 2 2 3 3" xfId="4920" xr:uid="{00000000-0005-0000-0000-00001B000000}"/>
    <cellStyle name="20% - Accent1 2 2 3 3 2" xfId="22686" xr:uid="{40BC5EB7-CE3D-4C81-B3F1-6A2D7D7435CA}"/>
    <cellStyle name="20% - Accent1 2 2 3 3 3" xfId="14246" xr:uid="{E1E87C5B-1DCA-48CF-B169-190C6CAB2794}"/>
    <cellStyle name="20% - Accent1 2 2 3 4" xfId="9325" xr:uid="{DE19910B-698B-4F31-B25F-3533B35DDA95}"/>
    <cellStyle name="20% - Accent1 2 2 3 4 2" xfId="18469" xr:uid="{F9CE88FD-8F1B-437A-939A-B3B75BC3477A}"/>
    <cellStyle name="20% - Accent1 2 2 3 5" xfId="10029" xr:uid="{C13210A2-A77E-4735-A346-28F54A7661A7}"/>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25244" xr:uid="{BF100D9E-797A-477C-BA79-651727133DCA}"/>
    <cellStyle name="20% - Accent1 2 2 4 2 2 3" xfId="16804" xr:uid="{D0FBB576-A32C-4E40-AC96-53770DC53E61}"/>
    <cellStyle name="20% - Accent1 2 2 4 2 3" xfId="21027" xr:uid="{59602765-931F-4931-AB04-943CAA488F8F}"/>
    <cellStyle name="20% - Accent1 2 2 4 2 4" xfId="12587" xr:uid="{A6EDC401-D4E0-4A2C-9BFB-28C97737AE29}"/>
    <cellStyle name="20% - Accent1 2 2 4 3" xfId="5333" xr:uid="{00000000-0005-0000-0000-00001F000000}"/>
    <cellStyle name="20% - Accent1 2 2 4 3 2" xfId="23099" xr:uid="{1ACEA8C9-9BCF-4F9E-ACE0-229074B6E414}"/>
    <cellStyle name="20% - Accent1 2 2 4 3 3" xfId="14659" xr:uid="{475A2655-7864-4A16-8C50-B67E50C8D118}"/>
    <cellStyle name="20% - Accent1 2 2 4 4" xfId="18882" xr:uid="{909FF875-5F8D-4C9F-9B3A-8E00E9DBA71B}"/>
    <cellStyle name="20% - Accent1 2 2 4 5" xfId="10442" xr:uid="{F228E06D-0D5A-4C27-8F3A-4055EE40E10A}"/>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25657" xr:uid="{3837AE7D-8488-4A92-8EC9-BEC529E61E61}"/>
    <cellStyle name="20% - Accent1 2 2 5 2 2 3" xfId="17217" xr:uid="{6D05DA31-5C45-4D5A-8054-E394B5666B37}"/>
    <cellStyle name="20% - Accent1 2 2 5 2 3" xfId="21440" xr:uid="{DF3D3136-888D-4D56-9BD9-8FBA6112EFED}"/>
    <cellStyle name="20% - Accent1 2 2 5 2 4" xfId="13000" xr:uid="{70BD9C21-1A36-448D-A0B3-48899751381D}"/>
    <cellStyle name="20% - Accent1 2 2 5 3" xfId="5746" xr:uid="{00000000-0005-0000-0000-000023000000}"/>
    <cellStyle name="20% - Accent1 2 2 5 3 2" xfId="23512" xr:uid="{E95612E8-06DC-4EFA-AE9C-513731883F14}"/>
    <cellStyle name="20% - Accent1 2 2 5 3 3" xfId="15072" xr:uid="{FC0B3CFE-FA73-4DCC-80B2-1AF15E19879A}"/>
    <cellStyle name="20% - Accent1 2 2 5 4" xfId="19295" xr:uid="{4ED0E54F-91B3-4033-96FD-5E704E853B35}"/>
    <cellStyle name="20% - Accent1 2 2 5 5" xfId="10855" xr:uid="{13D4C01F-A0F4-480C-AFE7-CEF749266401}"/>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26070" xr:uid="{5D71F99A-6BCF-4ED0-BDC6-62EF8D19D5DF}"/>
    <cellStyle name="20% - Accent1 2 2 6 2 2 3" xfId="17630" xr:uid="{342067D0-3DE5-4A51-897C-EBDDD8130583}"/>
    <cellStyle name="20% - Accent1 2 2 6 2 3" xfId="21853" xr:uid="{F0871A5D-4332-4F6E-9F88-C8420CCC84A8}"/>
    <cellStyle name="20% - Accent1 2 2 6 2 4" xfId="13413" xr:uid="{80755EAA-AEFF-4B5D-9C22-4C8E4189B787}"/>
    <cellStyle name="20% - Accent1 2 2 6 3" xfId="6159" xr:uid="{00000000-0005-0000-0000-000027000000}"/>
    <cellStyle name="20% - Accent1 2 2 6 3 2" xfId="23925" xr:uid="{E8687C16-EDA5-471A-A071-2827BB3FA5E0}"/>
    <cellStyle name="20% - Accent1 2 2 6 3 3" xfId="15485" xr:uid="{B6B1960C-628F-41A9-AE57-6B35BC6E081B}"/>
    <cellStyle name="20% - Accent1 2 2 6 4" xfId="19708" xr:uid="{BC944214-B084-4292-AA44-9B88015B83EB}"/>
    <cellStyle name="20% - Accent1 2 2 6 5" xfId="11268" xr:uid="{D775C98E-3020-4910-8450-27910A7384D0}"/>
    <cellStyle name="20% - Accent1 2 2 7" xfId="2266" xr:uid="{00000000-0005-0000-0000-000028000000}"/>
    <cellStyle name="20% - Accent1 2 2 7 2" xfId="6572" xr:uid="{00000000-0005-0000-0000-000029000000}"/>
    <cellStyle name="20% - Accent1 2 2 7 2 2" xfId="24338" xr:uid="{74E15727-638E-4911-A2AC-C1DD2BDB4397}"/>
    <cellStyle name="20% - Accent1 2 2 7 2 3" xfId="15898" xr:uid="{886195CA-EA74-449B-BB52-094D3D30F4DF}"/>
    <cellStyle name="20% - Accent1 2 2 7 3" xfId="20121" xr:uid="{B3745853-E410-4101-8794-4C7B2616F1D5}"/>
    <cellStyle name="20% - Accent1 2 2 7 4" xfId="11681" xr:uid="{D37AF878-3F3C-4208-AE78-FD5D40870816}"/>
    <cellStyle name="20% - Accent1 2 2 8" xfId="4506" xr:uid="{00000000-0005-0000-0000-00002A000000}"/>
    <cellStyle name="20% - Accent1 2 2 8 2" xfId="22272" xr:uid="{28A1DFDD-F399-4768-9B87-5CB156577274}"/>
    <cellStyle name="20% - Accent1 2 2 8 3" xfId="13832" xr:uid="{7BAC161A-2824-4FE7-A8F6-5C4ED7CBA9C0}"/>
    <cellStyle name="20% - Accent1 2 2 9" xfId="8900" xr:uid="{7D7E3EAF-DF6A-403F-8C20-66BB9757790F}"/>
    <cellStyle name="20% - Accent1 2 2 9 2" xfId="18055" xr:uid="{4D2D58EC-4324-469F-BAAE-1CD9F44B5A13}"/>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24833" xr:uid="{F94B2465-A09E-4C09-BF36-CB8CBD9B1608}"/>
    <cellStyle name="20% - Accent1 2 3 2 2 2 3" xfId="16393" xr:uid="{FB4788C1-E06E-415E-BC28-858680DB5F95}"/>
    <cellStyle name="20% - Accent1 2 3 2 2 3" xfId="20616" xr:uid="{2C2C2C9E-92D3-4CF8-8266-8F101CC9D245}"/>
    <cellStyle name="20% - Accent1 2 3 2 2 4" xfId="12176" xr:uid="{96836B35-BF9F-4347-BE31-E3CF535F6A92}"/>
    <cellStyle name="20% - Accent1 2 3 2 3" xfId="4922" xr:uid="{00000000-0005-0000-0000-00002F000000}"/>
    <cellStyle name="20% - Accent1 2 3 2 3 2" xfId="22688" xr:uid="{E3E54463-C8D5-4693-9FB3-62023F747C7D}"/>
    <cellStyle name="20% - Accent1 2 3 2 3 3" xfId="14248" xr:uid="{CC280A4D-7EA6-4E38-B65E-FE56AC053B25}"/>
    <cellStyle name="20% - Accent1 2 3 2 4" xfId="9429" xr:uid="{CCD4BD61-3143-497B-A316-8024A8762A6C}"/>
    <cellStyle name="20% - Accent1 2 3 2 4 2" xfId="18471" xr:uid="{792C058F-D572-4B3B-A117-5917B699206B}"/>
    <cellStyle name="20% - Accent1 2 3 2 5" xfId="10031" xr:uid="{2CA9E3A0-9E72-4348-8C5F-4612078B4E7A}"/>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25246" xr:uid="{2A51C3ED-5727-4390-9190-9BAC53C80F03}"/>
    <cellStyle name="20% - Accent1 2 3 3 2 2 3" xfId="16806" xr:uid="{F3D1FD33-4D01-4060-9E34-26E736116D2E}"/>
    <cellStyle name="20% - Accent1 2 3 3 2 3" xfId="21029" xr:uid="{EAFB9EE2-6F51-4380-BD67-5645B07EB1C2}"/>
    <cellStyle name="20% - Accent1 2 3 3 2 4" xfId="12589" xr:uid="{7CE5AE55-AD7F-441F-A40F-E79CB795BACE}"/>
    <cellStyle name="20% - Accent1 2 3 3 3" xfId="5335" xr:uid="{00000000-0005-0000-0000-000033000000}"/>
    <cellStyle name="20% - Accent1 2 3 3 3 2" xfId="23101" xr:uid="{A728A8B3-4084-4218-A856-79CA9CC0FDE4}"/>
    <cellStyle name="20% - Accent1 2 3 3 3 3" xfId="14661" xr:uid="{5240A9B6-C29E-48CE-B265-1B24F964FEB3}"/>
    <cellStyle name="20% - Accent1 2 3 3 4" xfId="18884" xr:uid="{AC7E2899-7D9F-42FC-92D1-E9B7B60FC799}"/>
    <cellStyle name="20% - Accent1 2 3 3 5" xfId="10444" xr:uid="{2760B1CA-B6BD-450C-94D0-900BCAD44FE3}"/>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25659" xr:uid="{71D8C1B6-8DED-4511-8CA5-219EB878BC47}"/>
    <cellStyle name="20% - Accent1 2 3 4 2 2 3" xfId="17219" xr:uid="{4DDE2EED-6E2D-440E-960B-204A15A64979}"/>
    <cellStyle name="20% - Accent1 2 3 4 2 3" xfId="21442" xr:uid="{05E9EF48-C417-4DAF-A1E6-A8D3C7EB5206}"/>
    <cellStyle name="20% - Accent1 2 3 4 2 4" xfId="13002" xr:uid="{56AC2B05-09CF-4E34-8619-3931CC093DE1}"/>
    <cellStyle name="20% - Accent1 2 3 4 3" xfId="5748" xr:uid="{00000000-0005-0000-0000-000037000000}"/>
    <cellStyle name="20% - Accent1 2 3 4 3 2" xfId="23514" xr:uid="{0300E344-19A8-43BF-AF0A-4AA9928BA7E5}"/>
    <cellStyle name="20% - Accent1 2 3 4 3 3" xfId="15074" xr:uid="{C26CC9A3-CA5D-45C6-81A7-B14E63E1061D}"/>
    <cellStyle name="20% - Accent1 2 3 4 4" xfId="19297" xr:uid="{DCE1AAD9-1B91-4938-BF94-5ED492BFA6B3}"/>
    <cellStyle name="20% - Accent1 2 3 4 5" xfId="10857" xr:uid="{4466FA2D-EC69-4E15-8414-4555C0114028}"/>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26072" xr:uid="{1255DBA3-A4B3-4F43-95C0-B693DDC897B2}"/>
    <cellStyle name="20% - Accent1 2 3 5 2 2 3" xfId="17632" xr:uid="{67CE18F2-978B-41AB-8300-3E1106BC1CC8}"/>
    <cellStyle name="20% - Accent1 2 3 5 2 3" xfId="21855" xr:uid="{45F6DB36-E23F-4DBB-9A25-1700BC2DF113}"/>
    <cellStyle name="20% - Accent1 2 3 5 2 4" xfId="13415" xr:uid="{25371168-59E8-47E1-9B4E-9B5DBB093EC9}"/>
    <cellStyle name="20% - Accent1 2 3 5 3" xfId="6161" xr:uid="{00000000-0005-0000-0000-00003B000000}"/>
    <cellStyle name="20% - Accent1 2 3 5 3 2" xfId="23927" xr:uid="{1AA7E3E2-7F62-4225-8B22-515DD88E812D}"/>
    <cellStyle name="20% - Accent1 2 3 5 3 3" xfId="15487" xr:uid="{FED6ABAC-622E-42F5-B739-47898B30E6F6}"/>
    <cellStyle name="20% - Accent1 2 3 5 4" xfId="19710" xr:uid="{263390DF-C5E6-4C12-8C55-AC7E53079B6C}"/>
    <cellStyle name="20% - Accent1 2 3 5 5" xfId="11270" xr:uid="{05F35505-690F-49D0-82B2-F5E2DC48DB8A}"/>
    <cellStyle name="20% - Accent1 2 3 6" xfId="2268" xr:uid="{00000000-0005-0000-0000-00003C000000}"/>
    <cellStyle name="20% - Accent1 2 3 6 2" xfId="6574" xr:uid="{00000000-0005-0000-0000-00003D000000}"/>
    <cellStyle name="20% - Accent1 2 3 6 2 2" xfId="24340" xr:uid="{1FEDA704-C41E-48B9-99FF-692FEBED3A65}"/>
    <cellStyle name="20% - Accent1 2 3 6 2 3" xfId="15900" xr:uid="{A22F5408-609B-4996-9302-5618E6B6F5D5}"/>
    <cellStyle name="20% - Accent1 2 3 6 3" xfId="20123" xr:uid="{199D38B8-8DC7-4E5B-AE5D-7A2C5A9C8844}"/>
    <cellStyle name="20% - Accent1 2 3 6 4" xfId="11683" xr:uid="{CCF3BD60-D613-4DEF-B1D4-3359EC77803B}"/>
    <cellStyle name="20% - Accent1 2 3 7" xfId="4508" xr:uid="{00000000-0005-0000-0000-00003E000000}"/>
    <cellStyle name="20% - Accent1 2 3 7 2" xfId="22274" xr:uid="{87273D87-6D39-483C-88DC-8F4938F33E85}"/>
    <cellStyle name="20% - Accent1 2 3 7 3" xfId="13834" xr:uid="{A46F0BEB-BC7E-44C2-B07F-06E87F4554C0}"/>
    <cellStyle name="20% - Accent1 2 3 8" xfId="9004" xr:uid="{14A9C135-BB7B-44DD-97E1-B6B10773DEE2}"/>
    <cellStyle name="20% - Accent1 2 3 8 2" xfId="18057" xr:uid="{FE25CF2D-2B2C-47B2-A2EC-B50535B86FD2}"/>
    <cellStyle name="20% - Accent1 2 3 9" xfId="9617" xr:uid="{FBE9E0C0-F7F6-4818-A077-121E1B369F27}"/>
    <cellStyle name="20% - Accent1 2 4" xfId="571" xr:uid="{00000000-0005-0000-0000-00003F000000}"/>
    <cellStyle name="20% - Accent1 2 4 2" xfId="2842" xr:uid="{00000000-0005-0000-0000-000040000000}"/>
    <cellStyle name="20% - Accent1 2 4 2 2" xfId="7064" xr:uid="{00000000-0005-0000-0000-000041000000}"/>
    <cellStyle name="20% - Accent1 2 4 2 2 2" xfId="24830" xr:uid="{58C0B464-5A8B-4285-9597-95D4F474B3B7}"/>
    <cellStyle name="20% - Accent1 2 4 2 2 3" xfId="16390" xr:uid="{F1C6AD0F-72FC-4999-9C34-4C0F022E706D}"/>
    <cellStyle name="20% - Accent1 2 4 2 3" xfId="20613" xr:uid="{95775BE5-C6B0-40CB-86CF-2665E31DC52E}"/>
    <cellStyle name="20% - Accent1 2 4 2 4" xfId="12173" xr:uid="{3F15536C-B440-482C-905B-9C1C69E0D6FE}"/>
    <cellStyle name="20% - Accent1 2 4 3" xfId="4919" xr:uid="{00000000-0005-0000-0000-000042000000}"/>
    <cellStyle name="20% - Accent1 2 4 3 2" xfId="22685" xr:uid="{BFDD7219-6731-4B20-8211-1CD78B093E86}"/>
    <cellStyle name="20% - Accent1 2 4 3 3" xfId="14245" xr:uid="{E78970EA-24D4-4D11-A804-2B1527138EC5}"/>
    <cellStyle name="20% - Accent1 2 4 4" xfId="9221" xr:uid="{11532E3F-E59C-4FF7-9F45-291A17A69435}"/>
    <cellStyle name="20% - Accent1 2 4 4 2" xfId="18468" xr:uid="{CAA23814-7698-430A-A502-181F72ED0715}"/>
    <cellStyle name="20% - Accent1 2 4 5" xfId="10028" xr:uid="{6BD8426E-7A5B-49B5-8DA2-6D40A5721DA6}"/>
    <cellStyle name="20% - Accent1 2 5" xfId="1024" xr:uid="{00000000-0005-0000-0000-000043000000}"/>
    <cellStyle name="20% - Accent1 2 5 2" xfId="3255" xr:uid="{00000000-0005-0000-0000-000044000000}"/>
    <cellStyle name="20% - Accent1 2 5 2 2" xfId="7477" xr:uid="{00000000-0005-0000-0000-000045000000}"/>
    <cellStyle name="20% - Accent1 2 5 2 2 2" xfId="25243" xr:uid="{374C1656-A3A9-45B8-BC4A-1780A9BBA250}"/>
    <cellStyle name="20% - Accent1 2 5 2 2 3" xfId="16803" xr:uid="{B81E448F-5A4C-4BEB-B9E2-CCA16E019333}"/>
    <cellStyle name="20% - Accent1 2 5 2 3" xfId="21026" xr:uid="{45DC269A-0507-4FD9-A47F-6BBA2352B654}"/>
    <cellStyle name="20% - Accent1 2 5 2 4" xfId="12586" xr:uid="{AB99E518-EF08-47B6-A414-01B71FE0CC52}"/>
    <cellStyle name="20% - Accent1 2 5 3" xfId="5332" xr:uid="{00000000-0005-0000-0000-000046000000}"/>
    <cellStyle name="20% - Accent1 2 5 3 2" xfId="23098" xr:uid="{79299CEA-8110-4C44-BC18-EE67F8B84D22}"/>
    <cellStyle name="20% - Accent1 2 5 3 3" xfId="14658" xr:uid="{4FA3B14A-2C53-492C-8E6B-EAAE544CA700}"/>
    <cellStyle name="20% - Accent1 2 5 4" xfId="18881" xr:uid="{DDB3ED74-3588-4F13-9097-F31BD22F395C}"/>
    <cellStyle name="20% - Accent1 2 5 5" xfId="10441" xr:uid="{43E9E916-9C3A-4C85-8AC6-6D916324865C}"/>
    <cellStyle name="20% - Accent1 2 6" xfId="1438" xr:uid="{00000000-0005-0000-0000-000047000000}"/>
    <cellStyle name="20% - Accent1 2 6 2" xfId="3668" xr:uid="{00000000-0005-0000-0000-000048000000}"/>
    <cellStyle name="20% - Accent1 2 6 2 2" xfId="7890" xr:uid="{00000000-0005-0000-0000-000049000000}"/>
    <cellStyle name="20% - Accent1 2 6 2 2 2" xfId="25656" xr:uid="{CD11FBAD-4F20-4D22-AAEC-E36345BBB42E}"/>
    <cellStyle name="20% - Accent1 2 6 2 2 3" xfId="17216" xr:uid="{52CEF2E1-0A51-4452-B8A9-3E2D4558C226}"/>
    <cellStyle name="20% - Accent1 2 6 2 3" xfId="21439" xr:uid="{AD4628BB-F38C-4125-940B-2BE9F561607E}"/>
    <cellStyle name="20% - Accent1 2 6 2 4" xfId="12999" xr:uid="{75FB90C9-9D2E-4B84-9C92-BF809688D39B}"/>
    <cellStyle name="20% - Accent1 2 6 3" xfId="5745" xr:uid="{00000000-0005-0000-0000-00004A000000}"/>
    <cellStyle name="20% - Accent1 2 6 3 2" xfId="23511" xr:uid="{8258B443-CD55-463F-89BB-FDCDF60BE5F7}"/>
    <cellStyle name="20% - Accent1 2 6 3 3" xfId="15071" xr:uid="{13B630BA-808D-4A9A-9B9F-A0FB7168F51F}"/>
    <cellStyle name="20% - Accent1 2 6 4" xfId="19294" xr:uid="{0D3C3FB4-7464-4385-AE43-87845360DBC8}"/>
    <cellStyle name="20% - Accent1 2 6 5" xfId="10854" xr:uid="{3698B2E9-8AAA-4108-A604-F285BEFCC218}"/>
    <cellStyle name="20% - Accent1 2 7" xfId="1852" xr:uid="{00000000-0005-0000-0000-00004B000000}"/>
    <cellStyle name="20% - Accent1 2 7 2" xfId="4081" xr:uid="{00000000-0005-0000-0000-00004C000000}"/>
    <cellStyle name="20% - Accent1 2 7 2 2" xfId="8303" xr:uid="{00000000-0005-0000-0000-00004D000000}"/>
    <cellStyle name="20% - Accent1 2 7 2 2 2" xfId="26069" xr:uid="{31668BD2-4854-4D34-9F55-7294F03409A7}"/>
    <cellStyle name="20% - Accent1 2 7 2 2 3" xfId="17629" xr:uid="{A6EDD97D-E27D-4E7E-900B-83A97195E693}"/>
    <cellStyle name="20% - Accent1 2 7 2 3" xfId="21852" xr:uid="{4162EE44-2350-4974-8B76-B5C7468371D0}"/>
    <cellStyle name="20% - Accent1 2 7 2 4" xfId="13412" xr:uid="{2F4C3EE8-3DE2-41CB-B5DC-ECB19520AD59}"/>
    <cellStyle name="20% - Accent1 2 7 3" xfId="6158" xr:uid="{00000000-0005-0000-0000-00004E000000}"/>
    <cellStyle name="20% - Accent1 2 7 3 2" xfId="23924" xr:uid="{0A2D4346-8C45-4DC5-831B-DC9125EC634C}"/>
    <cellStyle name="20% - Accent1 2 7 3 3" xfId="15484" xr:uid="{4C7E9B46-7A50-4F0C-8591-2B3917756726}"/>
    <cellStyle name="20% - Accent1 2 7 4" xfId="19707" xr:uid="{602192D1-1853-4AC3-9C45-6CE03B8F5C50}"/>
    <cellStyle name="20% - Accent1 2 7 5" xfId="11267" xr:uid="{A746A14D-DB8D-4862-AC02-DB1ECC27DFBA}"/>
    <cellStyle name="20% - Accent1 2 8" xfId="2265" xr:uid="{00000000-0005-0000-0000-00004F000000}"/>
    <cellStyle name="20% - Accent1 2 8 2" xfId="6571" xr:uid="{00000000-0005-0000-0000-000050000000}"/>
    <cellStyle name="20% - Accent1 2 8 2 2" xfId="24337" xr:uid="{B6176EF8-CD2B-4C4E-822F-FC7C7226D969}"/>
    <cellStyle name="20% - Accent1 2 8 2 3" xfId="15897" xr:uid="{EA92E079-E0DE-4C3E-BF81-9EDDC66960B5}"/>
    <cellStyle name="20% - Accent1 2 8 3" xfId="20120" xr:uid="{9B73599D-82BF-425F-BD70-4142D8EA5E27}"/>
    <cellStyle name="20% - Accent1 2 8 4" xfId="11680" xr:uid="{3EA97E4C-83D4-4703-BC22-1A19240460C0}"/>
    <cellStyle name="20% - Accent1 2 9" xfId="4505" xr:uid="{00000000-0005-0000-0000-000051000000}"/>
    <cellStyle name="20% - Accent1 2 9 2" xfId="22271" xr:uid="{DC8DC7B9-5149-40C2-9714-A079DBEE0411}"/>
    <cellStyle name="20% - Accent1 2 9 3" xfId="13831" xr:uid="{E9ED791F-6C10-4DF7-AEFE-737C1E8C6FA6}"/>
    <cellStyle name="20% - Accent1 3" xfId="6" xr:uid="{00000000-0005-0000-0000-000052000000}"/>
    <cellStyle name="20% - Accent1 3 10" xfId="9618" xr:uid="{0C3B9C8B-F385-45D3-A80E-1CED45251533}"/>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24835" xr:uid="{42137640-89AC-4BF8-9373-E97F4B4E4A2B}"/>
    <cellStyle name="20% - Accent1 3 2 2 2 2 3" xfId="16395" xr:uid="{450A53E4-4A4E-41A9-8372-4EC824E8C479}"/>
    <cellStyle name="20% - Accent1 3 2 2 2 3" xfId="20618" xr:uid="{0C753B3C-29DD-47A3-9F5A-184647973573}"/>
    <cellStyle name="20% - Accent1 3 2 2 2 4" xfId="12178" xr:uid="{BFC5B02C-B500-42BC-88E3-75AA8EF3D8E2}"/>
    <cellStyle name="20% - Accent1 3 2 2 3" xfId="4924" xr:uid="{00000000-0005-0000-0000-000057000000}"/>
    <cellStyle name="20% - Accent1 3 2 2 3 2" xfId="22690" xr:uid="{FA45635D-1948-4605-87AF-3AC31914CAD2}"/>
    <cellStyle name="20% - Accent1 3 2 2 3 3" xfId="14250" xr:uid="{33255024-2D93-4BDD-91F6-C2999635A633}"/>
    <cellStyle name="20% - Accent1 3 2 2 4" xfId="9493" xr:uid="{FCEFE71D-2A04-4899-B62A-B225DBF7F0BF}"/>
    <cellStyle name="20% - Accent1 3 2 2 4 2" xfId="18473" xr:uid="{006F456F-6653-4F23-A96A-24DE1663A6DD}"/>
    <cellStyle name="20% - Accent1 3 2 2 5" xfId="10033" xr:uid="{6243C2AD-3E88-42D5-916B-01FB5A4488A3}"/>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25248" xr:uid="{FA8B32AD-51D4-4BB4-B5BD-796DCD167A9C}"/>
    <cellStyle name="20% - Accent1 3 2 3 2 2 3" xfId="16808" xr:uid="{C126279B-C458-457D-83A2-FB876A46A8AE}"/>
    <cellStyle name="20% - Accent1 3 2 3 2 3" xfId="21031" xr:uid="{5E1C0E5A-F3B2-4306-B90B-408F0B238E22}"/>
    <cellStyle name="20% - Accent1 3 2 3 2 4" xfId="12591" xr:uid="{0EB5890B-5EB1-4C4B-8DA1-2154CA538645}"/>
    <cellStyle name="20% - Accent1 3 2 3 3" xfId="5337" xr:uid="{00000000-0005-0000-0000-00005B000000}"/>
    <cellStyle name="20% - Accent1 3 2 3 3 2" xfId="23103" xr:uid="{F403AF53-0AE5-4C93-96F9-2F2D05ED4F07}"/>
    <cellStyle name="20% - Accent1 3 2 3 3 3" xfId="14663" xr:uid="{7D885A1B-2E92-4A14-98C0-A73D445F9FB3}"/>
    <cellStyle name="20% - Accent1 3 2 3 4" xfId="18886" xr:uid="{47A1DBE8-E7A4-413D-82AB-415D5C3895B2}"/>
    <cellStyle name="20% - Accent1 3 2 3 5" xfId="10446" xr:uid="{1A3AD290-D6C0-4B44-8303-F319B0CEE47A}"/>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25661" xr:uid="{C52D2F4D-9097-46D6-8D84-839BFDA77DE7}"/>
    <cellStyle name="20% - Accent1 3 2 4 2 2 3" xfId="17221" xr:uid="{A58DA671-2279-41EE-BEFA-6C17151F2BCD}"/>
    <cellStyle name="20% - Accent1 3 2 4 2 3" xfId="21444" xr:uid="{AE49F345-3F93-4E4B-ABA3-EA2F2646DB7C}"/>
    <cellStyle name="20% - Accent1 3 2 4 2 4" xfId="13004" xr:uid="{FAC35897-B9C9-4765-9762-7E3147A09A98}"/>
    <cellStyle name="20% - Accent1 3 2 4 3" xfId="5750" xr:uid="{00000000-0005-0000-0000-00005F000000}"/>
    <cellStyle name="20% - Accent1 3 2 4 3 2" xfId="23516" xr:uid="{894A316D-DFE0-4F8C-8518-BA4B87C12245}"/>
    <cellStyle name="20% - Accent1 3 2 4 3 3" xfId="15076" xr:uid="{DB57B540-6D94-46E5-ACDB-0C9FE3BFCB6F}"/>
    <cellStyle name="20% - Accent1 3 2 4 4" xfId="19299" xr:uid="{0E8765E6-1AB6-4600-A0AF-1656C4CF74CD}"/>
    <cellStyle name="20% - Accent1 3 2 4 5" xfId="10859" xr:uid="{28A2409C-048D-427E-A623-7574AFB35FDB}"/>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26074" xr:uid="{EE44EB14-B4F1-462C-B6D7-286593AD6329}"/>
    <cellStyle name="20% - Accent1 3 2 5 2 2 3" xfId="17634" xr:uid="{DEF34813-1207-4BB6-A806-166D97263D0A}"/>
    <cellStyle name="20% - Accent1 3 2 5 2 3" xfId="21857" xr:uid="{3BA475A8-9FF3-4456-ABC0-4A0AB07F3D8A}"/>
    <cellStyle name="20% - Accent1 3 2 5 2 4" xfId="13417" xr:uid="{68568608-CA0B-4527-98D0-2C6C9020124A}"/>
    <cellStyle name="20% - Accent1 3 2 5 3" xfId="6163" xr:uid="{00000000-0005-0000-0000-000063000000}"/>
    <cellStyle name="20% - Accent1 3 2 5 3 2" xfId="23929" xr:uid="{3E100185-0B63-4993-8976-0D277A7FD064}"/>
    <cellStyle name="20% - Accent1 3 2 5 3 3" xfId="15489" xr:uid="{5F6A1B82-9DAD-4086-9C3C-E33B65CF89CC}"/>
    <cellStyle name="20% - Accent1 3 2 5 4" xfId="19712" xr:uid="{E203EBC6-8517-4826-BC12-5E8F9AFF0DA8}"/>
    <cellStyle name="20% - Accent1 3 2 5 5" xfId="11272" xr:uid="{30CF3B32-385E-48B5-83F2-870A8FA94E79}"/>
    <cellStyle name="20% - Accent1 3 2 6" xfId="2270" xr:uid="{00000000-0005-0000-0000-000064000000}"/>
    <cellStyle name="20% - Accent1 3 2 6 2" xfId="6576" xr:uid="{00000000-0005-0000-0000-000065000000}"/>
    <cellStyle name="20% - Accent1 3 2 6 2 2" xfId="24342" xr:uid="{5646BB09-E2A8-47BE-B843-7A29F35659B1}"/>
    <cellStyle name="20% - Accent1 3 2 6 2 3" xfId="15902" xr:uid="{54D6F0FB-D3AA-498E-B796-AF5AA8F2C1EA}"/>
    <cellStyle name="20% - Accent1 3 2 6 3" xfId="20125" xr:uid="{A55A92E9-DF6F-4FA1-A276-3FA1B972CB7F}"/>
    <cellStyle name="20% - Accent1 3 2 6 4" xfId="11685" xr:uid="{78797BBE-4647-455D-9B8F-8DE9018A1CE4}"/>
    <cellStyle name="20% - Accent1 3 2 7" xfId="4510" xr:uid="{00000000-0005-0000-0000-000066000000}"/>
    <cellStyle name="20% - Accent1 3 2 7 2" xfId="22276" xr:uid="{ECD49C1F-0011-4116-8B22-F62396F72B19}"/>
    <cellStyle name="20% - Accent1 3 2 7 3" xfId="13836" xr:uid="{5CD20FBB-0090-4CD2-907F-F8B419275B8C}"/>
    <cellStyle name="20% - Accent1 3 2 8" xfId="9068" xr:uid="{354460C9-AD38-4FCD-882B-4DFB81DE5890}"/>
    <cellStyle name="20% - Accent1 3 2 8 2" xfId="18059" xr:uid="{9EB65EF0-EBB9-46EE-805D-C74D9EA1A4B2}"/>
    <cellStyle name="20% - Accent1 3 2 9" xfId="9619" xr:uid="{B36217E8-7066-4BEE-89FF-FD39CBACC2E6}"/>
    <cellStyle name="20% - Accent1 3 3" xfId="575" xr:uid="{00000000-0005-0000-0000-000067000000}"/>
    <cellStyle name="20% - Accent1 3 3 2" xfId="2846" xr:uid="{00000000-0005-0000-0000-000068000000}"/>
    <cellStyle name="20% - Accent1 3 3 2 2" xfId="7068" xr:uid="{00000000-0005-0000-0000-000069000000}"/>
    <cellStyle name="20% - Accent1 3 3 2 2 2" xfId="24834" xr:uid="{2732AEB8-FD9C-42F9-9F41-6F7D809A1244}"/>
    <cellStyle name="20% - Accent1 3 3 2 2 3" xfId="16394" xr:uid="{303EE177-F64E-4E53-A873-3375EBEF782C}"/>
    <cellStyle name="20% - Accent1 3 3 2 3" xfId="20617" xr:uid="{A9B0AADB-7992-4039-BBD1-813F56F711C3}"/>
    <cellStyle name="20% - Accent1 3 3 2 4" xfId="12177" xr:uid="{3DABE3B0-FAED-461A-9C3C-22922CB35312}"/>
    <cellStyle name="20% - Accent1 3 3 3" xfId="4923" xr:uid="{00000000-0005-0000-0000-00006A000000}"/>
    <cellStyle name="20% - Accent1 3 3 3 2" xfId="22689" xr:uid="{6E3238B7-53A8-4907-AE1C-8FB35B0E85F6}"/>
    <cellStyle name="20% - Accent1 3 3 3 3" xfId="14249" xr:uid="{A268601D-22DE-443E-9CBF-93D106742996}"/>
    <cellStyle name="20% - Accent1 3 3 4" xfId="9286" xr:uid="{B5220C4B-EBE7-4AD0-9A24-7F16FA378184}"/>
    <cellStyle name="20% - Accent1 3 3 4 2" xfId="18472" xr:uid="{88E40ACC-CDEF-4D55-8067-010C8C8DFA6A}"/>
    <cellStyle name="20% - Accent1 3 3 5" xfId="10032" xr:uid="{E393230E-CA4A-4D22-94AC-940D83AEF808}"/>
    <cellStyle name="20% - Accent1 3 4" xfId="1028" xr:uid="{00000000-0005-0000-0000-00006B000000}"/>
    <cellStyle name="20% - Accent1 3 4 2" xfId="3259" xr:uid="{00000000-0005-0000-0000-00006C000000}"/>
    <cellStyle name="20% - Accent1 3 4 2 2" xfId="7481" xr:uid="{00000000-0005-0000-0000-00006D000000}"/>
    <cellStyle name="20% - Accent1 3 4 2 2 2" xfId="25247" xr:uid="{21E0C5BB-6146-40DB-A815-5E75C17AD1A9}"/>
    <cellStyle name="20% - Accent1 3 4 2 2 3" xfId="16807" xr:uid="{2213CB63-F1FF-4213-8C01-A1E909E86E5E}"/>
    <cellStyle name="20% - Accent1 3 4 2 3" xfId="21030" xr:uid="{0B75EA22-5379-437B-A16E-60D2FF2F2CF4}"/>
    <cellStyle name="20% - Accent1 3 4 2 4" xfId="12590" xr:uid="{A82DA76F-4B24-49E7-BCF3-674994BA7D09}"/>
    <cellStyle name="20% - Accent1 3 4 3" xfId="5336" xr:uid="{00000000-0005-0000-0000-00006E000000}"/>
    <cellStyle name="20% - Accent1 3 4 3 2" xfId="23102" xr:uid="{B923B3E1-752C-490B-BB17-5192164D049B}"/>
    <cellStyle name="20% - Accent1 3 4 3 3" xfId="14662" xr:uid="{69A74FB4-C29F-4F12-888C-62DD1DF219BB}"/>
    <cellStyle name="20% - Accent1 3 4 4" xfId="18885" xr:uid="{0889ABDA-26F2-4388-8EAC-E683CB002583}"/>
    <cellStyle name="20% - Accent1 3 4 5" xfId="10445" xr:uid="{30EBFA45-C716-4D91-9E48-DD1281E43605}"/>
    <cellStyle name="20% - Accent1 3 5" xfId="1442" xr:uid="{00000000-0005-0000-0000-00006F000000}"/>
    <cellStyle name="20% - Accent1 3 5 2" xfId="3672" xr:uid="{00000000-0005-0000-0000-000070000000}"/>
    <cellStyle name="20% - Accent1 3 5 2 2" xfId="7894" xr:uid="{00000000-0005-0000-0000-000071000000}"/>
    <cellStyle name="20% - Accent1 3 5 2 2 2" xfId="25660" xr:uid="{16DFBAAD-8F3C-46C6-A07E-6462F02DC077}"/>
    <cellStyle name="20% - Accent1 3 5 2 2 3" xfId="17220" xr:uid="{97A9584F-8328-4546-B0D1-728FDC1CB77A}"/>
    <cellStyle name="20% - Accent1 3 5 2 3" xfId="21443" xr:uid="{C8AFEABC-4486-4B5D-A829-B5EA854264E9}"/>
    <cellStyle name="20% - Accent1 3 5 2 4" xfId="13003" xr:uid="{24515900-824E-430C-9AE7-E8B1937F5447}"/>
    <cellStyle name="20% - Accent1 3 5 3" xfId="5749" xr:uid="{00000000-0005-0000-0000-000072000000}"/>
    <cellStyle name="20% - Accent1 3 5 3 2" xfId="23515" xr:uid="{F27D3D65-9CBC-472F-9ADC-EDB5BC96D465}"/>
    <cellStyle name="20% - Accent1 3 5 3 3" xfId="15075" xr:uid="{443B1E48-F3BD-4270-A612-8D0FE193C128}"/>
    <cellStyle name="20% - Accent1 3 5 4" xfId="19298" xr:uid="{DFA69F7A-39A0-4B00-B987-17A9B1E455B3}"/>
    <cellStyle name="20% - Accent1 3 5 5" xfId="10858" xr:uid="{432403A3-C6C3-4A74-A1C3-044969EE691C}"/>
    <cellStyle name="20% - Accent1 3 6" xfId="1856" xr:uid="{00000000-0005-0000-0000-000073000000}"/>
    <cellStyle name="20% - Accent1 3 6 2" xfId="4085" xr:uid="{00000000-0005-0000-0000-000074000000}"/>
    <cellStyle name="20% - Accent1 3 6 2 2" xfId="8307" xr:uid="{00000000-0005-0000-0000-000075000000}"/>
    <cellStyle name="20% - Accent1 3 6 2 2 2" xfId="26073" xr:uid="{B9138BFF-682D-47D7-A7D0-794A4A6C1EB2}"/>
    <cellStyle name="20% - Accent1 3 6 2 2 3" xfId="17633" xr:uid="{47D63B25-E48A-40FB-9E6D-FF6BBC13CB7A}"/>
    <cellStyle name="20% - Accent1 3 6 2 3" xfId="21856" xr:uid="{D56DB43C-8506-4B5B-9332-14DEC8130A4A}"/>
    <cellStyle name="20% - Accent1 3 6 2 4" xfId="13416" xr:uid="{850B749F-AE10-4A15-91B3-1C11172CECFD}"/>
    <cellStyle name="20% - Accent1 3 6 3" xfId="6162" xr:uid="{00000000-0005-0000-0000-000076000000}"/>
    <cellStyle name="20% - Accent1 3 6 3 2" xfId="23928" xr:uid="{C96775E7-8B14-4A66-8C4F-97727CDC0F73}"/>
    <cellStyle name="20% - Accent1 3 6 3 3" xfId="15488" xr:uid="{7415305B-2E3B-4907-9602-712FAB3A249A}"/>
    <cellStyle name="20% - Accent1 3 6 4" xfId="19711" xr:uid="{F20113DC-D7BE-4A81-8470-3B8EBA78193B}"/>
    <cellStyle name="20% - Accent1 3 6 5" xfId="11271" xr:uid="{32C16F57-55E3-48B0-A273-8247D24FCC75}"/>
    <cellStyle name="20% - Accent1 3 7" xfId="2269" xr:uid="{00000000-0005-0000-0000-000077000000}"/>
    <cellStyle name="20% - Accent1 3 7 2" xfId="6575" xr:uid="{00000000-0005-0000-0000-000078000000}"/>
    <cellStyle name="20% - Accent1 3 7 2 2" xfId="24341" xr:uid="{95CC45D7-0DCB-4FED-9F0D-C50F2858A34A}"/>
    <cellStyle name="20% - Accent1 3 7 2 3" xfId="15901" xr:uid="{20A0F7EB-F1A4-4EE0-B31E-F69D355536DC}"/>
    <cellStyle name="20% - Accent1 3 7 3" xfId="20124" xr:uid="{136D3BFF-40A1-4A14-B641-BFC6CA42C0B4}"/>
    <cellStyle name="20% - Accent1 3 7 4" xfId="11684" xr:uid="{6A9166BB-944B-4F3F-80B5-13499A1BAD44}"/>
    <cellStyle name="20% - Accent1 3 8" xfId="4509" xr:uid="{00000000-0005-0000-0000-000079000000}"/>
    <cellStyle name="20% - Accent1 3 8 2" xfId="22275" xr:uid="{6EB7BDD7-C1CB-421D-B52D-59ACA340E137}"/>
    <cellStyle name="20% - Accent1 3 8 3" xfId="13835" xr:uid="{0B663A6D-7E4A-4A57-8BAD-86F329D1525F}"/>
    <cellStyle name="20% - Accent1 3 9" xfId="8861" xr:uid="{C1B75176-75E3-4E31-86A7-851E7FD67A9E}"/>
    <cellStyle name="20% - Accent1 3 9 2" xfId="18058" xr:uid="{2A02B838-5A1E-4748-BAE2-4ABCD0010794}"/>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24836" xr:uid="{2057983F-D229-445F-BED2-878383FC524B}"/>
    <cellStyle name="20% - Accent1 4 2 2 2 3" xfId="16396" xr:uid="{742077FC-9FD4-4EF4-A56F-E7FB106D83DF}"/>
    <cellStyle name="20% - Accent1 4 2 2 3" xfId="20619" xr:uid="{F74051FE-8A70-480A-B983-A09F47F32EAA}"/>
    <cellStyle name="20% - Accent1 4 2 2 4" xfId="12179" xr:uid="{BA42E854-8167-4F5A-BC6D-B15297E1B490}"/>
    <cellStyle name="20% - Accent1 4 2 3" xfId="4925" xr:uid="{00000000-0005-0000-0000-00007E000000}"/>
    <cellStyle name="20% - Accent1 4 2 3 2" xfId="22691" xr:uid="{2F62F173-F6E8-43CC-8C72-9DF10D12A470}"/>
    <cellStyle name="20% - Accent1 4 2 3 3" xfId="14251" xr:uid="{E3309EFB-F0D5-47CE-80F7-AAB802413DCA}"/>
    <cellStyle name="20% - Accent1 4 2 4" xfId="9372" xr:uid="{E6B08341-6F7D-4580-9BCF-4BFC252FAE31}"/>
    <cellStyle name="20% - Accent1 4 2 4 2" xfId="18474" xr:uid="{39119972-D30F-4AA7-AB42-41BA7C284636}"/>
    <cellStyle name="20% - Accent1 4 2 5" xfId="10034" xr:uid="{79C53CA8-7539-46A2-BA60-53985A22B48A}"/>
    <cellStyle name="20% - Accent1 4 3" xfId="1030" xr:uid="{00000000-0005-0000-0000-00007F000000}"/>
    <cellStyle name="20% - Accent1 4 3 2" xfId="3261" xr:uid="{00000000-0005-0000-0000-000080000000}"/>
    <cellStyle name="20% - Accent1 4 3 2 2" xfId="7483" xr:uid="{00000000-0005-0000-0000-000081000000}"/>
    <cellStyle name="20% - Accent1 4 3 2 2 2" xfId="25249" xr:uid="{EC9E7652-F3E3-4F74-AA14-5DBB770974A0}"/>
    <cellStyle name="20% - Accent1 4 3 2 2 3" xfId="16809" xr:uid="{DF567FF3-5C94-4951-BE5B-ABEEB562CD9B}"/>
    <cellStyle name="20% - Accent1 4 3 2 3" xfId="21032" xr:uid="{28CCA8A0-6FD0-488C-83FD-A83A556115F0}"/>
    <cellStyle name="20% - Accent1 4 3 2 4" xfId="12592" xr:uid="{B29C084F-2151-4C8C-93C7-5A8EB78A20F5}"/>
    <cellStyle name="20% - Accent1 4 3 3" xfId="5338" xr:uid="{00000000-0005-0000-0000-000082000000}"/>
    <cellStyle name="20% - Accent1 4 3 3 2" xfId="23104" xr:uid="{1A04E608-A6DB-4E19-A901-F99364012A55}"/>
    <cellStyle name="20% - Accent1 4 3 3 3" xfId="14664" xr:uid="{0033A050-5D66-4F6F-8C74-2EE3FFB4AFB4}"/>
    <cellStyle name="20% - Accent1 4 3 4" xfId="18887" xr:uid="{0A0EE151-0A6E-4273-8F7F-3D3EE521D881}"/>
    <cellStyle name="20% - Accent1 4 3 5" xfId="10447" xr:uid="{523545EF-3CF6-43CE-87D0-C1E3809A7879}"/>
    <cellStyle name="20% - Accent1 4 4" xfId="1444" xr:uid="{00000000-0005-0000-0000-000083000000}"/>
    <cellStyle name="20% - Accent1 4 4 2" xfId="3674" xr:uid="{00000000-0005-0000-0000-000084000000}"/>
    <cellStyle name="20% - Accent1 4 4 2 2" xfId="7896" xr:uid="{00000000-0005-0000-0000-000085000000}"/>
    <cellStyle name="20% - Accent1 4 4 2 2 2" xfId="25662" xr:uid="{4B59CA01-B6BB-4312-ABD4-3E5238FDA5F9}"/>
    <cellStyle name="20% - Accent1 4 4 2 2 3" xfId="17222" xr:uid="{E488D470-52A7-4ED2-B478-04A6D82529A1}"/>
    <cellStyle name="20% - Accent1 4 4 2 3" xfId="21445" xr:uid="{2F38B5D4-24FD-41AC-9B92-F1CDCC153E5E}"/>
    <cellStyle name="20% - Accent1 4 4 2 4" xfId="13005" xr:uid="{EDA50C6E-27C1-428D-81B2-0ACD53D352FC}"/>
    <cellStyle name="20% - Accent1 4 4 3" xfId="5751" xr:uid="{00000000-0005-0000-0000-000086000000}"/>
    <cellStyle name="20% - Accent1 4 4 3 2" xfId="23517" xr:uid="{E9CC7144-FC27-4AAA-B2E4-1254CF733595}"/>
    <cellStyle name="20% - Accent1 4 4 3 3" xfId="15077" xr:uid="{5C1093E4-9420-4AD7-86C4-F34997E9FD03}"/>
    <cellStyle name="20% - Accent1 4 4 4" xfId="19300" xr:uid="{58085917-A4C7-4DCF-8993-A48CF560AB77}"/>
    <cellStyle name="20% - Accent1 4 4 5" xfId="10860" xr:uid="{2B2520CE-C9FF-4042-B735-EFC1E72F3AA7}"/>
    <cellStyle name="20% - Accent1 4 5" xfId="1858" xr:uid="{00000000-0005-0000-0000-000087000000}"/>
    <cellStyle name="20% - Accent1 4 5 2" xfId="4087" xr:uid="{00000000-0005-0000-0000-000088000000}"/>
    <cellStyle name="20% - Accent1 4 5 2 2" xfId="8309" xr:uid="{00000000-0005-0000-0000-000089000000}"/>
    <cellStyle name="20% - Accent1 4 5 2 2 2" xfId="26075" xr:uid="{FE0ECF0C-D047-43E7-A40D-C29B3A4165F6}"/>
    <cellStyle name="20% - Accent1 4 5 2 2 3" xfId="17635" xr:uid="{F253CD8B-D824-4A18-B4EC-B48484125866}"/>
    <cellStyle name="20% - Accent1 4 5 2 3" xfId="21858" xr:uid="{220831ED-0464-4E84-8E9E-E1DEA6D1ADFD}"/>
    <cellStyle name="20% - Accent1 4 5 2 4" xfId="13418" xr:uid="{D6385419-F56C-49A3-9E64-08B53623F385}"/>
    <cellStyle name="20% - Accent1 4 5 3" xfId="6164" xr:uid="{00000000-0005-0000-0000-00008A000000}"/>
    <cellStyle name="20% - Accent1 4 5 3 2" xfId="23930" xr:uid="{504E7A2F-EE23-42EB-8D44-08CAB69D1887}"/>
    <cellStyle name="20% - Accent1 4 5 3 3" xfId="15490" xr:uid="{6075E1EA-0EE6-497C-A4DD-A2349B7D3746}"/>
    <cellStyle name="20% - Accent1 4 5 4" xfId="19713" xr:uid="{B9C82B7A-7717-49DC-83F0-D3B598FA8AF6}"/>
    <cellStyle name="20% - Accent1 4 5 5" xfId="11273" xr:uid="{706FAEBD-4CA1-459F-8017-5454EEC46FE4}"/>
    <cellStyle name="20% - Accent1 4 6" xfId="2271" xr:uid="{00000000-0005-0000-0000-00008B000000}"/>
    <cellStyle name="20% - Accent1 4 6 2" xfId="6577" xr:uid="{00000000-0005-0000-0000-00008C000000}"/>
    <cellStyle name="20% - Accent1 4 6 2 2" xfId="24343" xr:uid="{D5BB11F6-A4DD-4BB8-BA92-AD2615C3AFE6}"/>
    <cellStyle name="20% - Accent1 4 6 2 3" xfId="15903" xr:uid="{0892197F-AC0D-4A3B-9CA4-B7C744CF6018}"/>
    <cellStyle name="20% - Accent1 4 6 3" xfId="20126" xr:uid="{AF732BA8-C29D-42BC-A0EF-B57D49757280}"/>
    <cellStyle name="20% - Accent1 4 6 4" xfId="11686" xr:uid="{1D06D167-5360-4115-9F24-CC89F6BE982C}"/>
    <cellStyle name="20% - Accent1 4 7" xfId="4511" xr:uid="{00000000-0005-0000-0000-00008D000000}"/>
    <cellStyle name="20% - Accent1 4 7 2" xfId="22277" xr:uid="{50DB3D12-28CB-4BD5-9BF8-63BFC4EFCD55}"/>
    <cellStyle name="20% - Accent1 4 7 3" xfId="13837" xr:uid="{A689D227-6C10-4583-9381-CB440BA49DB0}"/>
    <cellStyle name="20% - Accent1 4 8" xfId="8947" xr:uid="{1FCDBFE2-CC86-42DD-AD9B-D3EAF476002E}"/>
    <cellStyle name="20% - Accent1 4 8 2" xfId="18060" xr:uid="{1AFE2D52-CA11-4C09-8C57-C0907C5EBD41}"/>
    <cellStyle name="20% - Accent1 4 9" xfId="9620" xr:uid="{A1A020E7-5D8A-4188-B949-7C8CBE6759AF}"/>
    <cellStyle name="20% - Accent1 5" xfId="570" xr:uid="{00000000-0005-0000-0000-00008E000000}"/>
    <cellStyle name="20% - Accent1 5 2" xfId="2841" xr:uid="{00000000-0005-0000-0000-00008F000000}"/>
    <cellStyle name="20% - Accent1 5 2 2" xfId="7063" xr:uid="{00000000-0005-0000-0000-000090000000}"/>
    <cellStyle name="20% - Accent1 5 2 2 2" xfId="24829" xr:uid="{0DC41BCA-4061-401B-9C02-204210DB84C2}"/>
    <cellStyle name="20% - Accent1 5 2 2 3" xfId="16389" xr:uid="{C2696CEE-F4FF-438E-9175-27B39D19D951}"/>
    <cellStyle name="20% - Accent1 5 2 3" xfId="20612" xr:uid="{D12DEB46-DD12-4231-95E0-DE2E9A41A006}"/>
    <cellStyle name="20% - Accent1 5 2 4" xfId="12172" xr:uid="{48C8A5DC-C470-405A-86BC-491A03B5F8CF}"/>
    <cellStyle name="20% - Accent1 5 3" xfId="4918" xr:uid="{00000000-0005-0000-0000-000091000000}"/>
    <cellStyle name="20% - Accent1 5 3 2" xfId="22684" xr:uid="{5E523912-53FE-464F-9240-93E758B7028E}"/>
    <cellStyle name="20% - Accent1 5 3 3" xfId="14244" xr:uid="{8E4423CA-DDB8-412B-B07A-A17C952C2FCE}"/>
    <cellStyle name="20% - Accent1 5 4" xfId="9180" xr:uid="{D0AEF57E-25E3-47C5-B910-DC1A0019F498}"/>
    <cellStyle name="20% - Accent1 5 4 2" xfId="18467" xr:uid="{BCEF8C13-D703-4BE6-851B-8C42B5CC3D56}"/>
    <cellStyle name="20% - Accent1 5 5" xfId="10027" xr:uid="{F5E30E08-8587-4225-A616-A38D38CB806A}"/>
    <cellStyle name="20% - Accent1 6" xfId="1023" xr:uid="{00000000-0005-0000-0000-000092000000}"/>
    <cellStyle name="20% - Accent1 6 2" xfId="3254" xr:uid="{00000000-0005-0000-0000-000093000000}"/>
    <cellStyle name="20% - Accent1 6 2 2" xfId="7476" xr:uid="{00000000-0005-0000-0000-000094000000}"/>
    <cellStyle name="20% - Accent1 6 2 2 2" xfId="25242" xr:uid="{A4E9335F-B9BA-40B5-AFE5-20370A106FA9}"/>
    <cellStyle name="20% - Accent1 6 2 2 3" xfId="16802" xr:uid="{51369428-56BF-46E4-B796-6B31B91B0D73}"/>
    <cellStyle name="20% - Accent1 6 2 3" xfId="21025" xr:uid="{B4BBB2E4-C9E5-499F-BA3F-94017735B8C2}"/>
    <cellStyle name="20% - Accent1 6 2 4" xfId="12585" xr:uid="{ADF8A622-55CF-4C22-9498-1B7E27E14F69}"/>
    <cellStyle name="20% - Accent1 6 3" xfId="5331" xr:uid="{00000000-0005-0000-0000-000095000000}"/>
    <cellStyle name="20% - Accent1 6 3 2" xfId="23097" xr:uid="{0C994A55-7286-4EBD-ABF3-C0B9CE9E2B9B}"/>
    <cellStyle name="20% - Accent1 6 3 3" xfId="14657" xr:uid="{FB1A53DA-5466-4114-AA3D-E26F9EC9986C}"/>
    <cellStyle name="20% - Accent1 6 4" xfId="18880" xr:uid="{21736008-BDB4-4C45-A00D-692C00A6A741}"/>
    <cellStyle name="20% - Accent1 6 5" xfId="10440" xr:uid="{0B8AA4D7-7A58-4542-B423-B13912E31489}"/>
    <cellStyle name="20% - Accent1 7" xfId="1437" xr:uid="{00000000-0005-0000-0000-000096000000}"/>
    <cellStyle name="20% - Accent1 7 2" xfId="3667" xr:uid="{00000000-0005-0000-0000-000097000000}"/>
    <cellStyle name="20% - Accent1 7 2 2" xfId="7889" xr:uid="{00000000-0005-0000-0000-000098000000}"/>
    <cellStyle name="20% - Accent1 7 2 2 2" xfId="25655" xr:uid="{5173160C-E74B-4E29-B837-7A0523A32A56}"/>
    <cellStyle name="20% - Accent1 7 2 2 3" xfId="17215" xr:uid="{4A886E39-B5BB-43E9-A8E5-9FA5AA1F2FB9}"/>
    <cellStyle name="20% - Accent1 7 2 3" xfId="21438" xr:uid="{72C877A0-918E-467F-ADC5-0A0607D65F2A}"/>
    <cellStyle name="20% - Accent1 7 2 4" xfId="12998" xr:uid="{01481064-2286-4343-BDC6-E1AD1F958F17}"/>
    <cellStyle name="20% - Accent1 7 3" xfId="5744" xr:uid="{00000000-0005-0000-0000-000099000000}"/>
    <cellStyle name="20% - Accent1 7 3 2" xfId="23510" xr:uid="{9823F2E3-0843-4EDC-8BFA-A963AA65932D}"/>
    <cellStyle name="20% - Accent1 7 3 3" xfId="15070" xr:uid="{CD371059-F447-4830-93D0-EE4B640C936C}"/>
    <cellStyle name="20% - Accent1 7 4" xfId="19293" xr:uid="{C322ACAC-4A37-4489-91E4-7046070DC2F3}"/>
    <cellStyle name="20% - Accent1 7 5" xfId="10853" xr:uid="{1D2A43A8-7F02-4583-B7E7-3E6E246201C3}"/>
    <cellStyle name="20% - Accent1 8" xfId="1851" xr:uid="{00000000-0005-0000-0000-00009A000000}"/>
    <cellStyle name="20% - Accent1 8 2" xfId="4080" xr:uid="{00000000-0005-0000-0000-00009B000000}"/>
    <cellStyle name="20% - Accent1 8 2 2" xfId="8302" xr:uid="{00000000-0005-0000-0000-00009C000000}"/>
    <cellStyle name="20% - Accent1 8 2 2 2" xfId="26068" xr:uid="{5D69D88F-643A-429C-9569-09EC14737B39}"/>
    <cellStyle name="20% - Accent1 8 2 2 3" xfId="17628" xr:uid="{9B227C9F-F055-4183-9CB9-ED4899E98E3D}"/>
    <cellStyle name="20% - Accent1 8 2 3" xfId="21851" xr:uid="{6837856B-D6E2-4F2C-86BB-F7648A304244}"/>
    <cellStyle name="20% - Accent1 8 2 4" xfId="13411" xr:uid="{68FC188C-811E-45EF-B6F5-825AD0723799}"/>
    <cellStyle name="20% - Accent1 8 3" xfId="6157" xr:uid="{00000000-0005-0000-0000-00009D000000}"/>
    <cellStyle name="20% - Accent1 8 3 2" xfId="23923" xr:uid="{0AB72601-6AC5-48B4-949C-3195BC41EB5A}"/>
    <cellStyle name="20% - Accent1 8 3 3" xfId="15483" xr:uid="{7F1ED9AC-83AF-4848-BFAA-27883F808668}"/>
    <cellStyle name="20% - Accent1 8 4" xfId="19706" xr:uid="{1E178350-71E1-403E-BD17-FD144E6DE6D8}"/>
    <cellStyle name="20% - Accent1 8 5" xfId="11266" xr:uid="{F47589CE-E4BD-4A98-851F-D298F290CF12}"/>
    <cellStyle name="20% - Accent1 9" xfId="2264" xr:uid="{00000000-0005-0000-0000-00009E000000}"/>
    <cellStyle name="20% - Accent1 9 2" xfId="6570" xr:uid="{00000000-0005-0000-0000-00009F000000}"/>
    <cellStyle name="20% - Accent1 9 2 2" xfId="24336" xr:uid="{2C83A368-3704-4097-B19F-EF2D63ECC4DB}"/>
    <cellStyle name="20% - Accent1 9 2 3" xfId="15896" xr:uid="{E7A90222-9CAB-448C-9A0B-0F6346E34B48}"/>
    <cellStyle name="20% - Accent1 9 3" xfId="20119" xr:uid="{5E9A2AB2-C4FB-4E7C-BAB4-3FBCE0427C4E}"/>
    <cellStyle name="20% - Accent1 9 4" xfId="11679" xr:uid="{D42A4309-250F-4680-B4B6-E2B9D025164D}"/>
    <cellStyle name="20% - Accent2" xfId="9" builtinId="34" customBuiltin="1"/>
    <cellStyle name="20% - Accent2 10" xfId="4512" xr:uid="{00000000-0005-0000-0000-0000A1000000}"/>
    <cellStyle name="20% - Accent2 10 2" xfId="22278" xr:uid="{F205FEBF-CE0F-4A1A-9E16-77E4DEA26530}"/>
    <cellStyle name="20% - Accent2 10 3" xfId="13838" xr:uid="{B507C3DF-E180-4CE9-A7AD-57101CDB1147}"/>
    <cellStyle name="20% - Accent2 11" xfId="8760" xr:uid="{2F9D8AF1-C115-467C-ADFB-3BF13039D076}"/>
    <cellStyle name="20% - Accent2 11 2" xfId="18061" xr:uid="{0616B62F-2B42-46EA-B095-0ED0E0805454}"/>
    <cellStyle name="20% - Accent2 12" xfId="9621" xr:uid="{45FB085F-A77E-426A-97AD-9543C737B4D3}"/>
    <cellStyle name="20% - Accent2 2" xfId="10" xr:uid="{00000000-0005-0000-0000-0000A2000000}"/>
    <cellStyle name="20% - Accent2 2 10" xfId="8793" xr:uid="{AA7C3473-3A75-4F75-9E25-D7658C57F3A0}"/>
    <cellStyle name="20% - Accent2 2 10 2" xfId="18062" xr:uid="{79A2DFA1-3CAB-41BF-87E6-A4C996669E3A}"/>
    <cellStyle name="20% - Accent2 2 11" xfId="9622" xr:uid="{1823ECF8-D5D1-40DF-BA5C-2FDF6295DD98}"/>
    <cellStyle name="20% - Accent2 2 2" xfId="11" xr:uid="{00000000-0005-0000-0000-0000A3000000}"/>
    <cellStyle name="20% - Accent2 2 2 10" xfId="9623" xr:uid="{32648155-3EFD-4A3D-92F3-6B6D576C312E}"/>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24840" xr:uid="{CFC02333-BDB0-4386-8802-7F9D55F16FFD}"/>
    <cellStyle name="20% - Accent2 2 2 2 2 2 2 3" xfId="16400" xr:uid="{89F5059C-CC41-4707-B04F-F592C4B56857}"/>
    <cellStyle name="20% - Accent2 2 2 2 2 2 3" xfId="20623" xr:uid="{E32E3B12-45DD-4E95-BF03-3615E389DA31}"/>
    <cellStyle name="20% - Accent2 2 2 2 2 2 4" xfId="12183" xr:uid="{568B30C5-54CE-4CF5-BFB4-D5DE8E3C411C}"/>
    <cellStyle name="20% - Accent2 2 2 2 2 3" xfId="4929" xr:uid="{00000000-0005-0000-0000-0000A8000000}"/>
    <cellStyle name="20% - Accent2 2 2 2 2 3 2" xfId="22695" xr:uid="{BA43EE05-A580-499F-80AC-A64FD6053F24}"/>
    <cellStyle name="20% - Accent2 2 2 2 2 3 3" xfId="14255" xr:uid="{BC172A8B-48B6-4F60-8321-0C40F6A25B0D}"/>
    <cellStyle name="20% - Accent2 2 2 2 2 4" xfId="9528" xr:uid="{C8BEA541-FD8B-4449-95AA-43E1904F35BB}"/>
    <cellStyle name="20% - Accent2 2 2 2 2 4 2" xfId="18478" xr:uid="{0B488919-668D-4AE4-973F-0DE7506A93D1}"/>
    <cellStyle name="20% - Accent2 2 2 2 2 5" xfId="10038" xr:uid="{80A1463B-339E-4C48-9670-E15A0CBA3038}"/>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25253" xr:uid="{AEFFBF02-C334-4224-A6D8-0F407A3FE806}"/>
    <cellStyle name="20% - Accent2 2 2 2 3 2 2 3" xfId="16813" xr:uid="{5F74CF01-68CC-4CF1-AC38-6296834732AC}"/>
    <cellStyle name="20% - Accent2 2 2 2 3 2 3" xfId="21036" xr:uid="{8E58724C-6678-4349-8C42-AD8B3452BB05}"/>
    <cellStyle name="20% - Accent2 2 2 2 3 2 4" xfId="12596" xr:uid="{9E9B5DBB-0AF4-4ED3-8ECB-C3B39AE771AB}"/>
    <cellStyle name="20% - Accent2 2 2 2 3 3" xfId="5342" xr:uid="{00000000-0005-0000-0000-0000AC000000}"/>
    <cellStyle name="20% - Accent2 2 2 2 3 3 2" xfId="23108" xr:uid="{B042894E-6148-4D34-8700-A270B8A5CE39}"/>
    <cellStyle name="20% - Accent2 2 2 2 3 3 3" xfId="14668" xr:uid="{91B366CF-3D9F-4FB9-B154-CC81EB7C0E63}"/>
    <cellStyle name="20% - Accent2 2 2 2 3 4" xfId="18891" xr:uid="{0356FC36-73AF-466E-BAA9-DD0BB1D5A90F}"/>
    <cellStyle name="20% - Accent2 2 2 2 3 5" xfId="10451" xr:uid="{7EADEA0F-C4D5-434F-986F-7C84307598B8}"/>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25666" xr:uid="{829EC44D-8559-4171-A773-43F0784247C7}"/>
    <cellStyle name="20% - Accent2 2 2 2 4 2 2 3" xfId="17226" xr:uid="{9D4A5332-8FCB-40D2-973B-0A0AF6CE2443}"/>
    <cellStyle name="20% - Accent2 2 2 2 4 2 3" xfId="21449" xr:uid="{7A06D044-6BDC-401C-8ED7-70182F92F6FD}"/>
    <cellStyle name="20% - Accent2 2 2 2 4 2 4" xfId="13009" xr:uid="{4955A530-A79F-4CB8-BC55-A247CDFCF29B}"/>
    <cellStyle name="20% - Accent2 2 2 2 4 3" xfId="5755" xr:uid="{00000000-0005-0000-0000-0000B0000000}"/>
    <cellStyle name="20% - Accent2 2 2 2 4 3 2" xfId="23521" xr:uid="{E65EA2F6-0EDE-4041-9317-3926EBFB1C5A}"/>
    <cellStyle name="20% - Accent2 2 2 2 4 3 3" xfId="15081" xr:uid="{53D18F80-19DF-4CA5-B659-CBDE7ED995CE}"/>
    <cellStyle name="20% - Accent2 2 2 2 4 4" xfId="19304" xr:uid="{8AAE890D-FEA1-4D57-A941-5E890166E9E5}"/>
    <cellStyle name="20% - Accent2 2 2 2 4 5" xfId="10864" xr:uid="{59D682DE-E0A1-424E-A91A-10672752E4C3}"/>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26079" xr:uid="{5A77F919-4126-4A9F-AAA4-077339702EBC}"/>
    <cellStyle name="20% - Accent2 2 2 2 5 2 2 3" xfId="17639" xr:uid="{C91DBA8A-45E9-48D8-A552-E43911EB2D13}"/>
    <cellStyle name="20% - Accent2 2 2 2 5 2 3" xfId="21862" xr:uid="{89BDECD3-8470-41EB-A30C-6A41C31B9620}"/>
    <cellStyle name="20% - Accent2 2 2 2 5 2 4" xfId="13422" xr:uid="{91D35086-8EFB-4B73-B45D-2A429BF00BC4}"/>
    <cellStyle name="20% - Accent2 2 2 2 5 3" xfId="6168" xr:uid="{00000000-0005-0000-0000-0000B4000000}"/>
    <cellStyle name="20% - Accent2 2 2 2 5 3 2" xfId="23934" xr:uid="{E67BA6A9-549F-4B73-8F9A-DCD956A6C723}"/>
    <cellStyle name="20% - Accent2 2 2 2 5 3 3" xfId="15494" xr:uid="{8DE0286A-F89E-49EC-9344-6B200D0E36CC}"/>
    <cellStyle name="20% - Accent2 2 2 2 5 4" xfId="19717" xr:uid="{6B5F7246-CF3B-43B4-8B48-846B074E2B6E}"/>
    <cellStyle name="20% - Accent2 2 2 2 5 5" xfId="11277" xr:uid="{4EEFA791-9950-47DA-9DC4-D414EA9772AF}"/>
    <cellStyle name="20% - Accent2 2 2 2 6" xfId="2275" xr:uid="{00000000-0005-0000-0000-0000B5000000}"/>
    <cellStyle name="20% - Accent2 2 2 2 6 2" xfId="6581" xr:uid="{00000000-0005-0000-0000-0000B6000000}"/>
    <cellStyle name="20% - Accent2 2 2 2 6 2 2" xfId="24347" xr:uid="{7D3FEDD7-8956-4C8A-997B-31B137C332DE}"/>
    <cellStyle name="20% - Accent2 2 2 2 6 2 3" xfId="15907" xr:uid="{B1898C10-12A5-4355-BDAB-4511DD72968E}"/>
    <cellStyle name="20% - Accent2 2 2 2 6 3" xfId="20130" xr:uid="{34349713-73C3-4F54-BBEB-1B99E91D68EC}"/>
    <cellStyle name="20% - Accent2 2 2 2 6 4" xfId="11690" xr:uid="{32649C57-9B65-411D-AEED-76C7C39D613F}"/>
    <cellStyle name="20% - Accent2 2 2 2 7" xfId="4515" xr:uid="{00000000-0005-0000-0000-0000B7000000}"/>
    <cellStyle name="20% - Accent2 2 2 2 7 2" xfId="22281" xr:uid="{0A2CCE11-6647-4605-B157-C811FD585901}"/>
    <cellStyle name="20% - Accent2 2 2 2 7 3" xfId="13841" xr:uid="{6518278E-BFCC-44A6-A63C-E5194DDEF7CE}"/>
    <cellStyle name="20% - Accent2 2 2 2 8" xfId="9103" xr:uid="{91DB80A1-3464-4086-B948-71B6A26537C4}"/>
    <cellStyle name="20% - Accent2 2 2 2 8 2" xfId="18064" xr:uid="{7F1B34C1-EB19-4CD5-B2E2-A20CAA03B058}"/>
    <cellStyle name="20% - Accent2 2 2 2 9" xfId="9624" xr:uid="{B1D4AD6C-428C-4972-9D2B-B8D48F4608B2}"/>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24839" xr:uid="{14A2FBD7-2D7F-4D2C-95E5-9617B362E111}"/>
    <cellStyle name="20% - Accent2 2 2 3 2 2 3" xfId="16399" xr:uid="{CB21A435-E355-44FA-AC11-9E53E24A2E35}"/>
    <cellStyle name="20% - Accent2 2 2 3 2 3" xfId="20622" xr:uid="{F404AEED-6D8B-436A-9882-7F1A69D83A50}"/>
    <cellStyle name="20% - Accent2 2 2 3 2 4" xfId="12182" xr:uid="{965E3033-50FF-497E-A574-D5803BC75913}"/>
    <cellStyle name="20% - Accent2 2 2 3 3" xfId="4928" xr:uid="{00000000-0005-0000-0000-0000BB000000}"/>
    <cellStyle name="20% - Accent2 2 2 3 3 2" xfId="22694" xr:uid="{F033440C-AEA3-42A3-BC88-CC10DE982244}"/>
    <cellStyle name="20% - Accent2 2 2 3 3 3" xfId="14254" xr:uid="{F179E9C5-9EBD-4D38-BB85-E670D08FD3E7}"/>
    <cellStyle name="20% - Accent2 2 2 3 4" xfId="9321" xr:uid="{32B21C3A-E360-4F19-B469-1116F045A0F3}"/>
    <cellStyle name="20% - Accent2 2 2 3 4 2" xfId="18477" xr:uid="{1A34CCEC-5500-4404-822C-4B758CF6B56C}"/>
    <cellStyle name="20% - Accent2 2 2 3 5" xfId="10037" xr:uid="{47173435-598F-45E0-916B-5D0403F343BF}"/>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25252" xr:uid="{CC6A9711-9488-4485-9FD8-491DC37EAED9}"/>
    <cellStyle name="20% - Accent2 2 2 4 2 2 3" xfId="16812" xr:uid="{84F16938-6AAF-49B4-80D3-D5F238E7DD52}"/>
    <cellStyle name="20% - Accent2 2 2 4 2 3" xfId="21035" xr:uid="{CC8C293E-0179-41C5-AB19-7646C83B9E30}"/>
    <cellStyle name="20% - Accent2 2 2 4 2 4" xfId="12595" xr:uid="{A28B4AF8-8A01-4374-97E2-AA5BCD8053B5}"/>
    <cellStyle name="20% - Accent2 2 2 4 3" xfId="5341" xr:uid="{00000000-0005-0000-0000-0000BF000000}"/>
    <cellStyle name="20% - Accent2 2 2 4 3 2" xfId="23107" xr:uid="{78260236-602C-405F-8D3E-504D9DC2251F}"/>
    <cellStyle name="20% - Accent2 2 2 4 3 3" xfId="14667" xr:uid="{0481F731-D89D-4C19-99D0-0DB6CA83C211}"/>
    <cellStyle name="20% - Accent2 2 2 4 4" xfId="18890" xr:uid="{35018219-EDDC-41B6-A9C5-5E09196E96A4}"/>
    <cellStyle name="20% - Accent2 2 2 4 5" xfId="10450" xr:uid="{C563F937-6AB5-4BC8-AB19-F000BA2956D7}"/>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25665" xr:uid="{20254C44-58CC-4EA5-B3FA-03684E43A507}"/>
    <cellStyle name="20% - Accent2 2 2 5 2 2 3" xfId="17225" xr:uid="{79E02AEC-7443-4D20-A9B6-FFECA7F9D968}"/>
    <cellStyle name="20% - Accent2 2 2 5 2 3" xfId="21448" xr:uid="{A44AA7BB-C739-4ABF-971E-D9C11E39A13D}"/>
    <cellStyle name="20% - Accent2 2 2 5 2 4" xfId="13008" xr:uid="{223C0621-CD9E-4F6F-8F3C-0132D935EC2C}"/>
    <cellStyle name="20% - Accent2 2 2 5 3" xfId="5754" xr:uid="{00000000-0005-0000-0000-0000C3000000}"/>
    <cellStyle name="20% - Accent2 2 2 5 3 2" xfId="23520" xr:uid="{D5D88C1F-B206-4A6B-A692-191F407F6691}"/>
    <cellStyle name="20% - Accent2 2 2 5 3 3" xfId="15080" xr:uid="{B431E066-5FE5-46F7-8E34-9609A74CF411}"/>
    <cellStyle name="20% - Accent2 2 2 5 4" xfId="19303" xr:uid="{0BE44AB1-02E9-4A66-9C8F-36A7BE6202C4}"/>
    <cellStyle name="20% - Accent2 2 2 5 5" xfId="10863" xr:uid="{EBF9B203-278F-4F12-9569-0B25E813812B}"/>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26078" xr:uid="{FADAAA79-FCD0-468B-9E58-49F830C27CA7}"/>
    <cellStyle name="20% - Accent2 2 2 6 2 2 3" xfId="17638" xr:uid="{163129C7-1057-4C6F-9598-3FA3C8B5C340}"/>
    <cellStyle name="20% - Accent2 2 2 6 2 3" xfId="21861" xr:uid="{DE0449B7-968B-4EF5-BE1F-A48DFE988173}"/>
    <cellStyle name="20% - Accent2 2 2 6 2 4" xfId="13421" xr:uid="{D9ACD50A-4107-4857-AB59-7DB00CE08F9B}"/>
    <cellStyle name="20% - Accent2 2 2 6 3" xfId="6167" xr:uid="{00000000-0005-0000-0000-0000C7000000}"/>
    <cellStyle name="20% - Accent2 2 2 6 3 2" xfId="23933" xr:uid="{818F7651-E4F8-41C6-B43A-2F02C198BB32}"/>
    <cellStyle name="20% - Accent2 2 2 6 3 3" xfId="15493" xr:uid="{951B7369-FBE0-4889-88B2-7F357EB3AD33}"/>
    <cellStyle name="20% - Accent2 2 2 6 4" xfId="19716" xr:uid="{B3B51A29-9034-4B54-B343-AEEC212293A6}"/>
    <cellStyle name="20% - Accent2 2 2 6 5" xfId="11276" xr:uid="{34A7B021-3FB4-4DBF-8488-B6AECE3483A2}"/>
    <cellStyle name="20% - Accent2 2 2 7" xfId="2274" xr:uid="{00000000-0005-0000-0000-0000C8000000}"/>
    <cellStyle name="20% - Accent2 2 2 7 2" xfId="6580" xr:uid="{00000000-0005-0000-0000-0000C9000000}"/>
    <cellStyle name="20% - Accent2 2 2 7 2 2" xfId="24346" xr:uid="{2CE3B81E-82CC-4641-88E7-B8A8267E2B85}"/>
    <cellStyle name="20% - Accent2 2 2 7 2 3" xfId="15906" xr:uid="{CFC9F61D-671B-4F09-81A1-ADCE44B89129}"/>
    <cellStyle name="20% - Accent2 2 2 7 3" xfId="20129" xr:uid="{3920EA0D-B6B8-44F8-A986-74AC02FB0BBB}"/>
    <cellStyle name="20% - Accent2 2 2 7 4" xfId="11689" xr:uid="{CED46027-C84E-4A54-9C17-0602962C21AA}"/>
    <cellStyle name="20% - Accent2 2 2 8" xfId="4514" xr:uid="{00000000-0005-0000-0000-0000CA000000}"/>
    <cellStyle name="20% - Accent2 2 2 8 2" xfId="22280" xr:uid="{EC2386A7-903D-4A24-BB87-BF665CB4980C}"/>
    <cellStyle name="20% - Accent2 2 2 8 3" xfId="13840" xr:uid="{7922D759-6BDB-41D6-A2B5-637B3D55DC21}"/>
    <cellStyle name="20% - Accent2 2 2 9" xfId="8896" xr:uid="{7CDAA0F1-5BE6-4749-AD4D-5424E0EA26D8}"/>
    <cellStyle name="20% - Accent2 2 2 9 2" xfId="18063" xr:uid="{EE99010E-AB97-44FF-868D-F7BC63170F3A}"/>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24841" xr:uid="{C3D40623-71F7-41DC-81A5-050C7E59CE25}"/>
    <cellStyle name="20% - Accent2 2 3 2 2 2 3" xfId="16401" xr:uid="{559814B8-5B9F-43E1-B163-87E5EE0788B0}"/>
    <cellStyle name="20% - Accent2 2 3 2 2 3" xfId="20624" xr:uid="{47BD4D00-2611-436C-BD82-BD9D1F5621B2}"/>
    <cellStyle name="20% - Accent2 2 3 2 2 4" xfId="12184" xr:uid="{8E5F4584-1E17-4712-A0F5-5D8A492E898C}"/>
    <cellStyle name="20% - Accent2 2 3 2 3" xfId="4930" xr:uid="{00000000-0005-0000-0000-0000CF000000}"/>
    <cellStyle name="20% - Accent2 2 3 2 3 2" xfId="22696" xr:uid="{377DD382-142A-47A8-B404-65BE806C01D0}"/>
    <cellStyle name="20% - Accent2 2 3 2 3 3" xfId="14256" xr:uid="{9E2F6CC4-A350-4ECD-99A6-233A0FFC1A71}"/>
    <cellStyle name="20% - Accent2 2 3 2 4" xfId="9425" xr:uid="{35BECFF4-0F5A-4F6E-AE6E-354891135B4F}"/>
    <cellStyle name="20% - Accent2 2 3 2 4 2" xfId="18479" xr:uid="{13FA6130-7572-4A22-B9D2-C3150D1FC4E8}"/>
    <cellStyle name="20% - Accent2 2 3 2 5" xfId="10039" xr:uid="{B00ECEB3-CD32-4440-AD4B-9B853FE0BD46}"/>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25254" xr:uid="{A4AFD8AA-2BCB-4C5B-A089-3B6DDC338750}"/>
    <cellStyle name="20% - Accent2 2 3 3 2 2 3" xfId="16814" xr:uid="{88A348BD-7DE9-4E18-AB8B-89FE8BF7C51E}"/>
    <cellStyle name="20% - Accent2 2 3 3 2 3" xfId="21037" xr:uid="{582DCA5A-204F-4AA6-A258-05247DE092EE}"/>
    <cellStyle name="20% - Accent2 2 3 3 2 4" xfId="12597" xr:uid="{766DF23B-5B73-4A35-802C-34F952EB901C}"/>
    <cellStyle name="20% - Accent2 2 3 3 3" xfId="5343" xr:uid="{00000000-0005-0000-0000-0000D3000000}"/>
    <cellStyle name="20% - Accent2 2 3 3 3 2" xfId="23109" xr:uid="{16EFCF66-C214-452F-8CC2-64E5A0C968AA}"/>
    <cellStyle name="20% - Accent2 2 3 3 3 3" xfId="14669" xr:uid="{7A0E9116-33D0-42BC-84D9-9DB6FF3461E3}"/>
    <cellStyle name="20% - Accent2 2 3 3 4" xfId="18892" xr:uid="{8B0AF88B-938A-408B-9A21-8D50BD67C519}"/>
    <cellStyle name="20% - Accent2 2 3 3 5" xfId="10452" xr:uid="{E3C6225A-0ADE-49C8-A200-6D05F2AE3359}"/>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25667" xr:uid="{67F8CCD8-E43E-4FF6-8A55-57520F916406}"/>
    <cellStyle name="20% - Accent2 2 3 4 2 2 3" xfId="17227" xr:uid="{894EC45D-4587-40D4-9C46-F08277870538}"/>
    <cellStyle name="20% - Accent2 2 3 4 2 3" xfId="21450" xr:uid="{7F6D08EA-3491-4EF0-A979-7CC07775C7CD}"/>
    <cellStyle name="20% - Accent2 2 3 4 2 4" xfId="13010" xr:uid="{65D19B30-06A9-4525-BA09-AFE1B72CFBDE}"/>
    <cellStyle name="20% - Accent2 2 3 4 3" xfId="5756" xr:uid="{00000000-0005-0000-0000-0000D7000000}"/>
    <cellStyle name="20% - Accent2 2 3 4 3 2" xfId="23522" xr:uid="{D2626A88-C63C-4163-B661-C7D47EE58D85}"/>
    <cellStyle name="20% - Accent2 2 3 4 3 3" xfId="15082" xr:uid="{F0F17E18-741A-412D-B897-73BC7D048A76}"/>
    <cellStyle name="20% - Accent2 2 3 4 4" xfId="19305" xr:uid="{8C5DE043-DEBB-4D95-8BFE-41F85864D90A}"/>
    <cellStyle name="20% - Accent2 2 3 4 5" xfId="10865" xr:uid="{64502402-4B67-485B-8A58-2C7BED47126E}"/>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26080" xr:uid="{7179587D-1C79-49F3-AA56-89FDABB3890F}"/>
    <cellStyle name="20% - Accent2 2 3 5 2 2 3" xfId="17640" xr:uid="{DD26496A-7F84-4B4F-94EF-E0499A2C2389}"/>
    <cellStyle name="20% - Accent2 2 3 5 2 3" xfId="21863" xr:uid="{AC5D7139-31C5-40AA-9724-950C69ED24B3}"/>
    <cellStyle name="20% - Accent2 2 3 5 2 4" xfId="13423" xr:uid="{55834A59-5553-4035-93EE-6438794FEE1E}"/>
    <cellStyle name="20% - Accent2 2 3 5 3" xfId="6169" xr:uid="{00000000-0005-0000-0000-0000DB000000}"/>
    <cellStyle name="20% - Accent2 2 3 5 3 2" xfId="23935" xr:uid="{051D1A8E-9DD9-44B3-B40E-32E2E73D1991}"/>
    <cellStyle name="20% - Accent2 2 3 5 3 3" xfId="15495" xr:uid="{8BF29FE7-AD6A-4294-8CDF-ECB73F7FA58F}"/>
    <cellStyle name="20% - Accent2 2 3 5 4" xfId="19718" xr:uid="{874E98EF-67F2-44E4-B1BE-E8A6EB0E3BEF}"/>
    <cellStyle name="20% - Accent2 2 3 5 5" xfId="11278" xr:uid="{F7F8018D-342A-431F-A1E5-DF04CCD8C082}"/>
    <cellStyle name="20% - Accent2 2 3 6" xfId="2276" xr:uid="{00000000-0005-0000-0000-0000DC000000}"/>
    <cellStyle name="20% - Accent2 2 3 6 2" xfId="6582" xr:uid="{00000000-0005-0000-0000-0000DD000000}"/>
    <cellStyle name="20% - Accent2 2 3 6 2 2" xfId="24348" xr:uid="{EE5FCF79-2932-4A2E-BC34-CBC7AF9BC376}"/>
    <cellStyle name="20% - Accent2 2 3 6 2 3" xfId="15908" xr:uid="{3C60723E-AE28-4D9F-A1D9-CC46D3E49112}"/>
    <cellStyle name="20% - Accent2 2 3 6 3" xfId="20131" xr:uid="{4DA54979-0824-42AB-85BC-A0AE5B037D1A}"/>
    <cellStyle name="20% - Accent2 2 3 6 4" xfId="11691" xr:uid="{A34B9E01-1A7A-4B24-9668-9ACA4772A01A}"/>
    <cellStyle name="20% - Accent2 2 3 7" xfId="4516" xr:uid="{00000000-0005-0000-0000-0000DE000000}"/>
    <cellStyle name="20% - Accent2 2 3 7 2" xfId="22282" xr:uid="{B41E538E-34F3-43FA-9210-69B4B8354A79}"/>
    <cellStyle name="20% - Accent2 2 3 7 3" xfId="13842" xr:uid="{996E7EDA-5FCA-432E-929B-526551DDF60A}"/>
    <cellStyle name="20% - Accent2 2 3 8" xfId="9000" xr:uid="{133DFC5C-F2FF-49E9-82EE-ABAA9C815393}"/>
    <cellStyle name="20% - Accent2 2 3 8 2" xfId="18065" xr:uid="{F9EB5D9F-21B9-4BC9-ADDF-395317F65C26}"/>
    <cellStyle name="20% - Accent2 2 3 9" xfId="9625" xr:uid="{2E5A8253-80D6-43FB-90D5-6E1009515A9E}"/>
    <cellStyle name="20% - Accent2 2 4" xfId="579" xr:uid="{00000000-0005-0000-0000-0000DF000000}"/>
    <cellStyle name="20% - Accent2 2 4 2" xfId="2850" xr:uid="{00000000-0005-0000-0000-0000E0000000}"/>
    <cellStyle name="20% - Accent2 2 4 2 2" xfId="7072" xr:uid="{00000000-0005-0000-0000-0000E1000000}"/>
    <cellStyle name="20% - Accent2 2 4 2 2 2" xfId="24838" xr:uid="{A6C6D063-5E82-4E9E-B3A7-28DF3ACD769F}"/>
    <cellStyle name="20% - Accent2 2 4 2 2 3" xfId="16398" xr:uid="{A23A5C48-943B-4431-AD24-7775ACE10FFC}"/>
    <cellStyle name="20% - Accent2 2 4 2 3" xfId="20621" xr:uid="{13076E28-FDA3-43D8-9E36-EAAC015BE6D7}"/>
    <cellStyle name="20% - Accent2 2 4 2 4" xfId="12181" xr:uid="{8184BEFE-C241-4C10-8639-59E3806478A2}"/>
    <cellStyle name="20% - Accent2 2 4 3" xfId="4927" xr:uid="{00000000-0005-0000-0000-0000E2000000}"/>
    <cellStyle name="20% - Accent2 2 4 3 2" xfId="22693" xr:uid="{FA1A2CEA-994F-4C98-8079-B618AFD642EC}"/>
    <cellStyle name="20% - Accent2 2 4 3 3" xfId="14253" xr:uid="{706E262F-A75D-419A-A640-4BFCF3C1E7A1}"/>
    <cellStyle name="20% - Accent2 2 4 4" xfId="9217" xr:uid="{28DDC3F5-BA57-40F8-8D06-6CFF141CF9A1}"/>
    <cellStyle name="20% - Accent2 2 4 4 2" xfId="18476" xr:uid="{5BF10186-5B6B-42FB-9534-61227856EEF6}"/>
    <cellStyle name="20% - Accent2 2 4 5" xfId="10036" xr:uid="{1A5295E4-B791-429B-A36F-929DBBA28DD3}"/>
    <cellStyle name="20% - Accent2 2 5" xfId="1032" xr:uid="{00000000-0005-0000-0000-0000E3000000}"/>
    <cellStyle name="20% - Accent2 2 5 2" xfId="3263" xr:uid="{00000000-0005-0000-0000-0000E4000000}"/>
    <cellStyle name="20% - Accent2 2 5 2 2" xfId="7485" xr:uid="{00000000-0005-0000-0000-0000E5000000}"/>
    <cellStyle name="20% - Accent2 2 5 2 2 2" xfId="25251" xr:uid="{11BD1D1B-DF01-4109-A655-B026E123B884}"/>
    <cellStyle name="20% - Accent2 2 5 2 2 3" xfId="16811" xr:uid="{60743704-1C18-4678-8B25-DA6F19580683}"/>
    <cellStyle name="20% - Accent2 2 5 2 3" xfId="21034" xr:uid="{28169E5C-EE8F-4CBE-8E37-4CDEDE58CDDD}"/>
    <cellStyle name="20% - Accent2 2 5 2 4" xfId="12594" xr:uid="{41EEB959-0262-4542-ADCC-5516048FE753}"/>
    <cellStyle name="20% - Accent2 2 5 3" xfId="5340" xr:uid="{00000000-0005-0000-0000-0000E6000000}"/>
    <cellStyle name="20% - Accent2 2 5 3 2" xfId="23106" xr:uid="{0029E1A6-7D2E-4A14-9F1B-3B2485736C6A}"/>
    <cellStyle name="20% - Accent2 2 5 3 3" xfId="14666" xr:uid="{493D2D38-B320-489D-B03F-B94F06AB410C}"/>
    <cellStyle name="20% - Accent2 2 5 4" xfId="18889" xr:uid="{4F980E4D-B75E-4F89-B830-E431388A7855}"/>
    <cellStyle name="20% - Accent2 2 5 5" xfId="10449" xr:uid="{3829E704-349D-4F65-B782-28A8676A4588}"/>
    <cellStyle name="20% - Accent2 2 6" xfId="1446" xr:uid="{00000000-0005-0000-0000-0000E7000000}"/>
    <cellStyle name="20% - Accent2 2 6 2" xfId="3676" xr:uid="{00000000-0005-0000-0000-0000E8000000}"/>
    <cellStyle name="20% - Accent2 2 6 2 2" xfId="7898" xr:uid="{00000000-0005-0000-0000-0000E9000000}"/>
    <cellStyle name="20% - Accent2 2 6 2 2 2" xfId="25664" xr:uid="{A1E67F22-8DD8-497A-9CEF-31EC4092FBE7}"/>
    <cellStyle name="20% - Accent2 2 6 2 2 3" xfId="17224" xr:uid="{3416C00F-750A-4FE4-ADC3-76ACABFA7407}"/>
    <cellStyle name="20% - Accent2 2 6 2 3" xfId="21447" xr:uid="{B6B561B5-7122-4A4B-8A56-BD28963AA897}"/>
    <cellStyle name="20% - Accent2 2 6 2 4" xfId="13007" xr:uid="{4A939B16-D4A6-425C-8EBC-73C44B7C69E8}"/>
    <cellStyle name="20% - Accent2 2 6 3" xfId="5753" xr:uid="{00000000-0005-0000-0000-0000EA000000}"/>
    <cellStyle name="20% - Accent2 2 6 3 2" xfId="23519" xr:uid="{CFE8E511-DA90-4920-99CD-A5F6DCBF5A04}"/>
    <cellStyle name="20% - Accent2 2 6 3 3" xfId="15079" xr:uid="{BB7A11EC-4206-40B5-A6A0-7DDBFF0856B8}"/>
    <cellStyle name="20% - Accent2 2 6 4" xfId="19302" xr:uid="{04A7A2AF-6A7F-4847-9D9C-2E57B9585CBB}"/>
    <cellStyle name="20% - Accent2 2 6 5" xfId="10862" xr:uid="{FA88BC0F-DA67-4C72-BE7D-14639704593B}"/>
    <cellStyle name="20% - Accent2 2 7" xfId="1860" xr:uid="{00000000-0005-0000-0000-0000EB000000}"/>
    <cellStyle name="20% - Accent2 2 7 2" xfId="4089" xr:uid="{00000000-0005-0000-0000-0000EC000000}"/>
    <cellStyle name="20% - Accent2 2 7 2 2" xfId="8311" xr:uid="{00000000-0005-0000-0000-0000ED000000}"/>
    <cellStyle name="20% - Accent2 2 7 2 2 2" xfId="26077" xr:uid="{59B1C5CC-5D66-4884-89B9-1187358CC184}"/>
    <cellStyle name="20% - Accent2 2 7 2 2 3" xfId="17637" xr:uid="{ADDA1787-6A69-4D6B-8135-349BB5C3642E}"/>
    <cellStyle name="20% - Accent2 2 7 2 3" xfId="21860" xr:uid="{D140FFA6-EBA8-4DA2-86B6-1AD8A6A15DAF}"/>
    <cellStyle name="20% - Accent2 2 7 2 4" xfId="13420" xr:uid="{6F724068-3F83-4A4E-9577-4D0765DB1BD8}"/>
    <cellStyle name="20% - Accent2 2 7 3" xfId="6166" xr:uid="{00000000-0005-0000-0000-0000EE000000}"/>
    <cellStyle name="20% - Accent2 2 7 3 2" xfId="23932" xr:uid="{ABB1C56A-E653-4A65-8051-FA85B1880B79}"/>
    <cellStyle name="20% - Accent2 2 7 3 3" xfId="15492" xr:uid="{382DCD6E-7611-4E6F-B196-02354570B6DF}"/>
    <cellStyle name="20% - Accent2 2 7 4" xfId="19715" xr:uid="{BE4CADA7-AE09-4994-9214-4329CAE6CEC4}"/>
    <cellStyle name="20% - Accent2 2 7 5" xfId="11275" xr:uid="{0FE7E2BD-10AD-4B74-96A2-E7DB619CD7A8}"/>
    <cellStyle name="20% - Accent2 2 8" xfId="2273" xr:uid="{00000000-0005-0000-0000-0000EF000000}"/>
    <cellStyle name="20% - Accent2 2 8 2" xfId="6579" xr:uid="{00000000-0005-0000-0000-0000F0000000}"/>
    <cellStyle name="20% - Accent2 2 8 2 2" xfId="24345" xr:uid="{1AA95AE4-F624-44AD-A1BA-6A99FA460506}"/>
    <cellStyle name="20% - Accent2 2 8 2 3" xfId="15905" xr:uid="{81F66B13-5A49-46B5-9642-BBB728F6C3AD}"/>
    <cellStyle name="20% - Accent2 2 8 3" xfId="20128" xr:uid="{5727ED3D-B221-40B2-B477-6B3F047882D5}"/>
    <cellStyle name="20% - Accent2 2 8 4" xfId="11688" xr:uid="{3CA087A8-1E2F-489D-9CC7-05482AABF52D}"/>
    <cellStyle name="20% - Accent2 2 9" xfId="4513" xr:uid="{00000000-0005-0000-0000-0000F1000000}"/>
    <cellStyle name="20% - Accent2 2 9 2" xfId="22279" xr:uid="{222245FD-B2C9-4C23-93B5-A08BFA17989B}"/>
    <cellStyle name="20% - Accent2 2 9 3" xfId="13839" xr:uid="{D4B7FCEE-4E87-4A6E-BB05-0369F8BC0833}"/>
    <cellStyle name="20% - Accent2 3" xfId="14" xr:uid="{00000000-0005-0000-0000-0000F2000000}"/>
    <cellStyle name="20% - Accent2 3 10" xfId="9626" xr:uid="{A98830FC-B097-44DB-B7E1-F260F586C25C}"/>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24843" xr:uid="{21DA784C-C433-42C1-BCD5-530CF634E67A}"/>
    <cellStyle name="20% - Accent2 3 2 2 2 2 3" xfId="16403" xr:uid="{1CBC5A8B-D83E-40F3-A403-4FFB258F21C5}"/>
    <cellStyle name="20% - Accent2 3 2 2 2 3" xfId="20626" xr:uid="{0AF71283-A6D4-45E1-9CC5-5D7B2F8F3636}"/>
    <cellStyle name="20% - Accent2 3 2 2 2 4" xfId="12186" xr:uid="{6D75742F-3150-4D1B-A5DA-680AD3295C90}"/>
    <cellStyle name="20% - Accent2 3 2 2 3" xfId="4932" xr:uid="{00000000-0005-0000-0000-0000F7000000}"/>
    <cellStyle name="20% - Accent2 3 2 2 3 2" xfId="22698" xr:uid="{CDC3894C-009D-413D-AA4C-7F152EF334DD}"/>
    <cellStyle name="20% - Accent2 3 2 2 3 3" xfId="14258" xr:uid="{1C1DF073-2821-488D-83D3-6302CA6B116F}"/>
    <cellStyle name="20% - Accent2 3 2 2 4" xfId="9495" xr:uid="{9F5A6FE7-BBC9-4787-8EC4-2112F4D5A0EA}"/>
    <cellStyle name="20% - Accent2 3 2 2 4 2" xfId="18481" xr:uid="{DA4D9575-FC5A-4855-B1D6-D5C441FC6F3E}"/>
    <cellStyle name="20% - Accent2 3 2 2 5" xfId="10041" xr:uid="{A7713AB1-612C-4772-A5B0-C9064E2015A9}"/>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25256" xr:uid="{96B1155A-357B-4886-9348-1134DC010B7A}"/>
    <cellStyle name="20% - Accent2 3 2 3 2 2 3" xfId="16816" xr:uid="{2D3551F8-1071-4C61-B834-07B829D29010}"/>
    <cellStyle name="20% - Accent2 3 2 3 2 3" xfId="21039" xr:uid="{889CB6EF-A5D5-4E68-87AB-45B4D3F62E6A}"/>
    <cellStyle name="20% - Accent2 3 2 3 2 4" xfId="12599" xr:uid="{76F7BCE8-2882-4CAB-B1EA-8B7E8560C33A}"/>
    <cellStyle name="20% - Accent2 3 2 3 3" xfId="5345" xr:uid="{00000000-0005-0000-0000-0000FB000000}"/>
    <cellStyle name="20% - Accent2 3 2 3 3 2" xfId="23111" xr:uid="{92DC038F-AFAF-4429-9F10-7EC33CB73639}"/>
    <cellStyle name="20% - Accent2 3 2 3 3 3" xfId="14671" xr:uid="{997920AE-188D-48A1-9D16-47CDBF751C67}"/>
    <cellStyle name="20% - Accent2 3 2 3 4" xfId="18894" xr:uid="{486FA1EC-BD36-413E-8292-671C2ECA948A}"/>
    <cellStyle name="20% - Accent2 3 2 3 5" xfId="10454" xr:uid="{E6D9CE09-4DFE-464E-8151-9235B640E51F}"/>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25669" xr:uid="{139173A9-0ACA-4A51-9A13-EC3D41B54CEC}"/>
    <cellStyle name="20% - Accent2 3 2 4 2 2 3" xfId="17229" xr:uid="{AFB98E90-B2AC-4EB0-8ED3-942B4993D385}"/>
    <cellStyle name="20% - Accent2 3 2 4 2 3" xfId="21452" xr:uid="{B272562E-693C-4107-876C-F61150B1CA83}"/>
    <cellStyle name="20% - Accent2 3 2 4 2 4" xfId="13012" xr:uid="{14BFE892-5FBE-4DE4-BDB8-0AA462B3B7BB}"/>
    <cellStyle name="20% - Accent2 3 2 4 3" xfId="5758" xr:uid="{00000000-0005-0000-0000-0000FF000000}"/>
    <cellStyle name="20% - Accent2 3 2 4 3 2" xfId="23524" xr:uid="{21FAC51B-2B70-4C01-9882-7244C1DA3812}"/>
    <cellStyle name="20% - Accent2 3 2 4 3 3" xfId="15084" xr:uid="{91C2BF05-21A7-4129-9585-487D8578EEEC}"/>
    <cellStyle name="20% - Accent2 3 2 4 4" xfId="19307" xr:uid="{01286A0B-1618-4769-A7BA-825B05DF5CF5}"/>
    <cellStyle name="20% - Accent2 3 2 4 5" xfId="10867" xr:uid="{C232CC36-CA7F-4BA3-AA67-1411E82FE2A7}"/>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26082" xr:uid="{1995BB21-B0A2-479F-A028-040731F1150F}"/>
    <cellStyle name="20% - Accent2 3 2 5 2 2 3" xfId="17642" xr:uid="{95F97835-9880-4C69-B0F7-C660DB245C2A}"/>
    <cellStyle name="20% - Accent2 3 2 5 2 3" xfId="21865" xr:uid="{2443C257-9FA3-420F-87F9-3B59555F4DB8}"/>
    <cellStyle name="20% - Accent2 3 2 5 2 4" xfId="13425" xr:uid="{CFA0E1B6-6E3C-45A1-805A-0B60A37344D6}"/>
    <cellStyle name="20% - Accent2 3 2 5 3" xfId="6171" xr:uid="{00000000-0005-0000-0000-000003010000}"/>
    <cellStyle name="20% - Accent2 3 2 5 3 2" xfId="23937" xr:uid="{7CC8692F-1E5D-4BFB-90E6-349F41B054C4}"/>
    <cellStyle name="20% - Accent2 3 2 5 3 3" xfId="15497" xr:uid="{3A94102C-DA61-487F-9FDE-611D9DC1DEAD}"/>
    <cellStyle name="20% - Accent2 3 2 5 4" xfId="19720" xr:uid="{6FE43627-2191-48BF-ACF4-78C9F53469A8}"/>
    <cellStyle name="20% - Accent2 3 2 5 5" xfId="11280" xr:uid="{4A49DCD8-0B78-47C4-B6B8-078D96EA036A}"/>
    <cellStyle name="20% - Accent2 3 2 6" xfId="2278" xr:uid="{00000000-0005-0000-0000-000004010000}"/>
    <cellStyle name="20% - Accent2 3 2 6 2" xfId="6584" xr:uid="{00000000-0005-0000-0000-000005010000}"/>
    <cellStyle name="20% - Accent2 3 2 6 2 2" xfId="24350" xr:uid="{8A00539C-3EFD-4735-8A84-4CAD44453E74}"/>
    <cellStyle name="20% - Accent2 3 2 6 2 3" xfId="15910" xr:uid="{2288B163-3061-4932-871C-623F53AF1BC7}"/>
    <cellStyle name="20% - Accent2 3 2 6 3" xfId="20133" xr:uid="{C418455B-92C6-4A63-B24F-FE8242B75A2B}"/>
    <cellStyle name="20% - Accent2 3 2 6 4" xfId="11693" xr:uid="{40AAC5DE-1F19-4F4B-B925-9051209D31CE}"/>
    <cellStyle name="20% - Accent2 3 2 7" xfId="4518" xr:uid="{00000000-0005-0000-0000-000006010000}"/>
    <cellStyle name="20% - Accent2 3 2 7 2" xfId="22284" xr:uid="{E8BDC4A5-AD1F-4788-985F-C43A2273EE2A}"/>
    <cellStyle name="20% - Accent2 3 2 7 3" xfId="13844" xr:uid="{94088AF5-5FF3-412B-AB0A-9ABC286A4CBA}"/>
    <cellStyle name="20% - Accent2 3 2 8" xfId="9070" xr:uid="{8A9168BA-490F-4E57-83EA-22187D24153F}"/>
    <cellStyle name="20% - Accent2 3 2 8 2" xfId="18067" xr:uid="{A47526E8-AC0B-42C0-A8D2-AE4A76ADB37F}"/>
    <cellStyle name="20% - Accent2 3 2 9" xfId="9627" xr:uid="{C6C5456D-EF51-4584-A0B8-28E089B43FD4}"/>
    <cellStyle name="20% - Accent2 3 3" xfId="583" xr:uid="{00000000-0005-0000-0000-000007010000}"/>
    <cellStyle name="20% - Accent2 3 3 2" xfId="2854" xr:uid="{00000000-0005-0000-0000-000008010000}"/>
    <cellStyle name="20% - Accent2 3 3 2 2" xfId="7076" xr:uid="{00000000-0005-0000-0000-000009010000}"/>
    <cellStyle name="20% - Accent2 3 3 2 2 2" xfId="24842" xr:uid="{A670620E-5B5C-4CC4-B906-5B310763424B}"/>
    <cellStyle name="20% - Accent2 3 3 2 2 3" xfId="16402" xr:uid="{2DA992C5-E341-45F9-974A-1446FF0D9C0A}"/>
    <cellStyle name="20% - Accent2 3 3 2 3" xfId="20625" xr:uid="{D48E16F3-3C96-49DC-A8DA-089D39D88AC5}"/>
    <cellStyle name="20% - Accent2 3 3 2 4" xfId="12185" xr:uid="{FAA16040-9867-4F0D-B1E2-44567609DE30}"/>
    <cellStyle name="20% - Accent2 3 3 3" xfId="4931" xr:uid="{00000000-0005-0000-0000-00000A010000}"/>
    <cellStyle name="20% - Accent2 3 3 3 2" xfId="22697" xr:uid="{E75283A8-E491-4452-9DE4-E54973674622}"/>
    <cellStyle name="20% - Accent2 3 3 3 3" xfId="14257" xr:uid="{91326328-9D5E-43B2-BEAC-FD0EDBB3A3F1}"/>
    <cellStyle name="20% - Accent2 3 3 4" xfId="9288" xr:uid="{FCD70616-ECAD-4A0B-889F-4698E1AD889E}"/>
    <cellStyle name="20% - Accent2 3 3 4 2" xfId="18480" xr:uid="{BD26E9BB-76BD-4D2A-884F-EE4603926FC7}"/>
    <cellStyle name="20% - Accent2 3 3 5" xfId="10040" xr:uid="{15F723AE-4D2C-48DD-9FAD-CB56B1F3B54B}"/>
    <cellStyle name="20% - Accent2 3 4" xfId="1036" xr:uid="{00000000-0005-0000-0000-00000B010000}"/>
    <cellStyle name="20% - Accent2 3 4 2" xfId="3267" xr:uid="{00000000-0005-0000-0000-00000C010000}"/>
    <cellStyle name="20% - Accent2 3 4 2 2" xfId="7489" xr:uid="{00000000-0005-0000-0000-00000D010000}"/>
    <cellStyle name="20% - Accent2 3 4 2 2 2" xfId="25255" xr:uid="{8D7EB87F-E10E-4F55-8A22-5C06FBF9325B}"/>
    <cellStyle name="20% - Accent2 3 4 2 2 3" xfId="16815" xr:uid="{E1C360C6-CD3E-4834-86C7-01B6B7689940}"/>
    <cellStyle name="20% - Accent2 3 4 2 3" xfId="21038" xr:uid="{939EB870-0577-4A3F-827E-B2D7043F9E47}"/>
    <cellStyle name="20% - Accent2 3 4 2 4" xfId="12598" xr:uid="{E732081F-D754-4B61-B3E5-7B6D520D270F}"/>
    <cellStyle name="20% - Accent2 3 4 3" xfId="5344" xr:uid="{00000000-0005-0000-0000-00000E010000}"/>
    <cellStyle name="20% - Accent2 3 4 3 2" xfId="23110" xr:uid="{F96239E8-D84D-47B5-B17D-E07A1CDC5D12}"/>
    <cellStyle name="20% - Accent2 3 4 3 3" xfId="14670" xr:uid="{26F9F0D7-0D28-4AA7-9D91-07BF190D6B75}"/>
    <cellStyle name="20% - Accent2 3 4 4" xfId="18893" xr:uid="{A85DB2CF-0C68-42DB-BC9A-AB590C218B7C}"/>
    <cellStyle name="20% - Accent2 3 4 5" xfId="10453" xr:uid="{6CE3F55E-B8C2-4096-B222-F0E83C90FF92}"/>
    <cellStyle name="20% - Accent2 3 5" xfId="1450" xr:uid="{00000000-0005-0000-0000-00000F010000}"/>
    <cellStyle name="20% - Accent2 3 5 2" xfId="3680" xr:uid="{00000000-0005-0000-0000-000010010000}"/>
    <cellStyle name="20% - Accent2 3 5 2 2" xfId="7902" xr:uid="{00000000-0005-0000-0000-000011010000}"/>
    <cellStyle name="20% - Accent2 3 5 2 2 2" xfId="25668" xr:uid="{9CE64830-4DF2-4325-A3B5-5F3A0834FC4B}"/>
    <cellStyle name="20% - Accent2 3 5 2 2 3" xfId="17228" xr:uid="{B3FD9A83-2C5F-4279-900E-B70790E5B154}"/>
    <cellStyle name="20% - Accent2 3 5 2 3" xfId="21451" xr:uid="{3587882B-9A3F-4A76-A549-75CF012631FA}"/>
    <cellStyle name="20% - Accent2 3 5 2 4" xfId="13011" xr:uid="{485C5074-B203-492F-BDEB-E385121C5B6F}"/>
    <cellStyle name="20% - Accent2 3 5 3" xfId="5757" xr:uid="{00000000-0005-0000-0000-000012010000}"/>
    <cellStyle name="20% - Accent2 3 5 3 2" xfId="23523" xr:uid="{8205DA1B-4BE5-4A59-9267-ABB22097CDBA}"/>
    <cellStyle name="20% - Accent2 3 5 3 3" xfId="15083" xr:uid="{0DC552FF-36CF-49F3-AF6C-AB13A55D3587}"/>
    <cellStyle name="20% - Accent2 3 5 4" xfId="19306" xr:uid="{EE497560-1C8C-461A-A5BA-4EDA4B2A6824}"/>
    <cellStyle name="20% - Accent2 3 5 5" xfId="10866" xr:uid="{AC12F9D1-3474-41C5-8BCE-63AB7F94D50E}"/>
    <cellStyle name="20% - Accent2 3 6" xfId="1864" xr:uid="{00000000-0005-0000-0000-000013010000}"/>
    <cellStyle name="20% - Accent2 3 6 2" xfId="4093" xr:uid="{00000000-0005-0000-0000-000014010000}"/>
    <cellStyle name="20% - Accent2 3 6 2 2" xfId="8315" xr:uid="{00000000-0005-0000-0000-000015010000}"/>
    <cellStyle name="20% - Accent2 3 6 2 2 2" xfId="26081" xr:uid="{8825AAC8-E45D-449B-9E0A-85BD1B3D11D9}"/>
    <cellStyle name="20% - Accent2 3 6 2 2 3" xfId="17641" xr:uid="{E43E6D03-22D9-43B7-B64A-2FE5F434D495}"/>
    <cellStyle name="20% - Accent2 3 6 2 3" xfId="21864" xr:uid="{0A21B902-417C-4A0B-9957-661FCA21CB81}"/>
    <cellStyle name="20% - Accent2 3 6 2 4" xfId="13424" xr:uid="{AD843FDA-09E1-4140-ADF3-5F827322B20F}"/>
    <cellStyle name="20% - Accent2 3 6 3" xfId="6170" xr:uid="{00000000-0005-0000-0000-000016010000}"/>
    <cellStyle name="20% - Accent2 3 6 3 2" xfId="23936" xr:uid="{0739C3C9-BB08-41EE-A614-BBD88D1DB281}"/>
    <cellStyle name="20% - Accent2 3 6 3 3" xfId="15496" xr:uid="{7BF2BB2C-2D9E-470D-8493-0123E258896D}"/>
    <cellStyle name="20% - Accent2 3 6 4" xfId="19719" xr:uid="{BAB4B915-A02B-4D66-B89A-F0E956228588}"/>
    <cellStyle name="20% - Accent2 3 6 5" xfId="11279" xr:uid="{A28AE0ED-2ADA-4C2F-A86B-CDF1B1EC47AB}"/>
    <cellStyle name="20% - Accent2 3 7" xfId="2277" xr:uid="{00000000-0005-0000-0000-000017010000}"/>
    <cellStyle name="20% - Accent2 3 7 2" xfId="6583" xr:uid="{00000000-0005-0000-0000-000018010000}"/>
    <cellStyle name="20% - Accent2 3 7 2 2" xfId="24349" xr:uid="{C89F1D57-4821-4C8E-81E4-4CEA02EE4080}"/>
    <cellStyle name="20% - Accent2 3 7 2 3" xfId="15909" xr:uid="{D6529524-B8A3-4B18-BFA9-01992B7E177C}"/>
    <cellStyle name="20% - Accent2 3 7 3" xfId="20132" xr:uid="{892A92F9-1444-49F7-A6BE-F131E47B88DE}"/>
    <cellStyle name="20% - Accent2 3 7 4" xfId="11692" xr:uid="{4FC0C607-2BD4-4599-8E8A-439A1444A873}"/>
    <cellStyle name="20% - Accent2 3 8" xfId="4517" xr:uid="{00000000-0005-0000-0000-000019010000}"/>
    <cellStyle name="20% - Accent2 3 8 2" xfId="22283" xr:uid="{FAAC9C8B-3B3B-409B-B4C6-E3027F52F2B4}"/>
    <cellStyle name="20% - Accent2 3 8 3" xfId="13843" xr:uid="{5E9D931D-ED7B-40BB-B930-D81E1B2A4DF8}"/>
    <cellStyle name="20% - Accent2 3 9" xfId="8863" xr:uid="{C6A258FB-33DC-4171-B9DD-C29513CA80FD}"/>
    <cellStyle name="20% - Accent2 3 9 2" xfId="18066" xr:uid="{551B7670-D3CB-4AC6-AD04-BE81190C091C}"/>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24844" xr:uid="{64CC90E0-1EE5-4F83-B6D1-839DB871E0A0}"/>
    <cellStyle name="20% - Accent2 4 2 2 2 3" xfId="16404" xr:uid="{DAA5FBD4-B324-4576-98F7-33814B8C32D8}"/>
    <cellStyle name="20% - Accent2 4 2 2 3" xfId="20627" xr:uid="{CF991544-F05F-4195-AF0B-A1E7DB1A675D}"/>
    <cellStyle name="20% - Accent2 4 2 2 4" xfId="12187" xr:uid="{E7A9D321-6A4A-4D6C-9B59-A509E6773303}"/>
    <cellStyle name="20% - Accent2 4 2 3" xfId="4933" xr:uid="{00000000-0005-0000-0000-00001E010000}"/>
    <cellStyle name="20% - Accent2 4 2 3 2" xfId="22699" xr:uid="{7E6CD09F-CDAD-4BB4-B904-C1F71716470A}"/>
    <cellStyle name="20% - Accent2 4 2 3 3" xfId="14259" xr:uid="{8E8AA023-C2E3-44B7-ABB5-B2D6266860BF}"/>
    <cellStyle name="20% - Accent2 4 2 4" xfId="9374" xr:uid="{26FD7A0E-8D04-4AF7-B092-2B22A78F0A97}"/>
    <cellStyle name="20% - Accent2 4 2 4 2" xfId="18482" xr:uid="{B9F82999-83D0-43D4-BD96-A1BAC6C804CE}"/>
    <cellStyle name="20% - Accent2 4 2 5" xfId="10042" xr:uid="{7CEE67D1-CE49-49DC-8969-991B98F7E943}"/>
    <cellStyle name="20% - Accent2 4 3" xfId="1038" xr:uid="{00000000-0005-0000-0000-00001F010000}"/>
    <cellStyle name="20% - Accent2 4 3 2" xfId="3269" xr:uid="{00000000-0005-0000-0000-000020010000}"/>
    <cellStyle name="20% - Accent2 4 3 2 2" xfId="7491" xr:uid="{00000000-0005-0000-0000-000021010000}"/>
    <cellStyle name="20% - Accent2 4 3 2 2 2" xfId="25257" xr:uid="{7D3DF94D-7D6F-451D-8C58-1A98DB65F03F}"/>
    <cellStyle name="20% - Accent2 4 3 2 2 3" xfId="16817" xr:uid="{CE4621C7-6A78-4C33-B63A-5778898B45CF}"/>
    <cellStyle name="20% - Accent2 4 3 2 3" xfId="21040" xr:uid="{115C0E49-2DC7-4EE6-9160-B7C44EC15DC0}"/>
    <cellStyle name="20% - Accent2 4 3 2 4" xfId="12600" xr:uid="{94158AB0-C7BF-4613-B1C7-9BC6FF0D31D0}"/>
    <cellStyle name="20% - Accent2 4 3 3" xfId="5346" xr:uid="{00000000-0005-0000-0000-000022010000}"/>
    <cellStyle name="20% - Accent2 4 3 3 2" xfId="23112" xr:uid="{EC4FA05D-7418-4DCD-878B-0F3FC59C7FA4}"/>
    <cellStyle name="20% - Accent2 4 3 3 3" xfId="14672" xr:uid="{7D2D83A5-C763-4D59-944D-8FC3AF03896F}"/>
    <cellStyle name="20% - Accent2 4 3 4" xfId="18895" xr:uid="{7AD098EE-D59A-4295-846F-EDD9827847BE}"/>
    <cellStyle name="20% - Accent2 4 3 5" xfId="10455" xr:uid="{3C55F4D6-83D2-4E0A-BF8E-86C220FA7DCE}"/>
    <cellStyle name="20% - Accent2 4 4" xfId="1452" xr:uid="{00000000-0005-0000-0000-000023010000}"/>
    <cellStyle name="20% - Accent2 4 4 2" xfId="3682" xr:uid="{00000000-0005-0000-0000-000024010000}"/>
    <cellStyle name="20% - Accent2 4 4 2 2" xfId="7904" xr:uid="{00000000-0005-0000-0000-000025010000}"/>
    <cellStyle name="20% - Accent2 4 4 2 2 2" xfId="25670" xr:uid="{BEFBED48-30D1-4A3F-A21A-DC107E1FB71F}"/>
    <cellStyle name="20% - Accent2 4 4 2 2 3" xfId="17230" xr:uid="{5ABB6202-002E-469C-9CD7-8C2CAC65FE7C}"/>
    <cellStyle name="20% - Accent2 4 4 2 3" xfId="21453" xr:uid="{980D7C31-8FEE-4086-92F5-6164A12D9262}"/>
    <cellStyle name="20% - Accent2 4 4 2 4" xfId="13013" xr:uid="{8A7CA673-8DB9-4A37-836F-EABAE9B886A6}"/>
    <cellStyle name="20% - Accent2 4 4 3" xfId="5759" xr:uid="{00000000-0005-0000-0000-000026010000}"/>
    <cellStyle name="20% - Accent2 4 4 3 2" xfId="23525" xr:uid="{624019C7-3320-4864-B760-54FCC4256151}"/>
    <cellStyle name="20% - Accent2 4 4 3 3" xfId="15085" xr:uid="{F6B101CA-C1D0-47A0-AA16-6F163CC65E2A}"/>
    <cellStyle name="20% - Accent2 4 4 4" xfId="19308" xr:uid="{9C14D355-D39F-461D-9E9D-FF7FDE127D90}"/>
    <cellStyle name="20% - Accent2 4 4 5" xfId="10868" xr:uid="{030045A8-8B5C-412E-9385-244BAB74B82D}"/>
    <cellStyle name="20% - Accent2 4 5" xfId="1866" xr:uid="{00000000-0005-0000-0000-000027010000}"/>
    <cellStyle name="20% - Accent2 4 5 2" xfId="4095" xr:uid="{00000000-0005-0000-0000-000028010000}"/>
    <cellStyle name="20% - Accent2 4 5 2 2" xfId="8317" xr:uid="{00000000-0005-0000-0000-000029010000}"/>
    <cellStyle name="20% - Accent2 4 5 2 2 2" xfId="26083" xr:uid="{D84CE152-9A1A-42DA-AB56-8C7F52F7073F}"/>
    <cellStyle name="20% - Accent2 4 5 2 2 3" xfId="17643" xr:uid="{24DAB70E-AFC0-4696-ABF6-15B1797A4204}"/>
    <cellStyle name="20% - Accent2 4 5 2 3" xfId="21866" xr:uid="{1D708AF1-505C-46E0-BF6B-5E22E0054147}"/>
    <cellStyle name="20% - Accent2 4 5 2 4" xfId="13426" xr:uid="{BE29622E-56CE-40D1-96DD-49FE890AF1E9}"/>
    <cellStyle name="20% - Accent2 4 5 3" xfId="6172" xr:uid="{00000000-0005-0000-0000-00002A010000}"/>
    <cellStyle name="20% - Accent2 4 5 3 2" xfId="23938" xr:uid="{5049310F-532C-412F-8B66-033A3A8A9B5D}"/>
    <cellStyle name="20% - Accent2 4 5 3 3" xfId="15498" xr:uid="{A00C4530-ADB2-4D04-B262-50B09E7959C1}"/>
    <cellStyle name="20% - Accent2 4 5 4" xfId="19721" xr:uid="{EF4C613D-D4C9-4D0A-8A9D-B9F306943FDC}"/>
    <cellStyle name="20% - Accent2 4 5 5" xfId="11281" xr:uid="{95E3D739-99DB-4742-9CFF-C2F8921D1A6D}"/>
    <cellStyle name="20% - Accent2 4 6" xfId="2279" xr:uid="{00000000-0005-0000-0000-00002B010000}"/>
    <cellStyle name="20% - Accent2 4 6 2" xfId="6585" xr:uid="{00000000-0005-0000-0000-00002C010000}"/>
    <cellStyle name="20% - Accent2 4 6 2 2" xfId="24351" xr:uid="{080AEB88-8F95-42AE-85B6-F1BACD764133}"/>
    <cellStyle name="20% - Accent2 4 6 2 3" xfId="15911" xr:uid="{FEAE4224-EE8F-4F30-B5B1-6A4F159FD649}"/>
    <cellStyle name="20% - Accent2 4 6 3" xfId="20134" xr:uid="{39A6A3D9-31E9-4845-B3DC-56AB0E8F1C09}"/>
    <cellStyle name="20% - Accent2 4 6 4" xfId="11694" xr:uid="{86E8BC7F-A024-4983-89B2-58F7377B5097}"/>
    <cellStyle name="20% - Accent2 4 7" xfId="4519" xr:uid="{00000000-0005-0000-0000-00002D010000}"/>
    <cellStyle name="20% - Accent2 4 7 2" xfId="22285" xr:uid="{BF3E66BC-C1A9-4B14-83D8-583630F7D87F}"/>
    <cellStyle name="20% - Accent2 4 7 3" xfId="13845" xr:uid="{0524E8B2-152D-4CCD-8924-54CF0D3CCDE4}"/>
    <cellStyle name="20% - Accent2 4 8" xfId="8949" xr:uid="{084C22A9-B904-4AFE-A752-AC1DC2CA76B8}"/>
    <cellStyle name="20% - Accent2 4 8 2" xfId="18068" xr:uid="{841FC5F7-4E2F-41BD-A292-590C40B2DA91}"/>
    <cellStyle name="20% - Accent2 4 9" xfId="9628" xr:uid="{BF493A21-7EDA-450F-ACD4-CDBF0A723BEA}"/>
    <cellStyle name="20% - Accent2 5" xfId="578" xr:uid="{00000000-0005-0000-0000-00002E010000}"/>
    <cellStyle name="20% - Accent2 5 2" xfId="2849" xr:uid="{00000000-0005-0000-0000-00002F010000}"/>
    <cellStyle name="20% - Accent2 5 2 2" xfId="7071" xr:uid="{00000000-0005-0000-0000-000030010000}"/>
    <cellStyle name="20% - Accent2 5 2 2 2" xfId="24837" xr:uid="{FD007317-B3F4-4C43-80D1-F5473EA00579}"/>
    <cellStyle name="20% - Accent2 5 2 2 3" xfId="16397" xr:uid="{9C3C1CE6-8EBA-4A9C-A2D7-7B6FF812AC1F}"/>
    <cellStyle name="20% - Accent2 5 2 3" xfId="20620" xr:uid="{3B5A8D06-7AA6-4CC6-A85F-F851CEA363F7}"/>
    <cellStyle name="20% - Accent2 5 2 4" xfId="12180" xr:uid="{D4321E5D-9B3E-4835-9DBF-0DBD83545C13}"/>
    <cellStyle name="20% - Accent2 5 3" xfId="4926" xr:uid="{00000000-0005-0000-0000-000031010000}"/>
    <cellStyle name="20% - Accent2 5 3 2" xfId="22692" xr:uid="{BDC3FFFF-4292-4BD3-BECB-F05948AC9A05}"/>
    <cellStyle name="20% - Accent2 5 3 3" xfId="14252" xr:uid="{A295FB2B-9138-4EF3-8CDA-88C893CC1899}"/>
    <cellStyle name="20% - Accent2 5 4" xfId="9182" xr:uid="{F822E263-B2A4-41B5-BBF9-FCE1A7A30601}"/>
    <cellStyle name="20% - Accent2 5 4 2" xfId="18475" xr:uid="{A66FF9FC-BCBA-4AEF-9BB5-345A26BED621}"/>
    <cellStyle name="20% - Accent2 5 5" xfId="10035" xr:uid="{CBEEA89D-3A8C-4E9E-9356-72E78221C8D3}"/>
    <cellStyle name="20% - Accent2 6" xfId="1031" xr:uid="{00000000-0005-0000-0000-000032010000}"/>
    <cellStyle name="20% - Accent2 6 2" xfId="3262" xr:uid="{00000000-0005-0000-0000-000033010000}"/>
    <cellStyle name="20% - Accent2 6 2 2" xfId="7484" xr:uid="{00000000-0005-0000-0000-000034010000}"/>
    <cellStyle name="20% - Accent2 6 2 2 2" xfId="25250" xr:uid="{33059785-1169-484F-987B-04257EA98593}"/>
    <cellStyle name="20% - Accent2 6 2 2 3" xfId="16810" xr:uid="{63DF1BBF-B76B-4DEE-B046-B0CCF97F16CF}"/>
    <cellStyle name="20% - Accent2 6 2 3" xfId="21033" xr:uid="{703B03D3-A7FE-4906-ACD3-1566FC511BAA}"/>
    <cellStyle name="20% - Accent2 6 2 4" xfId="12593" xr:uid="{6398F2AE-C811-4D98-AE5F-1514D71CAB00}"/>
    <cellStyle name="20% - Accent2 6 3" xfId="5339" xr:uid="{00000000-0005-0000-0000-000035010000}"/>
    <cellStyle name="20% - Accent2 6 3 2" xfId="23105" xr:uid="{CCB7586E-BC1D-4C3E-9839-1152F51FB1B5}"/>
    <cellStyle name="20% - Accent2 6 3 3" xfId="14665" xr:uid="{682FC6A1-3DDF-48FF-A1D9-E95652C383CE}"/>
    <cellStyle name="20% - Accent2 6 4" xfId="18888" xr:uid="{13904274-EBF0-4A1A-81E0-62F9F1EF2ABA}"/>
    <cellStyle name="20% - Accent2 6 5" xfId="10448" xr:uid="{9A2A6DA0-9638-42E7-A27F-154050A6AEEA}"/>
    <cellStyle name="20% - Accent2 7" xfId="1445" xr:uid="{00000000-0005-0000-0000-000036010000}"/>
    <cellStyle name="20% - Accent2 7 2" xfId="3675" xr:uid="{00000000-0005-0000-0000-000037010000}"/>
    <cellStyle name="20% - Accent2 7 2 2" xfId="7897" xr:uid="{00000000-0005-0000-0000-000038010000}"/>
    <cellStyle name="20% - Accent2 7 2 2 2" xfId="25663" xr:uid="{8D854EDE-9E68-4746-8E54-8CC88AD972F3}"/>
    <cellStyle name="20% - Accent2 7 2 2 3" xfId="17223" xr:uid="{7C87A6C7-4142-4AD7-B86E-01FA448AF1F5}"/>
    <cellStyle name="20% - Accent2 7 2 3" xfId="21446" xr:uid="{C549B30E-849B-4A20-853B-0CE1D6F7F8BE}"/>
    <cellStyle name="20% - Accent2 7 2 4" xfId="13006" xr:uid="{BE1F9ADC-A11F-4479-8BC2-5C93D5BF6F46}"/>
    <cellStyle name="20% - Accent2 7 3" xfId="5752" xr:uid="{00000000-0005-0000-0000-000039010000}"/>
    <cellStyle name="20% - Accent2 7 3 2" xfId="23518" xr:uid="{911B0669-1F4A-4B5E-858D-C5F897268980}"/>
    <cellStyle name="20% - Accent2 7 3 3" xfId="15078" xr:uid="{542B8F41-641D-4BED-853C-EBD306A6FAFE}"/>
    <cellStyle name="20% - Accent2 7 4" xfId="19301" xr:uid="{7E977EF7-862E-4CAF-83DB-EC16D74A8801}"/>
    <cellStyle name="20% - Accent2 7 5" xfId="10861" xr:uid="{BFAD0AD4-5C6B-4396-B090-30725D25778F}"/>
    <cellStyle name="20% - Accent2 8" xfId="1859" xr:uid="{00000000-0005-0000-0000-00003A010000}"/>
    <cellStyle name="20% - Accent2 8 2" xfId="4088" xr:uid="{00000000-0005-0000-0000-00003B010000}"/>
    <cellStyle name="20% - Accent2 8 2 2" xfId="8310" xr:uid="{00000000-0005-0000-0000-00003C010000}"/>
    <cellStyle name="20% - Accent2 8 2 2 2" xfId="26076" xr:uid="{C3FB2A90-D10A-44A3-B809-BEE38DD60E19}"/>
    <cellStyle name="20% - Accent2 8 2 2 3" xfId="17636" xr:uid="{391AE4BE-8DBB-42BE-BED8-760C2D238EA1}"/>
    <cellStyle name="20% - Accent2 8 2 3" xfId="21859" xr:uid="{6875D11C-29A5-4C9B-9CBB-CB00ABB1D7C2}"/>
    <cellStyle name="20% - Accent2 8 2 4" xfId="13419" xr:uid="{346B8D4C-5D74-4108-BE5F-4979F4987955}"/>
    <cellStyle name="20% - Accent2 8 3" xfId="6165" xr:uid="{00000000-0005-0000-0000-00003D010000}"/>
    <cellStyle name="20% - Accent2 8 3 2" xfId="23931" xr:uid="{5A07DF6D-B648-4F30-BCCD-597969B5934A}"/>
    <cellStyle name="20% - Accent2 8 3 3" xfId="15491" xr:uid="{1E093E0D-5C24-4271-AB30-CDDEA5C81555}"/>
    <cellStyle name="20% - Accent2 8 4" xfId="19714" xr:uid="{D82F01F5-2030-4802-9FA8-A9CADEFB2EBE}"/>
    <cellStyle name="20% - Accent2 8 5" xfId="11274" xr:uid="{536D5862-3D20-45D1-86C6-89E9419796F1}"/>
    <cellStyle name="20% - Accent2 9" xfId="2272" xr:uid="{00000000-0005-0000-0000-00003E010000}"/>
    <cellStyle name="20% - Accent2 9 2" xfId="6578" xr:uid="{00000000-0005-0000-0000-00003F010000}"/>
    <cellStyle name="20% - Accent2 9 2 2" xfId="24344" xr:uid="{ED28C6D8-583B-4E60-ABDA-A38BEDB6076A}"/>
    <cellStyle name="20% - Accent2 9 2 3" xfId="15904" xr:uid="{A727BDA0-26A6-444C-A6E0-AF3257A5D7EA}"/>
    <cellStyle name="20% - Accent2 9 3" xfId="20127" xr:uid="{D8C6F4B7-F9D4-4A8C-ABDA-308BAD1D2D20}"/>
    <cellStyle name="20% - Accent2 9 4" xfId="11687" xr:uid="{ABB5DDC7-AA36-4A31-8755-9C96B29A53C6}"/>
    <cellStyle name="20% - Accent3" xfId="17" builtinId="38" customBuiltin="1"/>
    <cellStyle name="20% - Accent3 10" xfId="4520" xr:uid="{00000000-0005-0000-0000-000041010000}"/>
    <cellStyle name="20% - Accent3 10 2" xfId="22286" xr:uid="{681A31B3-224B-43E5-B83E-8A8FF850A7A7}"/>
    <cellStyle name="20% - Accent3 10 3" xfId="13846" xr:uid="{09FF350C-BF5B-468F-B2C5-28A615206F42}"/>
    <cellStyle name="20% - Accent3 11" xfId="8762" xr:uid="{49ACF776-43E7-4BB5-82F5-A8A4FEBC45F8}"/>
    <cellStyle name="20% - Accent3 11 2" xfId="18069" xr:uid="{6B0592F6-111A-445B-96C4-4A386876C0A8}"/>
    <cellStyle name="20% - Accent3 12" xfId="9629" xr:uid="{AB16A8BB-F315-4C12-B91C-673D6257F1D0}"/>
    <cellStyle name="20% - Accent3 2" xfId="18" xr:uid="{00000000-0005-0000-0000-000042010000}"/>
    <cellStyle name="20% - Accent3 2 10" xfId="8792" xr:uid="{65E5762F-047C-4860-B47E-71363924E2A5}"/>
    <cellStyle name="20% - Accent3 2 10 2" xfId="18070" xr:uid="{26A48D41-AF2B-4107-BF29-E1C5E1E95C4F}"/>
    <cellStyle name="20% - Accent3 2 11" xfId="9630" xr:uid="{3743869A-60C0-47C9-B68E-99A5A01394AF}"/>
    <cellStyle name="20% - Accent3 2 2" xfId="19" xr:uid="{00000000-0005-0000-0000-000043010000}"/>
    <cellStyle name="20% - Accent3 2 2 10" xfId="9631" xr:uid="{AC4AE456-36B5-46D4-B4F0-CEE8089D60C3}"/>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24848" xr:uid="{8B5AF5B4-6500-4B8E-AF66-4029A9A7FC88}"/>
    <cellStyle name="20% - Accent3 2 2 2 2 2 2 3" xfId="16408" xr:uid="{3C31FF77-9DDB-4984-85CC-165A7558E1BE}"/>
    <cellStyle name="20% - Accent3 2 2 2 2 2 3" xfId="20631" xr:uid="{9C59B18E-5A56-4C07-A3B6-AAA398E8CED7}"/>
    <cellStyle name="20% - Accent3 2 2 2 2 2 4" xfId="12191" xr:uid="{EBF13829-03D6-4B9C-BA40-52B76A618CB4}"/>
    <cellStyle name="20% - Accent3 2 2 2 2 3" xfId="4937" xr:uid="{00000000-0005-0000-0000-000048010000}"/>
    <cellStyle name="20% - Accent3 2 2 2 2 3 2" xfId="22703" xr:uid="{7C1997E8-8E7C-4FAD-867A-8774839F65C9}"/>
    <cellStyle name="20% - Accent3 2 2 2 2 3 3" xfId="14263" xr:uid="{C43F6C00-C5A3-4AC1-8578-371E7B44F7EB}"/>
    <cellStyle name="20% - Accent3 2 2 2 2 4" xfId="9527" xr:uid="{B82F9F3C-4714-4F10-BEB2-F90FC0563F53}"/>
    <cellStyle name="20% - Accent3 2 2 2 2 4 2" xfId="18486" xr:uid="{53BDA130-0466-4735-8C90-1B925A0C472C}"/>
    <cellStyle name="20% - Accent3 2 2 2 2 5" xfId="10046" xr:uid="{B6669F10-A916-434C-83DA-5BB54712A251}"/>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25261" xr:uid="{3399F449-78C8-4CD6-B07F-821874AB50AB}"/>
    <cellStyle name="20% - Accent3 2 2 2 3 2 2 3" xfId="16821" xr:uid="{AC32FB91-504E-4084-B1CB-76A067581C3F}"/>
    <cellStyle name="20% - Accent3 2 2 2 3 2 3" xfId="21044" xr:uid="{485C50E0-2C26-46C2-ADE6-F924B2C2A8BE}"/>
    <cellStyle name="20% - Accent3 2 2 2 3 2 4" xfId="12604" xr:uid="{D4A2BB04-9BEB-45F0-9C15-8A8D9112B34B}"/>
    <cellStyle name="20% - Accent3 2 2 2 3 3" xfId="5350" xr:uid="{00000000-0005-0000-0000-00004C010000}"/>
    <cellStyle name="20% - Accent3 2 2 2 3 3 2" xfId="23116" xr:uid="{2F651555-6A7C-4FD3-82F2-FEE6C1D22792}"/>
    <cellStyle name="20% - Accent3 2 2 2 3 3 3" xfId="14676" xr:uid="{B9B7404B-A613-42D7-BB3E-C000E61759DD}"/>
    <cellStyle name="20% - Accent3 2 2 2 3 4" xfId="18899" xr:uid="{B61785C2-37C0-4B7C-8360-0BAFAAC4C599}"/>
    <cellStyle name="20% - Accent3 2 2 2 3 5" xfId="10459" xr:uid="{9ADC3BCD-6218-4D00-B524-E13F724FD60F}"/>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25674" xr:uid="{FCB719B4-74E0-4284-B8A6-3CC3BB2E3F2A}"/>
    <cellStyle name="20% - Accent3 2 2 2 4 2 2 3" xfId="17234" xr:uid="{3AF49872-8559-407E-9D85-3B4BA406D3B3}"/>
    <cellStyle name="20% - Accent3 2 2 2 4 2 3" xfId="21457" xr:uid="{BB89D59B-1EBA-47B2-9A25-847559833A5C}"/>
    <cellStyle name="20% - Accent3 2 2 2 4 2 4" xfId="13017" xr:uid="{180C2E15-51C7-4622-A6A0-D97FFE103F2E}"/>
    <cellStyle name="20% - Accent3 2 2 2 4 3" xfId="5763" xr:uid="{00000000-0005-0000-0000-000050010000}"/>
    <cellStyle name="20% - Accent3 2 2 2 4 3 2" xfId="23529" xr:uid="{423C08AD-225A-40CB-A019-9F47FBE8B70E}"/>
    <cellStyle name="20% - Accent3 2 2 2 4 3 3" xfId="15089" xr:uid="{2DEA9FD9-67C9-4B1F-B44D-151B08B24CBE}"/>
    <cellStyle name="20% - Accent3 2 2 2 4 4" xfId="19312" xr:uid="{86E713E4-F1FA-46B3-85E6-08B1E7A91BAE}"/>
    <cellStyle name="20% - Accent3 2 2 2 4 5" xfId="10872" xr:uid="{C9283B7A-627F-48FE-9637-E49DF4AD47F4}"/>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26087" xr:uid="{6C63CB4D-7F96-4EF2-BBD5-D31E39B0C7D5}"/>
    <cellStyle name="20% - Accent3 2 2 2 5 2 2 3" xfId="17647" xr:uid="{E441DAE3-D962-4219-8140-BC6D1BE5F13D}"/>
    <cellStyle name="20% - Accent3 2 2 2 5 2 3" xfId="21870" xr:uid="{493ACE02-A769-4228-8DD7-1553421B9678}"/>
    <cellStyle name="20% - Accent3 2 2 2 5 2 4" xfId="13430" xr:uid="{4B107AF3-B1B7-421F-BD48-0AD31D29A05F}"/>
    <cellStyle name="20% - Accent3 2 2 2 5 3" xfId="6176" xr:uid="{00000000-0005-0000-0000-000054010000}"/>
    <cellStyle name="20% - Accent3 2 2 2 5 3 2" xfId="23942" xr:uid="{8A0AE9D1-0E20-48B8-BDE6-1ED4531CA43D}"/>
    <cellStyle name="20% - Accent3 2 2 2 5 3 3" xfId="15502" xr:uid="{F22630CA-E14A-4FDF-B985-E7EC596BDCF0}"/>
    <cellStyle name="20% - Accent3 2 2 2 5 4" xfId="19725" xr:uid="{F9138534-6546-4CD3-8506-0FDA1A8792CC}"/>
    <cellStyle name="20% - Accent3 2 2 2 5 5" xfId="11285" xr:uid="{80946FD8-B7AC-49FC-BDBE-27B629789772}"/>
    <cellStyle name="20% - Accent3 2 2 2 6" xfId="2283" xr:uid="{00000000-0005-0000-0000-000055010000}"/>
    <cellStyle name="20% - Accent3 2 2 2 6 2" xfId="6589" xr:uid="{00000000-0005-0000-0000-000056010000}"/>
    <cellStyle name="20% - Accent3 2 2 2 6 2 2" xfId="24355" xr:uid="{0452609A-F3A6-48C7-B5A3-AAE71A661909}"/>
    <cellStyle name="20% - Accent3 2 2 2 6 2 3" xfId="15915" xr:uid="{DFC4D09C-160A-4EDF-B0FB-E74B010422D5}"/>
    <cellStyle name="20% - Accent3 2 2 2 6 3" xfId="20138" xr:uid="{F0B5B8DB-C065-4DA2-A25A-12A7863FAE32}"/>
    <cellStyle name="20% - Accent3 2 2 2 6 4" xfId="11698" xr:uid="{BFD5F239-D170-4839-B1AE-491DE55B2BBE}"/>
    <cellStyle name="20% - Accent3 2 2 2 7" xfId="4523" xr:uid="{00000000-0005-0000-0000-000057010000}"/>
    <cellStyle name="20% - Accent3 2 2 2 7 2" xfId="22289" xr:uid="{73B91713-0162-4498-929F-08C52364E0D1}"/>
    <cellStyle name="20% - Accent3 2 2 2 7 3" xfId="13849" xr:uid="{55F48209-64E8-414F-A136-37E6A7FF09CD}"/>
    <cellStyle name="20% - Accent3 2 2 2 8" xfId="9102" xr:uid="{77698EAD-FDE4-4105-BE80-980B5219F464}"/>
    <cellStyle name="20% - Accent3 2 2 2 8 2" xfId="18072" xr:uid="{8EA5DB26-95C4-4FAD-97C1-808A11E70701}"/>
    <cellStyle name="20% - Accent3 2 2 2 9" xfId="9632" xr:uid="{6D873BB9-4DD6-4A83-8301-B5FC5099B538}"/>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24847" xr:uid="{1C67A769-24B9-45F4-B8C6-033F914E4952}"/>
    <cellStyle name="20% - Accent3 2 2 3 2 2 3" xfId="16407" xr:uid="{31A5DABF-7466-4F88-89F8-3B6C254EC6BB}"/>
    <cellStyle name="20% - Accent3 2 2 3 2 3" xfId="20630" xr:uid="{C39AB6EC-1230-4BEE-A021-641AA9D8A350}"/>
    <cellStyle name="20% - Accent3 2 2 3 2 4" xfId="12190" xr:uid="{30738B4F-6548-4B2F-9831-37D8D32413BE}"/>
    <cellStyle name="20% - Accent3 2 2 3 3" xfId="4936" xr:uid="{00000000-0005-0000-0000-00005B010000}"/>
    <cellStyle name="20% - Accent3 2 2 3 3 2" xfId="22702" xr:uid="{E7E63F79-A879-4B39-896F-74DCF11FE7A4}"/>
    <cellStyle name="20% - Accent3 2 2 3 3 3" xfId="14262" xr:uid="{E0D5D9D9-2D82-4B82-8D2B-176A42BA3FBD}"/>
    <cellStyle name="20% - Accent3 2 2 3 4" xfId="9320" xr:uid="{BF070B19-D289-4211-B080-DBB621CAE7BA}"/>
    <cellStyle name="20% - Accent3 2 2 3 4 2" xfId="18485" xr:uid="{3C21319B-6D79-4FBF-9F9E-4172E761DC53}"/>
    <cellStyle name="20% - Accent3 2 2 3 5" xfId="10045" xr:uid="{2F5F1E47-EC0B-467A-9D04-4289F7683BF0}"/>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25260" xr:uid="{5901AF64-216D-4740-A2E6-5D25C61B0FC3}"/>
    <cellStyle name="20% - Accent3 2 2 4 2 2 3" xfId="16820" xr:uid="{0BB3AB72-58A1-4E92-8526-E8A905FBC794}"/>
    <cellStyle name="20% - Accent3 2 2 4 2 3" xfId="21043" xr:uid="{DB8EAD7B-9856-4D6C-B970-4E9B80926A73}"/>
    <cellStyle name="20% - Accent3 2 2 4 2 4" xfId="12603" xr:uid="{0CDA6EBE-DE84-4565-B9F7-1B135E8BB951}"/>
    <cellStyle name="20% - Accent3 2 2 4 3" xfId="5349" xr:uid="{00000000-0005-0000-0000-00005F010000}"/>
    <cellStyle name="20% - Accent3 2 2 4 3 2" xfId="23115" xr:uid="{19EB203C-D43E-4409-9C02-E8A092F5E1F5}"/>
    <cellStyle name="20% - Accent3 2 2 4 3 3" xfId="14675" xr:uid="{439413CC-D703-4F95-B8C5-EC180970A623}"/>
    <cellStyle name="20% - Accent3 2 2 4 4" xfId="18898" xr:uid="{7F6E736B-7987-44DB-AC79-098755161267}"/>
    <cellStyle name="20% - Accent3 2 2 4 5" xfId="10458" xr:uid="{5D2DD300-2508-4325-B219-A4B29AEF77C8}"/>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25673" xr:uid="{20C50102-6B53-45C9-AAC9-A3C1B58354F4}"/>
    <cellStyle name="20% - Accent3 2 2 5 2 2 3" xfId="17233" xr:uid="{7FCBB44B-F450-49BE-876B-5D1AF6255CD5}"/>
    <cellStyle name="20% - Accent3 2 2 5 2 3" xfId="21456" xr:uid="{E15967C2-C146-4EAF-B55E-3740AAF411CF}"/>
    <cellStyle name="20% - Accent3 2 2 5 2 4" xfId="13016" xr:uid="{74322298-1E04-4489-B9B1-93A2873C6339}"/>
    <cellStyle name="20% - Accent3 2 2 5 3" xfId="5762" xr:uid="{00000000-0005-0000-0000-000063010000}"/>
    <cellStyle name="20% - Accent3 2 2 5 3 2" xfId="23528" xr:uid="{122694F4-BF10-4C2E-AC8C-3B33548ED870}"/>
    <cellStyle name="20% - Accent3 2 2 5 3 3" xfId="15088" xr:uid="{65B3A8AB-1211-4DC8-93E1-C5968617EE10}"/>
    <cellStyle name="20% - Accent3 2 2 5 4" xfId="19311" xr:uid="{25F2E243-30A8-40F6-B67B-9D2EC6CE6C41}"/>
    <cellStyle name="20% - Accent3 2 2 5 5" xfId="10871" xr:uid="{2D42EFFB-0271-4D16-AFE3-0E4EDC1EE107}"/>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26086" xr:uid="{FF595AA6-37DF-4640-AE2E-0240BDAB7000}"/>
    <cellStyle name="20% - Accent3 2 2 6 2 2 3" xfId="17646" xr:uid="{21D09C4F-2BBC-4E21-867D-8EF34202342B}"/>
    <cellStyle name="20% - Accent3 2 2 6 2 3" xfId="21869" xr:uid="{9F222871-3B4B-45C4-B31C-87BDFFB33B95}"/>
    <cellStyle name="20% - Accent3 2 2 6 2 4" xfId="13429" xr:uid="{3AA93552-3F8C-4C7F-9E21-D432B01FE3E5}"/>
    <cellStyle name="20% - Accent3 2 2 6 3" xfId="6175" xr:uid="{00000000-0005-0000-0000-000067010000}"/>
    <cellStyle name="20% - Accent3 2 2 6 3 2" xfId="23941" xr:uid="{3AE88163-F1FB-4FFD-9978-07144854B81E}"/>
    <cellStyle name="20% - Accent3 2 2 6 3 3" xfId="15501" xr:uid="{C7953FEC-9737-41EB-89F9-545313B2434D}"/>
    <cellStyle name="20% - Accent3 2 2 6 4" xfId="19724" xr:uid="{1BED3A7C-1AF6-479C-89D8-8805DA885A42}"/>
    <cellStyle name="20% - Accent3 2 2 6 5" xfId="11284" xr:uid="{E98724F5-44A0-4BBF-ADA0-7D8F4A62665E}"/>
    <cellStyle name="20% - Accent3 2 2 7" xfId="2282" xr:uid="{00000000-0005-0000-0000-000068010000}"/>
    <cellStyle name="20% - Accent3 2 2 7 2" xfId="6588" xr:uid="{00000000-0005-0000-0000-000069010000}"/>
    <cellStyle name="20% - Accent3 2 2 7 2 2" xfId="24354" xr:uid="{5B8E15E6-DEE1-4821-8A03-BD271CEC471A}"/>
    <cellStyle name="20% - Accent3 2 2 7 2 3" xfId="15914" xr:uid="{FB526530-3946-45B2-9880-DE862E15218F}"/>
    <cellStyle name="20% - Accent3 2 2 7 3" xfId="20137" xr:uid="{CC537761-4230-4090-AC3F-C4748ABA506A}"/>
    <cellStyle name="20% - Accent3 2 2 7 4" xfId="11697" xr:uid="{0DC25E4F-D69D-423E-BABD-B766B8413493}"/>
    <cellStyle name="20% - Accent3 2 2 8" xfId="4522" xr:uid="{00000000-0005-0000-0000-00006A010000}"/>
    <cellStyle name="20% - Accent3 2 2 8 2" xfId="22288" xr:uid="{E77525DB-8EC2-423B-98BA-84B115C11D94}"/>
    <cellStyle name="20% - Accent3 2 2 8 3" xfId="13848" xr:uid="{188B36A8-4A5B-47E1-ADF7-27C2B65AA864}"/>
    <cellStyle name="20% - Accent3 2 2 9" xfId="8895" xr:uid="{0ADDC6BA-FD9D-420D-8F5A-13E0A04BBC7C}"/>
    <cellStyle name="20% - Accent3 2 2 9 2" xfId="18071" xr:uid="{64D5C400-6265-40DA-8860-2F5C4ED548E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24849" xr:uid="{FF53FCA0-524B-46D8-A33C-DEB6E221D243}"/>
    <cellStyle name="20% - Accent3 2 3 2 2 2 3" xfId="16409" xr:uid="{C50B2FE8-288A-4D2C-87A7-52A87F721615}"/>
    <cellStyle name="20% - Accent3 2 3 2 2 3" xfId="20632" xr:uid="{C29F97EF-0DC3-4902-B53D-00547A1575B7}"/>
    <cellStyle name="20% - Accent3 2 3 2 2 4" xfId="12192" xr:uid="{23F0D136-C71F-47D8-9810-4F07047DFF50}"/>
    <cellStyle name="20% - Accent3 2 3 2 3" xfId="4938" xr:uid="{00000000-0005-0000-0000-00006F010000}"/>
    <cellStyle name="20% - Accent3 2 3 2 3 2" xfId="22704" xr:uid="{509B28DB-6A62-4DCF-A209-7053FDA0FA64}"/>
    <cellStyle name="20% - Accent3 2 3 2 3 3" xfId="14264" xr:uid="{A0E3EA22-1225-45ED-9DF3-18E6504FF48D}"/>
    <cellStyle name="20% - Accent3 2 3 2 4" xfId="9424" xr:uid="{C3588D98-6F24-4F2C-9F96-F34501405613}"/>
    <cellStyle name="20% - Accent3 2 3 2 4 2" xfId="18487" xr:uid="{B73D824D-D9C8-4945-94E7-08C477FC6087}"/>
    <cellStyle name="20% - Accent3 2 3 2 5" xfId="10047" xr:uid="{763B4E08-AE69-4E40-A7F2-58EC24D2A3EF}"/>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25262" xr:uid="{3440833D-7981-4F34-8602-0EADC3A02F53}"/>
    <cellStyle name="20% - Accent3 2 3 3 2 2 3" xfId="16822" xr:uid="{274E52A6-44B7-45BD-9201-9953315E3458}"/>
    <cellStyle name="20% - Accent3 2 3 3 2 3" xfId="21045" xr:uid="{98556C3B-3FE8-4CB4-AD3D-C6492A91E836}"/>
    <cellStyle name="20% - Accent3 2 3 3 2 4" xfId="12605" xr:uid="{0C4918D5-ED87-4B8C-9260-DFB159470DCA}"/>
    <cellStyle name="20% - Accent3 2 3 3 3" xfId="5351" xr:uid="{00000000-0005-0000-0000-000073010000}"/>
    <cellStyle name="20% - Accent3 2 3 3 3 2" xfId="23117" xr:uid="{B4CF9B21-7A29-447E-99CA-879BAB82E336}"/>
    <cellStyle name="20% - Accent3 2 3 3 3 3" xfId="14677" xr:uid="{4FD140DD-9BD6-4018-991F-9255356940D4}"/>
    <cellStyle name="20% - Accent3 2 3 3 4" xfId="18900" xr:uid="{39187D9C-995D-4055-9823-DA462A066889}"/>
    <cellStyle name="20% - Accent3 2 3 3 5" xfId="10460" xr:uid="{5148D411-1C12-439E-BBEF-0684A600DAA8}"/>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25675" xr:uid="{32011766-D730-4F73-B7C9-EFFC16089193}"/>
    <cellStyle name="20% - Accent3 2 3 4 2 2 3" xfId="17235" xr:uid="{95371156-5B92-456C-9BEB-42118F8CBDF0}"/>
    <cellStyle name="20% - Accent3 2 3 4 2 3" xfId="21458" xr:uid="{B06BFC58-58D0-4FDB-965C-094AB5AB811E}"/>
    <cellStyle name="20% - Accent3 2 3 4 2 4" xfId="13018" xr:uid="{516B7D6D-8A36-4B2B-AB4A-0341C725A46C}"/>
    <cellStyle name="20% - Accent3 2 3 4 3" xfId="5764" xr:uid="{00000000-0005-0000-0000-000077010000}"/>
    <cellStyle name="20% - Accent3 2 3 4 3 2" xfId="23530" xr:uid="{11FE9D5A-5E3B-4D33-9C30-421470175666}"/>
    <cellStyle name="20% - Accent3 2 3 4 3 3" xfId="15090" xr:uid="{AFECE29E-03BC-4A2E-8323-74C5C6B4D1E5}"/>
    <cellStyle name="20% - Accent3 2 3 4 4" xfId="19313" xr:uid="{AC8E1ED9-D8FB-4E7A-A314-1574FC3A6C72}"/>
    <cellStyle name="20% - Accent3 2 3 4 5" xfId="10873" xr:uid="{E4843D51-9362-47CD-ACD7-957A64E80CAC}"/>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26088" xr:uid="{5B6BEF66-AA3B-4F4B-8FEC-7FFFD74F2A06}"/>
    <cellStyle name="20% - Accent3 2 3 5 2 2 3" xfId="17648" xr:uid="{FD6D7D49-6709-4DE8-975B-9908DCEFBBF6}"/>
    <cellStyle name="20% - Accent3 2 3 5 2 3" xfId="21871" xr:uid="{2DFAAF5F-7C2C-4A69-92A8-FB23CC06A11C}"/>
    <cellStyle name="20% - Accent3 2 3 5 2 4" xfId="13431" xr:uid="{477B8F7E-A09C-4EB5-B0E7-55341932BE61}"/>
    <cellStyle name="20% - Accent3 2 3 5 3" xfId="6177" xr:uid="{00000000-0005-0000-0000-00007B010000}"/>
    <cellStyle name="20% - Accent3 2 3 5 3 2" xfId="23943" xr:uid="{2B829BBF-C362-4A1C-AE90-B13809F039E7}"/>
    <cellStyle name="20% - Accent3 2 3 5 3 3" xfId="15503" xr:uid="{079A1B5A-7C0F-48BF-A993-C59518D94580}"/>
    <cellStyle name="20% - Accent3 2 3 5 4" xfId="19726" xr:uid="{0A84F134-51F9-461E-846C-1CC1A11CC04A}"/>
    <cellStyle name="20% - Accent3 2 3 5 5" xfId="11286" xr:uid="{168D4A25-B05E-4988-AEB3-536C6DEE2DA3}"/>
    <cellStyle name="20% - Accent3 2 3 6" xfId="2284" xr:uid="{00000000-0005-0000-0000-00007C010000}"/>
    <cellStyle name="20% - Accent3 2 3 6 2" xfId="6590" xr:uid="{00000000-0005-0000-0000-00007D010000}"/>
    <cellStyle name="20% - Accent3 2 3 6 2 2" xfId="24356" xr:uid="{E35D2F95-334E-4BAE-B0F5-510046DB89F0}"/>
    <cellStyle name="20% - Accent3 2 3 6 2 3" xfId="15916" xr:uid="{9313C16D-DA9D-4B3A-9EBB-166E411D5369}"/>
    <cellStyle name="20% - Accent3 2 3 6 3" xfId="20139" xr:uid="{5F9FF40E-0C05-49D0-9A68-E87C394831FF}"/>
    <cellStyle name="20% - Accent3 2 3 6 4" xfId="11699" xr:uid="{9AA4DCC1-0893-40E6-9505-D1653CEC9814}"/>
    <cellStyle name="20% - Accent3 2 3 7" xfId="4524" xr:uid="{00000000-0005-0000-0000-00007E010000}"/>
    <cellStyle name="20% - Accent3 2 3 7 2" xfId="22290" xr:uid="{906456FF-FE7B-47CB-BB2E-9369D5641014}"/>
    <cellStyle name="20% - Accent3 2 3 7 3" xfId="13850" xr:uid="{C7EFB948-4857-4461-BD2E-509CF151B7D4}"/>
    <cellStyle name="20% - Accent3 2 3 8" xfId="8999" xr:uid="{2B5D0148-B6EA-4DEA-92B1-644886C27051}"/>
    <cellStyle name="20% - Accent3 2 3 8 2" xfId="18073" xr:uid="{AC423B17-C032-4ECD-B070-16E1D3B9FC2C}"/>
    <cellStyle name="20% - Accent3 2 3 9" xfId="9633" xr:uid="{062E7C49-7217-4806-A4F0-7DC0E6BA47DC}"/>
    <cellStyle name="20% - Accent3 2 4" xfId="587" xr:uid="{00000000-0005-0000-0000-00007F010000}"/>
    <cellStyle name="20% - Accent3 2 4 2" xfId="2858" xr:uid="{00000000-0005-0000-0000-000080010000}"/>
    <cellStyle name="20% - Accent3 2 4 2 2" xfId="7080" xr:uid="{00000000-0005-0000-0000-000081010000}"/>
    <cellStyle name="20% - Accent3 2 4 2 2 2" xfId="24846" xr:uid="{EC08753A-453C-4010-9937-A84358397822}"/>
    <cellStyle name="20% - Accent3 2 4 2 2 3" xfId="16406" xr:uid="{6A125B3A-55C7-4A57-97C1-DAD39E9CCCF3}"/>
    <cellStyle name="20% - Accent3 2 4 2 3" xfId="20629" xr:uid="{517045C1-F99A-40E4-B9E1-430CF41A7F89}"/>
    <cellStyle name="20% - Accent3 2 4 2 4" xfId="12189" xr:uid="{76E06AA5-9CE4-41C8-89F7-2649D49B4800}"/>
    <cellStyle name="20% - Accent3 2 4 3" xfId="4935" xr:uid="{00000000-0005-0000-0000-000082010000}"/>
    <cellStyle name="20% - Accent3 2 4 3 2" xfId="22701" xr:uid="{E8DC5EA7-E196-4915-A3DC-ED0F380FC7DB}"/>
    <cellStyle name="20% - Accent3 2 4 3 3" xfId="14261" xr:uid="{5A66B773-F251-406A-8023-EE62CCFBC3C9}"/>
    <cellStyle name="20% - Accent3 2 4 4" xfId="9216" xr:uid="{A12C3877-5492-4CD3-AD22-81B3F0AB1EDD}"/>
    <cellStyle name="20% - Accent3 2 4 4 2" xfId="18484" xr:uid="{FC992FF2-CF9E-4718-8B43-86555BAC72FF}"/>
    <cellStyle name="20% - Accent3 2 4 5" xfId="10044" xr:uid="{A46EB070-FDBD-40AE-BE4C-D9B1B68D9653}"/>
    <cellStyle name="20% - Accent3 2 5" xfId="1040" xr:uid="{00000000-0005-0000-0000-000083010000}"/>
    <cellStyle name="20% - Accent3 2 5 2" xfId="3271" xr:uid="{00000000-0005-0000-0000-000084010000}"/>
    <cellStyle name="20% - Accent3 2 5 2 2" xfId="7493" xr:uid="{00000000-0005-0000-0000-000085010000}"/>
    <cellStyle name="20% - Accent3 2 5 2 2 2" xfId="25259" xr:uid="{6C0892A2-6C21-4319-BC32-8786E1D03266}"/>
    <cellStyle name="20% - Accent3 2 5 2 2 3" xfId="16819" xr:uid="{35AE85DF-B039-49AA-B8A9-31A445C6ADF3}"/>
    <cellStyle name="20% - Accent3 2 5 2 3" xfId="21042" xr:uid="{CF4EE8C3-A0F8-49A5-8EB3-1E5F61136AB5}"/>
    <cellStyle name="20% - Accent3 2 5 2 4" xfId="12602" xr:uid="{B0DD4B1A-8F28-48B4-8370-2C3E740EA31F}"/>
    <cellStyle name="20% - Accent3 2 5 3" xfId="5348" xr:uid="{00000000-0005-0000-0000-000086010000}"/>
    <cellStyle name="20% - Accent3 2 5 3 2" xfId="23114" xr:uid="{9AD68505-4424-4BA5-9EB7-908BD7C7EDCC}"/>
    <cellStyle name="20% - Accent3 2 5 3 3" xfId="14674" xr:uid="{313D0E97-B5BC-4773-9DB2-B3A13180993F}"/>
    <cellStyle name="20% - Accent3 2 5 4" xfId="18897" xr:uid="{5C42776F-4CBB-4823-81B8-EE3155A52D93}"/>
    <cellStyle name="20% - Accent3 2 5 5" xfId="10457" xr:uid="{3F135BE3-2B6E-4333-873A-AE2FB56DB21A}"/>
    <cellStyle name="20% - Accent3 2 6" xfId="1454" xr:uid="{00000000-0005-0000-0000-000087010000}"/>
    <cellStyle name="20% - Accent3 2 6 2" xfId="3684" xr:uid="{00000000-0005-0000-0000-000088010000}"/>
    <cellStyle name="20% - Accent3 2 6 2 2" xfId="7906" xr:uid="{00000000-0005-0000-0000-000089010000}"/>
    <cellStyle name="20% - Accent3 2 6 2 2 2" xfId="25672" xr:uid="{BA041A11-8401-4CD2-8F3C-ED06F8344EC7}"/>
    <cellStyle name="20% - Accent3 2 6 2 2 3" xfId="17232" xr:uid="{BE2078AA-7DDA-4862-9A86-9960BC522798}"/>
    <cellStyle name="20% - Accent3 2 6 2 3" xfId="21455" xr:uid="{5D083CBC-24F3-4AAC-A7CA-54F9C2F79F03}"/>
    <cellStyle name="20% - Accent3 2 6 2 4" xfId="13015" xr:uid="{B03E8CDB-EDB8-43B1-83BC-CB08278419CA}"/>
    <cellStyle name="20% - Accent3 2 6 3" xfId="5761" xr:uid="{00000000-0005-0000-0000-00008A010000}"/>
    <cellStyle name="20% - Accent3 2 6 3 2" xfId="23527" xr:uid="{4551C3A1-A439-4551-A0F7-0C5FB7BC3B47}"/>
    <cellStyle name="20% - Accent3 2 6 3 3" xfId="15087" xr:uid="{65FDEFB8-451C-4EF6-B12B-3BC1BA9F9216}"/>
    <cellStyle name="20% - Accent3 2 6 4" xfId="19310" xr:uid="{6EEDFB65-9D9A-4AFF-B002-C6A147033912}"/>
    <cellStyle name="20% - Accent3 2 6 5" xfId="10870" xr:uid="{C0F0AB22-EFE6-41E9-B72E-91AD3449A3C9}"/>
    <cellStyle name="20% - Accent3 2 7" xfId="1868" xr:uid="{00000000-0005-0000-0000-00008B010000}"/>
    <cellStyle name="20% - Accent3 2 7 2" xfId="4097" xr:uid="{00000000-0005-0000-0000-00008C010000}"/>
    <cellStyle name="20% - Accent3 2 7 2 2" xfId="8319" xr:uid="{00000000-0005-0000-0000-00008D010000}"/>
    <cellStyle name="20% - Accent3 2 7 2 2 2" xfId="26085" xr:uid="{249674B5-4F6D-4C19-9418-88751E15D81F}"/>
    <cellStyle name="20% - Accent3 2 7 2 2 3" xfId="17645" xr:uid="{2AB3F134-12C9-4444-9FFC-5A113E7C74D6}"/>
    <cellStyle name="20% - Accent3 2 7 2 3" xfId="21868" xr:uid="{D7FB1D84-7565-4ABF-A613-8D433F90CE38}"/>
    <cellStyle name="20% - Accent3 2 7 2 4" xfId="13428" xr:uid="{D8D29384-AEAA-4E77-8080-77C456183AD0}"/>
    <cellStyle name="20% - Accent3 2 7 3" xfId="6174" xr:uid="{00000000-0005-0000-0000-00008E010000}"/>
    <cellStyle name="20% - Accent3 2 7 3 2" xfId="23940" xr:uid="{C01BB382-B30F-424A-B78C-DE8E7D0547B2}"/>
    <cellStyle name="20% - Accent3 2 7 3 3" xfId="15500" xr:uid="{27CFCBE2-A94D-4BFF-90E8-114EE2F28E7B}"/>
    <cellStyle name="20% - Accent3 2 7 4" xfId="19723" xr:uid="{02398D65-8FD6-4CBE-8E24-378E67E4BC7E}"/>
    <cellStyle name="20% - Accent3 2 7 5" xfId="11283" xr:uid="{68946CCC-DE38-42FC-AF0C-63F7F528F22D}"/>
    <cellStyle name="20% - Accent3 2 8" xfId="2281" xr:uid="{00000000-0005-0000-0000-00008F010000}"/>
    <cellStyle name="20% - Accent3 2 8 2" xfId="6587" xr:uid="{00000000-0005-0000-0000-000090010000}"/>
    <cellStyle name="20% - Accent3 2 8 2 2" xfId="24353" xr:uid="{73C907E5-7902-4DAB-B214-8011C321A296}"/>
    <cellStyle name="20% - Accent3 2 8 2 3" xfId="15913" xr:uid="{A4100C92-C08B-40A8-BE41-BC22E2082F1E}"/>
    <cellStyle name="20% - Accent3 2 8 3" xfId="20136" xr:uid="{D75A13E2-7230-426B-9D10-B0CB3937B9CE}"/>
    <cellStyle name="20% - Accent3 2 8 4" xfId="11696" xr:uid="{212F96E4-149C-4F9F-AD49-3C1B7437C40F}"/>
    <cellStyle name="20% - Accent3 2 9" xfId="4521" xr:uid="{00000000-0005-0000-0000-000091010000}"/>
    <cellStyle name="20% - Accent3 2 9 2" xfId="22287" xr:uid="{18228FF5-D479-42D3-95EC-3456BF28D0A2}"/>
    <cellStyle name="20% - Accent3 2 9 3" xfId="13847" xr:uid="{7BFABDCE-C902-41FC-9A62-5431E2179AF6}"/>
    <cellStyle name="20% - Accent3 3" xfId="22" xr:uid="{00000000-0005-0000-0000-000092010000}"/>
    <cellStyle name="20% - Accent3 3 10" xfId="9634" xr:uid="{6280D5AF-E0E7-4E3D-9F5B-7B0CDBB2317B}"/>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24851" xr:uid="{0BEBCBF3-D296-41DD-B159-C80E642307F2}"/>
    <cellStyle name="20% - Accent3 3 2 2 2 2 3" xfId="16411" xr:uid="{612E2A17-DC9A-4708-8965-F7B31705FCA4}"/>
    <cellStyle name="20% - Accent3 3 2 2 2 3" xfId="20634" xr:uid="{3CFA9BD3-F557-4608-AD09-7BE24F483EDB}"/>
    <cellStyle name="20% - Accent3 3 2 2 2 4" xfId="12194" xr:uid="{43BBC017-6336-4E93-9169-4EDF750E7DA5}"/>
    <cellStyle name="20% - Accent3 3 2 2 3" xfId="4940" xr:uid="{00000000-0005-0000-0000-000097010000}"/>
    <cellStyle name="20% - Accent3 3 2 2 3 2" xfId="22706" xr:uid="{A0E4E58A-3B3D-4B5C-83BD-D6C55A71CA67}"/>
    <cellStyle name="20% - Accent3 3 2 2 3 3" xfId="14266" xr:uid="{46476837-CC5E-4446-B2EB-B245C2EFEA6F}"/>
    <cellStyle name="20% - Accent3 3 2 2 4" xfId="9497" xr:uid="{43A0E151-F418-49A1-AF18-121DEB02B6D4}"/>
    <cellStyle name="20% - Accent3 3 2 2 4 2" xfId="18489" xr:uid="{4F2CAB26-D21E-4503-87F9-75E9948A385F}"/>
    <cellStyle name="20% - Accent3 3 2 2 5" xfId="10049" xr:uid="{16F15BDC-E25A-4416-8FF2-C7764C165D6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25264" xr:uid="{C57DC555-45C1-4D3B-96A9-3F104800B310}"/>
    <cellStyle name="20% - Accent3 3 2 3 2 2 3" xfId="16824" xr:uid="{8705C5C4-691A-44D9-8CBB-C4A245C73D56}"/>
    <cellStyle name="20% - Accent3 3 2 3 2 3" xfId="21047" xr:uid="{822BFFE3-BE62-4AA7-B9BD-F48D9BA03549}"/>
    <cellStyle name="20% - Accent3 3 2 3 2 4" xfId="12607" xr:uid="{AFC081A3-4445-4406-8440-0AFA4FE76A53}"/>
    <cellStyle name="20% - Accent3 3 2 3 3" xfId="5353" xr:uid="{00000000-0005-0000-0000-00009B010000}"/>
    <cellStyle name="20% - Accent3 3 2 3 3 2" xfId="23119" xr:uid="{6CDAE743-312D-4DB1-AB6B-53722808705B}"/>
    <cellStyle name="20% - Accent3 3 2 3 3 3" xfId="14679" xr:uid="{6CF99BDF-DB24-4223-A9E9-CFEB45008A72}"/>
    <cellStyle name="20% - Accent3 3 2 3 4" xfId="18902" xr:uid="{D44203E8-16EB-4ECD-83B5-FE37CD99A8A3}"/>
    <cellStyle name="20% - Accent3 3 2 3 5" xfId="10462" xr:uid="{A8BA79DF-3868-4E48-A319-97D90D48D645}"/>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25677" xr:uid="{2BF7A63D-A618-45D9-832B-A53C42D2F8F5}"/>
    <cellStyle name="20% - Accent3 3 2 4 2 2 3" xfId="17237" xr:uid="{BAE267BE-1515-4D32-90D0-6264C182C159}"/>
    <cellStyle name="20% - Accent3 3 2 4 2 3" xfId="21460" xr:uid="{36BA592F-D14C-4C33-A521-77E73AF9B0E5}"/>
    <cellStyle name="20% - Accent3 3 2 4 2 4" xfId="13020" xr:uid="{A1EA558C-367E-49DE-B559-589893CDEF77}"/>
    <cellStyle name="20% - Accent3 3 2 4 3" xfId="5766" xr:uid="{00000000-0005-0000-0000-00009F010000}"/>
    <cellStyle name="20% - Accent3 3 2 4 3 2" xfId="23532" xr:uid="{BC159F95-E8F9-41CA-8A84-5B0A711E0936}"/>
    <cellStyle name="20% - Accent3 3 2 4 3 3" xfId="15092" xr:uid="{744C5314-E010-48B8-A085-27FC3A2DF220}"/>
    <cellStyle name="20% - Accent3 3 2 4 4" xfId="19315" xr:uid="{F23E8879-8851-41A3-AA38-AE2DD0506BD2}"/>
    <cellStyle name="20% - Accent3 3 2 4 5" xfId="10875" xr:uid="{0E870BEF-E6DC-4CD9-B17D-5FE74040A6CF}"/>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26090" xr:uid="{FB25BCC2-0971-4F23-8F0E-5F0C96558D66}"/>
    <cellStyle name="20% - Accent3 3 2 5 2 2 3" xfId="17650" xr:uid="{0BE62EB4-972A-4CFA-9858-9F0BE8866BAF}"/>
    <cellStyle name="20% - Accent3 3 2 5 2 3" xfId="21873" xr:uid="{F55122AF-40F5-445D-BCF7-EB4419772D53}"/>
    <cellStyle name="20% - Accent3 3 2 5 2 4" xfId="13433" xr:uid="{B78A3867-3653-47E3-9967-702843B81F17}"/>
    <cellStyle name="20% - Accent3 3 2 5 3" xfId="6179" xr:uid="{00000000-0005-0000-0000-0000A3010000}"/>
    <cellStyle name="20% - Accent3 3 2 5 3 2" xfId="23945" xr:uid="{319EC376-60C7-41AA-9AC1-AF6020D949E9}"/>
    <cellStyle name="20% - Accent3 3 2 5 3 3" xfId="15505" xr:uid="{759DFAAD-EC64-4BFF-8974-AAD178D1C305}"/>
    <cellStyle name="20% - Accent3 3 2 5 4" xfId="19728" xr:uid="{6C392E46-12E0-4689-BA50-36FD0317F7C2}"/>
    <cellStyle name="20% - Accent3 3 2 5 5" xfId="11288" xr:uid="{4682C528-3334-425B-8B03-F492A0C9BCB0}"/>
    <cellStyle name="20% - Accent3 3 2 6" xfId="2286" xr:uid="{00000000-0005-0000-0000-0000A4010000}"/>
    <cellStyle name="20% - Accent3 3 2 6 2" xfId="6592" xr:uid="{00000000-0005-0000-0000-0000A5010000}"/>
    <cellStyle name="20% - Accent3 3 2 6 2 2" xfId="24358" xr:uid="{4276A126-7F35-4FEB-8CEE-ABE40BB6A38E}"/>
    <cellStyle name="20% - Accent3 3 2 6 2 3" xfId="15918" xr:uid="{697DBA84-E1C7-48E2-B27E-ABE370767CDB}"/>
    <cellStyle name="20% - Accent3 3 2 6 3" xfId="20141" xr:uid="{723C1750-259B-44FF-AA8C-6D73D0F2722C}"/>
    <cellStyle name="20% - Accent3 3 2 6 4" xfId="11701" xr:uid="{CC6F3F86-B84D-48F7-9119-9ED5235B8680}"/>
    <cellStyle name="20% - Accent3 3 2 7" xfId="4526" xr:uid="{00000000-0005-0000-0000-0000A6010000}"/>
    <cellStyle name="20% - Accent3 3 2 7 2" xfId="22292" xr:uid="{2431572E-ADB7-45C4-A1FC-A23DCEDE9CF1}"/>
    <cellStyle name="20% - Accent3 3 2 7 3" xfId="13852" xr:uid="{38032C1C-FCAD-4FE1-982C-2DE4848AAA94}"/>
    <cellStyle name="20% - Accent3 3 2 8" xfId="9072" xr:uid="{422EC144-F6F8-460E-8B93-316BBF9707FB}"/>
    <cellStyle name="20% - Accent3 3 2 8 2" xfId="18075" xr:uid="{5DBDCDD6-9370-4746-870B-1C89DA7D95A9}"/>
    <cellStyle name="20% - Accent3 3 2 9" xfId="9635" xr:uid="{985C524A-508F-404D-992E-6FCDB37012D2}"/>
    <cellStyle name="20% - Accent3 3 3" xfId="591" xr:uid="{00000000-0005-0000-0000-0000A7010000}"/>
    <cellStyle name="20% - Accent3 3 3 2" xfId="2862" xr:uid="{00000000-0005-0000-0000-0000A8010000}"/>
    <cellStyle name="20% - Accent3 3 3 2 2" xfId="7084" xr:uid="{00000000-0005-0000-0000-0000A9010000}"/>
    <cellStyle name="20% - Accent3 3 3 2 2 2" xfId="24850" xr:uid="{A989E440-882F-4550-BC59-0D247E2C1CA4}"/>
    <cellStyle name="20% - Accent3 3 3 2 2 3" xfId="16410" xr:uid="{A323B1CB-E8BF-457F-B89D-8742CA718D71}"/>
    <cellStyle name="20% - Accent3 3 3 2 3" xfId="20633" xr:uid="{1698E4E7-A7C9-42F9-A1AC-F2E6E46A6ABC}"/>
    <cellStyle name="20% - Accent3 3 3 2 4" xfId="12193" xr:uid="{31612E5C-F960-4F14-8C5E-22E37F0D7A6C}"/>
    <cellStyle name="20% - Accent3 3 3 3" xfId="4939" xr:uid="{00000000-0005-0000-0000-0000AA010000}"/>
    <cellStyle name="20% - Accent3 3 3 3 2" xfId="22705" xr:uid="{B98B59C2-0DFE-47DB-84A1-117A650B7297}"/>
    <cellStyle name="20% - Accent3 3 3 3 3" xfId="14265" xr:uid="{F2D8A283-DE98-4C93-956E-09EEA645187B}"/>
    <cellStyle name="20% - Accent3 3 3 4" xfId="9290" xr:uid="{8511D0A3-BAF4-4D49-BFEA-2ED828678819}"/>
    <cellStyle name="20% - Accent3 3 3 4 2" xfId="18488" xr:uid="{8A4AD249-0B6D-4252-97FD-B677C259718D}"/>
    <cellStyle name="20% - Accent3 3 3 5" xfId="10048" xr:uid="{0D02FD23-8F07-4868-93F6-081EEC953D05}"/>
    <cellStyle name="20% - Accent3 3 4" xfId="1044" xr:uid="{00000000-0005-0000-0000-0000AB010000}"/>
    <cellStyle name="20% - Accent3 3 4 2" xfId="3275" xr:uid="{00000000-0005-0000-0000-0000AC010000}"/>
    <cellStyle name="20% - Accent3 3 4 2 2" xfId="7497" xr:uid="{00000000-0005-0000-0000-0000AD010000}"/>
    <cellStyle name="20% - Accent3 3 4 2 2 2" xfId="25263" xr:uid="{C537F6A9-A67C-48B9-918C-88038F89114A}"/>
    <cellStyle name="20% - Accent3 3 4 2 2 3" xfId="16823" xr:uid="{5433E98D-728A-4541-A562-203920698F22}"/>
    <cellStyle name="20% - Accent3 3 4 2 3" xfId="21046" xr:uid="{AF126FF9-02B8-4DA4-A923-9F6A165BAFD2}"/>
    <cellStyle name="20% - Accent3 3 4 2 4" xfId="12606" xr:uid="{E2B1CD35-EDB8-474B-AE2B-5C0CAB13530B}"/>
    <cellStyle name="20% - Accent3 3 4 3" xfId="5352" xr:uid="{00000000-0005-0000-0000-0000AE010000}"/>
    <cellStyle name="20% - Accent3 3 4 3 2" xfId="23118" xr:uid="{595EEB1B-24DA-4D23-A227-8977C3B990E7}"/>
    <cellStyle name="20% - Accent3 3 4 3 3" xfId="14678" xr:uid="{F10AC04F-61CE-4778-BA8D-6EA614526315}"/>
    <cellStyle name="20% - Accent3 3 4 4" xfId="18901" xr:uid="{15CA8B32-DF48-4348-93E2-80343620B7D7}"/>
    <cellStyle name="20% - Accent3 3 4 5" xfId="10461" xr:uid="{368C533C-92F6-48EE-B69F-692387D72287}"/>
    <cellStyle name="20% - Accent3 3 5" xfId="1458" xr:uid="{00000000-0005-0000-0000-0000AF010000}"/>
    <cellStyle name="20% - Accent3 3 5 2" xfId="3688" xr:uid="{00000000-0005-0000-0000-0000B0010000}"/>
    <cellStyle name="20% - Accent3 3 5 2 2" xfId="7910" xr:uid="{00000000-0005-0000-0000-0000B1010000}"/>
    <cellStyle name="20% - Accent3 3 5 2 2 2" xfId="25676" xr:uid="{6293E991-1643-4B1D-9364-5E87173E8ACF}"/>
    <cellStyle name="20% - Accent3 3 5 2 2 3" xfId="17236" xr:uid="{F4109110-2113-4245-950E-B4A4EE86C0A5}"/>
    <cellStyle name="20% - Accent3 3 5 2 3" xfId="21459" xr:uid="{82E5D621-8712-4668-A64E-082F966000D6}"/>
    <cellStyle name="20% - Accent3 3 5 2 4" xfId="13019" xr:uid="{778C830C-AE98-421B-92AB-684E3B8C1CA9}"/>
    <cellStyle name="20% - Accent3 3 5 3" xfId="5765" xr:uid="{00000000-0005-0000-0000-0000B2010000}"/>
    <cellStyle name="20% - Accent3 3 5 3 2" xfId="23531" xr:uid="{46C995C9-B2C3-4AF8-BC46-B878D2E159BC}"/>
    <cellStyle name="20% - Accent3 3 5 3 3" xfId="15091" xr:uid="{122D9B92-F0B4-43DA-B06F-4FBC166A6064}"/>
    <cellStyle name="20% - Accent3 3 5 4" xfId="19314" xr:uid="{F4CCAE84-E18A-4051-A585-9CDE911CBFF1}"/>
    <cellStyle name="20% - Accent3 3 5 5" xfId="10874" xr:uid="{4DB8471C-0368-46E1-BEA1-75F807502B29}"/>
    <cellStyle name="20% - Accent3 3 6" xfId="1872" xr:uid="{00000000-0005-0000-0000-0000B3010000}"/>
    <cellStyle name="20% - Accent3 3 6 2" xfId="4101" xr:uid="{00000000-0005-0000-0000-0000B4010000}"/>
    <cellStyle name="20% - Accent3 3 6 2 2" xfId="8323" xr:uid="{00000000-0005-0000-0000-0000B5010000}"/>
    <cellStyle name="20% - Accent3 3 6 2 2 2" xfId="26089" xr:uid="{ED49DAE1-3AAE-4CE9-8C2C-C1DB89891173}"/>
    <cellStyle name="20% - Accent3 3 6 2 2 3" xfId="17649" xr:uid="{4D8C9638-863B-4B66-9CC7-0A28847CEC89}"/>
    <cellStyle name="20% - Accent3 3 6 2 3" xfId="21872" xr:uid="{EEBFD71A-EC94-4761-B34A-47331FDC568F}"/>
    <cellStyle name="20% - Accent3 3 6 2 4" xfId="13432" xr:uid="{DDF19132-5C99-48F6-AF1B-3EC8C20DB186}"/>
    <cellStyle name="20% - Accent3 3 6 3" xfId="6178" xr:uid="{00000000-0005-0000-0000-0000B6010000}"/>
    <cellStyle name="20% - Accent3 3 6 3 2" xfId="23944" xr:uid="{7E79AEA8-CA24-4964-B2C8-C905D9F4AD22}"/>
    <cellStyle name="20% - Accent3 3 6 3 3" xfId="15504" xr:uid="{C899CFC9-BAAD-4FBA-8B4D-52D602131B7F}"/>
    <cellStyle name="20% - Accent3 3 6 4" xfId="19727" xr:uid="{1291494D-9BA3-4D0E-8824-42B1BF40FEA6}"/>
    <cellStyle name="20% - Accent3 3 6 5" xfId="11287" xr:uid="{0573CB9B-F76F-408C-A723-7DF0D96BCDFF}"/>
    <cellStyle name="20% - Accent3 3 7" xfId="2285" xr:uid="{00000000-0005-0000-0000-0000B7010000}"/>
    <cellStyle name="20% - Accent3 3 7 2" xfId="6591" xr:uid="{00000000-0005-0000-0000-0000B8010000}"/>
    <cellStyle name="20% - Accent3 3 7 2 2" xfId="24357" xr:uid="{6958AEAD-8C7F-42D6-94C1-337185DE94D6}"/>
    <cellStyle name="20% - Accent3 3 7 2 3" xfId="15917" xr:uid="{F2606A69-8F48-4B5D-A4C8-C075F1E6B88C}"/>
    <cellStyle name="20% - Accent3 3 7 3" xfId="20140" xr:uid="{48A552CE-89D2-4262-BBD6-E312A3665356}"/>
    <cellStyle name="20% - Accent3 3 7 4" xfId="11700" xr:uid="{9BA68D66-8350-4943-B704-B45DB6B4F882}"/>
    <cellStyle name="20% - Accent3 3 8" xfId="4525" xr:uid="{00000000-0005-0000-0000-0000B9010000}"/>
    <cellStyle name="20% - Accent3 3 8 2" xfId="22291" xr:uid="{682C5B80-09BD-47BE-8C0A-3003FCE7CF80}"/>
    <cellStyle name="20% - Accent3 3 8 3" xfId="13851" xr:uid="{9D7967E0-2C7B-43A6-A386-DB78929A1B0B}"/>
    <cellStyle name="20% - Accent3 3 9" xfId="8865" xr:uid="{FFA3EBA3-F40D-47A2-8AA1-A3A9E7BB9A8E}"/>
    <cellStyle name="20% - Accent3 3 9 2" xfId="18074" xr:uid="{26BF903A-1B93-46D5-B20F-D3A8D0C862BA}"/>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24852" xr:uid="{37F96391-D8E0-4434-B64D-3DA6D7A30B29}"/>
    <cellStyle name="20% - Accent3 4 2 2 2 3" xfId="16412" xr:uid="{AF47A032-2AF0-47A2-B1F1-A4FE1355C5EF}"/>
    <cellStyle name="20% - Accent3 4 2 2 3" xfId="20635" xr:uid="{F9C60484-2392-4F1D-8386-1ED6BA85F368}"/>
    <cellStyle name="20% - Accent3 4 2 2 4" xfId="12195" xr:uid="{B3ECC62D-A075-4B85-9527-A67D3CC991CE}"/>
    <cellStyle name="20% - Accent3 4 2 3" xfId="4941" xr:uid="{00000000-0005-0000-0000-0000BE010000}"/>
    <cellStyle name="20% - Accent3 4 2 3 2" xfId="22707" xr:uid="{C3239510-AF51-4F04-BFB4-5DC6CED35144}"/>
    <cellStyle name="20% - Accent3 4 2 3 3" xfId="14267" xr:uid="{51DC584F-6F0A-4C60-A0B0-AE521C39998D}"/>
    <cellStyle name="20% - Accent3 4 2 4" xfId="9376" xr:uid="{92AC27CA-0B0B-4AFE-8457-D3F19BE2837F}"/>
    <cellStyle name="20% - Accent3 4 2 4 2" xfId="18490" xr:uid="{B5D6C02F-27DF-4457-984F-1CCF59243557}"/>
    <cellStyle name="20% - Accent3 4 2 5" xfId="10050" xr:uid="{C3B6253C-F4F3-45F5-A530-81995EA23A0E}"/>
    <cellStyle name="20% - Accent3 4 3" xfId="1046" xr:uid="{00000000-0005-0000-0000-0000BF010000}"/>
    <cellStyle name="20% - Accent3 4 3 2" xfId="3277" xr:uid="{00000000-0005-0000-0000-0000C0010000}"/>
    <cellStyle name="20% - Accent3 4 3 2 2" xfId="7499" xr:uid="{00000000-0005-0000-0000-0000C1010000}"/>
    <cellStyle name="20% - Accent3 4 3 2 2 2" xfId="25265" xr:uid="{B19FE8CC-72DA-4DC1-8F2C-76B1AEBC89C7}"/>
    <cellStyle name="20% - Accent3 4 3 2 2 3" xfId="16825" xr:uid="{223498DD-9BCD-43D4-AD1C-180EA1CBCD07}"/>
    <cellStyle name="20% - Accent3 4 3 2 3" xfId="21048" xr:uid="{DC125B67-C74B-488C-9DF9-4CCFF7FD7C44}"/>
    <cellStyle name="20% - Accent3 4 3 2 4" xfId="12608" xr:uid="{73768ED2-8AE3-4A28-B0DA-EDB2217A7E41}"/>
    <cellStyle name="20% - Accent3 4 3 3" xfId="5354" xr:uid="{00000000-0005-0000-0000-0000C2010000}"/>
    <cellStyle name="20% - Accent3 4 3 3 2" xfId="23120" xr:uid="{E28792D3-2A6D-40C4-B56A-549E4EAD6742}"/>
    <cellStyle name="20% - Accent3 4 3 3 3" xfId="14680" xr:uid="{89CF0E39-AECB-46EF-84AF-AA225DF66D55}"/>
    <cellStyle name="20% - Accent3 4 3 4" xfId="18903" xr:uid="{AA4BDA52-DB5C-44C0-8107-6876F405DA8F}"/>
    <cellStyle name="20% - Accent3 4 3 5" xfId="10463" xr:uid="{E26A44B7-41DE-4231-92AB-DEC13790A300}"/>
    <cellStyle name="20% - Accent3 4 4" xfId="1460" xr:uid="{00000000-0005-0000-0000-0000C3010000}"/>
    <cellStyle name="20% - Accent3 4 4 2" xfId="3690" xr:uid="{00000000-0005-0000-0000-0000C4010000}"/>
    <cellStyle name="20% - Accent3 4 4 2 2" xfId="7912" xr:uid="{00000000-0005-0000-0000-0000C5010000}"/>
    <cellStyle name="20% - Accent3 4 4 2 2 2" xfId="25678" xr:uid="{8C13D6B8-2901-4DE4-9F69-DA3D7943F4BD}"/>
    <cellStyle name="20% - Accent3 4 4 2 2 3" xfId="17238" xr:uid="{E65A7AAA-764C-4D1A-9AE6-F85026792A71}"/>
    <cellStyle name="20% - Accent3 4 4 2 3" xfId="21461" xr:uid="{D00168D6-81D3-4243-B716-001C13921893}"/>
    <cellStyle name="20% - Accent3 4 4 2 4" xfId="13021" xr:uid="{637C0D3C-A069-4398-B6F1-98A90599952D}"/>
    <cellStyle name="20% - Accent3 4 4 3" xfId="5767" xr:uid="{00000000-0005-0000-0000-0000C6010000}"/>
    <cellStyle name="20% - Accent3 4 4 3 2" xfId="23533" xr:uid="{2CA7CB7A-3768-445A-92A7-C8F2283A9F49}"/>
    <cellStyle name="20% - Accent3 4 4 3 3" xfId="15093" xr:uid="{E5249A3A-CD3F-4F36-A1AA-4AD0232F1D26}"/>
    <cellStyle name="20% - Accent3 4 4 4" xfId="19316" xr:uid="{E1DAE0C4-73EB-4379-81D4-45F15120B8FF}"/>
    <cellStyle name="20% - Accent3 4 4 5" xfId="10876" xr:uid="{41DB76BC-17ED-4BE7-B091-8B112FD2A984}"/>
    <cellStyle name="20% - Accent3 4 5" xfId="1874" xr:uid="{00000000-0005-0000-0000-0000C7010000}"/>
    <cellStyle name="20% - Accent3 4 5 2" xfId="4103" xr:uid="{00000000-0005-0000-0000-0000C8010000}"/>
    <cellStyle name="20% - Accent3 4 5 2 2" xfId="8325" xr:uid="{00000000-0005-0000-0000-0000C9010000}"/>
    <cellStyle name="20% - Accent3 4 5 2 2 2" xfId="26091" xr:uid="{EA115CC1-BC92-4670-966A-A371705443FE}"/>
    <cellStyle name="20% - Accent3 4 5 2 2 3" xfId="17651" xr:uid="{2638AC20-E801-4695-968B-57E2D92DC096}"/>
    <cellStyle name="20% - Accent3 4 5 2 3" xfId="21874" xr:uid="{5A3E2D1B-9866-4BC1-9B47-49696E186884}"/>
    <cellStyle name="20% - Accent3 4 5 2 4" xfId="13434" xr:uid="{F653F5F6-5176-4ABC-A0AC-FC27F3A843C5}"/>
    <cellStyle name="20% - Accent3 4 5 3" xfId="6180" xr:uid="{00000000-0005-0000-0000-0000CA010000}"/>
    <cellStyle name="20% - Accent3 4 5 3 2" xfId="23946" xr:uid="{039AC55E-45BA-45D6-BAD8-DF5438AAB981}"/>
    <cellStyle name="20% - Accent3 4 5 3 3" xfId="15506" xr:uid="{FB1E0F83-8617-426B-9503-6202D8BF0991}"/>
    <cellStyle name="20% - Accent3 4 5 4" xfId="19729" xr:uid="{BCB5FAA1-C404-45A8-BFF3-04D1AFAEBC22}"/>
    <cellStyle name="20% - Accent3 4 5 5" xfId="11289" xr:uid="{4625BBE2-9175-40D3-B4FE-94D07A09DB91}"/>
    <cellStyle name="20% - Accent3 4 6" xfId="2287" xr:uid="{00000000-0005-0000-0000-0000CB010000}"/>
    <cellStyle name="20% - Accent3 4 6 2" xfId="6593" xr:uid="{00000000-0005-0000-0000-0000CC010000}"/>
    <cellStyle name="20% - Accent3 4 6 2 2" xfId="24359" xr:uid="{D7EAA991-CBFC-4AF1-A757-BE6773EC3BFE}"/>
    <cellStyle name="20% - Accent3 4 6 2 3" xfId="15919" xr:uid="{13876875-59D7-4F06-B8EC-95553F307234}"/>
    <cellStyle name="20% - Accent3 4 6 3" xfId="20142" xr:uid="{163AEFF4-C1DA-43BD-A24A-2A9FFD50B273}"/>
    <cellStyle name="20% - Accent3 4 6 4" xfId="11702" xr:uid="{D6950074-34F2-4FFA-B538-F39B5B3940D9}"/>
    <cellStyle name="20% - Accent3 4 7" xfId="4527" xr:uid="{00000000-0005-0000-0000-0000CD010000}"/>
    <cellStyle name="20% - Accent3 4 7 2" xfId="22293" xr:uid="{5D9D3D96-018B-439F-961A-0C8AB8412EDA}"/>
    <cellStyle name="20% - Accent3 4 7 3" xfId="13853" xr:uid="{C9FFAA4E-78C3-457D-897C-9E41C6B1A859}"/>
    <cellStyle name="20% - Accent3 4 8" xfId="8951" xr:uid="{3CB7770B-4F12-4C44-B65D-06C641FEE851}"/>
    <cellStyle name="20% - Accent3 4 8 2" xfId="18076" xr:uid="{9D8C767C-9825-4DB6-9AAA-EA942B2B8541}"/>
    <cellStyle name="20% - Accent3 4 9" xfId="9636" xr:uid="{FD409178-0226-4FF9-82AC-6A7C349F82F5}"/>
    <cellStyle name="20% - Accent3 5" xfId="586" xr:uid="{00000000-0005-0000-0000-0000CE010000}"/>
    <cellStyle name="20% - Accent3 5 2" xfId="2857" xr:uid="{00000000-0005-0000-0000-0000CF010000}"/>
    <cellStyle name="20% - Accent3 5 2 2" xfId="7079" xr:uid="{00000000-0005-0000-0000-0000D0010000}"/>
    <cellStyle name="20% - Accent3 5 2 2 2" xfId="24845" xr:uid="{F6F1CD5F-5FE7-42D2-A75A-89836DD2F038}"/>
    <cellStyle name="20% - Accent3 5 2 2 3" xfId="16405" xr:uid="{E51D2DDC-034F-432B-BF8A-6A6C5BF920ED}"/>
    <cellStyle name="20% - Accent3 5 2 3" xfId="20628" xr:uid="{9067DF4A-5AA1-4F02-A255-6FFAEDF7B83F}"/>
    <cellStyle name="20% - Accent3 5 2 4" xfId="12188" xr:uid="{2B32A0E2-8075-4254-B81E-167947AE5F89}"/>
    <cellStyle name="20% - Accent3 5 3" xfId="4934" xr:uid="{00000000-0005-0000-0000-0000D1010000}"/>
    <cellStyle name="20% - Accent3 5 3 2" xfId="22700" xr:uid="{DB3B02D0-095E-4608-8F39-DA424610ABE0}"/>
    <cellStyle name="20% - Accent3 5 3 3" xfId="14260" xr:uid="{A7086650-FA2C-443B-89AC-F6892BC9A2D7}"/>
    <cellStyle name="20% - Accent3 5 4" xfId="9184" xr:uid="{F51B2D95-9593-4370-A6D2-AFEF087D7920}"/>
    <cellStyle name="20% - Accent3 5 4 2" xfId="18483" xr:uid="{773ADEC5-4E2B-4D8F-8EEE-2B262403F395}"/>
    <cellStyle name="20% - Accent3 5 5" xfId="10043" xr:uid="{5DE806E9-468A-4A47-926C-94F74A252526}"/>
    <cellStyle name="20% - Accent3 6" xfId="1039" xr:uid="{00000000-0005-0000-0000-0000D2010000}"/>
    <cellStyle name="20% - Accent3 6 2" xfId="3270" xr:uid="{00000000-0005-0000-0000-0000D3010000}"/>
    <cellStyle name="20% - Accent3 6 2 2" xfId="7492" xr:uid="{00000000-0005-0000-0000-0000D4010000}"/>
    <cellStyle name="20% - Accent3 6 2 2 2" xfId="25258" xr:uid="{F3A86E7D-2B3F-43AF-A661-DA939458010E}"/>
    <cellStyle name="20% - Accent3 6 2 2 3" xfId="16818" xr:uid="{B973216F-2A23-4BE1-9848-56E2B49CC1FD}"/>
    <cellStyle name="20% - Accent3 6 2 3" xfId="21041" xr:uid="{2166658D-7507-464A-8EA2-3CE3B46CD6E3}"/>
    <cellStyle name="20% - Accent3 6 2 4" xfId="12601" xr:uid="{D307B55E-9A5B-49F5-8651-9D1F1A1C8680}"/>
    <cellStyle name="20% - Accent3 6 3" xfId="5347" xr:uid="{00000000-0005-0000-0000-0000D5010000}"/>
    <cellStyle name="20% - Accent3 6 3 2" xfId="23113" xr:uid="{FD0CEFE8-E794-4121-931C-267C19A1C8F4}"/>
    <cellStyle name="20% - Accent3 6 3 3" xfId="14673" xr:uid="{02302EDD-13F4-4468-8496-1F6DE15D49A2}"/>
    <cellStyle name="20% - Accent3 6 4" xfId="18896" xr:uid="{942CB02B-3B01-4DEB-9F09-2BB2100696F5}"/>
    <cellStyle name="20% - Accent3 6 5" xfId="10456" xr:uid="{E0511BEE-25E3-4B67-A909-8B36867F7AEE}"/>
    <cellStyle name="20% - Accent3 7" xfId="1453" xr:uid="{00000000-0005-0000-0000-0000D6010000}"/>
    <cellStyle name="20% - Accent3 7 2" xfId="3683" xr:uid="{00000000-0005-0000-0000-0000D7010000}"/>
    <cellStyle name="20% - Accent3 7 2 2" xfId="7905" xr:uid="{00000000-0005-0000-0000-0000D8010000}"/>
    <cellStyle name="20% - Accent3 7 2 2 2" xfId="25671" xr:uid="{D5BE0C42-93B2-419D-AA97-ED65C660C6FB}"/>
    <cellStyle name="20% - Accent3 7 2 2 3" xfId="17231" xr:uid="{03255400-ACA2-4CE8-8444-C6899D427DAA}"/>
    <cellStyle name="20% - Accent3 7 2 3" xfId="21454" xr:uid="{12B08C73-0ED2-4D51-B617-FDD74DA1A26D}"/>
    <cellStyle name="20% - Accent3 7 2 4" xfId="13014" xr:uid="{E2D27940-FCD0-47B6-B5BE-682E4D421BD7}"/>
    <cellStyle name="20% - Accent3 7 3" xfId="5760" xr:uid="{00000000-0005-0000-0000-0000D9010000}"/>
    <cellStyle name="20% - Accent3 7 3 2" xfId="23526" xr:uid="{42E14903-70EE-4D61-A335-E9EBBDCAD62F}"/>
    <cellStyle name="20% - Accent3 7 3 3" xfId="15086" xr:uid="{3DF512BD-1E13-4F22-85B4-7CA3A07DF2EC}"/>
    <cellStyle name="20% - Accent3 7 4" xfId="19309" xr:uid="{F1B1428C-5560-41E8-BF71-17EB1DD68C8D}"/>
    <cellStyle name="20% - Accent3 7 5" xfId="10869" xr:uid="{5A9D7E26-9B36-41B6-988F-22ED1201CA82}"/>
    <cellStyle name="20% - Accent3 8" xfId="1867" xr:uid="{00000000-0005-0000-0000-0000DA010000}"/>
    <cellStyle name="20% - Accent3 8 2" xfId="4096" xr:uid="{00000000-0005-0000-0000-0000DB010000}"/>
    <cellStyle name="20% - Accent3 8 2 2" xfId="8318" xr:uid="{00000000-0005-0000-0000-0000DC010000}"/>
    <cellStyle name="20% - Accent3 8 2 2 2" xfId="26084" xr:uid="{EB41B86C-222C-42C9-9EAA-7B34EA0ADA85}"/>
    <cellStyle name="20% - Accent3 8 2 2 3" xfId="17644" xr:uid="{09B3D6DE-4BD2-4629-831E-19FD22D0AF08}"/>
    <cellStyle name="20% - Accent3 8 2 3" xfId="21867" xr:uid="{C1A3EA6D-3BC0-4F63-8762-123FAA164893}"/>
    <cellStyle name="20% - Accent3 8 2 4" xfId="13427" xr:uid="{9CD82AF7-F12A-43DD-BCB3-86097A2361AD}"/>
    <cellStyle name="20% - Accent3 8 3" xfId="6173" xr:uid="{00000000-0005-0000-0000-0000DD010000}"/>
    <cellStyle name="20% - Accent3 8 3 2" xfId="23939" xr:uid="{C42F3D37-E370-4318-8AAF-0B68425781D3}"/>
    <cellStyle name="20% - Accent3 8 3 3" xfId="15499" xr:uid="{08F6B00F-C74E-4F33-8C9B-80F8C6AC35E4}"/>
    <cellStyle name="20% - Accent3 8 4" xfId="19722" xr:uid="{5D7AAC5D-88F0-407D-A977-A9F58F0FEE69}"/>
    <cellStyle name="20% - Accent3 8 5" xfId="11282" xr:uid="{D91A1ACF-3C95-4C15-89ED-FAA54DF4C2A8}"/>
    <cellStyle name="20% - Accent3 9" xfId="2280" xr:uid="{00000000-0005-0000-0000-0000DE010000}"/>
    <cellStyle name="20% - Accent3 9 2" xfId="6586" xr:uid="{00000000-0005-0000-0000-0000DF010000}"/>
    <cellStyle name="20% - Accent3 9 2 2" xfId="24352" xr:uid="{0E9D26B0-84C3-4DFE-AE20-EE28AEA5D642}"/>
    <cellStyle name="20% - Accent3 9 2 3" xfId="15912" xr:uid="{8AD9F047-4620-4C2F-ABAF-03A0991235AF}"/>
    <cellStyle name="20% - Accent3 9 3" xfId="20135" xr:uid="{F5F9C68D-9936-44C4-922D-28B24EF7BB38}"/>
    <cellStyle name="20% - Accent3 9 4" xfId="11695" xr:uid="{42FA77B2-CAAC-4237-8BF5-61C66E0BCBEF}"/>
    <cellStyle name="20% - Accent4" xfId="25" builtinId="42" customBuiltin="1"/>
    <cellStyle name="20% - Accent4 10" xfId="4528" xr:uid="{00000000-0005-0000-0000-0000E1010000}"/>
    <cellStyle name="20% - Accent4 10 2" xfId="22294" xr:uid="{92E6D7C2-B578-4BD4-BD9B-34E0D8FC411F}"/>
    <cellStyle name="20% - Accent4 10 3" xfId="13854" xr:uid="{1A3B9FDA-EAF9-4E96-8E2A-939D35380ECD}"/>
    <cellStyle name="20% - Accent4 11" xfId="8764" xr:uid="{4A9BF508-806C-496D-AEC5-5842E4A62892}"/>
    <cellStyle name="20% - Accent4 11 2" xfId="18077" xr:uid="{916F0F88-E5DB-4E87-9B68-60F93D121155}"/>
    <cellStyle name="20% - Accent4 12" xfId="9637" xr:uid="{EB95ECE4-AAC1-4B30-A963-676F467A7953}"/>
    <cellStyle name="20% - Accent4 2" xfId="26" xr:uid="{00000000-0005-0000-0000-0000E2010000}"/>
    <cellStyle name="20% - Accent4 2 10" xfId="8794" xr:uid="{31A2F477-5237-45C2-B43F-25AC049A95FF}"/>
    <cellStyle name="20% - Accent4 2 10 2" xfId="18078" xr:uid="{2B30D93F-D06E-42B0-A089-C6EB4B37A164}"/>
    <cellStyle name="20% - Accent4 2 11" xfId="9638" xr:uid="{0BE8268D-83AD-4C75-BAAC-273ADD924C7A}"/>
    <cellStyle name="20% - Accent4 2 2" xfId="27" xr:uid="{00000000-0005-0000-0000-0000E3010000}"/>
    <cellStyle name="20% - Accent4 2 2 10" xfId="9639" xr:uid="{35267AE6-9C6E-43C1-8A7A-8B9C7AB0DD4C}"/>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24856" xr:uid="{A5EC4DAA-EE2A-472E-BC40-AFC798257321}"/>
    <cellStyle name="20% - Accent4 2 2 2 2 2 2 3" xfId="16416" xr:uid="{10E2F117-382E-4813-AD48-399A056A5862}"/>
    <cellStyle name="20% - Accent4 2 2 2 2 2 3" xfId="20639" xr:uid="{9D84779C-172A-47C6-8843-3D0BF602A3A5}"/>
    <cellStyle name="20% - Accent4 2 2 2 2 2 4" xfId="12199" xr:uid="{37CF972D-B146-437B-8063-2E80DBD757AF}"/>
    <cellStyle name="20% - Accent4 2 2 2 2 3" xfId="4945" xr:uid="{00000000-0005-0000-0000-0000E8010000}"/>
    <cellStyle name="20% - Accent4 2 2 2 2 3 2" xfId="22711" xr:uid="{091451CD-F96C-4AB7-85BD-352538AC1BD4}"/>
    <cellStyle name="20% - Accent4 2 2 2 2 3 3" xfId="14271" xr:uid="{A52ECC3B-2C2E-4D17-A868-77FB9FF14FCC}"/>
    <cellStyle name="20% - Accent4 2 2 2 2 4" xfId="9529" xr:uid="{0C40CE19-1873-4316-818D-CC943AAFBB7B}"/>
    <cellStyle name="20% - Accent4 2 2 2 2 4 2" xfId="18494" xr:uid="{26A999FB-6424-4148-B90E-1C1283AC7803}"/>
    <cellStyle name="20% - Accent4 2 2 2 2 5" xfId="10054" xr:uid="{756323A6-BFF9-442B-A978-373C05B51D82}"/>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25269" xr:uid="{903A664A-E2B2-4433-8A9C-25A2D3A3A10F}"/>
    <cellStyle name="20% - Accent4 2 2 2 3 2 2 3" xfId="16829" xr:uid="{4218AC0B-990A-49CB-8A11-D3B16CBC5010}"/>
    <cellStyle name="20% - Accent4 2 2 2 3 2 3" xfId="21052" xr:uid="{26CBE790-CFDD-44B8-8297-3A417E4E96BE}"/>
    <cellStyle name="20% - Accent4 2 2 2 3 2 4" xfId="12612" xr:uid="{00AFBECD-5BEA-4C5B-B1F7-6C308D08F63E}"/>
    <cellStyle name="20% - Accent4 2 2 2 3 3" xfId="5358" xr:uid="{00000000-0005-0000-0000-0000EC010000}"/>
    <cellStyle name="20% - Accent4 2 2 2 3 3 2" xfId="23124" xr:uid="{98343F41-1C84-481A-B010-82B1FC77CB38}"/>
    <cellStyle name="20% - Accent4 2 2 2 3 3 3" xfId="14684" xr:uid="{ACEEE7F9-2001-4E19-98C8-1A333B642CA1}"/>
    <cellStyle name="20% - Accent4 2 2 2 3 4" xfId="18907" xr:uid="{BDF0B6DF-B8C7-4004-902F-2B75EBCD0F8F}"/>
    <cellStyle name="20% - Accent4 2 2 2 3 5" xfId="10467" xr:uid="{2715F6A3-1609-4862-9413-CEF24AFF331F}"/>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25682" xr:uid="{7121B26B-5C14-48A8-81D7-0D5072222448}"/>
    <cellStyle name="20% - Accent4 2 2 2 4 2 2 3" xfId="17242" xr:uid="{18E823A3-CC51-4A6A-A649-684653A5B620}"/>
    <cellStyle name="20% - Accent4 2 2 2 4 2 3" xfId="21465" xr:uid="{CD90D081-FBF3-4322-A8DF-DA3199876ED9}"/>
    <cellStyle name="20% - Accent4 2 2 2 4 2 4" xfId="13025" xr:uid="{4F8B6518-84C9-4630-9810-745C6A17E7DD}"/>
    <cellStyle name="20% - Accent4 2 2 2 4 3" xfId="5771" xr:uid="{00000000-0005-0000-0000-0000F0010000}"/>
    <cellStyle name="20% - Accent4 2 2 2 4 3 2" xfId="23537" xr:uid="{A59FB38E-9E8B-44C1-8FEB-EA2314CF91BB}"/>
    <cellStyle name="20% - Accent4 2 2 2 4 3 3" xfId="15097" xr:uid="{CC401117-F2DD-4390-A34D-E6D0C4517C66}"/>
    <cellStyle name="20% - Accent4 2 2 2 4 4" xfId="19320" xr:uid="{63E9FDF6-94D7-45DC-9B7D-E53889CF3C4F}"/>
    <cellStyle name="20% - Accent4 2 2 2 4 5" xfId="10880" xr:uid="{3D356D6F-8A97-4104-AB3D-8480E25EE1F6}"/>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26095" xr:uid="{51EA6E3E-34DB-4388-8FCB-D00A9030961D}"/>
    <cellStyle name="20% - Accent4 2 2 2 5 2 2 3" xfId="17655" xr:uid="{7FA03D1C-C7D4-440E-B2B3-69C2DB52B177}"/>
    <cellStyle name="20% - Accent4 2 2 2 5 2 3" xfId="21878" xr:uid="{768289D8-B2B3-4CF1-BE6B-2FA2D77CBD92}"/>
    <cellStyle name="20% - Accent4 2 2 2 5 2 4" xfId="13438" xr:uid="{C4C61E69-F07C-4CA9-87A1-0D8F747CCFF6}"/>
    <cellStyle name="20% - Accent4 2 2 2 5 3" xfId="6184" xr:uid="{00000000-0005-0000-0000-0000F4010000}"/>
    <cellStyle name="20% - Accent4 2 2 2 5 3 2" xfId="23950" xr:uid="{C6DC409C-114C-4EB0-9A88-910058AD897D}"/>
    <cellStyle name="20% - Accent4 2 2 2 5 3 3" xfId="15510" xr:uid="{70ABA90F-7362-447B-B64A-A744CA875328}"/>
    <cellStyle name="20% - Accent4 2 2 2 5 4" xfId="19733" xr:uid="{BDD0FC63-677D-4294-973F-ABDBC7B69D02}"/>
    <cellStyle name="20% - Accent4 2 2 2 5 5" xfId="11293" xr:uid="{D9DA9770-B66B-497F-985F-B86A1CD7EAC8}"/>
    <cellStyle name="20% - Accent4 2 2 2 6" xfId="2291" xr:uid="{00000000-0005-0000-0000-0000F5010000}"/>
    <cellStyle name="20% - Accent4 2 2 2 6 2" xfId="6597" xr:uid="{00000000-0005-0000-0000-0000F6010000}"/>
    <cellStyle name="20% - Accent4 2 2 2 6 2 2" xfId="24363" xr:uid="{E89BC08B-42E3-42A8-ABF2-C47CE7FAACCE}"/>
    <cellStyle name="20% - Accent4 2 2 2 6 2 3" xfId="15923" xr:uid="{3B427BBE-8643-4AAE-9F85-D893E40ECBBB}"/>
    <cellStyle name="20% - Accent4 2 2 2 6 3" xfId="20146" xr:uid="{18640004-BD27-492F-A284-A448F1929214}"/>
    <cellStyle name="20% - Accent4 2 2 2 6 4" xfId="11706" xr:uid="{81057401-B1EC-4894-B0FA-0FBF555EA878}"/>
    <cellStyle name="20% - Accent4 2 2 2 7" xfId="4531" xr:uid="{00000000-0005-0000-0000-0000F7010000}"/>
    <cellStyle name="20% - Accent4 2 2 2 7 2" xfId="22297" xr:uid="{E6F77D9E-6D2F-4541-BAB3-38A8758879B9}"/>
    <cellStyle name="20% - Accent4 2 2 2 7 3" xfId="13857" xr:uid="{4DE7F6C6-A2FE-4267-9BEA-767212DC0282}"/>
    <cellStyle name="20% - Accent4 2 2 2 8" xfId="9104" xr:uid="{526BE306-22BA-4A85-81B2-34AEB56F0D90}"/>
    <cellStyle name="20% - Accent4 2 2 2 8 2" xfId="18080" xr:uid="{5EF148AF-87F5-4325-B16F-E32ADDCA90B4}"/>
    <cellStyle name="20% - Accent4 2 2 2 9" xfId="9640" xr:uid="{B4F7403F-705A-4020-A752-FE0BCF465B19}"/>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24855" xr:uid="{9F49312E-6EF9-4D7E-B8F0-E3B8EA6E6397}"/>
    <cellStyle name="20% - Accent4 2 2 3 2 2 3" xfId="16415" xr:uid="{818B0478-6B2E-47F8-BFCA-144182F64D76}"/>
    <cellStyle name="20% - Accent4 2 2 3 2 3" xfId="20638" xr:uid="{D1F1C369-7899-42BD-B44E-73AC52DBB671}"/>
    <cellStyle name="20% - Accent4 2 2 3 2 4" xfId="12198" xr:uid="{F9A72792-E19D-4EE9-B430-2457A8E8286B}"/>
    <cellStyle name="20% - Accent4 2 2 3 3" xfId="4944" xr:uid="{00000000-0005-0000-0000-0000FB010000}"/>
    <cellStyle name="20% - Accent4 2 2 3 3 2" xfId="22710" xr:uid="{612A06B0-EB31-4D9A-BB77-879AE6467C39}"/>
    <cellStyle name="20% - Accent4 2 2 3 3 3" xfId="14270" xr:uid="{0214E629-1900-451C-B76D-17BEB887314E}"/>
    <cellStyle name="20% - Accent4 2 2 3 4" xfId="9322" xr:uid="{003BBE99-27AA-4036-A373-4475953A88F4}"/>
    <cellStyle name="20% - Accent4 2 2 3 4 2" xfId="18493" xr:uid="{65D29519-1FB9-49E4-95F1-2EF0809CFEE8}"/>
    <cellStyle name="20% - Accent4 2 2 3 5" xfId="10053" xr:uid="{3760396E-F711-4731-962C-9F481F98321B}"/>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25268" xr:uid="{F598B27E-0A14-4C88-A172-3BDC21879BA5}"/>
    <cellStyle name="20% - Accent4 2 2 4 2 2 3" xfId="16828" xr:uid="{12709A29-943F-4059-9663-7C06AE471255}"/>
    <cellStyle name="20% - Accent4 2 2 4 2 3" xfId="21051" xr:uid="{022C1B9B-9458-4824-8C58-F94F48E4C919}"/>
    <cellStyle name="20% - Accent4 2 2 4 2 4" xfId="12611" xr:uid="{5652AE97-6BA7-48C2-B583-2D95DA71BAF1}"/>
    <cellStyle name="20% - Accent4 2 2 4 3" xfId="5357" xr:uid="{00000000-0005-0000-0000-0000FF010000}"/>
    <cellStyle name="20% - Accent4 2 2 4 3 2" xfId="23123" xr:uid="{9F2D04B3-0A30-4FAB-B712-9B3C10E65810}"/>
    <cellStyle name="20% - Accent4 2 2 4 3 3" xfId="14683" xr:uid="{001522F3-6EC3-4C00-B2CB-66684BF7EC89}"/>
    <cellStyle name="20% - Accent4 2 2 4 4" xfId="18906" xr:uid="{BED7DF9F-17B9-41F6-9B7C-0D9FE80C2731}"/>
    <cellStyle name="20% - Accent4 2 2 4 5" xfId="10466" xr:uid="{B2B832A9-2A69-47CC-96A0-2CEE76BC62AE}"/>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25681" xr:uid="{C8469A03-558C-462A-A74A-CB390698CD28}"/>
    <cellStyle name="20% - Accent4 2 2 5 2 2 3" xfId="17241" xr:uid="{C7C1ED43-183A-4915-AF0E-3A0210935BA8}"/>
    <cellStyle name="20% - Accent4 2 2 5 2 3" xfId="21464" xr:uid="{12962852-BA66-4E79-88B6-112F5EAE6F12}"/>
    <cellStyle name="20% - Accent4 2 2 5 2 4" xfId="13024" xr:uid="{E38C5DAB-14E6-44BD-867D-71FC214ECB78}"/>
    <cellStyle name="20% - Accent4 2 2 5 3" xfId="5770" xr:uid="{00000000-0005-0000-0000-000003020000}"/>
    <cellStyle name="20% - Accent4 2 2 5 3 2" xfId="23536" xr:uid="{B761D80C-E782-475A-85AF-45B5B464A1AB}"/>
    <cellStyle name="20% - Accent4 2 2 5 3 3" xfId="15096" xr:uid="{525C89A8-A44B-4F28-908C-CD67271354B2}"/>
    <cellStyle name="20% - Accent4 2 2 5 4" xfId="19319" xr:uid="{AA4D2695-4E00-4321-9F04-8D1DA3921B04}"/>
    <cellStyle name="20% - Accent4 2 2 5 5" xfId="10879" xr:uid="{2A59D63E-E46A-49E9-B25C-3C2BAF036DEC}"/>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26094" xr:uid="{A71B7CA9-5A7F-4FA0-9AD3-B60D9C55033D}"/>
    <cellStyle name="20% - Accent4 2 2 6 2 2 3" xfId="17654" xr:uid="{1EE04DA8-8268-4B7B-8038-8721C203243C}"/>
    <cellStyle name="20% - Accent4 2 2 6 2 3" xfId="21877" xr:uid="{8DCB7F0E-8F33-408F-93DB-920A341163E7}"/>
    <cellStyle name="20% - Accent4 2 2 6 2 4" xfId="13437" xr:uid="{F9670A28-1BCC-4DB5-B217-6686096BD846}"/>
    <cellStyle name="20% - Accent4 2 2 6 3" xfId="6183" xr:uid="{00000000-0005-0000-0000-000007020000}"/>
    <cellStyle name="20% - Accent4 2 2 6 3 2" xfId="23949" xr:uid="{DC673BDD-105A-49D6-AEA9-D31749E43B0A}"/>
    <cellStyle name="20% - Accent4 2 2 6 3 3" xfId="15509" xr:uid="{8357C5A5-71B8-4489-A909-1926EFF82ACA}"/>
    <cellStyle name="20% - Accent4 2 2 6 4" xfId="19732" xr:uid="{CB2511CD-CDF2-4318-9235-66FA4FA2B25D}"/>
    <cellStyle name="20% - Accent4 2 2 6 5" xfId="11292" xr:uid="{E5DE5B84-752E-483E-87B7-184E35D2311E}"/>
    <cellStyle name="20% - Accent4 2 2 7" xfId="2290" xr:uid="{00000000-0005-0000-0000-000008020000}"/>
    <cellStyle name="20% - Accent4 2 2 7 2" xfId="6596" xr:uid="{00000000-0005-0000-0000-000009020000}"/>
    <cellStyle name="20% - Accent4 2 2 7 2 2" xfId="24362" xr:uid="{75ADA534-109E-4751-A607-AF8782A5D598}"/>
    <cellStyle name="20% - Accent4 2 2 7 2 3" xfId="15922" xr:uid="{3FE040B9-483A-4EEA-821C-2371935BE94A}"/>
    <cellStyle name="20% - Accent4 2 2 7 3" xfId="20145" xr:uid="{5848A5B4-7556-4F70-B165-4AEBA547E04B}"/>
    <cellStyle name="20% - Accent4 2 2 7 4" xfId="11705" xr:uid="{3EAB60CE-3D2A-4614-9546-401273499E96}"/>
    <cellStyle name="20% - Accent4 2 2 8" xfId="4530" xr:uid="{00000000-0005-0000-0000-00000A020000}"/>
    <cellStyle name="20% - Accent4 2 2 8 2" xfId="22296" xr:uid="{D296C0FE-D8E2-4404-8419-86A8F2C99FC9}"/>
    <cellStyle name="20% - Accent4 2 2 8 3" xfId="13856" xr:uid="{F697AE70-7029-47B6-B439-EE522E13B093}"/>
    <cellStyle name="20% - Accent4 2 2 9" xfId="8897" xr:uid="{3A58A73C-0193-4EAC-8E12-5BF8743CE9BA}"/>
    <cellStyle name="20% - Accent4 2 2 9 2" xfId="18079" xr:uid="{63422450-8E44-4425-8E32-6BAC9B05F7C6}"/>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24857" xr:uid="{356C2BBA-36CF-48F9-8F31-DE3D8AFFFC3D}"/>
    <cellStyle name="20% - Accent4 2 3 2 2 2 3" xfId="16417" xr:uid="{D2789400-9E65-4B53-B942-5EF6537A5CA9}"/>
    <cellStyle name="20% - Accent4 2 3 2 2 3" xfId="20640" xr:uid="{0AE80C99-286A-4929-8C9A-A076C82E5567}"/>
    <cellStyle name="20% - Accent4 2 3 2 2 4" xfId="12200" xr:uid="{37609676-C7F9-4AA8-ACB5-61D9D501CC49}"/>
    <cellStyle name="20% - Accent4 2 3 2 3" xfId="4946" xr:uid="{00000000-0005-0000-0000-00000F020000}"/>
    <cellStyle name="20% - Accent4 2 3 2 3 2" xfId="22712" xr:uid="{5C4C8308-AD0F-47A7-BA3A-EBF0076E1366}"/>
    <cellStyle name="20% - Accent4 2 3 2 3 3" xfId="14272" xr:uid="{FF278A3D-35FB-47E3-BA49-CD2E8CFD0C35}"/>
    <cellStyle name="20% - Accent4 2 3 2 4" xfId="9426" xr:uid="{5B247D51-FBFD-4799-8395-E3F1C04297B8}"/>
    <cellStyle name="20% - Accent4 2 3 2 4 2" xfId="18495" xr:uid="{20637ED8-D4B9-49C2-9942-5509FAAAB473}"/>
    <cellStyle name="20% - Accent4 2 3 2 5" xfId="10055" xr:uid="{137DD7B6-AFD8-4FF5-B013-492D7A24AD2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25270" xr:uid="{440C98D6-6E88-429F-9AD4-B6F0C73271E9}"/>
    <cellStyle name="20% - Accent4 2 3 3 2 2 3" xfId="16830" xr:uid="{5326355F-F085-4931-B78C-CC01827BFE91}"/>
    <cellStyle name="20% - Accent4 2 3 3 2 3" xfId="21053" xr:uid="{2B014E5B-3E3F-4C04-A6EA-A256264590AB}"/>
    <cellStyle name="20% - Accent4 2 3 3 2 4" xfId="12613" xr:uid="{1300DA13-1772-4EF3-90C1-F2FEAF72647D}"/>
    <cellStyle name="20% - Accent4 2 3 3 3" xfId="5359" xr:uid="{00000000-0005-0000-0000-000013020000}"/>
    <cellStyle name="20% - Accent4 2 3 3 3 2" xfId="23125" xr:uid="{016AFB3A-48C2-4FCE-86C1-017E456F97B4}"/>
    <cellStyle name="20% - Accent4 2 3 3 3 3" xfId="14685" xr:uid="{58CB9719-4D65-423A-BC40-C25356E3365D}"/>
    <cellStyle name="20% - Accent4 2 3 3 4" xfId="18908" xr:uid="{213CFE9B-4FFD-4AC3-903B-CB81BFE92BD8}"/>
    <cellStyle name="20% - Accent4 2 3 3 5" xfId="10468" xr:uid="{3913DB27-071F-4812-B621-FAE18C699103}"/>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25683" xr:uid="{85DAF872-C6E8-4BAE-A85B-BDEBEAF14A49}"/>
    <cellStyle name="20% - Accent4 2 3 4 2 2 3" xfId="17243" xr:uid="{EF09096B-74DF-496C-956C-1B1676A2B726}"/>
    <cellStyle name="20% - Accent4 2 3 4 2 3" xfId="21466" xr:uid="{AA8A1D4C-1265-4F45-9538-BFFEF0E8514B}"/>
    <cellStyle name="20% - Accent4 2 3 4 2 4" xfId="13026" xr:uid="{3300A5BF-6154-460E-B50D-77CB4CFE9AE6}"/>
    <cellStyle name="20% - Accent4 2 3 4 3" xfId="5772" xr:uid="{00000000-0005-0000-0000-000017020000}"/>
    <cellStyle name="20% - Accent4 2 3 4 3 2" xfId="23538" xr:uid="{D5DAC182-94D3-496D-B5B5-6215AE33B94C}"/>
    <cellStyle name="20% - Accent4 2 3 4 3 3" xfId="15098" xr:uid="{69DA4161-916B-45FF-9878-930705783870}"/>
    <cellStyle name="20% - Accent4 2 3 4 4" xfId="19321" xr:uid="{40442DBA-02FD-4660-93DF-7301FC196A85}"/>
    <cellStyle name="20% - Accent4 2 3 4 5" xfId="10881" xr:uid="{82C03F97-80DD-4B83-98DF-59E27AEAD572}"/>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26096" xr:uid="{CC55F39F-F813-4B0F-953B-B4E0C105F37B}"/>
    <cellStyle name="20% - Accent4 2 3 5 2 2 3" xfId="17656" xr:uid="{D9636BA8-CBBC-4C91-9CA9-2A771F31FA7D}"/>
    <cellStyle name="20% - Accent4 2 3 5 2 3" xfId="21879" xr:uid="{3F543DA9-AFC1-45EB-9577-91EE9509D17A}"/>
    <cellStyle name="20% - Accent4 2 3 5 2 4" xfId="13439" xr:uid="{BEB1FDC4-5293-4BBF-B7E6-D3AA525F2430}"/>
    <cellStyle name="20% - Accent4 2 3 5 3" xfId="6185" xr:uid="{00000000-0005-0000-0000-00001B020000}"/>
    <cellStyle name="20% - Accent4 2 3 5 3 2" xfId="23951" xr:uid="{C64F8A17-EACC-48C5-8803-02D74CD12142}"/>
    <cellStyle name="20% - Accent4 2 3 5 3 3" xfId="15511" xr:uid="{1C7F9F9F-B029-4E19-9B3F-5EAA3CF6256E}"/>
    <cellStyle name="20% - Accent4 2 3 5 4" xfId="19734" xr:uid="{52A943C0-5FED-41B6-9DCC-DE5A037E6223}"/>
    <cellStyle name="20% - Accent4 2 3 5 5" xfId="11294" xr:uid="{10C40524-6778-40AD-9099-D33B31793091}"/>
    <cellStyle name="20% - Accent4 2 3 6" xfId="2292" xr:uid="{00000000-0005-0000-0000-00001C020000}"/>
    <cellStyle name="20% - Accent4 2 3 6 2" xfId="6598" xr:uid="{00000000-0005-0000-0000-00001D020000}"/>
    <cellStyle name="20% - Accent4 2 3 6 2 2" xfId="24364" xr:uid="{A296523A-D51C-440F-9552-50EE07F7F0D1}"/>
    <cellStyle name="20% - Accent4 2 3 6 2 3" xfId="15924" xr:uid="{6B3F2DB8-9979-485F-9FC2-D74C8DEA02E0}"/>
    <cellStyle name="20% - Accent4 2 3 6 3" xfId="20147" xr:uid="{328C6776-44FA-4946-98D7-908F92E7B492}"/>
    <cellStyle name="20% - Accent4 2 3 6 4" xfId="11707" xr:uid="{13DE91F2-8E35-458F-8243-BE61F4FC3E45}"/>
    <cellStyle name="20% - Accent4 2 3 7" xfId="4532" xr:uid="{00000000-0005-0000-0000-00001E020000}"/>
    <cellStyle name="20% - Accent4 2 3 7 2" xfId="22298" xr:uid="{8F247899-11EF-47FD-8254-F68328EAD0AD}"/>
    <cellStyle name="20% - Accent4 2 3 7 3" xfId="13858" xr:uid="{EA0EBA1B-0CC1-470E-A250-FB463ADCD257}"/>
    <cellStyle name="20% - Accent4 2 3 8" xfId="9001" xr:uid="{B9DE6BBA-06E2-4FC8-B645-F20E60244072}"/>
    <cellStyle name="20% - Accent4 2 3 8 2" xfId="18081" xr:uid="{75284A1C-8B97-451F-A39B-64D50EF84A03}"/>
    <cellStyle name="20% - Accent4 2 3 9" xfId="9641" xr:uid="{F98D2A07-66DC-491F-8AF1-FFA222156910}"/>
    <cellStyle name="20% - Accent4 2 4" xfId="595" xr:uid="{00000000-0005-0000-0000-00001F020000}"/>
    <cellStyle name="20% - Accent4 2 4 2" xfId="2866" xr:uid="{00000000-0005-0000-0000-000020020000}"/>
    <cellStyle name="20% - Accent4 2 4 2 2" xfId="7088" xr:uid="{00000000-0005-0000-0000-000021020000}"/>
    <cellStyle name="20% - Accent4 2 4 2 2 2" xfId="24854" xr:uid="{C775E9EA-3DFE-47E8-BFC4-A9FDDBFE82A5}"/>
    <cellStyle name="20% - Accent4 2 4 2 2 3" xfId="16414" xr:uid="{A3725CCA-8111-4251-9BF4-9E19D5093816}"/>
    <cellStyle name="20% - Accent4 2 4 2 3" xfId="20637" xr:uid="{CD72CFE9-B3A5-4CE4-8062-21185AD62345}"/>
    <cellStyle name="20% - Accent4 2 4 2 4" xfId="12197" xr:uid="{DB0F4FF4-1054-44DB-85E3-57DC063CDC33}"/>
    <cellStyle name="20% - Accent4 2 4 3" xfId="4943" xr:uid="{00000000-0005-0000-0000-000022020000}"/>
    <cellStyle name="20% - Accent4 2 4 3 2" xfId="22709" xr:uid="{7CDB03CF-0CAC-44A7-866F-4FC7BBD27865}"/>
    <cellStyle name="20% - Accent4 2 4 3 3" xfId="14269" xr:uid="{DCA2E544-314D-438E-B4FF-ACB9F642294E}"/>
    <cellStyle name="20% - Accent4 2 4 4" xfId="9218" xr:uid="{EEA9CEE5-7B27-41EB-B571-13D0ADC44445}"/>
    <cellStyle name="20% - Accent4 2 4 4 2" xfId="18492" xr:uid="{EC4B131B-9F71-49A2-A764-F85CBD91BF9F}"/>
    <cellStyle name="20% - Accent4 2 4 5" xfId="10052" xr:uid="{393EE7D7-9ED1-40C9-8CB8-C79050AAC79D}"/>
    <cellStyle name="20% - Accent4 2 5" xfId="1048" xr:uid="{00000000-0005-0000-0000-000023020000}"/>
    <cellStyle name="20% - Accent4 2 5 2" xfId="3279" xr:uid="{00000000-0005-0000-0000-000024020000}"/>
    <cellStyle name="20% - Accent4 2 5 2 2" xfId="7501" xr:uid="{00000000-0005-0000-0000-000025020000}"/>
    <cellStyle name="20% - Accent4 2 5 2 2 2" xfId="25267" xr:uid="{4B3E0708-0D3B-4681-B8FB-DBD5B2DB37A2}"/>
    <cellStyle name="20% - Accent4 2 5 2 2 3" xfId="16827" xr:uid="{B4EDCEE3-17CA-4286-BE4E-49E25C947E65}"/>
    <cellStyle name="20% - Accent4 2 5 2 3" xfId="21050" xr:uid="{8CD84FDC-E25A-48CA-B89A-5EEE4AE09896}"/>
    <cellStyle name="20% - Accent4 2 5 2 4" xfId="12610" xr:uid="{F6DFC52A-E5F6-40A4-B02E-6FB58FDC6D19}"/>
    <cellStyle name="20% - Accent4 2 5 3" xfId="5356" xr:uid="{00000000-0005-0000-0000-000026020000}"/>
    <cellStyle name="20% - Accent4 2 5 3 2" xfId="23122" xr:uid="{ECD8485E-398D-4CCE-9199-421F02795352}"/>
    <cellStyle name="20% - Accent4 2 5 3 3" xfId="14682" xr:uid="{C5815A9A-1B52-42F6-948F-904D3FF1E7A6}"/>
    <cellStyle name="20% - Accent4 2 5 4" xfId="18905" xr:uid="{9ECBE20A-C9EA-4D61-A30F-07C1453F4DF5}"/>
    <cellStyle name="20% - Accent4 2 5 5" xfId="10465" xr:uid="{F332CD6D-C878-4540-99C7-DA5E8497E072}"/>
    <cellStyle name="20% - Accent4 2 6" xfId="1462" xr:uid="{00000000-0005-0000-0000-000027020000}"/>
    <cellStyle name="20% - Accent4 2 6 2" xfId="3692" xr:uid="{00000000-0005-0000-0000-000028020000}"/>
    <cellStyle name="20% - Accent4 2 6 2 2" xfId="7914" xr:uid="{00000000-0005-0000-0000-000029020000}"/>
    <cellStyle name="20% - Accent4 2 6 2 2 2" xfId="25680" xr:uid="{5A77C226-F6B3-4B3C-8780-7D601B9364EC}"/>
    <cellStyle name="20% - Accent4 2 6 2 2 3" xfId="17240" xr:uid="{B7F351C8-3C2C-4F21-B1CB-7D4B324A2230}"/>
    <cellStyle name="20% - Accent4 2 6 2 3" xfId="21463" xr:uid="{A400AE1F-20C5-4956-8E1C-28AD7E740BF7}"/>
    <cellStyle name="20% - Accent4 2 6 2 4" xfId="13023" xr:uid="{D2837122-06BA-4D15-940B-EF9CF916EA84}"/>
    <cellStyle name="20% - Accent4 2 6 3" xfId="5769" xr:uid="{00000000-0005-0000-0000-00002A020000}"/>
    <cellStyle name="20% - Accent4 2 6 3 2" xfId="23535" xr:uid="{91CBAB45-F5F9-4559-B22F-9E6D27A21B00}"/>
    <cellStyle name="20% - Accent4 2 6 3 3" xfId="15095" xr:uid="{E04AF7D0-0BF3-495E-A600-1D0642B7439B}"/>
    <cellStyle name="20% - Accent4 2 6 4" xfId="19318" xr:uid="{570C2E12-2726-47EC-B288-F2E685436F07}"/>
    <cellStyle name="20% - Accent4 2 6 5" xfId="10878" xr:uid="{9B8E386A-6039-4DC2-B87A-57C3EF72289B}"/>
    <cellStyle name="20% - Accent4 2 7" xfId="1876" xr:uid="{00000000-0005-0000-0000-00002B020000}"/>
    <cellStyle name="20% - Accent4 2 7 2" xfId="4105" xr:uid="{00000000-0005-0000-0000-00002C020000}"/>
    <cellStyle name="20% - Accent4 2 7 2 2" xfId="8327" xr:uid="{00000000-0005-0000-0000-00002D020000}"/>
    <cellStyle name="20% - Accent4 2 7 2 2 2" xfId="26093" xr:uid="{2337780E-F050-4462-85B2-3509969E7DCA}"/>
    <cellStyle name="20% - Accent4 2 7 2 2 3" xfId="17653" xr:uid="{BA4FC028-AD99-4189-8E7F-A8B19EEC2743}"/>
    <cellStyle name="20% - Accent4 2 7 2 3" xfId="21876" xr:uid="{EF9C1FA2-1F23-44F8-AB55-1A23A3DA862F}"/>
    <cellStyle name="20% - Accent4 2 7 2 4" xfId="13436" xr:uid="{51FDC025-DAD1-4243-AC82-52FE40F90EE1}"/>
    <cellStyle name="20% - Accent4 2 7 3" xfId="6182" xr:uid="{00000000-0005-0000-0000-00002E020000}"/>
    <cellStyle name="20% - Accent4 2 7 3 2" xfId="23948" xr:uid="{196349E1-97E8-4C4B-A88A-88937B1E4347}"/>
    <cellStyle name="20% - Accent4 2 7 3 3" xfId="15508" xr:uid="{B3CEB37A-FE73-468A-8F99-0996AC801BA5}"/>
    <cellStyle name="20% - Accent4 2 7 4" xfId="19731" xr:uid="{22E77F36-EFB9-426F-995B-F95A915C243E}"/>
    <cellStyle name="20% - Accent4 2 7 5" xfId="11291" xr:uid="{C6CE8A1F-E0B6-46D2-9C02-4932112DC2A8}"/>
    <cellStyle name="20% - Accent4 2 8" xfId="2289" xr:uid="{00000000-0005-0000-0000-00002F020000}"/>
    <cellStyle name="20% - Accent4 2 8 2" xfId="6595" xr:uid="{00000000-0005-0000-0000-000030020000}"/>
    <cellStyle name="20% - Accent4 2 8 2 2" xfId="24361" xr:uid="{D8731ECC-F044-4542-9C43-E9C3108D4C8D}"/>
    <cellStyle name="20% - Accent4 2 8 2 3" xfId="15921" xr:uid="{ED7E6874-EBE4-40A0-8C72-0C5A5738BE07}"/>
    <cellStyle name="20% - Accent4 2 8 3" xfId="20144" xr:uid="{9810A27F-542B-4FE2-A395-E8F690C9130F}"/>
    <cellStyle name="20% - Accent4 2 8 4" xfId="11704" xr:uid="{63BEA238-AC88-4A7C-B862-72A073BC0C9C}"/>
    <cellStyle name="20% - Accent4 2 9" xfId="4529" xr:uid="{00000000-0005-0000-0000-000031020000}"/>
    <cellStyle name="20% - Accent4 2 9 2" xfId="22295" xr:uid="{1EFDF912-FA80-4437-BBF0-5BFBF5910C5A}"/>
    <cellStyle name="20% - Accent4 2 9 3" xfId="13855" xr:uid="{2DBDB24B-A1B5-418F-BC3D-ABC0E107F679}"/>
    <cellStyle name="20% - Accent4 3" xfId="30" xr:uid="{00000000-0005-0000-0000-000032020000}"/>
    <cellStyle name="20% - Accent4 3 10" xfId="9642" xr:uid="{CE52BCAE-1AE1-4244-B9CE-FD13B11565B1}"/>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24859" xr:uid="{7CE23E14-0ADC-481A-9682-98BD117882FE}"/>
    <cellStyle name="20% - Accent4 3 2 2 2 2 3" xfId="16419" xr:uid="{A3A879A0-4E99-433C-8075-CA326957E76D}"/>
    <cellStyle name="20% - Accent4 3 2 2 2 3" xfId="20642" xr:uid="{79320941-CE74-4981-A1FD-50B74A3D2E4C}"/>
    <cellStyle name="20% - Accent4 3 2 2 2 4" xfId="12202" xr:uid="{FD334175-2939-406D-993B-5314545445A1}"/>
    <cellStyle name="20% - Accent4 3 2 2 3" xfId="4948" xr:uid="{00000000-0005-0000-0000-000037020000}"/>
    <cellStyle name="20% - Accent4 3 2 2 3 2" xfId="22714" xr:uid="{A2C34216-F4E6-4B8D-8684-5604E7632BBF}"/>
    <cellStyle name="20% - Accent4 3 2 2 3 3" xfId="14274" xr:uid="{9528B0F8-3458-4EB4-8410-0514118E33A8}"/>
    <cellStyle name="20% - Accent4 3 2 2 4" xfId="9499" xr:uid="{019308F4-938B-408B-A627-483AF94276A0}"/>
    <cellStyle name="20% - Accent4 3 2 2 4 2" xfId="18497" xr:uid="{BD735DA5-88DB-4F93-98FC-FFD06856E584}"/>
    <cellStyle name="20% - Accent4 3 2 2 5" xfId="10057" xr:uid="{3A8DDFD1-0FF8-43EC-959E-1A4190312A4E}"/>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25272" xr:uid="{3AE37A3E-7F99-46BB-B020-F88B379C2C48}"/>
    <cellStyle name="20% - Accent4 3 2 3 2 2 3" xfId="16832" xr:uid="{80D4ED0C-81F3-4966-AAB9-368CAB3EA53B}"/>
    <cellStyle name="20% - Accent4 3 2 3 2 3" xfId="21055" xr:uid="{2DAA040D-9947-42FD-B4B3-3BAF02077FC3}"/>
    <cellStyle name="20% - Accent4 3 2 3 2 4" xfId="12615" xr:uid="{7870AA71-9566-4FEC-9402-6ED1F11E40E4}"/>
    <cellStyle name="20% - Accent4 3 2 3 3" xfId="5361" xr:uid="{00000000-0005-0000-0000-00003B020000}"/>
    <cellStyle name="20% - Accent4 3 2 3 3 2" xfId="23127" xr:uid="{75B71FC2-7465-4B18-A3E8-7444A0F4FB31}"/>
    <cellStyle name="20% - Accent4 3 2 3 3 3" xfId="14687" xr:uid="{13110835-3115-4E94-BA75-9DA044A2CFF7}"/>
    <cellStyle name="20% - Accent4 3 2 3 4" xfId="18910" xr:uid="{B0436A15-A5F2-4D03-9867-E35966D1BC39}"/>
    <cellStyle name="20% - Accent4 3 2 3 5" xfId="10470" xr:uid="{A889C855-38B7-4FE5-85B3-2FC16AF257A8}"/>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25685" xr:uid="{0365DAB8-2A3A-4F4B-B2C0-0FBBFCA0AFE2}"/>
    <cellStyle name="20% - Accent4 3 2 4 2 2 3" xfId="17245" xr:uid="{32FA2540-FEEA-4F3A-A2A6-37879F5E968B}"/>
    <cellStyle name="20% - Accent4 3 2 4 2 3" xfId="21468" xr:uid="{C15F095B-E3B9-4421-9CC3-B83E4565CF7F}"/>
    <cellStyle name="20% - Accent4 3 2 4 2 4" xfId="13028" xr:uid="{613C49D2-75F8-4026-82EC-EBDBC303876C}"/>
    <cellStyle name="20% - Accent4 3 2 4 3" xfId="5774" xr:uid="{00000000-0005-0000-0000-00003F020000}"/>
    <cellStyle name="20% - Accent4 3 2 4 3 2" xfId="23540" xr:uid="{6A08E039-177D-44D8-B42B-B75BA8816CB4}"/>
    <cellStyle name="20% - Accent4 3 2 4 3 3" xfId="15100" xr:uid="{2D22F087-7BFE-4A89-9E48-15F8C4AB6AE3}"/>
    <cellStyle name="20% - Accent4 3 2 4 4" xfId="19323" xr:uid="{5473FDC5-49B0-481F-8CAE-0587F4989C01}"/>
    <cellStyle name="20% - Accent4 3 2 4 5" xfId="10883" xr:uid="{9675AFA7-455D-476B-9273-47A2E811F8AE}"/>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26098" xr:uid="{A8948ED3-9EFC-4360-A110-BAEAF408CB5B}"/>
    <cellStyle name="20% - Accent4 3 2 5 2 2 3" xfId="17658" xr:uid="{BA9071F5-8AFE-4670-ABCC-0A0F5B6C1734}"/>
    <cellStyle name="20% - Accent4 3 2 5 2 3" xfId="21881" xr:uid="{BC50C184-4DCB-4E05-9971-E786109FFFFD}"/>
    <cellStyle name="20% - Accent4 3 2 5 2 4" xfId="13441" xr:uid="{3050C715-D01B-4B85-8906-AB9A097DA4FE}"/>
    <cellStyle name="20% - Accent4 3 2 5 3" xfId="6187" xr:uid="{00000000-0005-0000-0000-000043020000}"/>
    <cellStyle name="20% - Accent4 3 2 5 3 2" xfId="23953" xr:uid="{D8F56FDD-B3AA-4105-AC08-6E0FAD303B72}"/>
    <cellStyle name="20% - Accent4 3 2 5 3 3" xfId="15513" xr:uid="{86A19750-D970-4297-8034-4BAA8BE83499}"/>
    <cellStyle name="20% - Accent4 3 2 5 4" xfId="19736" xr:uid="{3CB04FEB-A795-4AB1-8F7D-3BEAB3914E93}"/>
    <cellStyle name="20% - Accent4 3 2 5 5" xfId="11296" xr:uid="{4A692D2A-F4DF-4161-A747-C68D87BC6D05}"/>
    <cellStyle name="20% - Accent4 3 2 6" xfId="2294" xr:uid="{00000000-0005-0000-0000-000044020000}"/>
    <cellStyle name="20% - Accent4 3 2 6 2" xfId="6600" xr:uid="{00000000-0005-0000-0000-000045020000}"/>
    <cellStyle name="20% - Accent4 3 2 6 2 2" xfId="24366" xr:uid="{4273C3CE-6FF2-4BA8-8118-BBD88084F1F7}"/>
    <cellStyle name="20% - Accent4 3 2 6 2 3" xfId="15926" xr:uid="{C571F6C7-1A10-4FD3-B1FE-461C31E2A5A5}"/>
    <cellStyle name="20% - Accent4 3 2 6 3" xfId="20149" xr:uid="{77729FFB-5537-464C-9499-A09F2D04811C}"/>
    <cellStyle name="20% - Accent4 3 2 6 4" xfId="11709" xr:uid="{321B7285-EF83-4B72-B4A7-528B2FBBA492}"/>
    <cellStyle name="20% - Accent4 3 2 7" xfId="4534" xr:uid="{00000000-0005-0000-0000-000046020000}"/>
    <cellStyle name="20% - Accent4 3 2 7 2" xfId="22300" xr:uid="{68B9A8F0-7E22-48A2-A12F-FC9D6C7D1531}"/>
    <cellStyle name="20% - Accent4 3 2 7 3" xfId="13860" xr:uid="{CE4AF2AB-FD74-4D8E-AAE0-E903B4195382}"/>
    <cellStyle name="20% - Accent4 3 2 8" xfId="9074" xr:uid="{BA25EAA8-2B5F-4309-91A3-FC61FCEF209C}"/>
    <cellStyle name="20% - Accent4 3 2 8 2" xfId="18083" xr:uid="{5AA8CF07-753E-4926-83F1-688A730C9923}"/>
    <cellStyle name="20% - Accent4 3 2 9" xfId="9643" xr:uid="{DB7C1592-D9CF-4C74-8AD9-59ECB86D9D94}"/>
    <cellStyle name="20% - Accent4 3 3" xfId="599" xr:uid="{00000000-0005-0000-0000-000047020000}"/>
    <cellStyle name="20% - Accent4 3 3 2" xfId="2870" xr:uid="{00000000-0005-0000-0000-000048020000}"/>
    <cellStyle name="20% - Accent4 3 3 2 2" xfId="7092" xr:uid="{00000000-0005-0000-0000-000049020000}"/>
    <cellStyle name="20% - Accent4 3 3 2 2 2" xfId="24858" xr:uid="{93285837-2973-4C51-91DB-71F6D6497D95}"/>
    <cellStyle name="20% - Accent4 3 3 2 2 3" xfId="16418" xr:uid="{887DDD4E-6B74-40D5-9724-CB598D16E908}"/>
    <cellStyle name="20% - Accent4 3 3 2 3" xfId="20641" xr:uid="{E854C810-D46F-4572-9372-2046FE40FF98}"/>
    <cellStyle name="20% - Accent4 3 3 2 4" xfId="12201" xr:uid="{9E9A4CBB-C72A-4AE8-BB39-5B18CA263279}"/>
    <cellStyle name="20% - Accent4 3 3 3" xfId="4947" xr:uid="{00000000-0005-0000-0000-00004A020000}"/>
    <cellStyle name="20% - Accent4 3 3 3 2" xfId="22713" xr:uid="{349E8BB2-C696-4475-A48B-9410086FA83D}"/>
    <cellStyle name="20% - Accent4 3 3 3 3" xfId="14273" xr:uid="{DC4DA0E0-0DB2-4BAE-A7F8-25A12B4C06A9}"/>
    <cellStyle name="20% - Accent4 3 3 4" xfId="9292" xr:uid="{E33AB5E9-A8F9-45CB-AD95-0E461E901C30}"/>
    <cellStyle name="20% - Accent4 3 3 4 2" xfId="18496" xr:uid="{519A03A6-05DF-4B3C-B985-71EEAF49B9C0}"/>
    <cellStyle name="20% - Accent4 3 3 5" xfId="10056" xr:uid="{79542F71-7CFA-425D-B5D4-F222854AA079}"/>
    <cellStyle name="20% - Accent4 3 4" xfId="1052" xr:uid="{00000000-0005-0000-0000-00004B020000}"/>
    <cellStyle name="20% - Accent4 3 4 2" xfId="3283" xr:uid="{00000000-0005-0000-0000-00004C020000}"/>
    <cellStyle name="20% - Accent4 3 4 2 2" xfId="7505" xr:uid="{00000000-0005-0000-0000-00004D020000}"/>
    <cellStyle name="20% - Accent4 3 4 2 2 2" xfId="25271" xr:uid="{A54FC53A-1AEF-4F8B-8480-65C84A6217CF}"/>
    <cellStyle name="20% - Accent4 3 4 2 2 3" xfId="16831" xr:uid="{71718996-E64F-419B-BCE2-37F5A56BF2C6}"/>
    <cellStyle name="20% - Accent4 3 4 2 3" xfId="21054" xr:uid="{5E79F666-989E-423B-A2A2-32C76D3655C0}"/>
    <cellStyle name="20% - Accent4 3 4 2 4" xfId="12614" xr:uid="{F4B57161-4AD4-41D4-81AE-DBEF66A6F0C1}"/>
    <cellStyle name="20% - Accent4 3 4 3" xfId="5360" xr:uid="{00000000-0005-0000-0000-00004E020000}"/>
    <cellStyle name="20% - Accent4 3 4 3 2" xfId="23126" xr:uid="{B4CB6146-5C73-41A1-9083-7835783A06DE}"/>
    <cellStyle name="20% - Accent4 3 4 3 3" xfId="14686" xr:uid="{9D8699FC-40F4-4FFB-9B05-D9E9866F43C4}"/>
    <cellStyle name="20% - Accent4 3 4 4" xfId="18909" xr:uid="{F89A3302-F445-4808-B2F6-064B87525EDA}"/>
    <cellStyle name="20% - Accent4 3 4 5" xfId="10469" xr:uid="{8CB86E35-20BC-4C78-8BDD-C8A7AB1CCA9B}"/>
    <cellStyle name="20% - Accent4 3 5" xfId="1466" xr:uid="{00000000-0005-0000-0000-00004F020000}"/>
    <cellStyle name="20% - Accent4 3 5 2" xfId="3696" xr:uid="{00000000-0005-0000-0000-000050020000}"/>
    <cellStyle name="20% - Accent4 3 5 2 2" xfId="7918" xr:uid="{00000000-0005-0000-0000-000051020000}"/>
    <cellStyle name="20% - Accent4 3 5 2 2 2" xfId="25684" xr:uid="{FA0E1221-1B2E-48BF-A8A0-FD03513F806E}"/>
    <cellStyle name="20% - Accent4 3 5 2 2 3" xfId="17244" xr:uid="{F6269835-3275-4944-8644-58C53CF9C139}"/>
    <cellStyle name="20% - Accent4 3 5 2 3" xfId="21467" xr:uid="{6DB40A89-CD05-4318-BC1F-574702BB56AE}"/>
    <cellStyle name="20% - Accent4 3 5 2 4" xfId="13027" xr:uid="{9ABCEBDA-5EF4-40B9-91D2-F0B57BF01982}"/>
    <cellStyle name="20% - Accent4 3 5 3" xfId="5773" xr:uid="{00000000-0005-0000-0000-000052020000}"/>
    <cellStyle name="20% - Accent4 3 5 3 2" xfId="23539" xr:uid="{193D7840-E564-4D0D-BABD-CCBA983B1285}"/>
    <cellStyle name="20% - Accent4 3 5 3 3" xfId="15099" xr:uid="{69E7084C-5CB2-473A-8E29-D8B5C2A31601}"/>
    <cellStyle name="20% - Accent4 3 5 4" xfId="19322" xr:uid="{C791546F-8733-4D79-AB94-21CD430DC84A}"/>
    <cellStyle name="20% - Accent4 3 5 5" xfId="10882" xr:uid="{D1B60664-FD2B-4EFF-A029-94BA238CF080}"/>
    <cellStyle name="20% - Accent4 3 6" xfId="1880" xr:uid="{00000000-0005-0000-0000-000053020000}"/>
    <cellStyle name="20% - Accent4 3 6 2" xfId="4109" xr:uid="{00000000-0005-0000-0000-000054020000}"/>
    <cellStyle name="20% - Accent4 3 6 2 2" xfId="8331" xr:uid="{00000000-0005-0000-0000-000055020000}"/>
    <cellStyle name="20% - Accent4 3 6 2 2 2" xfId="26097" xr:uid="{1FFC9415-B403-4579-B210-09CD7CB0F0CF}"/>
    <cellStyle name="20% - Accent4 3 6 2 2 3" xfId="17657" xr:uid="{59FB031E-2ECE-494F-B5B0-1549681B844A}"/>
    <cellStyle name="20% - Accent4 3 6 2 3" xfId="21880" xr:uid="{F9D5CEA2-F72A-4B29-A5D9-3E55EB3BFF44}"/>
    <cellStyle name="20% - Accent4 3 6 2 4" xfId="13440" xr:uid="{680FBD52-3D45-4952-BCB0-E8DBEE20F8E5}"/>
    <cellStyle name="20% - Accent4 3 6 3" xfId="6186" xr:uid="{00000000-0005-0000-0000-000056020000}"/>
    <cellStyle name="20% - Accent4 3 6 3 2" xfId="23952" xr:uid="{296F2A88-A59C-4987-88E9-F41BCB5A18DC}"/>
    <cellStyle name="20% - Accent4 3 6 3 3" xfId="15512" xr:uid="{9609FA2F-6205-409C-A087-BBC6AE290966}"/>
    <cellStyle name="20% - Accent4 3 6 4" xfId="19735" xr:uid="{D423F3AE-8817-416A-AABA-F0ADB53EA49F}"/>
    <cellStyle name="20% - Accent4 3 6 5" xfId="11295" xr:uid="{99547168-29AE-4E88-8FD5-B5987A9D3162}"/>
    <cellStyle name="20% - Accent4 3 7" xfId="2293" xr:uid="{00000000-0005-0000-0000-000057020000}"/>
    <cellStyle name="20% - Accent4 3 7 2" xfId="6599" xr:uid="{00000000-0005-0000-0000-000058020000}"/>
    <cellStyle name="20% - Accent4 3 7 2 2" xfId="24365" xr:uid="{47FD51A8-FB78-4093-A1D1-FB2F58DD9FF4}"/>
    <cellStyle name="20% - Accent4 3 7 2 3" xfId="15925" xr:uid="{3017A2AE-12FE-466A-878D-F7ADCBB6A2EA}"/>
    <cellStyle name="20% - Accent4 3 7 3" xfId="20148" xr:uid="{BC3BEFD8-A8A6-44C6-8504-1467E4AB7812}"/>
    <cellStyle name="20% - Accent4 3 7 4" xfId="11708" xr:uid="{E2684AEC-0552-4965-BBDD-0AB59DEE6182}"/>
    <cellStyle name="20% - Accent4 3 8" xfId="4533" xr:uid="{00000000-0005-0000-0000-000059020000}"/>
    <cellStyle name="20% - Accent4 3 8 2" xfId="22299" xr:uid="{639F59D7-BD4F-4BED-BD8C-64C7DAF05941}"/>
    <cellStyle name="20% - Accent4 3 8 3" xfId="13859" xr:uid="{2164A666-815A-4A92-B82F-41DFA3CAAE20}"/>
    <cellStyle name="20% - Accent4 3 9" xfId="8867" xr:uid="{27FB4CEF-7F56-4AEC-B5AC-6B6A1477FBD8}"/>
    <cellStyle name="20% - Accent4 3 9 2" xfId="18082" xr:uid="{3E2F73BA-CF5D-4A72-9934-C13F0947B66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24860" xr:uid="{D43CA7AC-FEE4-4A62-B3FB-5FC865D5B540}"/>
    <cellStyle name="20% - Accent4 4 2 2 2 3" xfId="16420" xr:uid="{5F899A3F-E2C9-47D3-A2B0-D6ED0EB37794}"/>
    <cellStyle name="20% - Accent4 4 2 2 3" xfId="20643" xr:uid="{5C77A203-804E-44CF-81EC-7BA287D86516}"/>
    <cellStyle name="20% - Accent4 4 2 2 4" xfId="12203" xr:uid="{9D61149C-B11A-473E-9D43-3E1AA93C04FE}"/>
    <cellStyle name="20% - Accent4 4 2 3" xfId="4949" xr:uid="{00000000-0005-0000-0000-00005E020000}"/>
    <cellStyle name="20% - Accent4 4 2 3 2" xfId="22715" xr:uid="{3123C1E6-58FF-4962-ABC2-1DCB8FAABD1C}"/>
    <cellStyle name="20% - Accent4 4 2 3 3" xfId="14275" xr:uid="{0B0DB15C-E339-46AF-B655-7C47218E52DE}"/>
    <cellStyle name="20% - Accent4 4 2 4" xfId="9378" xr:uid="{761B3D4A-2751-4646-8A50-05A0DD408525}"/>
    <cellStyle name="20% - Accent4 4 2 4 2" xfId="18498" xr:uid="{6D876C8D-482B-4A66-9EB9-FA657A93DB8C}"/>
    <cellStyle name="20% - Accent4 4 2 5" xfId="10058" xr:uid="{3B59EB53-C08F-4BA3-A429-C1F122180D32}"/>
    <cellStyle name="20% - Accent4 4 3" xfId="1054" xr:uid="{00000000-0005-0000-0000-00005F020000}"/>
    <cellStyle name="20% - Accent4 4 3 2" xfId="3285" xr:uid="{00000000-0005-0000-0000-000060020000}"/>
    <cellStyle name="20% - Accent4 4 3 2 2" xfId="7507" xr:uid="{00000000-0005-0000-0000-000061020000}"/>
    <cellStyle name="20% - Accent4 4 3 2 2 2" xfId="25273" xr:uid="{6D456282-B498-4F6A-B39A-905C04A4A488}"/>
    <cellStyle name="20% - Accent4 4 3 2 2 3" xfId="16833" xr:uid="{223E133D-37CD-4282-80D4-1517C6F88D11}"/>
    <cellStyle name="20% - Accent4 4 3 2 3" xfId="21056" xr:uid="{638C4D06-0D82-4250-9129-E229207E9A01}"/>
    <cellStyle name="20% - Accent4 4 3 2 4" xfId="12616" xr:uid="{C8207E36-65AA-4CEF-835F-2669422403CD}"/>
    <cellStyle name="20% - Accent4 4 3 3" xfId="5362" xr:uid="{00000000-0005-0000-0000-000062020000}"/>
    <cellStyle name="20% - Accent4 4 3 3 2" xfId="23128" xr:uid="{05259FFE-C7CE-4B1C-9CAC-98ECD2713DB8}"/>
    <cellStyle name="20% - Accent4 4 3 3 3" xfId="14688" xr:uid="{19B3D2F8-3385-42ED-9D56-923F595E33ED}"/>
    <cellStyle name="20% - Accent4 4 3 4" xfId="18911" xr:uid="{9E3EE843-B0A2-4600-9F74-D1C3CCE79BB2}"/>
    <cellStyle name="20% - Accent4 4 3 5" xfId="10471" xr:uid="{8426D879-2F28-4EE0-85F3-75C76573CB7B}"/>
    <cellStyle name="20% - Accent4 4 4" xfId="1468" xr:uid="{00000000-0005-0000-0000-000063020000}"/>
    <cellStyle name="20% - Accent4 4 4 2" xfId="3698" xr:uid="{00000000-0005-0000-0000-000064020000}"/>
    <cellStyle name="20% - Accent4 4 4 2 2" xfId="7920" xr:uid="{00000000-0005-0000-0000-000065020000}"/>
    <cellStyle name="20% - Accent4 4 4 2 2 2" xfId="25686" xr:uid="{28AF97E0-40AE-4B43-A2C9-596990E97C40}"/>
    <cellStyle name="20% - Accent4 4 4 2 2 3" xfId="17246" xr:uid="{E4654889-BABD-40E1-A0C4-6256A5447EF0}"/>
    <cellStyle name="20% - Accent4 4 4 2 3" xfId="21469" xr:uid="{177BAF6E-983A-47AA-882E-51C1EE7B7022}"/>
    <cellStyle name="20% - Accent4 4 4 2 4" xfId="13029" xr:uid="{6B193DA4-DD01-4843-BF43-7CC5CE0F8700}"/>
    <cellStyle name="20% - Accent4 4 4 3" xfId="5775" xr:uid="{00000000-0005-0000-0000-000066020000}"/>
    <cellStyle name="20% - Accent4 4 4 3 2" xfId="23541" xr:uid="{D295DF10-5D5A-4C32-B282-5EB089DAD7E0}"/>
    <cellStyle name="20% - Accent4 4 4 3 3" xfId="15101" xr:uid="{06C95686-A129-4DF5-82D3-CE6FC7934A7C}"/>
    <cellStyle name="20% - Accent4 4 4 4" xfId="19324" xr:uid="{2FB38FE2-C71C-4C9E-BBD5-83038B8A8B76}"/>
    <cellStyle name="20% - Accent4 4 4 5" xfId="10884" xr:uid="{4C181814-000A-4441-92EC-C942F074409F}"/>
    <cellStyle name="20% - Accent4 4 5" xfId="1882" xr:uid="{00000000-0005-0000-0000-000067020000}"/>
    <cellStyle name="20% - Accent4 4 5 2" xfId="4111" xr:uid="{00000000-0005-0000-0000-000068020000}"/>
    <cellStyle name="20% - Accent4 4 5 2 2" xfId="8333" xr:uid="{00000000-0005-0000-0000-000069020000}"/>
    <cellStyle name="20% - Accent4 4 5 2 2 2" xfId="26099" xr:uid="{FFB43955-8CD9-4E99-A39E-5985989A7CDB}"/>
    <cellStyle name="20% - Accent4 4 5 2 2 3" xfId="17659" xr:uid="{08535469-10CD-4FA7-A3F8-927DA4576504}"/>
    <cellStyle name="20% - Accent4 4 5 2 3" xfId="21882" xr:uid="{C6E78964-1423-4D9F-94BE-178FBFE57794}"/>
    <cellStyle name="20% - Accent4 4 5 2 4" xfId="13442" xr:uid="{90B2F30A-CF46-476A-8CE4-6F35CDC0408A}"/>
    <cellStyle name="20% - Accent4 4 5 3" xfId="6188" xr:uid="{00000000-0005-0000-0000-00006A020000}"/>
    <cellStyle name="20% - Accent4 4 5 3 2" xfId="23954" xr:uid="{2E878E41-B5C1-45DB-B8D2-B4AC779D58BD}"/>
    <cellStyle name="20% - Accent4 4 5 3 3" xfId="15514" xr:uid="{187FAD3C-CF1B-437E-82C2-E9A98F0FDB95}"/>
    <cellStyle name="20% - Accent4 4 5 4" xfId="19737" xr:uid="{3710219E-5B09-4D3F-9B79-A59A00A37D98}"/>
    <cellStyle name="20% - Accent4 4 5 5" xfId="11297" xr:uid="{017A632F-EAA3-40FA-AEEB-60CEBDF2CCFD}"/>
    <cellStyle name="20% - Accent4 4 6" xfId="2295" xr:uid="{00000000-0005-0000-0000-00006B020000}"/>
    <cellStyle name="20% - Accent4 4 6 2" xfId="6601" xr:uid="{00000000-0005-0000-0000-00006C020000}"/>
    <cellStyle name="20% - Accent4 4 6 2 2" xfId="24367" xr:uid="{13749535-2421-482E-88EE-845CD86CB25C}"/>
    <cellStyle name="20% - Accent4 4 6 2 3" xfId="15927" xr:uid="{505FA87D-1C13-4CFC-916F-8933936DD87E}"/>
    <cellStyle name="20% - Accent4 4 6 3" xfId="20150" xr:uid="{B50C7D4C-C3C0-4FF4-B116-54078360FA99}"/>
    <cellStyle name="20% - Accent4 4 6 4" xfId="11710" xr:uid="{C7DB17B7-E77E-4B49-BF15-0924BE5D8135}"/>
    <cellStyle name="20% - Accent4 4 7" xfId="4535" xr:uid="{00000000-0005-0000-0000-00006D020000}"/>
    <cellStyle name="20% - Accent4 4 7 2" xfId="22301" xr:uid="{40BDEDED-34F5-483E-84A7-0CA28B2F9609}"/>
    <cellStyle name="20% - Accent4 4 7 3" xfId="13861" xr:uid="{CDFDDB2C-A9E0-47A7-9DF3-D0327BC1AD0C}"/>
    <cellStyle name="20% - Accent4 4 8" xfId="8953" xr:uid="{66D1590A-BB3A-4B79-BA94-169F97E79370}"/>
    <cellStyle name="20% - Accent4 4 8 2" xfId="18084" xr:uid="{F81BB1D3-9EB3-4FA7-B2F1-104C6779DDD7}"/>
    <cellStyle name="20% - Accent4 4 9" xfId="9644" xr:uid="{B9C5A9A8-0B5C-44B0-8F05-0889FBADEB4E}"/>
    <cellStyle name="20% - Accent4 5" xfId="594" xr:uid="{00000000-0005-0000-0000-00006E020000}"/>
    <cellStyle name="20% - Accent4 5 2" xfId="2865" xr:uid="{00000000-0005-0000-0000-00006F020000}"/>
    <cellStyle name="20% - Accent4 5 2 2" xfId="7087" xr:uid="{00000000-0005-0000-0000-000070020000}"/>
    <cellStyle name="20% - Accent4 5 2 2 2" xfId="24853" xr:uid="{0C4EBD70-7FAD-488C-B9CB-B8D3808A37D7}"/>
    <cellStyle name="20% - Accent4 5 2 2 3" xfId="16413" xr:uid="{AF8A3BB6-E670-4B87-9940-D6994BA9372A}"/>
    <cellStyle name="20% - Accent4 5 2 3" xfId="20636" xr:uid="{BD5406B4-2F95-490F-9636-DF58D2C18D34}"/>
    <cellStyle name="20% - Accent4 5 2 4" xfId="12196" xr:uid="{950CAD9A-1EED-47F7-AF9A-3CEAE117254F}"/>
    <cellStyle name="20% - Accent4 5 3" xfId="4942" xr:uid="{00000000-0005-0000-0000-000071020000}"/>
    <cellStyle name="20% - Accent4 5 3 2" xfId="22708" xr:uid="{14E3F9BF-1BB6-45AF-8A88-F69810BD21BC}"/>
    <cellStyle name="20% - Accent4 5 3 3" xfId="14268" xr:uid="{332C1F54-E228-4DDD-9E64-2390E880CBCD}"/>
    <cellStyle name="20% - Accent4 5 4" xfId="9186" xr:uid="{E62ED282-F767-404B-ADA1-4F8E5B4D01EB}"/>
    <cellStyle name="20% - Accent4 5 4 2" xfId="18491" xr:uid="{72432941-7DA4-4E20-8E3B-B157A994EFAB}"/>
    <cellStyle name="20% - Accent4 5 5" xfId="10051" xr:uid="{54B06685-FC6F-4E01-BA27-C8471853B5A4}"/>
    <cellStyle name="20% - Accent4 6" xfId="1047" xr:uid="{00000000-0005-0000-0000-000072020000}"/>
    <cellStyle name="20% - Accent4 6 2" xfId="3278" xr:uid="{00000000-0005-0000-0000-000073020000}"/>
    <cellStyle name="20% - Accent4 6 2 2" xfId="7500" xr:uid="{00000000-0005-0000-0000-000074020000}"/>
    <cellStyle name="20% - Accent4 6 2 2 2" xfId="25266" xr:uid="{2DDE52FC-5EFF-48E2-A8F7-E2DD1CF26FDC}"/>
    <cellStyle name="20% - Accent4 6 2 2 3" xfId="16826" xr:uid="{38ECE7FA-8912-46F7-B6C6-5BC42185CC69}"/>
    <cellStyle name="20% - Accent4 6 2 3" xfId="21049" xr:uid="{1CCDB7BB-30AD-44D1-9DFA-C51326988A5D}"/>
    <cellStyle name="20% - Accent4 6 2 4" xfId="12609" xr:uid="{A85B4E6D-33C2-495A-A929-7B8281D977F6}"/>
    <cellStyle name="20% - Accent4 6 3" xfId="5355" xr:uid="{00000000-0005-0000-0000-000075020000}"/>
    <cellStyle name="20% - Accent4 6 3 2" xfId="23121" xr:uid="{297EC20D-E764-4FAF-A225-020959F1FF24}"/>
    <cellStyle name="20% - Accent4 6 3 3" xfId="14681" xr:uid="{549DEC9D-6824-487A-9BAF-B29B1C9A745C}"/>
    <cellStyle name="20% - Accent4 6 4" xfId="18904" xr:uid="{CE1E13BC-52CA-4E4F-90FD-8D01A7BA9221}"/>
    <cellStyle name="20% - Accent4 6 5" xfId="10464" xr:uid="{98D65313-08FB-42B4-94C1-CC8666AD7A1B}"/>
    <cellStyle name="20% - Accent4 7" xfId="1461" xr:uid="{00000000-0005-0000-0000-000076020000}"/>
    <cellStyle name="20% - Accent4 7 2" xfId="3691" xr:uid="{00000000-0005-0000-0000-000077020000}"/>
    <cellStyle name="20% - Accent4 7 2 2" xfId="7913" xr:uid="{00000000-0005-0000-0000-000078020000}"/>
    <cellStyle name="20% - Accent4 7 2 2 2" xfId="25679" xr:uid="{C7F54A13-ACFC-4B71-89F5-9AFA167AF40F}"/>
    <cellStyle name="20% - Accent4 7 2 2 3" xfId="17239" xr:uid="{E23F7CDD-D328-4F85-ADB7-F582981441B1}"/>
    <cellStyle name="20% - Accent4 7 2 3" xfId="21462" xr:uid="{FD5AEC1F-8721-471C-B2D7-887F0A346C54}"/>
    <cellStyle name="20% - Accent4 7 2 4" xfId="13022" xr:uid="{1ED6845B-CBD9-4D89-9923-D23BFA96055B}"/>
    <cellStyle name="20% - Accent4 7 3" xfId="5768" xr:uid="{00000000-0005-0000-0000-000079020000}"/>
    <cellStyle name="20% - Accent4 7 3 2" xfId="23534" xr:uid="{D6F51058-B0CA-497D-950F-B37B6785F1EB}"/>
    <cellStyle name="20% - Accent4 7 3 3" xfId="15094" xr:uid="{CA4C3056-E6FD-4B9E-B9F7-1DC5A60FA2D2}"/>
    <cellStyle name="20% - Accent4 7 4" xfId="19317" xr:uid="{A3C03487-43B9-40F6-9044-9BCF3243E406}"/>
    <cellStyle name="20% - Accent4 7 5" xfId="10877" xr:uid="{2DEF7B8A-C92C-4044-B85D-0E71961C141B}"/>
    <cellStyle name="20% - Accent4 8" xfId="1875" xr:uid="{00000000-0005-0000-0000-00007A020000}"/>
    <cellStyle name="20% - Accent4 8 2" xfId="4104" xr:uid="{00000000-0005-0000-0000-00007B020000}"/>
    <cellStyle name="20% - Accent4 8 2 2" xfId="8326" xr:uid="{00000000-0005-0000-0000-00007C020000}"/>
    <cellStyle name="20% - Accent4 8 2 2 2" xfId="26092" xr:uid="{9BDB5CEA-D0EE-4F9E-A188-E1A36A80BC22}"/>
    <cellStyle name="20% - Accent4 8 2 2 3" xfId="17652" xr:uid="{7C982DAC-D8AF-4328-804B-A963C94E413C}"/>
    <cellStyle name="20% - Accent4 8 2 3" xfId="21875" xr:uid="{63BE945E-937E-4C42-BBB7-82D3C5443858}"/>
    <cellStyle name="20% - Accent4 8 2 4" xfId="13435" xr:uid="{8FB8FC23-07C4-4355-B797-F617E69FA73C}"/>
    <cellStyle name="20% - Accent4 8 3" xfId="6181" xr:uid="{00000000-0005-0000-0000-00007D020000}"/>
    <cellStyle name="20% - Accent4 8 3 2" xfId="23947" xr:uid="{E5F155FB-D218-431D-BBDE-9F48C36242DF}"/>
    <cellStyle name="20% - Accent4 8 3 3" xfId="15507" xr:uid="{2AD11D61-C98D-4F95-8FF9-6A08698D414B}"/>
    <cellStyle name="20% - Accent4 8 4" xfId="19730" xr:uid="{22132555-BB31-407F-9458-5729EBCB14A3}"/>
    <cellStyle name="20% - Accent4 8 5" xfId="11290" xr:uid="{8E0B345D-2DAD-4211-8CAF-A7448035C4AE}"/>
    <cellStyle name="20% - Accent4 9" xfId="2288" xr:uid="{00000000-0005-0000-0000-00007E020000}"/>
    <cellStyle name="20% - Accent4 9 2" xfId="6594" xr:uid="{00000000-0005-0000-0000-00007F020000}"/>
    <cellStyle name="20% - Accent4 9 2 2" xfId="24360" xr:uid="{CF9C010A-165E-43DE-98E0-7EEEB63E3FB9}"/>
    <cellStyle name="20% - Accent4 9 2 3" xfId="15920" xr:uid="{0D3BA3DB-9608-4CA0-A573-BCCF2A9E57CC}"/>
    <cellStyle name="20% - Accent4 9 3" xfId="20143" xr:uid="{663A1EE1-F888-41C3-9528-70F5BC2D6B9D}"/>
    <cellStyle name="20% - Accent4 9 4" xfId="11703" xr:uid="{E99FDA04-3CAE-4866-8258-B10B50748ECE}"/>
    <cellStyle name="20% - Accent5" xfId="33" builtinId="46" customBuiltin="1"/>
    <cellStyle name="20% - Accent5 10" xfId="4536" xr:uid="{00000000-0005-0000-0000-000081020000}"/>
    <cellStyle name="20% - Accent5 10 2" xfId="22302" xr:uid="{96AE353E-D6B4-4C2D-98D8-E1A3DC257385}"/>
    <cellStyle name="20% - Accent5 10 3" xfId="13862" xr:uid="{7F331BCE-B36A-4E9E-AF62-1F5D1A6F5190}"/>
    <cellStyle name="20% - Accent5 11" xfId="8766" xr:uid="{A87C980D-48BC-4AA3-98F7-53B2F02F228C}"/>
    <cellStyle name="20% - Accent5 11 2" xfId="18085" xr:uid="{BB1F8EC8-5A49-4F1A-AEFF-E0E744C0305E}"/>
    <cellStyle name="20% - Accent5 12" xfId="9645" xr:uid="{64816D9F-87F4-438C-80CA-092075A28EF7}"/>
    <cellStyle name="20% - Accent5 2" xfId="34" xr:uid="{00000000-0005-0000-0000-000082020000}"/>
    <cellStyle name="20% - Accent5 2 10" xfId="8796" xr:uid="{5BBF4372-A7B1-47A0-AC3D-4A60EDC1A5F8}"/>
    <cellStyle name="20% - Accent5 2 10 2" xfId="18086" xr:uid="{D8D56B4E-B9AA-4D05-AC7B-C8B03D909FDB}"/>
    <cellStyle name="20% - Accent5 2 11" xfId="9646" xr:uid="{94C610DC-158A-4B86-A366-A7101657CC74}"/>
    <cellStyle name="20% - Accent5 2 2" xfId="35" xr:uid="{00000000-0005-0000-0000-000083020000}"/>
    <cellStyle name="20% - Accent5 2 2 10" xfId="9647" xr:uid="{B7DD8FC4-32E6-4950-A474-A538091B047F}"/>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24864" xr:uid="{D219CDAD-4891-4700-B334-85E4A57FE02A}"/>
    <cellStyle name="20% - Accent5 2 2 2 2 2 2 3" xfId="16424" xr:uid="{4595FE64-9B48-4A01-A01A-15CC31F4455A}"/>
    <cellStyle name="20% - Accent5 2 2 2 2 2 3" xfId="20647" xr:uid="{FD63DC85-4753-4FB9-A57E-AE708A441DE1}"/>
    <cellStyle name="20% - Accent5 2 2 2 2 2 4" xfId="12207" xr:uid="{BA249063-EAFF-47F5-A564-42761A6B70B4}"/>
    <cellStyle name="20% - Accent5 2 2 2 2 3" xfId="4953" xr:uid="{00000000-0005-0000-0000-000088020000}"/>
    <cellStyle name="20% - Accent5 2 2 2 2 3 2" xfId="22719" xr:uid="{63EA16C0-8345-4C1C-819C-FD4829DC3A67}"/>
    <cellStyle name="20% - Accent5 2 2 2 2 3 3" xfId="14279" xr:uid="{2610CB47-6A36-428E-A6FC-20D8DBDFC79B}"/>
    <cellStyle name="20% - Accent5 2 2 2 2 4" xfId="9531" xr:uid="{5DC5F027-F767-49FB-B9DE-2ACABCF8AC5A}"/>
    <cellStyle name="20% - Accent5 2 2 2 2 4 2" xfId="18502" xr:uid="{0478A2EC-511D-40FA-943C-A03AC58F4E7F}"/>
    <cellStyle name="20% - Accent5 2 2 2 2 5" xfId="10062" xr:uid="{601C2A16-D297-4F38-88B9-2ABE8CA0B178}"/>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25277" xr:uid="{0C68F3FA-2F2A-48A6-9B01-4BFA2F3634AD}"/>
    <cellStyle name="20% - Accent5 2 2 2 3 2 2 3" xfId="16837" xr:uid="{71ED8371-9A78-401C-8912-175207A64D24}"/>
    <cellStyle name="20% - Accent5 2 2 2 3 2 3" xfId="21060" xr:uid="{0A8E72FE-7012-4588-AB61-3ABC7B294E63}"/>
    <cellStyle name="20% - Accent5 2 2 2 3 2 4" xfId="12620" xr:uid="{EA5B56C1-AD79-4254-BA42-1E8AF5367520}"/>
    <cellStyle name="20% - Accent5 2 2 2 3 3" xfId="5366" xr:uid="{00000000-0005-0000-0000-00008C020000}"/>
    <cellStyle name="20% - Accent5 2 2 2 3 3 2" xfId="23132" xr:uid="{1F5AF329-EBAF-4210-A55A-8CF23918D869}"/>
    <cellStyle name="20% - Accent5 2 2 2 3 3 3" xfId="14692" xr:uid="{5E474802-38BC-44E2-921A-EE5A5AC5D60B}"/>
    <cellStyle name="20% - Accent5 2 2 2 3 4" xfId="18915" xr:uid="{0C449BB7-8361-4A77-9A1F-27EC9D28106B}"/>
    <cellStyle name="20% - Accent5 2 2 2 3 5" xfId="10475" xr:uid="{DC8B859F-A154-4A3C-930E-0B8984606A32}"/>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25690" xr:uid="{8BBA26A8-547E-4E70-8B79-9883877095A6}"/>
    <cellStyle name="20% - Accent5 2 2 2 4 2 2 3" xfId="17250" xr:uid="{02D1FF6D-13FC-49CC-8EAD-7B833CD7F625}"/>
    <cellStyle name="20% - Accent5 2 2 2 4 2 3" xfId="21473" xr:uid="{6F0AC914-E449-45F2-8C7A-18DE97F8C17C}"/>
    <cellStyle name="20% - Accent5 2 2 2 4 2 4" xfId="13033" xr:uid="{BF9864AF-E7F0-4DF8-AB91-97C293E3AEDA}"/>
    <cellStyle name="20% - Accent5 2 2 2 4 3" xfId="5779" xr:uid="{00000000-0005-0000-0000-000090020000}"/>
    <cellStyle name="20% - Accent5 2 2 2 4 3 2" xfId="23545" xr:uid="{FCF47561-4A15-4BDB-8D92-7156D4386C29}"/>
    <cellStyle name="20% - Accent5 2 2 2 4 3 3" xfId="15105" xr:uid="{4727EB47-0890-417C-91E8-26BEA029EAEA}"/>
    <cellStyle name="20% - Accent5 2 2 2 4 4" xfId="19328" xr:uid="{7628E135-C550-4A19-A467-F2D1FEEE621A}"/>
    <cellStyle name="20% - Accent5 2 2 2 4 5" xfId="10888" xr:uid="{01FA8BDC-FB0C-4473-B72C-B4FC8DEAA152}"/>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26103" xr:uid="{AC7E2267-6328-4526-977C-2B074DE2428A}"/>
    <cellStyle name="20% - Accent5 2 2 2 5 2 2 3" xfId="17663" xr:uid="{AA2EF870-21C6-4E1F-BEDD-AFA554BE672D}"/>
    <cellStyle name="20% - Accent5 2 2 2 5 2 3" xfId="21886" xr:uid="{4D88563A-F771-4759-96FE-1647DE8D63CF}"/>
    <cellStyle name="20% - Accent5 2 2 2 5 2 4" xfId="13446" xr:uid="{A710F047-385B-479B-8C7F-7342D4535AC0}"/>
    <cellStyle name="20% - Accent5 2 2 2 5 3" xfId="6192" xr:uid="{00000000-0005-0000-0000-000094020000}"/>
    <cellStyle name="20% - Accent5 2 2 2 5 3 2" xfId="23958" xr:uid="{C281B6A0-979F-4185-B1A9-83B5B693B7A4}"/>
    <cellStyle name="20% - Accent5 2 2 2 5 3 3" xfId="15518" xr:uid="{5FA3D0BB-9B2B-4153-8F5C-5B6C9899B67E}"/>
    <cellStyle name="20% - Accent5 2 2 2 5 4" xfId="19741" xr:uid="{CD3392BB-210B-4D09-99B9-530D1C1F3DD4}"/>
    <cellStyle name="20% - Accent5 2 2 2 5 5" xfId="11301" xr:uid="{A66DAAE7-619E-428C-BA57-26994A273B0C}"/>
    <cellStyle name="20% - Accent5 2 2 2 6" xfId="2299" xr:uid="{00000000-0005-0000-0000-000095020000}"/>
    <cellStyle name="20% - Accent5 2 2 2 6 2" xfId="6605" xr:uid="{00000000-0005-0000-0000-000096020000}"/>
    <cellStyle name="20% - Accent5 2 2 2 6 2 2" xfId="24371" xr:uid="{BE54ABEE-0C66-4DC7-A352-62F8B4C222FF}"/>
    <cellStyle name="20% - Accent5 2 2 2 6 2 3" xfId="15931" xr:uid="{6B2E955E-05FC-4682-8EC8-4209AF36625F}"/>
    <cellStyle name="20% - Accent5 2 2 2 6 3" xfId="20154" xr:uid="{1FDA35F1-A3EC-4D4D-800E-5587282D6FDB}"/>
    <cellStyle name="20% - Accent5 2 2 2 6 4" xfId="11714" xr:uid="{7BE2AEF4-2E17-43D7-9C9A-1C42B55FD12E}"/>
    <cellStyle name="20% - Accent5 2 2 2 7" xfId="4539" xr:uid="{00000000-0005-0000-0000-000097020000}"/>
    <cellStyle name="20% - Accent5 2 2 2 7 2" xfId="22305" xr:uid="{E5643327-5A69-467B-89B9-0B71E35EC958}"/>
    <cellStyle name="20% - Accent5 2 2 2 7 3" xfId="13865" xr:uid="{CF2BFFBB-F454-4B84-944E-4ED6AD53E5C4}"/>
    <cellStyle name="20% - Accent5 2 2 2 8" xfId="9106" xr:uid="{E7B219CB-83A9-494A-83ED-783719A0F1D9}"/>
    <cellStyle name="20% - Accent5 2 2 2 8 2" xfId="18088" xr:uid="{2FE7D5F7-37E6-4FF9-BABE-EF6E47BF5575}"/>
    <cellStyle name="20% - Accent5 2 2 2 9" xfId="9648" xr:uid="{D61A5DB0-61B2-4811-9ACB-387530E2FA1A}"/>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24863" xr:uid="{E6CEAB5F-F5EF-488A-9EAC-4CD70BE95240}"/>
    <cellStyle name="20% - Accent5 2 2 3 2 2 3" xfId="16423" xr:uid="{192586D2-C869-43F1-8154-0224AF098E32}"/>
    <cellStyle name="20% - Accent5 2 2 3 2 3" xfId="20646" xr:uid="{FB472BDB-99BB-457D-8F0A-37A9635696A5}"/>
    <cellStyle name="20% - Accent5 2 2 3 2 4" xfId="12206" xr:uid="{14534507-F486-474F-861D-C2E1CC61917E}"/>
    <cellStyle name="20% - Accent5 2 2 3 3" xfId="4952" xr:uid="{00000000-0005-0000-0000-00009B020000}"/>
    <cellStyle name="20% - Accent5 2 2 3 3 2" xfId="22718" xr:uid="{EB16DDC2-6835-4FD6-AFE0-4DBADD593B35}"/>
    <cellStyle name="20% - Accent5 2 2 3 3 3" xfId="14278" xr:uid="{AB1F48EE-E618-4946-9A41-ACEA5F4AA613}"/>
    <cellStyle name="20% - Accent5 2 2 3 4" xfId="9324" xr:uid="{6094FEE1-8E2A-466F-9CDF-43EB9EE581FF}"/>
    <cellStyle name="20% - Accent5 2 2 3 4 2" xfId="18501" xr:uid="{D7999455-B959-4604-B6D5-7A6FA4B8A71B}"/>
    <cellStyle name="20% - Accent5 2 2 3 5" xfId="10061" xr:uid="{818F03AF-5245-4375-B3CD-0405FD2815FA}"/>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25276" xr:uid="{03852378-3452-4166-BB93-78EE37F62F01}"/>
    <cellStyle name="20% - Accent5 2 2 4 2 2 3" xfId="16836" xr:uid="{5C791BE4-D149-4954-9FD4-AF29A848DB2B}"/>
    <cellStyle name="20% - Accent5 2 2 4 2 3" xfId="21059" xr:uid="{44067E1F-B697-42C3-834F-FD38ACE7A1DD}"/>
    <cellStyle name="20% - Accent5 2 2 4 2 4" xfId="12619" xr:uid="{E77DF203-956A-4B93-9CEE-D74A0EB18379}"/>
    <cellStyle name="20% - Accent5 2 2 4 3" xfId="5365" xr:uid="{00000000-0005-0000-0000-00009F020000}"/>
    <cellStyle name="20% - Accent5 2 2 4 3 2" xfId="23131" xr:uid="{991536B6-0E72-40AF-9196-479CF7B2BFA0}"/>
    <cellStyle name="20% - Accent5 2 2 4 3 3" xfId="14691" xr:uid="{C1608566-9795-4843-A72D-F4162D55CF74}"/>
    <cellStyle name="20% - Accent5 2 2 4 4" xfId="18914" xr:uid="{E8E33323-E3EF-4D64-89ED-8C7485ACB960}"/>
    <cellStyle name="20% - Accent5 2 2 4 5" xfId="10474" xr:uid="{6401B1DE-8DE4-4F04-9CE6-6AF1FDCEF968}"/>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25689" xr:uid="{ECD78982-F872-4F42-A6AA-0F20948B3FB2}"/>
    <cellStyle name="20% - Accent5 2 2 5 2 2 3" xfId="17249" xr:uid="{D66192D0-642A-4C1E-82FE-7EB4F7A3838C}"/>
    <cellStyle name="20% - Accent5 2 2 5 2 3" xfId="21472" xr:uid="{202AB897-62E9-4F7E-AFD8-96AE1BE4113E}"/>
    <cellStyle name="20% - Accent5 2 2 5 2 4" xfId="13032" xr:uid="{5CE29E5E-F789-46AB-ADF8-552F6694160B}"/>
    <cellStyle name="20% - Accent5 2 2 5 3" xfId="5778" xr:uid="{00000000-0005-0000-0000-0000A3020000}"/>
    <cellStyle name="20% - Accent5 2 2 5 3 2" xfId="23544" xr:uid="{E062A504-ACE9-444E-BBA0-F02D2D367291}"/>
    <cellStyle name="20% - Accent5 2 2 5 3 3" xfId="15104" xr:uid="{B6CE0078-420A-4CB3-9C3D-8DB00903B767}"/>
    <cellStyle name="20% - Accent5 2 2 5 4" xfId="19327" xr:uid="{F60CE3EB-5928-4D13-9A3F-A687ACE114D5}"/>
    <cellStyle name="20% - Accent5 2 2 5 5" xfId="10887" xr:uid="{0616470E-D17A-4A11-86CF-3E3B95C849BC}"/>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26102" xr:uid="{C26EBA6D-B413-46AF-BD23-DA064E584B2A}"/>
    <cellStyle name="20% - Accent5 2 2 6 2 2 3" xfId="17662" xr:uid="{32F46488-3A63-4E2E-BC02-B1EC3A06847D}"/>
    <cellStyle name="20% - Accent5 2 2 6 2 3" xfId="21885" xr:uid="{5BCC9BC3-E47E-4BBB-82F3-4C2E0806C23A}"/>
    <cellStyle name="20% - Accent5 2 2 6 2 4" xfId="13445" xr:uid="{882A600F-22C4-4E93-A42F-6150EA5B2B06}"/>
    <cellStyle name="20% - Accent5 2 2 6 3" xfId="6191" xr:uid="{00000000-0005-0000-0000-0000A7020000}"/>
    <cellStyle name="20% - Accent5 2 2 6 3 2" xfId="23957" xr:uid="{CDB7E426-3DD2-47E5-866D-90D23F7246CA}"/>
    <cellStyle name="20% - Accent5 2 2 6 3 3" xfId="15517" xr:uid="{F240C320-FB82-41D8-B528-C78B477E073B}"/>
    <cellStyle name="20% - Accent5 2 2 6 4" xfId="19740" xr:uid="{BEFDEE44-B493-41BB-8641-45590CF7855B}"/>
    <cellStyle name="20% - Accent5 2 2 6 5" xfId="11300" xr:uid="{4DFF0E19-2B1E-4D2F-B7AA-22A51303644C}"/>
    <cellStyle name="20% - Accent5 2 2 7" xfId="2298" xr:uid="{00000000-0005-0000-0000-0000A8020000}"/>
    <cellStyle name="20% - Accent5 2 2 7 2" xfId="6604" xr:uid="{00000000-0005-0000-0000-0000A9020000}"/>
    <cellStyle name="20% - Accent5 2 2 7 2 2" xfId="24370" xr:uid="{B598FD8E-399E-4583-B1EF-1289DC395073}"/>
    <cellStyle name="20% - Accent5 2 2 7 2 3" xfId="15930" xr:uid="{8F57DAC4-CB19-4596-965F-702C08DB2576}"/>
    <cellStyle name="20% - Accent5 2 2 7 3" xfId="20153" xr:uid="{6EC76677-D7EC-4F62-81DA-C56EB96FD4AC}"/>
    <cellStyle name="20% - Accent5 2 2 7 4" xfId="11713" xr:uid="{1C69E744-9661-4248-A7B7-C50848EF6817}"/>
    <cellStyle name="20% - Accent5 2 2 8" xfId="4538" xr:uid="{00000000-0005-0000-0000-0000AA020000}"/>
    <cellStyle name="20% - Accent5 2 2 8 2" xfId="22304" xr:uid="{0F7B5A2E-99FB-4BC1-A76F-C63B767E231F}"/>
    <cellStyle name="20% - Accent5 2 2 8 3" xfId="13864" xr:uid="{118EB270-F047-4398-A16A-2F69F28AFB3B}"/>
    <cellStyle name="20% - Accent5 2 2 9" xfId="8899" xr:uid="{0E8F9EC8-D565-41C9-B716-FF597FFF35B9}"/>
    <cellStyle name="20% - Accent5 2 2 9 2" xfId="18087" xr:uid="{1BC691E8-89E8-4CF7-9222-4DA567B4D2CB}"/>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24865" xr:uid="{78FB8207-137B-4181-8A3C-F70C7251B323}"/>
    <cellStyle name="20% - Accent5 2 3 2 2 2 3" xfId="16425" xr:uid="{BBCB0461-F114-43CD-9CCA-377456E6AF72}"/>
    <cellStyle name="20% - Accent5 2 3 2 2 3" xfId="20648" xr:uid="{99F99964-9374-4E75-9D6F-B3ADE1CEF5E1}"/>
    <cellStyle name="20% - Accent5 2 3 2 2 4" xfId="12208" xr:uid="{910FEAA9-3561-4B90-9A0B-D11BFB7DABB3}"/>
    <cellStyle name="20% - Accent5 2 3 2 3" xfId="4954" xr:uid="{00000000-0005-0000-0000-0000AF020000}"/>
    <cellStyle name="20% - Accent5 2 3 2 3 2" xfId="22720" xr:uid="{52C17DCD-35AD-475A-B62D-154D4DD3B121}"/>
    <cellStyle name="20% - Accent5 2 3 2 3 3" xfId="14280" xr:uid="{A05E296E-96F7-424F-98DE-811A3D221D10}"/>
    <cellStyle name="20% - Accent5 2 3 2 4" xfId="9428" xr:uid="{B7820ACF-E1F3-4653-B5DD-FD829B169E84}"/>
    <cellStyle name="20% - Accent5 2 3 2 4 2" xfId="18503" xr:uid="{76DEAF0B-EC8F-4919-94F2-8804FBA44E7C}"/>
    <cellStyle name="20% - Accent5 2 3 2 5" xfId="10063" xr:uid="{6AE62D56-05C8-42D0-B15D-375314274E1C}"/>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25278" xr:uid="{0B6AF7BE-093A-40D1-9E95-F29F205417D5}"/>
    <cellStyle name="20% - Accent5 2 3 3 2 2 3" xfId="16838" xr:uid="{3DFFB1F3-ED61-4397-BE88-D7B18669BEE7}"/>
    <cellStyle name="20% - Accent5 2 3 3 2 3" xfId="21061" xr:uid="{9DBA9F44-66CC-48CD-8F9A-E8027840C232}"/>
    <cellStyle name="20% - Accent5 2 3 3 2 4" xfId="12621" xr:uid="{0307D6FF-B3B1-4937-8CCD-91F464CDBB2F}"/>
    <cellStyle name="20% - Accent5 2 3 3 3" xfId="5367" xr:uid="{00000000-0005-0000-0000-0000B3020000}"/>
    <cellStyle name="20% - Accent5 2 3 3 3 2" xfId="23133" xr:uid="{A81B8E6F-0DAF-4F10-856A-44EF1A66F96D}"/>
    <cellStyle name="20% - Accent5 2 3 3 3 3" xfId="14693" xr:uid="{B2E997DF-AE9B-4DAE-8394-8550E873B1FF}"/>
    <cellStyle name="20% - Accent5 2 3 3 4" xfId="18916" xr:uid="{84297E21-4AFB-4358-B378-BA9CF03588CA}"/>
    <cellStyle name="20% - Accent5 2 3 3 5" xfId="10476" xr:uid="{6A5F223D-7082-4014-896F-9C0B901CB52D}"/>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25691" xr:uid="{B2DFBC77-0375-4C91-8593-DD4404C60A8F}"/>
    <cellStyle name="20% - Accent5 2 3 4 2 2 3" xfId="17251" xr:uid="{CB06859F-2979-4002-B26C-14C8640A3F8F}"/>
    <cellStyle name="20% - Accent5 2 3 4 2 3" xfId="21474" xr:uid="{2B96827D-5882-44C8-A029-B75CC3FAAE69}"/>
    <cellStyle name="20% - Accent5 2 3 4 2 4" xfId="13034" xr:uid="{73A1A397-BC7D-4CE1-B618-F30C5C89F904}"/>
    <cellStyle name="20% - Accent5 2 3 4 3" xfId="5780" xr:uid="{00000000-0005-0000-0000-0000B7020000}"/>
    <cellStyle name="20% - Accent5 2 3 4 3 2" xfId="23546" xr:uid="{0E0DAB71-9290-4F8E-AFE2-CBE72D90283A}"/>
    <cellStyle name="20% - Accent5 2 3 4 3 3" xfId="15106" xr:uid="{7F3958B3-503C-47FD-9F1A-A48E56AA7098}"/>
    <cellStyle name="20% - Accent5 2 3 4 4" xfId="19329" xr:uid="{610BA283-6844-45FF-B183-0D736FB0BAE3}"/>
    <cellStyle name="20% - Accent5 2 3 4 5" xfId="10889" xr:uid="{B96F7EEE-43DF-4D39-8482-42CA6C570506}"/>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26104" xr:uid="{086A49EF-77EF-416D-9931-B275D8D6E302}"/>
    <cellStyle name="20% - Accent5 2 3 5 2 2 3" xfId="17664" xr:uid="{338EE5CF-00BA-4C7F-93B2-A227D5EEADEB}"/>
    <cellStyle name="20% - Accent5 2 3 5 2 3" xfId="21887" xr:uid="{77757F9B-BE75-4AB6-AC17-BAC70551F089}"/>
    <cellStyle name="20% - Accent5 2 3 5 2 4" xfId="13447" xr:uid="{ACA87327-3352-42C4-8A61-EDD0EFE60EE6}"/>
    <cellStyle name="20% - Accent5 2 3 5 3" xfId="6193" xr:uid="{00000000-0005-0000-0000-0000BB020000}"/>
    <cellStyle name="20% - Accent5 2 3 5 3 2" xfId="23959" xr:uid="{FA6C4DBA-1883-4D10-89A7-6B4DD10AB249}"/>
    <cellStyle name="20% - Accent5 2 3 5 3 3" xfId="15519" xr:uid="{A91DC1A6-C579-4E25-8C66-168157B56C4F}"/>
    <cellStyle name="20% - Accent5 2 3 5 4" xfId="19742" xr:uid="{A8778BC9-352A-4225-87D2-979F0409B6F3}"/>
    <cellStyle name="20% - Accent5 2 3 5 5" xfId="11302" xr:uid="{A1A37B64-9CBD-4F4D-BD8B-8DD6FBBD818F}"/>
    <cellStyle name="20% - Accent5 2 3 6" xfId="2300" xr:uid="{00000000-0005-0000-0000-0000BC020000}"/>
    <cellStyle name="20% - Accent5 2 3 6 2" xfId="6606" xr:uid="{00000000-0005-0000-0000-0000BD020000}"/>
    <cellStyle name="20% - Accent5 2 3 6 2 2" xfId="24372" xr:uid="{3ED8FBE8-BF5B-474A-9833-ACE368EA26EA}"/>
    <cellStyle name="20% - Accent5 2 3 6 2 3" xfId="15932" xr:uid="{C01E2E1B-0DCD-4EE8-92B5-D09345A6C437}"/>
    <cellStyle name="20% - Accent5 2 3 6 3" xfId="20155" xr:uid="{9691E415-EB28-4A4E-9639-7AF24780AB4F}"/>
    <cellStyle name="20% - Accent5 2 3 6 4" xfId="11715" xr:uid="{765F7525-242E-4EEE-BE5D-9A93EBD3562A}"/>
    <cellStyle name="20% - Accent5 2 3 7" xfId="4540" xr:uid="{00000000-0005-0000-0000-0000BE020000}"/>
    <cellStyle name="20% - Accent5 2 3 7 2" xfId="22306" xr:uid="{CBE2BBF0-51CA-4554-86BD-F18CDC26B5C2}"/>
    <cellStyle name="20% - Accent5 2 3 7 3" xfId="13866" xr:uid="{F034BDC9-3C2F-470B-B5E0-B450D4C062CA}"/>
    <cellStyle name="20% - Accent5 2 3 8" xfId="9003" xr:uid="{9830E7D1-E361-4BA3-A986-3DCE647EEF8E}"/>
    <cellStyle name="20% - Accent5 2 3 8 2" xfId="18089" xr:uid="{E9661E3F-445E-41D0-B647-478AEA3522BD}"/>
    <cellStyle name="20% - Accent5 2 3 9" xfId="9649" xr:uid="{DC46957A-44BF-4A44-A0AD-5C21C71AC315}"/>
    <cellStyle name="20% - Accent5 2 4" xfId="603" xr:uid="{00000000-0005-0000-0000-0000BF020000}"/>
    <cellStyle name="20% - Accent5 2 4 2" xfId="2874" xr:uid="{00000000-0005-0000-0000-0000C0020000}"/>
    <cellStyle name="20% - Accent5 2 4 2 2" xfId="7096" xr:uid="{00000000-0005-0000-0000-0000C1020000}"/>
    <cellStyle name="20% - Accent5 2 4 2 2 2" xfId="24862" xr:uid="{CA002B8D-309D-4FFD-9DBE-F00811A64D66}"/>
    <cellStyle name="20% - Accent5 2 4 2 2 3" xfId="16422" xr:uid="{85FF1A63-2E4C-400C-97E9-0E1FDE9ED31E}"/>
    <cellStyle name="20% - Accent5 2 4 2 3" xfId="20645" xr:uid="{CB4FD142-0203-41E6-B541-05C3E410E20D}"/>
    <cellStyle name="20% - Accent5 2 4 2 4" xfId="12205" xr:uid="{5DF53D21-0086-4604-A6E6-6DE67966C660}"/>
    <cellStyle name="20% - Accent5 2 4 3" xfId="4951" xr:uid="{00000000-0005-0000-0000-0000C2020000}"/>
    <cellStyle name="20% - Accent5 2 4 3 2" xfId="22717" xr:uid="{AA744C40-B707-4F2F-81C4-2C07D09A83A3}"/>
    <cellStyle name="20% - Accent5 2 4 3 3" xfId="14277" xr:uid="{A7305293-ECCC-4859-9940-73C57F7B7350}"/>
    <cellStyle name="20% - Accent5 2 4 4" xfId="9220" xr:uid="{A7B88928-FE72-4C1B-B74E-3CA76DBA84CC}"/>
    <cellStyle name="20% - Accent5 2 4 4 2" xfId="18500" xr:uid="{CDFCBC49-34AD-4CD5-A2BD-412379DF0DAF}"/>
    <cellStyle name="20% - Accent5 2 4 5" xfId="10060" xr:uid="{CEA1D1C0-F87F-416B-86EA-60D0F28ADA36}"/>
    <cellStyle name="20% - Accent5 2 5" xfId="1056" xr:uid="{00000000-0005-0000-0000-0000C3020000}"/>
    <cellStyle name="20% - Accent5 2 5 2" xfId="3287" xr:uid="{00000000-0005-0000-0000-0000C4020000}"/>
    <cellStyle name="20% - Accent5 2 5 2 2" xfId="7509" xr:uid="{00000000-0005-0000-0000-0000C5020000}"/>
    <cellStyle name="20% - Accent5 2 5 2 2 2" xfId="25275" xr:uid="{7F450734-EFCD-4691-A3AA-CDB6607AD5C9}"/>
    <cellStyle name="20% - Accent5 2 5 2 2 3" xfId="16835" xr:uid="{DF39DBFD-1088-4659-89C6-B08A1E96AC92}"/>
    <cellStyle name="20% - Accent5 2 5 2 3" xfId="21058" xr:uid="{22C937AD-9E67-40E5-A33A-C3F517731490}"/>
    <cellStyle name="20% - Accent5 2 5 2 4" xfId="12618" xr:uid="{2A2EC0ED-A08A-44E5-8019-8AADA1029AE5}"/>
    <cellStyle name="20% - Accent5 2 5 3" xfId="5364" xr:uid="{00000000-0005-0000-0000-0000C6020000}"/>
    <cellStyle name="20% - Accent5 2 5 3 2" xfId="23130" xr:uid="{BBAA2D06-7658-40A5-8CA4-B17613B7B209}"/>
    <cellStyle name="20% - Accent5 2 5 3 3" xfId="14690" xr:uid="{EDB8B2EC-65C2-4C72-A9BD-D4FB555C29F9}"/>
    <cellStyle name="20% - Accent5 2 5 4" xfId="18913" xr:uid="{080C2C0C-76DD-41FC-851A-E6D165319BF9}"/>
    <cellStyle name="20% - Accent5 2 5 5" xfId="10473" xr:uid="{FE8818C5-70EF-4726-9E0F-A6E47FD7409B}"/>
    <cellStyle name="20% - Accent5 2 6" xfId="1470" xr:uid="{00000000-0005-0000-0000-0000C7020000}"/>
    <cellStyle name="20% - Accent5 2 6 2" xfId="3700" xr:uid="{00000000-0005-0000-0000-0000C8020000}"/>
    <cellStyle name="20% - Accent5 2 6 2 2" xfId="7922" xr:uid="{00000000-0005-0000-0000-0000C9020000}"/>
    <cellStyle name="20% - Accent5 2 6 2 2 2" xfId="25688" xr:uid="{957BB50E-A1F3-4C58-9F4C-66032FCFBD39}"/>
    <cellStyle name="20% - Accent5 2 6 2 2 3" xfId="17248" xr:uid="{2A033926-ED93-4CC3-AB6E-2195F7E42139}"/>
    <cellStyle name="20% - Accent5 2 6 2 3" xfId="21471" xr:uid="{C5DF9576-8B2F-4C07-8101-7D3161494169}"/>
    <cellStyle name="20% - Accent5 2 6 2 4" xfId="13031" xr:uid="{FC5A4996-F626-479E-87E3-B3B572CAC8B0}"/>
    <cellStyle name="20% - Accent5 2 6 3" xfId="5777" xr:uid="{00000000-0005-0000-0000-0000CA020000}"/>
    <cellStyle name="20% - Accent5 2 6 3 2" xfId="23543" xr:uid="{AD5A7C23-E54C-4653-9F84-AB6C472FBDA9}"/>
    <cellStyle name="20% - Accent5 2 6 3 3" xfId="15103" xr:uid="{B6D11271-C29E-4495-99B6-51B2BBAC80CD}"/>
    <cellStyle name="20% - Accent5 2 6 4" xfId="19326" xr:uid="{038940D0-790F-4EBE-94E9-05B9EEAB184B}"/>
    <cellStyle name="20% - Accent5 2 6 5" xfId="10886" xr:uid="{B569B098-01AA-4218-AA9F-8A3E35ABD148}"/>
    <cellStyle name="20% - Accent5 2 7" xfId="1884" xr:uid="{00000000-0005-0000-0000-0000CB020000}"/>
    <cellStyle name="20% - Accent5 2 7 2" xfId="4113" xr:uid="{00000000-0005-0000-0000-0000CC020000}"/>
    <cellStyle name="20% - Accent5 2 7 2 2" xfId="8335" xr:uid="{00000000-0005-0000-0000-0000CD020000}"/>
    <cellStyle name="20% - Accent5 2 7 2 2 2" xfId="26101" xr:uid="{A91770AB-1445-4C4E-A2BF-47CBAD0FB61A}"/>
    <cellStyle name="20% - Accent5 2 7 2 2 3" xfId="17661" xr:uid="{D2E61161-8A3A-40A4-B682-61FEF2B6912F}"/>
    <cellStyle name="20% - Accent5 2 7 2 3" xfId="21884" xr:uid="{C3B7E32D-4FF6-456B-BCC6-BF59AB5FEEB9}"/>
    <cellStyle name="20% - Accent5 2 7 2 4" xfId="13444" xr:uid="{7C1803AF-DD2F-4A89-87EB-1C1D6E481EE4}"/>
    <cellStyle name="20% - Accent5 2 7 3" xfId="6190" xr:uid="{00000000-0005-0000-0000-0000CE020000}"/>
    <cellStyle name="20% - Accent5 2 7 3 2" xfId="23956" xr:uid="{203B91EC-C8AB-485A-901F-DB0FFBCAF5E5}"/>
    <cellStyle name="20% - Accent5 2 7 3 3" xfId="15516" xr:uid="{AFFE7711-6A83-46E8-B0EF-954715802EE9}"/>
    <cellStyle name="20% - Accent5 2 7 4" xfId="19739" xr:uid="{F82B9F8C-FB1D-461D-803F-22D50E4A39EB}"/>
    <cellStyle name="20% - Accent5 2 7 5" xfId="11299" xr:uid="{F42EC755-71FD-4C15-BEE4-CB16A5095953}"/>
    <cellStyle name="20% - Accent5 2 8" xfId="2297" xr:uid="{00000000-0005-0000-0000-0000CF020000}"/>
    <cellStyle name="20% - Accent5 2 8 2" xfId="6603" xr:uid="{00000000-0005-0000-0000-0000D0020000}"/>
    <cellStyle name="20% - Accent5 2 8 2 2" xfId="24369" xr:uid="{DDBC204C-856D-46D7-9908-B5FDA0377776}"/>
    <cellStyle name="20% - Accent5 2 8 2 3" xfId="15929" xr:uid="{94ADCC4B-0360-4651-9EB6-643EF5CDD6DA}"/>
    <cellStyle name="20% - Accent5 2 8 3" xfId="20152" xr:uid="{A5CE2F1D-22CD-4FA8-BFAE-9CCB26726EED}"/>
    <cellStyle name="20% - Accent5 2 8 4" xfId="11712" xr:uid="{F7FE7BD5-A705-4B5D-9A01-3423D12976AA}"/>
    <cellStyle name="20% - Accent5 2 9" xfId="4537" xr:uid="{00000000-0005-0000-0000-0000D1020000}"/>
    <cellStyle name="20% - Accent5 2 9 2" xfId="22303" xr:uid="{170ABE57-5F6A-44D4-902B-BFD4DED8D058}"/>
    <cellStyle name="20% - Accent5 2 9 3" xfId="13863" xr:uid="{79AB150A-E1CF-4296-8D7D-778E9E336485}"/>
    <cellStyle name="20% - Accent5 3" xfId="38" xr:uid="{00000000-0005-0000-0000-0000D2020000}"/>
    <cellStyle name="20% - Accent5 3 10" xfId="9650" xr:uid="{0712DE21-696E-41AC-A04D-69E68EE1C73B}"/>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24867" xr:uid="{F4C502BA-704B-46D3-8E70-7E9F8CEB71D0}"/>
    <cellStyle name="20% - Accent5 3 2 2 2 2 3" xfId="16427" xr:uid="{321F2019-9D31-44B9-9AC0-0DE1513B1BD9}"/>
    <cellStyle name="20% - Accent5 3 2 2 2 3" xfId="20650" xr:uid="{21621D46-E124-400D-925E-BD8B1BA0089B}"/>
    <cellStyle name="20% - Accent5 3 2 2 2 4" xfId="12210" xr:uid="{01DF013F-4511-47AF-B81C-5C8910FBCE73}"/>
    <cellStyle name="20% - Accent5 3 2 2 3" xfId="4956" xr:uid="{00000000-0005-0000-0000-0000D7020000}"/>
    <cellStyle name="20% - Accent5 3 2 2 3 2" xfId="22722" xr:uid="{FB03712C-1B6A-4E36-8D4E-4DE4E1270A46}"/>
    <cellStyle name="20% - Accent5 3 2 2 3 3" xfId="14282" xr:uid="{A1A11537-B495-430A-8384-E1B18A5182DF}"/>
    <cellStyle name="20% - Accent5 3 2 2 4" xfId="9501" xr:uid="{82A590A5-96D4-476E-8E6F-D81EEE08C409}"/>
    <cellStyle name="20% - Accent5 3 2 2 4 2" xfId="18505" xr:uid="{80E3150C-BFAF-49C7-A476-3048418FE2DA}"/>
    <cellStyle name="20% - Accent5 3 2 2 5" xfId="10065" xr:uid="{C95FB9F6-26B0-4BC2-A605-E19F8A233B24}"/>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25280" xr:uid="{4283B889-13B9-4723-BC78-104B3CDB53CA}"/>
    <cellStyle name="20% - Accent5 3 2 3 2 2 3" xfId="16840" xr:uid="{4B74BD48-01A4-42E4-AFB9-CE7D4F9BEEA4}"/>
    <cellStyle name="20% - Accent5 3 2 3 2 3" xfId="21063" xr:uid="{F0890707-2050-4D3C-9BD1-D1FA8F92EBE0}"/>
    <cellStyle name="20% - Accent5 3 2 3 2 4" xfId="12623" xr:uid="{40EFF250-779E-416A-8E84-C4E0AFB4207D}"/>
    <cellStyle name="20% - Accent5 3 2 3 3" xfId="5369" xr:uid="{00000000-0005-0000-0000-0000DB020000}"/>
    <cellStyle name="20% - Accent5 3 2 3 3 2" xfId="23135" xr:uid="{EFF7E428-2BAA-4390-BDD9-701E1B57E586}"/>
    <cellStyle name="20% - Accent5 3 2 3 3 3" xfId="14695" xr:uid="{69E2255C-9C92-4857-9227-64BB2B01A2F8}"/>
    <cellStyle name="20% - Accent5 3 2 3 4" xfId="18918" xr:uid="{B88BA2DC-0B7B-4A49-A334-9AE61CC6F356}"/>
    <cellStyle name="20% - Accent5 3 2 3 5" xfId="10478" xr:uid="{12A6DCD2-ACD4-4242-82AD-877AD8880BC0}"/>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25693" xr:uid="{38EF35B4-69D3-4B86-BAB4-905DDFAD8538}"/>
    <cellStyle name="20% - Accent5 3 2 4 2 2 3" xfId="17253" xr:uid="{AC9EDC5B-7867-4BEC-82D9-61953F33CF0F}"/>
    <cellStyle name="20% - Accent5 3 2 4 2 3" xfId="21476" xr:uid="{7A516914-1A8E-4126-8691-12119B744F4B}"/>
    <cellStyle name="20% - Accent5 3 2 4 2 4" xfId="13036" xr:uid="{46AFDBD7-4FDF-420B-A7EE-738D1CA65538}"/>
    <cellStyle name="20% - Accent5 3 2 4 3" xfId="5782" xr:uid="{00000000-0005-0000-0000-0000DF020000}"/>
    <cellStyle name="20% - Accent5 3 2 4 3 2" xfId="23548" xr:uid="{BEFBD74B-5CCE-45E8-989A-8C1B7F0745DD}"/>
    <cellStyle name="20% - Accent5 3 2 4 3 3" xfId="15108" xr:uid="{4BF8D733-3F48-4FFA-9800-80C32E743B32}"/>
    <cellStyle name="20% - Accent5 3 2 4 4" xfId="19331" xr:uid="{CAFD1EF3-DD84-4F31-A868-398248C4078A}"/>
    <cellStyle name="20% - Accent5 3 2 4 5" xfId="10891" xr:uid="{5ABFD84E-DD43-4768-9DD3-3C5DF5EA6DC8}"/>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26106" xr:uid="{C992896F-3878-41DD-AEF1-D5287AE6A362}"/>
    <cellStyle name="20% - Accent5 3 2 5 2 2 3" xfId="17666" xr:uid="{56FE802B-60D5-4468-A110-187EA437CB2D}"/>
    <cellStyle name="20% - Accent5 3 2 5 2 3" xfId="21889" xr:uid="{5A2330F8-F9CF-4E3E-8081-412F8EBB21B0}"/>
    <cellStyle name="20% - Accent5 3 2 5 2 4" xfId="13449" xr:uid="{8C4FA033-D9F3-49F6-9DF5-67EE699C092E}"/>
    <cellStyle name="20% - Accent5 3 2 5 3" xfId="6195" xr:uid="{00000000-0005-0000-0000-0000E3020000}"/>
    <cellStyle name="20% - Accent5 3 2 5 3 2" xfId="23961" xr:uid="{A1A57EDB-B0B7-44E6-B80A-E5A40A59E58E}"/>
    <cellStyle name="20% - Accent5 3 2 5 3 3" xfId="15521" xr:uid="{E52AD994-5813-4F9D-80AA-AE5BA148F192}"/>
    <cellStyle name="20% - Accent5 3 2 5 4" xfId="19744" xr:uid="{263BF3C9-5C3A-4970-A7CA-1DB564A874F1}"/>
    <cellStyle name="20% - Accent5 3 2 5 5" xfId="11304" xr:uid="{1E7DD690-48A9-45A3-B82B-95BD6831548E}"/>
    <cellStyle name="20% - Accent5 3 2 6" xfId="2302" xr:uid="{00000000-0005-0000-0000-0000E4020000}"/>
    <cellStyle name="20% - Accent5 3 2 6 2" xfId="6608" xr:uid="{00000000-0005-0000-0000-0000E5020000}"/>
    <cellStyle name="20% - Accent5 3 2 6 2 2" xfId="24374" xr:uid="{CBFDDE50-09C7-4F45-B011-ABE355C667BE}"/>
    <cellStyle name="20% - Accent5 3 2 6 2 3" xfId="15934" xr:uid="{030D9924-F6BF-4CA9-A4C5-959116CF54CD}"/>
    <cellStyle name="20% - Accent5 3 2 6 3" xfId="20157" xr:uid="{0292C28D-13D3-4D4B-9C96-B9936C6C11B6}"/>
    <cellStyle name="20% - Accent5 3 2 6 4" xfId="11717" xr:uid="{EE923DE6-A1C5-4712-AD6C-27E6681F02A1}"/>
    <cellStyle name="20% - Accent5 3 2 7" xfId="4542" xr:uid="{00000000-0005-0000-0000-0000E6020000}"/>
    <cellStyle name="20% - Accent5 3 2 7 2" xfId="22308" xr:uid="{57C26992-A25E-420D-834A-CD6EBEC9EE10}"/>
    <cellStyle name="20% - Accent5 3 2 7 3" xfId="13868" xr:uid="{77BC3CE8-EB9F-4955-8E37-88A19DF3A39C}"/>
    <cellStyle name="20% - Accent5 3 2 8" xfId="9076" xr:uid="{BEDF1D01-35A3-4513-9363-9C1AFC748168}"/>
    <cellStyle name="20% - Accent5 3 2 8 2" xfId="18091" xr:uid="{D97D0314-BA52-4DEA-AF6B-1EF834BADFE3}"/>
    <cellStyle name="20% - Accent5 3 2 9" xfId="9651" xr:uid="{729C15CD-3B6F-4FAC-88F1-08A304FDA206}"/>
    <cellStyle name="20% - Accent5 3 3" xfId="607" xr:uid="{00000000-0005-0000-0000-0000E7020000}"/>
    <cellStyle name="20% - Accent5 3 3 2" xfId="2878" xr:uid="{00000000-0005-0000-0000-0000E8020000}"/>
    <cellStyle name="20% - Accent5 3 3 2 2" xfId="7100" xr:uid="{00000000-0005-0000-0000-0000E9020000}"/>
    <cellStyle name="20% - Accent5 3 3 2 2 2" xfId="24866" xr:uid="{D7F7628D-9355-4293-8E21-74AB67DCDBE5}"/>
    <cellStyle name="20% - Accent5 3 3 2 2 3" xfId="16426" xr:uid="{0197A3D7-360F-4736-BA7F-10C35F7AE9AA}"/>
    <cellStyle name="20% - Accent5 3 3 2 3" xfId="20649" xr:uid="{4794FD62-5C6E-4FD1-B597-BF030E241022}"/>
    <cellStyle name="20% - Accent5 3 3 2 4" xfId="12209" xr:uid="{775250AB-B707-4536-98DA-856627C43243}"/>
    <cellStyle name="20% - Accent5 3 3 3" xfId="4955" xr:uid="{00000000-0005-0000-0000-0000EA020000}"/>
    <cellStyle name="20% - Accent5 3 3 3 2" xfId="22721" xr:uid="{75AD33C4-3C11-4DF6-8EBF-478899154C01}"/>
    <cellStyle name="20% - Accent5 3 3 3 3" xfId="14281" xr:uid="{02E724BA-9CD3-4922-A5D1-59356F1926BD}"/>
    <cellStyle name="20% - Accent5 3 3 4" xfId="9294" xr:uid="{124960EA-C7A4-4686-BF67-47D6C57F7EEB}"/>
    <cellStyle name="20% - Accent5 3 3 4 2" xfId="18504" xr:uid="{2FB3054C-EB0B-4CC3-9F94-AEA6C355FF2B}"/>
    <cellStyle name="20% - Accent5 3 3 5" xfId="10064" xr:uid="{D54B4D23-20A4-459F-9424-54FE64AF5684}"/>
    <cellStyle name="20% - Accent5 3 4" xfId="1060" xr:uid="{00000000-0005-0000-0000-0000EB020000}"/>
    <cellStyle name="20% - Accent5 3 4 2" xfId="3291" xr:uid="{00000000-0005-0000-0000-0000EC020000}"/>
    <cellStyle name="20% - Accent5 3 4 2 2" xfId="7513" xr:uid="{00000000-0005-0000-0000-0000ED020000}"/>
    <cellStyle name="20% - Accent5 3 4 2 2 2" xfId="25279" xr:uid="{251DEEA7-F871-4A2D-8F37-5A71A7E2BB31}"/>
    <cellStyle name="20% - Accent5 3 4 2 2 3" xfId="16839" xr:uid="{F62B298D-CF6D-4439-B213-898B9503A31A}"/>
    <cellStyle name="20% - Accent5 3 4 2 3" xfId="21062" xr:uid="{CE2ACFA4-4FF7-4BB2-BF29-D4392AC95556}"/>
    <cellStyle name="20% - Accent5 3 4 2 4" xfId="12622" xr:uid="{61955CD8-A2C3-4EC9-B367-C27802914485}"/>
    <cellStyle name="20% - Accent5 3 4 3" xfId="5368" xr:uid="{00000000-0005-0000-0000-0000EE020000}"/>
    <cellStyle name="20% - Accent5 3 4 3 2" xfId="23134" xr:uid="{DF3A79DA-78F6-4D7D-9E66-70938CCB6BF6}"/>
    <cellStyle name="20% - Accent5 3 4 3 3" xfId="14694" xr:uid="{8C6C830A-1D02-49CA-A154-B170B7313C58}"/>
    <cellStyle name="20% - Accent5 3 4 4" xfId="18917" xr:uid="{81DA4EA3-6DE5-49F6-87BC-25A4140DA5A8}"/>
    <cellStyle name="20% - Accent5 3 4 5" xfId="10477" xr:uid="{A6A6FF5B-4BDA-4E61-BE45-785C8C1823BC}"/>
    <cellStyle name="20% - Accent5 3 5" xfId="1474" xr:uid="{00000000-0005-0000-0000-0000EF020000}"/>
    <cellStyle name="20% - Accent5 3 5 2" xfId="3704" xr:uid="{00000000-0005-0000-0000-0000F0020000}"/>
    <cellStyle name="20% - Accent5 3 5 2 2" xfId="7926" xr:uid="{00000000-0005-0000-0000-0000F1020000}"/>
    <cellStyle name="20% - Accent5 3 5 2 2 2" xfId="25692" xr:uid="{00409CB5-1D29-48F9-8C68-6EDDC5E1CCEB}"/>
    <cellStyle name="20% - Accent5 3 5 2 2 3" xfId="17252" xr:uid="{102523A4-3C69-4F73-BAF4-FDCC05546778}"/>
    <cellStyle name="20% - Accent5 3 5 2 3" xfId="21475" xr:uid="{FC7A0BC1-389E-4B9E-ABF7-84A32CA77A5E}"/>
    <cellStyle name="20% - Accent5 3 5 2 4" xfId="13035" xr:uid="{09D6BD41-858D-4345-93D2-22A09C59A8B2}"/>
    <cellStyle name="20% - Accent5 3 5 3" xfId="5781" xr:uid="{00000000-0005-0000-0000-0000F2020000}"/>
    <cellStyle name="20% - Accent5 3 5 3 2" xfId="23547" xr:uid="{4AECE0CE-E280-4C03-8E96-B9381F3FCC40}"/>
    <cellStyle name="20% - Accent5 3 5 3 3" xfId="15107" xr:uid="{06152488-553B-468F-ACD9-25846AC5A223}"/>
    <cellStyle name="20% - Accent5 3 5 4" xfId="19330" xr:uid="{40A40257-0CDC-4DE1-9665-CE2312AB9C7B}"/>
    <cellStyle name="20% - Accent5 3 5 5" xfId="10890" xr:uid="{FB032FD0-3E3C-4462-B517-DE1D297E94C6}"/>
    <cellStyle name="20% - Accent5 3 6" xfId="1888" xr:uid="{00000000-0005-0000-0000-0000F3020000}"/>
    <cellStyle name="20% - Accent5 3 6 2" xfId="4117" xr:uid="{00000000-0005-0000-0000-0000F4020000}"/>
    <cellStyle name="20% - Accent5 3 6 2 2" xfId="8339" xr:uid="{00000000-0005-0000-0000-0000F5020000}"/>
    <cellStyle name="20% - Accent5 3 6 2 2 2" xfId="26105" xr:uid="{817E185B-77C5-4A23-A291-81AC04CA773F}"/>
    <cellStyle name="20% - Accent5 3 6 2 2 3" xfId="17665" xr:uid="{5A082B21-9B4F-4DD9-A5D1-5BB5AC441231}"/>
    <cellStyle name="20% - Accent5 3 6 2 3" xfId="21888" xr:uid="{5B8EB72E-E152-40D0-86BB-CF03665F1A91}"/>
    <cellStyle name="20% - Accent5 3 6 2 4" xfId="13448" xr:uid="{DE1EB901-FE84-43A9-B4B1-54B9CCF30CD5}"/>
    <cellStyle name="20% - Accent5 3 6 3" xfId="6194" xr:uid="{00000000-0005-0000-0000-0000F6020000}"/>
    <cellStyle name="20% - Accent5 3 6 3 2" xfId="23960" xr:uid="{F4FB96E1-3885-4857-BEF4-1DEDC350B20F}"/>
    <cellStyle name="20% - Accent5 3 6 3 3" xfId="15520" xr:uid="{B71E9BE2-1552-4F77-BC1F-8F83AD1BBB2E}"/>
    <cellStyle name="20% - Accent5 3 6 4" xfId="19743" xr:uid="{429186F1-51D8-4024-8E83-289F01BB3EF1}"/>
    <cellStyle name="20% - Accent5 3 6 5" xfId="11303" xr:uid="{191F4199-D9B4-417F-ACA6-EC9B7D5C2E4B}"/>
    <cellStyle name="20% - Accent5 3 7" xfId="2301" xr:uid="{00000000-0005-0000-0000-0000F7020000}"/>
    <cellStyle name="20% - Accent5 3 7 2" xfId="6607" xr:uid="{00000000-0005-0000-0000-0000F8020000}"/>
    <cellStyle name="20% - Accent5 3 7 2 2" xfId="24373" xr:uid="{8E0E9A52-2103-4F79-8BE0-D0BEBB23D4B6}"/>
    <cellStyle name="20% - Accent5 3 7 2 3" xfId="15933" xr:uid="{A367EF32-770E-4474-A3AF-482C1920D84B}"/>
    <cellStyle name="20% - Accent5 3 7 3" xfId="20156" xr:uid="{31F1A032-760C-42E7-8AE6-B9670176DDFA}"/>
    <cellStyle name="20% - Accent5 3 7 4" xfId="11716" xr:uid="{C9790C35-5E1D-4A6F-88C9-4D361524AC27}"/>
    <cellStyle name="20% - Accent5 3 8" xfId="4541" xr:uid="{00000000-0005-0000-0000-0000F9020000}"/>
    <cellStyle name="20% - Accent5 3 8 2" xfId="22307" xr:uid="{23FD885B-90C1-4C8D-92D3-2B5D7B602B1B}"/>
    <cellStyle name="20% - Accent5 3 8 3" xfId="13867" xr:uid="{E8E375E8-4281-4FB8-80BA-C7C051D8F405}"/>
    <cellStyle name="20% - Accent5 3 9" xfId="8869" xr:uid="{43CC8A87-AEEB-4E51-98E7-F8AE8D86AD2B}"/>
    <cellStyle name="20% - Accent5 3 9 2" xfId="18090" xr:uid="{65C32A8C-28A5-461E-BE2C-96F218D3508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24868" xr:uid="{68C59B9B-DD8F-4E93-B2DE-9A432C56A93F}"/>
    <cellStyle name="20% - Accent5 4 2 2 2 3" xfId="16428" xr:uid="{B5CE9DD5-08C1-420C-99A4-8A2F3A7B6B3A}"/>
    <cellStyle name="20% - Accent5 4 2 2 3" xfId="20651" xr:uid="{A1FBA709-9193-49C9-A5D5-D80DC3B03731}"/>
    <cellStyle name="20% - Accent5 4 2 2 4" xfId="12211" xr:uid="{17DA5900-4969-42D3-8127-F3CBCF5ADC9C}"/>
    <cellStyle name="20% - Accent5 4 2 3" xfId="4957" xr:uid="{00000000-0005-0000-0000-0000FE020000}"/>
    <cellStyle name="20% - Accent5 4 2 3 2" xfId="22723" xr:uid="{EF8BD67A-59FA-42CB-B67A-7F30715F38CF}"/>
    <cellStyle name="20% - Accent5 4 2 3 3" xfId="14283" xr:uid="{B749D1B3-106F-4776-8DFE-2BCA39D4DD18}"/>
    <cellStyle name="20% - Accent5 4 2 4" xfId="9380" xr:uid="{1C764D65-D71C-4646-AD86-15F83BDBF498}"/>
    <cellStyle name="20% - Accent5 4 2 4 2" xfId="18506" xr:uid="{85139F3D-5995-4255-87B7-A6B2E30C08DA}"/>
    <cellStyle name="20% - Accent5 4 2 5" xfId="10066" xr:uid="{2A65CE93-163C-4C1C-886D-0A5CE9BE8065}"/>
    <cellStyle name="20% - Accent5 4 3" xfId="1062" xr:uid="{00000000-0005-0000-0000-0000FF020000}"/>
    <cellStyle name="20% - Accent5 4 3 2" xfId="3293" xr:uid="{00000000-0005-0000-0000-000000030000}"/>
    <cellStyle name="20% - Accent5 4 3 2 2" xfId="7515" xr:uid="{00000000-0005-0000-0000-000001030000}"/>
    <cellStyle name="20% - Accent5 4 3 2 2 2" xfId="25281" xr:uid="{52D4FA7C-45B8-46FE-9BC1-C64526EC913C}"/>
    <cellStyle name="20% - Accent5 4 3 2 2 3" xfId="16841" xr:uid="{DBDBC991-A323-47E8-8E3D-BB03E3588975}"/>
    <cellStyle name="20% - Accent5 4 3 2 3" xfId="21064" xr:uid="{A05DB0B5-9813-42F1-8A48-B130B1F08E96}"/>
    <cellStyle name="20% - Accent5 4 3 2 4" xfId="12624" xr:uid="{594AFFB5-5DDF-41E7-BDA8-66BB9513F41A}"/>
    <cellStyle name="20% - Accent5 4 3 3" xfId="5370" xr:uid="{00000000-0005-0000-0000-000002030000}"/>
    <cellStyle name="20% - Accent5 4 3 3 2" xfId="23136" xr:uid="{2FB7C84E-0C3D-4A91-96E5-FE457A1D157A}"/>
    <cellStyle name="20% - Accent5 4 3 3 3" xfId="14696" xr:uid="{921E7D13-B22E-48AC-AB3C-860C6B6AC89D}"/>
    <cellStyle name="20% - Accent5 4 3 4" xfId="18919" xr:uid="{11D62DF0-26EC-463D-8E42-07576745197B}"/>
    <cellStyle name="20% - Accent5 4 3 5" xfId="10479" xr:uid="{892AC6D1-FA0F-4E53-8703-7D1C9697936C}"/>
    <cellStyle name="20% - Accent5 4 4" xfId="1476" xr:uid="{00000000-0005-0000-0000-000003030000}"/>
    <cellStyle name="20% - Accent5 4 4 2" xfId="3706" xr:uid="{00000000-0005-0000-0000-000004030000}"/>
    <cellStyle name="20% - Accent5 4 4 2 2" xfId="7928" xr:uid="{00000000-0005-0000-0000-000005030000}"/>
    <cellStyle name="20% - Accent5 4 4 2 2 2" xfId="25694" xr:uid="{C95B62EA-FF25-48C0-A57D-37877AA16742}"/>
    <cellStyle name="20% - Accent5 4 4 2 2 3" xfId="17254" xr:uid="{5F69FB44-36D9-45C3-A6ED-50A1658B29E1}"/>
    <cellStyle name="20% - Accent5 4 4 2 3" xfId="21477" xr:uid="{3E451492-3418-4697-8496-36DD1054DEEA}"/>
    <cellStyle name="20% - Accent5 4 4 2 4" xfId="13037" xr:uid="{BE67E27B-3776-4ADF-973F-4E9478473734}"/>
    <cellStyle name="20% - Accent5 4 4 3" xfId="5783" xr:uid="{00000000-0005-0000-0000-000006030000}"/>
    <cellStyle name="20% - Accent5 4 4 3 2" xfId="23549" xr:uid="{8438CBBC-5A76-48D4-97A6-815E730C7C2A}"/>
    <cellStyle name="20% - Accent5 4 4 3 3" xfId="15109" xr:uid="{A9D7094C-ACEC-4DF2-BCF0-5D6E0724A684}"/>
    <cellStyle name="20% - Accent5 4 4 4" xfId="19332" xr:uid="{EADE6DB6-3E01-4FC5-9DE7-0CEEE3254C45}"/>
    <cellStyle name="20% - Accent5 4 4 5" xfId="10892" xr:uid="{77736452-9429-4D76-A29B-F41CF4E06AE5}"/>
    <cellStyle name="20% - Accent5 4 5" xfId="1890" xr:uid="{00000000-0005-0000-0000-000007030000}"/>
    <cellStyle name="20% - Accent5 4 5 2" xfId="4119" xr:uid="{00000000-0005-0000-0000-000008030000}"/>
    <cellStyle name="20% - Accent5 4 5 2 2" xfId="8341" xr:uid="{00000000-0005-0000-0000-000009030000}"/>
    <cellStyle name="20% - Accent5 4 5 2 2 2" xfId="26107" xr:uid="{9C802BD8-4927-4B7E-AA83-E2AEDD02CFE3}"/>
    <cellStyle name="20% - Accent5 4 5 2 2 3" xfId="17667" xr:uid="{9228B5C4-E46F-4967-BEFC-B3A2446B927A}"/>
    <cellStyle name="20% - Accent5 4 5 2 3" xfId="21890" xr:uid="{B88694D6-5206-4F47-A102-623C2EDCA4D9}"/>
    <cellStyle name="20% - Accent5 4 5 2 4" xfId="13450" xr:uid="{FC6BB251-1A2D-40C1-AA28-94CE7C1B2D44}"/>
    <cellStyle name="20% - Accent5 4 5 3" xfId="6196" xr:uid="{00000000-0005-0000-0000-00000A030000}"/>
    <cellStyle name="20% - Accent5 4 5 3 2" xfId="23962" xr:uid="{3EB856BB-8E7F-4C51-A906-F80CF25242F0}"/>
    <cellStyle name="20% - Accent5 4 5 3 3" xfId="15522" xr:uid="{7C79F3B9-6D78-4DDB-8317-8AEA8C31048F}"/>
    <cellStyle name="20% - Accent5 4 5 4" xfId="19745" xr:uid="{3F024270-02D1-40F8-8A02-252AE5475DBC}"/>
    <cellStyle name="20% - Accent5 4 5 5" xfId="11305" xr:uid="{290ACF7C-60DE-41B0-A341-AE20D4D5438F}"/>
    <cellStyle name="20% - Accent5 4 6" xfId="2303" xr:uid="{00000000-0005-0000-0000-00000B030000}"/>
    <cellStyle name="20% - Accent5 4 6 2" xfId="6609" xr:uid="{00000000-0005-0000-0000-00000C030000}"/>
    <cellStyle name="20% - Accent5 4 6 2 2" xfId="24375" xr:uid="{9167E564-810E-4592-BD94-BE3C2F98CBB4}"/>
    <cellStyle name="20% - Accent5 4 6 2 3" xfId="15935" xr:uid="{B626C8B7-F015-4188-A127-7E34628B2731}"/>
    <cellStyle name="20% - Accent5 4 6 3" xfId="20158" xr:uid="{4F6AE849-2C26-40CC-8DF6-30C6D06478CF}"/>
    <cellStyle name="20% - Accent5 4 6 4" xfId="11718" xr:uid="{04AFC757-521C-4265-A836-FF62DC8A7C2B}"/>
    <cellStyle name="20% - Accent5 4 7" xfId="4543" xr:uid="{00000000-0005-0000-0000-00000D030000}"/>
    <cellStyle name="20% - Accent5 4 7 2" xfId="22309" xr:uid="{17A2FF7A-AE2D-4644-BDCB-72DF9B42FDA2}"/>
    <cellStyle name="20% - Accent5 4 7 3" xfId="13869" xr:uid="{8A9E915B-E925-44E7-AC65-DF43A06B70A5}"/>
    <cellStyle name="20% - Accent5 4 8" xfId="8955" xr:uid="{8AD43D76-8747-44EC-8D3B-2720ADF9D1B1}"/>
    <cellStyle name="20% - Accent5 4 8 2" xfId="18092" xr:uid="{25C8E07B-D0C4-481B-A5D6-907948CCE5C1}"/>
    <cellStyle name="20% - Accent5 4 9" xfId="9652" xr:uid="{2DA241B9-7DD6-4AD4-A13E-76402C3C95AB}"/>
    <cellStyle name="20% - Accent5 5" xfId="602" xr:uid="{00000000-0005-0000-0000-00000E030000}"/>
    <cellStyle name="20% - Accent5 5 2" xfId="2873" xr:uid="{00000000-0005-0000-0000-00000F030000}"/>
    <cellStyle name="20% - Accent5 5 2 2" xfId="7095" xr:uid="{00000000-0005-0000-0000-000010030000}"/>
    <cellStyle name="20% - Accent5 5 2 2 2" xfId="24861" xr:uid="{3D9D59B1-FDE7-4881-86FA-CD777D3EFD97}"/>
    <cellStyle name="20% - Accent5 5 2 2 3" xfId="16421" xr:uid="{6F4E8314-0650-4AAE-B64C-28B5BBF9BD14}"/>
    <cellStyle name="20% - Accent5 5 2 3" xfId="20644" xr:uid="{CD6DF4F1-85B3-437C-809F-603A8719EFD4}"/>
    <cellStyle name="20% - Accent5 5 2 4" xfId="12204" xr:uid="{630B1CC9-85C4-40BE-9AE8-B39862C26D9E}"/>
    <cellStyle name="20% - Accent5 5 3" xfId="4950" xr:uid="{00000000-0005-0000-0000-000011030000}"/>
    <cellStyle name="20% - Accent5 5 3 2" xfId="22716" xr:uid="{D07447A6-07B6-4343-849F-8505ADB6B3F7}"/>
    <cellStyle name="20% - Accent5 5 3 3" xfId="14276" xr:uid="{E6E2158D-E67C-47A9-8E99-F88D08783F09}"/>
    <cellStyle name="20% - Accent5 5 4" xfId="9188" xr:uid="{164CF7CE-7706-426C-90AA-4867A06E28BD}"/>
    <cellStyle name="20% - Accent5 5 4 2" xfId="18499" xr:uid="{4DEBDA5C-D00B-4477-BBC2-04B3BC0EFA99}"/>
    <cellStyle name="20% - Accent5 5 5" xfId="10059" xr:uid="{51804BE1-2D12-4BA5-BB0E-C70F81F0A7D6}"/>
    <cellStyle name="20% - Accent5 6" xfId="1055" xr:uid="{00000000-0005-0000-0000-000012030000}"/>
    <cellStyle name="20% - Accent5 6 2" xfId="3286" xr:uid="{00000000-0005-0000-0000-000013030000}"/>
    <cellStyle name="20% - Accent5 6 2 2" xfId="7508" xr:uid="{00000000-0005-0000-0000-000014030000}"/>
    <cellStyle name="20% - Accent5 6 2 2 2" xfId="25274" xr:uid="{90B804EF-4B7C-4859-82D6-FE0750AF258E}"/>
    <cellStyle name="20% - Accent5 6 2 2 3" xfId="16834" xr:uid="{70E651CA-3E3A-49CA-85A9-0BCA9FBBAAE2}"/>
    <cellStyle name="20% - Accent5 6 2 3" xfId="21057" xr:uid="{1BCAF877-F5AF-41E3-BA31-07945898A63C}"/>
    <cellStyle name="20% - Accent5 6 2 4" xfId="12617" xr:uid="{8EA5A7EE-FA8B-4C6B-B76A-84FFD6015B6D}"/>
    <cellStyle name="20% - Accent5 6 3" xfId="5363" xr:uid="{00000000-0005-0000-0000-000015030000}"/>
    <cellStyle name="20% - Accent5 6 3 2" xfId="23129" xr:uid="{E0DB7A70-F0AD-4981-9D90-EBC550E40E38}"/>
    <cellStyle name="20% - Accent5 6 3 3" xfId="14689" xr:uid="{F6D8631F-F073-4CE6-B396-1268B96EAEDA}"/>
    <cellStyle name="20% - Accent5 6 4" xfId="18912" xr:uid="{9C6B32D3-DEDE-4E8A-94F8-0B6231CD2561}"/>
    <cellStyle name="20% - Accent5 6 5" xfId="10472" xr:uid="{03696C0B-9035-4F41-96A1-73FAEA29A2AC}"/>
    <cellStyle name="20% - Accent5 7" xfId="1469" xr:uid="{00000000-0005-0000-0000-000016030000}"/>
    <cellStyle name="20% - Accent5 7 2" xfId="3699" xr:uid="{00000000-0005-0000-0000-000017030000}"/>
    <cellStyle name="20% - Accent5 7 2 2" xfId="7921" xr:uid="{00000000-0005-0000-0000-000018030000}"/>
    <cellStyle name="20% - Accent5 7 2 2 2" xfId="25687" xr:uid="{1EB52304-A871-435B-8CE5-E8F45C468642}"/>
    <cellStyle name="20% - Accent5 7 2 2 3" xfId="17247" xr:uid="{E5A1128C-2920-4876-B0FB-593DEA2613CE}"/>
    <cellStyle name="20% - Accent5 7 2 3" xfId="21470" xr:uid="{4EA8A20C-8C02-4FBB-8FA2-5672260AE13D}"/>
    <cellStyle name="20% - Accent5 7 2 4" xfId="13030" xr:uid="{409E6A9B-54C0-4378-9F32-260B3B66267F}"/>
    <cellStyle name="20% - Accent5 7 3" xfId="5776" xr:uid="{00000000-0005-0000-0000-000019030000}"/>
    <cellStyle name="20% - Accent5 7 3 2" xfId="23542" xr:uid="{132A7DE8-AABD-4A9B-A3D2-DBDBD2AFC778}"/>
    <cellStyle name="20% - Accent5 7 3 3" xfId="15102" xr:uid="{3DCBB820-A9C5-4760-806B-043C44F2CC35}"/>
    <cellStyle name="20% - Accent5 7 4" xfId="19325" xr:uid="{FA20CBDD-4BEE-4DE6-9D63-840B7EEECE31}"/>
    <cellStyle name="20% - Accent5 7 5" xfId="10885" xr:uid="{B4D5BB6F-F173-47F0-9983-A332F37FF477}"/>
    <cellStyle name="20% - Accent5 8" xfId="1883" xr:uid="{00000000-0005-0000-0000-00001A030000}"/>
    <cellStyle name="20% - Accent5 8 2" xfId="4112" xr:uid="{00000000-0005-0000-0000-00001B030000}"/>
    <cellStyle name="20% - Accent5 8 2 2" xfId="8334" xr:uid="{00000000-0005-0000-0000-00001C030000}"/>
    <cellStyle name="20% - Accent5 8 2 2 2" xfId="26100" xr:uid="{198FF815-D69F-4E49-9FE6-7350540ED36B}"/>
    <cellStyle name="20% - Accent5 8 2 2 3" xfId="17660" xr:uid="{AF055760-AE5C-4F7E-88A5-F5BC2579D2BC}"/>
    <cellStyle name="20% - Accent5 8 2 3" xfId="21883" xr:uid="{14231351-A25D-4E90-84A2-DCAE56CC216C}"/>
    <cellStyle name="20% - Accent5 8 2 4" xfId="13443" xr:uid="{CC3B961F-F658-4868-A3B9-7D82C22F0F43}"/>
    <cellStyle name="20% - Accent5 8 3" xfId="6189" xr:uid="{00000000-0005-0000-0000-00001D030000}"/>
    <cellStyle name="20% - Accent5 8 3 2" xfId="23955" xr:uid="{D3256B16-35B2-4D00-A2EA-85FC451A8293}"/>
    <cellStyle name="20% - Accent5 8 3 3" xfId="15515" xr:uid="{0E697680-0C7A-4C18-B442-A4E0C5E7E567}"/>
    <cellStyle name="20% - Accent5 8 4" xfId="19738" xr:uid="{2D8703B2-B2A8-4BDB-8ACE-F4B7A297EA2C}"/>
    <cellStyle name="20% - Accent5 8 5" xfId="11298" xr:uid="{9E99CF83-00F9-413A-9CE3-0D792CE4D70D}"/>
    <cellStyle name="20% - Accent5 9" xfId="2296" xr:uid="{00000000-0005-0000-0000-00001E030000}"/>
    <cellStyle name="20% - Accent5 9 2" xfId="6602" xr:uid="{00000000-0005-0000-0000-00001F030000}"/>
    <cellStyle name="20% - Accent5 9 2 2" xfId="24368" xr:uid="{7A9D7ADA-8D76-4538-BE74-AE805ED20EBA}"/>
    <cellStyle name="20% - Accent5 9 2 3" xfId="15928" xr:uid="{464A13D2-636C-4AFE-A13C-446727B7F428}"/>
    <cellStyle name="20% - Accent5 9 3" xfId="20151" xr:uid="{0A604B98-4017-4CF7-8D9D-F781BA714DA6}"/>
    <cellStyle name="20% - Accent5 9 4" xfId="11711" xr:uid="{0330E2F2-1E93-49CC-A689-4EF968448491}"/>
    <cellStyle name="20% - Accent6" xfId="41" builtinId="50" customBuiltin="1"/>
    <cellStyle name="20% - Accent6 10" xfId="4544" xr:uid="{00000000-0005-0000-0000-000021030000}"/>
    <cellStyle name="20% - Accent6 10 2" xfId="22310" xr:uid="{63A8F3F0-2010-4425-997A-921490BBDF63}"/>
    <cellStyle name="20% - Accent6 10 3" xfId="13870" xr:uid="{260C2D20-33F8-43B7-A22B-64328DB712C5}"/>
    <cellStyle name="20% - Accent6 11" xfId="8768" xr:uid="{5A1F1293-A19F-445F-908A-D9DBB6265CA0}"/>
    <cellStyle name="20% - Accent6 11 2" xfId="18093" xr:uid="{E804D843-2AA9-48B4-B12D-1F2EE593B2C8}"/>
    <cellStyle name="20% - Accent6 12" xfId="9653" xr:uid="{924CA2C1-F5E3-4474-B920-D03A8A20A3CB}"/>
    <cellStyle name="20% - Accent6 2" xfId="42" xr:uid="{00000000-0005-0000-0000-000022030000}"/>
    <cellStyle name="20% - Accent6 2 10" xfId="8795" xr:uid="{9A35B19E-8802-437A-ABDC-7B06A4E07F58}"/>
    <cellStyle name="20% - Accent6 2 10 2" xfId="18094" xr:uid="{4AD10DB5-F149-45CA-A0DF-40C40EAACE52}"/>
    <cellStyle name="20% - Accent6 2 11" xfId="9654" xr:uid="{2CAB7C28-6E5F-44C3-861C-A5B68FB04B92}"/>
    <cellStyle name="20% - Accent6 2 2" xfId="43" xr:uid="{00000000-0005-0000-0000-000023030000}"/>
    <cellStyle name="20% - Accent6 2 2 10" xfId="9655" xr:uid="{9B41D872-7496-48F4-AFD4-C5ADD1865D1D}"/>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24872" xr:uid="{6E547D21-8A70-4752-A205-CB6965872D76}"/>
    <cellStyle name="20% - Accent6 2 2 2 2 2 2 3" xfId="16432" xr:uid="{F43B69DC-AB06-49C3-AE8A-7F73A71AF396}"/>
    <cellStyle name="20% - Accent6 2 2 2 2 2 3" xfId="20655" xr:uid="{810597E7-01D2-40C3-8394-615ED20BAAB5}"/>
    <cellStyle name="20% - Accent6 2 2 2 2 2 4" xfId="12215" xr:uid="{082DAE6D-694A-48E1-A60F-64A97BAB0FF0}"/>
    <cellStyle name="20% - Accent6 2 2 2 2 3" xfId="4961" xr:uid="{00000000-0005-0000-0000-000028030000}"/>
    <cellStyle name="20% - Accent6 2 2 2 2 3 2" xfId="22727" xr:uid="{CCE1FAB9-C757-4768-8A75-608F11390D14}"/>
    <cellStyle name="20% - Accent6 2 2 2 2 3 3" xfId="14287" xr:uid="{F993AC5B-37A0-47A7-BA29-DE7FAFB08C76}"/>
    <cellStyle name="20% - Accent6 2 2 2 2 4" xfId="9530" xr:uid="{AFD3EE0E-70EF-4C1B-B994-7B8E7E8187BC}"/>
    <cellStyle name="20% - Accent6 2 2 2 2 4 2" xfId="18510" xr:uid="{305071BF-3D74-49FD-9B4D-EA45829A5B87}"/>
    <cellStyle name="20% - Accent6 2 2 2 2 5" xfId="10070" xr:uid="{723FB53F-1578-485F-9812-AB1E982B81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25285" xr:uid="{EBA0F90C-C917-4026-B3A5-49E510CA31C9}"/>
    <cellStyle name="20% - Accent6 2 2 2 3 2 2 3" xfId="16845" xr:uid="{0D3A0332-185E-4F88-A3D5-9D28AF27ABF3}"/>
    <cellStyle name="20% - Accent6 2 2 2 3 2 3" xfId="21068" xr:uid="{DA28BDED-EFD5-4673-8EC7-80E68E65D158}"/>
    <cellStyle name="20% - Accent6 2 2 2 3 2 4" xfId="12628" xr:uid="{B2B3F71D-05E4-4575-B1D0-1DE880C84F2E}"/>
    <cellStyle name="20% - Accent6 2 2 2 3 3" xfId="5374" xr:uid="{00000000-0005-0000-0000-00002C030000}"/>
    <cellStyle name="20% - Accent6 2 2 2 3 3 2" xfId="23140" xr:uid="{2DDA1E5F-59E8-42ED-A031-0D5652E39802}"/>
    <cellStyle name="20% - Accent6 2 2 2 3 3 3" xfId="14700" xr:uid="{FAB273C5-5E72-42E7-8646-B90FD5D753E4}"/>
    <cellStyle name="20% - Accent6 2 2 2 3 4" xfId="18923" xr:uid="{C02A11BC-CBDE-47F9-A838-B4283DB57E54}"/>
    <cellStyle name="20% - Accent6 2 2 2 3 5" xfId="10483" xr:uid="{D52C535F-168C-4466-B650-D83AE7B1E4A3}"/>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25698" xr:uid="{E4AAFE99-170B-4FA9-9617-2047ECA96FF1}"/>
    <cellStyle name="20% - Accent6 2 2 2 4 2 2 3" xfId="17258" xr:uid="{145134FD-79C2-4444-BD4C-C6BB8235A668}"/>
    <cellStyle name="20% - Accent6 2 2 2 4 2 3" xfId="21481" xr:uid="{BADA459F-75D2-4570-A6C0-362B46ADB894}"/>
    <cellStyle name="20% - Accent6 2 2 2 4 2 4" xfId="13041" xr:uid="{5D395A45-118B-4E1C-80C8-EF79D3B9CEE7}"/>
    <cellStyle name="20% - Accent6 2 2 2 4 3" xfId="5787" xr:uid="{00000000-0005-0000-0000-000030030000}"/>
    <cellStyle name="20% - Accent6 2 2 2 4 3 2" xfId="23553" xr:uid="{297F856B-B2D4-48CB-9127-59D92657743C}"/>
    <cellStyle name="20% - Accent6 2 2 2 4 3 3" xfId="15113" xr:uid="{910F22D7-E418-404C-BD00-DCC0514F5717}"/>
    <cellStyle name="20% - Accent6 2 2 2 4 4" xfId="19336" xr:uid="{0256DA2B-4B3D-45CB-99F5-5662201ACD4E}"/>
    <cellStyle name="20% - Accent6 2 2 2 4 5" xfId="10896" xr:uid="{E6983BAF-41D5-4F41-8361-2D461429383D}"/>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26111" xr:uid="{EC72627E-CF5F-4E44-AA36-06419C277761}"/>
    <cellStyle name="20% - Accent6 2 2 2 5 2 2 3" xfId="17671" xr:uid="{77ACE53D-D740-4AA4-82D7-847E5F1476FA}"/>
    <cellStyle name="20% - Accent6 2 2 2 5 2 3" xfId="21894" xr:uid="{D324F4AD-A28D-4339-BBEC-F3F3D85E1A13}"/>
    <cellStyle name="20% - Accent6 2 2 2 5 2 4" xfId="13454" xr:uid="{37EC3DD7-67DA-4DED-8F35-EC36E4B67FE5}"/>
    <cellStyle name="20% - Accent6 2 2 2 5 3" xfId="6200" xr:uid="{00000000-0005-0000-0000-000034030000}"/>
    <cellStyle name="20% - Accent6 2 2 2 5 3 2" xfId="23966" xr:uid="{AA1C0A94-BDEF-43CC-A8FF-10CB44EB49D9}"/>
    <cellStyle name="20% - Accent6 2 2 2 5 3 3" xfId="15526" xr:uid="{F0CE5EC5-20C1-4C54-9078-14A038A5101E}"/>
    <cellStyle name="20% - Accent6 2 2 2 5 4" xfId="19749" xr:uid="{FC79741C-0FFF-4828-B13C-ED789CEB74F1}"/>
    <cellStyle name="20% - Accent6 2 2 2 5 5" xfId="11309" xr:uid="{C5F54620-76DC-4285-842B-265AEA92E2F9}"/>
    <cellStyle name="20% - Accent6 2 2 2 6" xfId="2307" xr:uid="{00000000-0005-0000-0000-000035030000}"/>
    <cellStyle name="20% - Accent6 2 2 2 6 2" xfId="6613" xr:uid="{00000000-0005-0000-0000-000036030000}"/>
    <cellStyle name="20% - Accent6 2 2 2 6 2 2" xfId="24379" xr:uid="{4C405278-3D90-470C-937E-167C313CB50F}"/>
    <cellStyle name="20% - Accent6 2 2 2 6 2 3" xfId="15939" xr:uid="{79CB2AE6-633B-4ADD-940B-A6F1F0BB03E3}"/>
    <cellStyle name="20% - Accent6 2 2 2 6 3" xfId="20162" xr:uid="{C9B8A1C2-5936-422E-826D-5560764DEA4D}"/>
    <cellStyle name="20% - Accent6 2 2 2 6 4" xfId="11722" xr:uid="{F0A984E0-ED3F-417F-8930-D7AD8201D5C1}"/>
    <cellStyle name="20% - Accent6 2 2 2 7" xfId="4547" xr:uid="{00000000-0005-0000-0000-000037030000}"/>
    <cellStyle name="20% - Accent6 2 2 2 7 2" xfId="22313" xr:uid="{A9262394-60D9-4A75-AEA8-BDE0F87F06F9}"/>
    <cellStyle name="20% - Accent6 2 2 2 7 3" xfId="13873" xr:uid="{0C8F9644-5E00-4765-A196-772923CD9DD2}"/>
    <cellStyle name="20% - Accent6 2 2 2 8" xfId="9105" xr:uid="{2D3B6B01-F2FB-4D08-A7F9-9902961EFB46}"/>
    <cellStyle name="20% - Accent6 2 2 2 8 2" xfId="18096" xr:uid="{C3C50FB9-18B9-46C0-8437-9C09245A346B}"/>
    <cellStyle name="20% - Accent6 2 2 2 9" xfId="9656" xr:uid="{6DB82B7E-27CD-4155-A8DD-C4160102FCD4}"/>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24871" xr:uid="{2899F8A5-AB7B-4C8D-8F27-B216D67F0D7A}"/>
    <cellStyle name="20% - Accent6 2 2 3 2 2 3" xfId="16431" xr:uid="{1A77A7A4-1EC2-440A-A0ED-586DE0FC3B2E}"/>
    <cellStyle name="20% - Accent6 2 2 3 2 3" xfId="20654" xr:uid="{308D42D7-6EB8-4563-8E68-307510C196CA}"/>
    <cellStyle name="20% - Accent6 2 2 3 2 4" xfId="12214" xr:uid="{3DEEF080-F002-4CD6-9139-6D442C19BF86}"/>
    <cellStyle name="20% - Accent6 2 2 3 3" xfId="4960" xr:uid="{00000000-0005-0000-0000-00003B030000}"/>
    <cellStyle name="20% - Accent6 2 2 3 3 2" xfId="22726" xr:uid="{E4CF275B-7172-479B-82C2-10233ED6BE6F}"/>
    <cellStyle name="20% - Accent6 2 2 3 3 3" xfId="14286" xr:uid="{2D521025-93FD-4B59-A757-84BAE2FE8DE3}"/>
    <cellStyle name="20% - Accent6 2 2 3 4" xfId="9323" xr:uid="{93CC3C58-EC1C-4AC6-8D02-E00EFD80A494}"/>
    <cellStyle name="20% - Accent6 2 2 3 4 2" xfId="18509" xr:uid="{B656FF5F-C5B1-49BF-88D5-DEDEAF7A3494}"/>
    <cellStyle name="20% - Accent6 2 2 3 5" xfId="10069" xr:uid="{39DB44F5-A19C-4DF6-A67D-95FADF05C619}"/>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25284" xr:uid="{4C077B0E-6D43-4DC1-A313-99661532A001}"/>
    <cellStyle name="20% - Accent6 2 2 4 2 2 3" xfId="16844" xr:uid="{2CD4E44B-1CC2-4EC8-8C7B-2DCC71CF8FCE}"/>
    <cellStyle name="20% - Accent6 2 2 4 2 3" xfId="21067" xr:uid="{FD5A413B-6D87-4110-BCC1-9C69DA2CE5CC}"/>
    <cellStyle name="20% - Accent6 2 2 4 2 4" xfId="12627" xr:uid="{CE9EA2F4-06EB-4D7A-9D19-93AB9972439D}"/>
    <cellStyle name="20% - Accent6 2 2 4 3" xfId="5373" xr:uid="{00000000-0005-0000-0000-00003F030000}"/>
    <cellStyle name="20% - Accent6 2 2 4 3 2" xfId="23139" xr:uid="{70C4BDBC-15E8-44E6-9527-B804B5606BB6}"/>
    <cellStyle name="20% - Accent6 2 2 4 3 3" xfId="14699" xr:uid="{DF606BB6-0148-448B-A5FE-6D3EAAE57532}"/>
    <cellStyle name="20% - Accent6 2 2 4 4" xfId="18922" xr:uid="{79446860-F3F6-431D-9CFC-459ACD29AC15}"/>
    <cellStyle name="20% - Accent6 2 2 4 5" xfId="10482" xr:uid="{95595AD9-DD73-4027-8EF0-8FEB19C82258}"/>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25697" xr:uid="{CEEB4108-5204-409D-8B45-646D5D4872FA}"/>
    <cellStyle name="20% - Accent6 2 2 5 2 2 3" xfId="17257" xr:uid="{C0E6FC22-76EE-4F30-9B54-104394E6B08C}"/>
    <cellStyle name="20% - Accent6 2 2 5 2 3" xfId="21480" xr:uid="{F6FF309A-3AE0-4A32-9CDE-4F8317672DD8}"/>
    <cellStyle name="20% - Accent6 2 2 5 2 4" xfId="13040" xr:uid="{5243C89D-787E-4A11-967A-D965565E4DBB}"/>
    <cellStyle name="20% - Accent6 2 2 5 3" xfId="5786" xr:uid="{00000000-0005-0000-0000-000043030000}"/>
    <cellStyle name="20% - Accent6 2 2 5 3 2" xfId="23552" xr:uid="{03820504-B0E5-442E-B763-7AED69342BC7}"/>
    <cellStyle name="20% - Accent6 2 2 5 3 3" xfId="15112" xr:uid="{292A5756-F4B5-4881-A3E4-DB4F65B29F8C}"/>
    <cellStyle name="20% - Accent6 2 2 5 4" xfId="19335" xr:uid="{0F67892B-623C-4BD5-B268-1091B500F459}"/>
    <cellStyle name="20% - Accent6 2 2 5 5" xfId="10895" xr:uid="{45DF027E-80C1-48C7-BED8-285604C192C7}"/>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26110" xr:uid="{92801A58-9474-42FE-81D6-C0048E948847}"/>
    <cellStyle name="20% - Accent6 2 2 6 2 2 3" xfId="17670" xr:uid="{0933DDEE-1424-40E4-AF17-D55666E51BE1}"/>
    <cellStyle name="20% - Accent6 2 2 6 2 3" xfId="21893" xr:uid="{5C8D6CF3-13C3-454B-BA63-F9EE343E6704}"/>
    <cellStyle name="20% - Accent6 2 2 6 2 4" xfId="13453" xr:uid="{380AB60E-2B67-4E4B-B751-9A0BE7E3D366}"/>
    <cellStyle name="20% - Accent6 2 2 6 3" xfId="6199" xr:uid="{00000000-0005-0000-0000-000047030000}"/>
    <cellStyle name="20% - Accent6 2 2 6 3 2" xfId="23965" xr:uid="{BCD66AE9-7DFE-49AE-A572-89C0FEE89C09}"/>
    <cellStyle name="20% - Accent6 2 2 6 3 3" xfId="15525" xr:uid="{298DEAF6-E8A2-4572-BFE5-28EE1CC0FDFC}"/>
    <cellStyle name="20% - Accent6 2 2 6 4" xfId="19748" xr:uid="{E1A1F4A6-9F39-45B1-AB1C-0FAC8A02EB02}"/>
    <cellStyle name="20% - Accent6 2 2 6 5" xfId="11308" xr:uid="{F573B74A-CD36-4CCF-A5A5-5ACC388012F8}"/>
    <cellStyle name="20% - Accent6 2 2 7" xfId="2306" xr:uid="{00000000-0005-0000-0000-000048030000}"/>
    <cellStyle name="20% - Accent6 2 2 7 2" xfId="6612" xr:uid="{00000000-0005-0000-0000-000049030000}"/>
    <cellStyle name="20% - Accent6 2 2 7 2 2" xfId="24378" xr:uid="{82889121-0627-4E7F-9015-F4F984D1584C}"/>
    <cellStyle name="20% - Accent6 2 2 7 2 3" xfId="15938" xr:uid="{82AF2B7C-CCBD-4B92-A1EB-2BA7054C9BE2}"/>
    <cellStyle name="20% - Accent6 2 2 7 3" xfId="20161" xr:uid="{8ECCC4E8-A19C-4F49-8223-19B1ACCB2D56}"/>
    <cellStyle name="20% - Accent6 2 2 7 4" xfId="11721" xr:uid="{25E89C2B-9C82-46A2-AA9E-1CEF50F6D579}"/>
    <cellStyle name="20% - Accent6 2 2 8" xfId="4546" xr:uid="{00000000-0005-0000-0000-00004A030000}"/>
    <cellStyle name="20% - Accent6 2 2 8 2" xfId="22312" xr:uid="{1EDFCEE3-C653-4E7B-A2B7-B2022DB07DC9}"/>
    <cellStyle name="20% - Accent6 2 2 8 3" xfId="13872" xr:uid="{EEA4D405-6807-46E8-988E-57EFA3C1790B}"/>
    <cellStyle name="20% - Accent6 2 2 9" xfId="8898" xr:uid="{88686F75-037F-4072-9BDC-942546C51E8F}"/>
    <cellStyle name="20% - Accent6 2 2 9 2" xfId="18095" xr:uid="{5755279F-A7D7-4B55-A9BA-D1641EB71A9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24873" xr:uid="{B9E02871-3297-48DC-86C1-A0C2A3EB4BE0}"/>
    <cellStyle name="20% - Accent6 2 3 2 2 2 3" xfId="16433" xr:uid="{90401637-3269-4219-A9CD-C962344021C2}"/>
    <cellStyle name="20% - Accent6 2 3 2 2 3" xfId="20656" xr:uid="{54D3FE4A-D40F-49D7-98AF-FBA30AE79616}"/>
    <cellStyle name="20% - Accent6 2 3 2 2 4" xfId="12216" xr:uid="{9D7ED87D-EF98-4FE2-B4C9-4B60E305E325}"/>
    <cellStyle name="20% - Accent6 2 3 2 3" xfId="4962" xr:uid="{00000000-0005-0000-0000-00004F030000}"/>
    <cellStyle name="20% - Accent6 2 3 2 3 2" xfId="22728" xr:uid="{025DD466-0C98-4E26-A702-475A99092B94}"/>
    <cellStyle name="20% - Accent6 2 3 2 3 3" xfId="14288" xr:uid="{F803ADD1-26BC-47CE-BA90-C5A9A293FA09}"/>
    <cellStyle name="20% - Accent6 2 3 2 4" xfId="9427" xr:uid="{009378B6-C0A8-4C7C-A9A2-F91104842D93}"/>
    <cellStyle name="20% - Accent6 2 3 2 4 2" xfId="18511" xr:uid="{90715D1B-CE62-4513-9C4A-D410FA4E42C8}"/>
    <cellStyle name="20% - Accent6 2 3 2 5" xfId="10071" xr:uid="{5B4803E4-DBE6-48C7-B93F-6D74EF14388C}"/>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25286" xr:uid="{C9BC91DA-BFC9-48D5-849E-92B64AF8F658}"/>
    <cellStyle name="20% - Accent6 2 3 3 2 2 3" xfId="16846" xr:uid="{6D0C3EEA-88F4-4AA9-8A82-A59E72CE5AF1}"/>
    <cellStyle name="20% - Accent6 2 3 3 2 3" xfId="21069" xr:uid="{895518EC-151F-45CC-85F8-E36319AAB0C4}"/>
    <cellStyle name="20% - Accent6 2 3 3 2 4" xfId="12629" xr:uid="{1889903B-F7A0-4F8A-9AA1-39772ACB8EE4}"/>
    <cellStyle name="20% - Accent6 2 3 3 3" xfId="5375" xr:uid="{00000000-0005-0000-0000-000053030000}"/>
    <cellStyle name="20% - Accent6 2 3 3 3 2" xfId="23141" xr:uid="{A55CF0C9-77F7-4F92-AE17-301A27FC2C37}"/>
    <cellStyle name="20% - Accent6 2 3 3 3 3" xfId="14701" xr:uid="{558DE1E0-D331-4625-A0C2-F2F013D651A1}"/>
    <cellStyle name="20% - Accent6 2 3 3 4" xfId="18924" xr:uid="{600F8943-5E2D-4D0B-9312-A02447AB989E}"/>
    <cellStyle name="20% - Accent6 2 3 3 5" xfId="10484" xr:uid="{8E1B58C0-7C0A-4928-8036-B17B1E21F798}"/>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25699" xr:uid="{8A157D61-C4E0-48E7-AEB4-32FDE8F8B5DC}"/>
    <cellStyle name="20% - Accent6 2 3 4 2 2 3" xfId="17259" xr:uid="{DE8E205C-17E6-440B-B739-7A8EDF1AC614}"/>
    <cellStyle name="20% - Accent6 2 3 4 2 3" xfId="21482" xr:uid="{50A0F112-BDB5-4CCE-BF71-E7CE61BBFF1C}"/>
    <cellStyle name="20% - Accent6 2 3 4 2 4" xfId="13042" xr:uid="{91EED332-54E2-4DC7-A585-3F0DFEBA9635}"/>
    <cellStyle name="20% - Accent6 2 3 4 3" xfId="5788" xr:uid="{00000000-0005-0000-0000-000057030000}"/>
    <cellStyle name="20% - Accent6 2 3 4 3 2" xfId="23554" xr:uid="{EE7EAB44-8077-4CB8-9994-F3A0CB5F914D}"/>
    <cellStyle name="20% - Accent6 2 3 4 3 3" xfId="15114" xr:uid="{E1CFC245-C0EF-4A49-885E-A7F443CDCE35}"/>
    <cellStyle name="20% - Accent6 2 3 4 4" xfId="19337" xr:uid="{CA6AED90-CE32-4036-B314-3777F01EB846}"/>
    <cellStyle name="20% - Accent6 2 3 4 5" xfId="10897" xr:uid="{390F8853-789E-4356-BF7F-8EF9F6DD81E4}"/>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26112" xr:uid="{E2038C8B-CA5D-4F23-A352-6CA206192060}"/>
    <cellStyle name="20% - Accent6 2 3 5 2 2 3" xfId="17672" xr:uid="{6434716A-1172-40A9-8344-A9B98AC78D0B}"/>
    <cellStyle name="20% - Accent6 2 3 5 2 3" xfId="21895" xr:uid="{B40851CF-F75C-4D92-99E5-F5358D3173EE}"/>
    <cellStyle name="20% - Accent6 2 3 5 2 4" xfId="13455" xr:uid="{E6C52552-7CCF-457D-A34D-114C760CDA49}"/>
    <cellStyle name="20% - Accent6 2 3 5 3" xfId="6201" xr:uid="{00000000-0005-0000-0000-00005B030000}"/>
    <cellStyle name="20% - Accent6 2 3 5 3 2" xfId="23967" xr:uid="{84C760D3-1F94-4D9D-A2F1-B551B9E51120}"/>
    <cellStyle name="20% - Accent6 2 3 5 3 3" xfId="15527" xr:uid="{F3466EF0-9A05-4550-8D0F-8A5B23412CA2}"/>
    <cellStyle name="20% - Accent6 2 3 5 4" xfId="19750" xr:uid="{51603A7C-F04F-4316-94B5-F466B8F83A75}"/>
    <cellStyle name="20% - Accent6 2 3 5 5" xfId="11310" xr:uid="{9B99BBC7-F62A-475A-A0DD-A348E7651765}"/>
    <cellStyle name="20% - Accent6 2 3 6" xfId="2308" xr:uid="{00000000-0005-0000-0000-00005C030000}"/>
    <cellStyle name="20% - Accent6 2 3 6 2" xfId="6614" xr:uid="{00000000-0005-0000-0000-00005D030000}"/>
    <cellStyle name="20% - Accent6 2 3 6 2 2" xfId="24380" xr:uid="{79DB7127-BFB5-45C3-B0E3-A1B3FBD4BBAC}"/>
    <cellStyle name="20% - Accent6 2 3 6 2 3" xfId="15940" xr:uid="{85444BA3-35EE-40C5-9112-2532D68A0854}"/>
    <cellStyle name="20% - Accent6 2 3 6 3" xfId="20163" xr:uid="{E0D0FC77-2113-4DA8-B37C-87D8D270A886}"/>
    <cellStyle name="20% - Accent6 2 3 6 4" xfId="11723" xr:uid="{E3D4484D-A6E5-4B61-AAC7-1C774E048687}"/>
    <cellStyle name="20% - Accent6 2 3 7" xfId="4548" xr:uid="{00000000-0005-0000-0000-00005E030000}"/>
    <cellStyle name="20% - Accent6 2 3 7 2" xfId="22314" xr:uid="{BA824054-082C-450C-8ACE-0C8570EC4435}"/>
    <cellStyle name="20% - Accent6 2 3 7 3" xfId="13874" xr:uid="{4A31F337-234B-4288-97BE-C304A011CCBF}"/>
    <cellStyle name="20% - Accent6 2 3 8" xfId="9002" xr:uid="{F69877AB-868C-474F-8F88-C5F2F1F2C041}"/>
    <cellStyle name="20% - Accent6 2 3 8 2" xfId="18097" xr:uid="{8F3B18CA-FA63-469D-9913-927F79AA4978}"/>
    <cellStyle name="20% - Accent6 2 3 9" xfId="9657" xr:uid="{05403523-74DE-493C-8AEA-7D19A9AD9DD6}"/>
    <cellStyle name="20% - Accent6 2 4" xfId="611" xr:uid="{00000000-0005-0000-0000-00005F030000}"/>
    <cellStyle name="20% - Accent6 2 4 2" xfId="2882" xr:uid="{00000000-0005-0000-0000-000060030000}"/>
    <cellStyle name="20% - Accent6 2 4 2 2" xfId="7104" xr:uid="{00000000-0005-0000-0000-000061030000}"/>
    <cellStyle name="20% - Accent6 2 4 2 2 2" xfId="24870" xr:uid="{59462DCA-C9AB-4BA4-99E9-9FD254C5E973}"/>
    <cellStyle name="20% - Accent6 2 4 2 2 3" xfId="16430" xr:uid="{16454FDE-0AD5-46A3-875E-EA47D3229118}"/>
    <cellStyle name="20% - Accent6 2 4 2 3" xfId="20653" xr:uid="{43451EBE-26A9-4A6D-9588-101618A3161E}"/>
    <cellStyle name="20% - Accent6 2 4 2 4" xfId="12213" xr:uid="{A7D3BCDB-A7F4-4FCF-9A7F-73CE6C2E0EE1}"/>
    <cellStyle name="20% - Accent6 2 4 3" xfId="4959" xr:uid="{00000000-0005-0000-0000-000062030000}"/>
    <cellStyle name="20% - Accent6 2 4 3 2" xfId="22725" xr:uid="{67E077FB-A02F-4F9A-841D-17599AB5BA00}"/>
    <cellStyle name="20% - Accent6 2 4 3 3" xfId="14285" xr:uid="{E2ACCE3B-84FC-4351-8D80-2473568260B5}"/>
    <cellStyle name="20% - Accent6 2 4 4" xfId="9219" xr:uid="{C8AD75F8-261B-45C4-93F0-0E0A49EEEF79}"/>
    <cellStyle name="20% - Accent6 2 4 4 2" xfId="18508" xr:uid="{04E4A2F7-F41B-4ABA-B69B-E4E55C248FC2}"/>
    <cellStyle name="20% - Accent6 2 4 5" xfId="10068" xr:uid="{ED9ADB23-8025-4D54-911C-E7F632541E73}"/>
    <cellStyle name="20% - Accent6 2 5" xfId="1064" xr:uid="{00000000-0005-0000-0000-000063030000}"/>
    <cellStyle name="20% - Accent6 2 5 2" xfId="3295" xr:uid="{00000000-0005-0000-0000-000064030000}"/>
    <cellStyle name="20% - Accent6 2 5 2 2" xfId="7517" xr:uid="{00000000-0005-0000-0000-000065030000}"/>
    <cellStyle name="20% - Accent6 2 5 2 2 2" xfId="25283" xr:uid="{EB610162-CDC2-4F6F-A160-9EED9077BB31}"/>
    <cellStyle name="20% - Accent6 2 5 2 2 3" xfId="16843" xr:uid="{3B8CDBBE-BF2B-436D-AC86-17F7862A2E4A}"/>
    <cellStyle name="20% - Accent6 2 5 2 3" xfId="21066" xr:uid="{92D2772D-BDAA-4D1B-8EE7-EBDDAE488159}"/>
    <cellStyle name="20% - Accent6 2 5 2 4" xfId="12626" xr:uid="{FD6654EF-5D58-469B-8FCB-9EA50DB0B2AA}"/>
    <cellStyle name="20% - Accent6 2 5 3" xfId="5372" xr:uid="{00000000-0005-0000-0000-000066030000}"/>
    <cellStyle name="20% - Accent6 2 5 3 2" xfId="23138" xr:uid="{4AF7AD6C-409D-4F7D-86BE-32221B484771}"/>
    <cellStyle name="20% - Accent6 2 5 3 3" xfId="14698" xr:uid="{8D71DAE5-3946-4062-912D-CDC169714E3B}"/>
    <cellStyle name="20% - Accent6 2 5 4" xfId="18921" xr:uid="{0D65EA43-3A98-4D6A-89A7-A97CC70EE5FD}"/>
    <cellStyle name="20% - Accent6 2 5 5" xfId="10481" xr:uid="{0F8C4F2C-8591-464C-B5CE-453BD53A5533}"/>
    <cellStyle name="20% - Accent6 2 6" xfId="1478" xr:uid="{00000000-0005-0000-0000-000067030000}"/>
    <cellStyle name="20% - Accent6 2 6 2" xfId="3708" xr:uid="{00000000-0005-0000-0000-000068030000}"/>
    <cellStyle name="20% - Accent6 2 6 2 2" xfId="7930" xr:uid="{00000000-0005-0000-0000-000069030000}"/>
    <cellStyle name="20% - Accent6 2 6 2 2 2" xfId="25696" xr:uid="{E8D7E82F-C20F-4E3C-922F-EBD13DFD1E6D}"/>
    <cellStyle name="20% - Accent6 2 6 2 2 3" xfId="17256" xr:uid="{513EBFE5-3117-492C-9391-7295F751DD8A}"/>
    <cellStyle name="20% - Accent6 2 6 2 3" xfId="21479" xr:uid="{8957A6AE-EAF3-4310-9861-3626B77FD6FB}"/>
    <cellStyle name="20% - Accent6 2 6 2 4" xfId="13039" xr:uid="{38194A72-AF17-4BD3-A1BA-C8D3874E47B8}"/>
    <cellStyle name="20% - Accent6 2 6 3" xfId="5785" xr:uid="{00000000-0005-0000-0000-00006A030000}"/>
    <cellStyle name="20% - Accent6 2 6 3 2" xfId="23551" xr:uid="{1B8F7667-0845-4FDA-BE46-2E5F46F1A7D7}"/>
    <cellStyle name="20% - Accent6 2 6 3 3" xfId="15111" xr:uid="{0901495F-3A0A-46A2-868C-27F27E9B6B91}"/>
    <cellStyle name="20% - Accent6 2 6 4" xfId="19334" xr:uid="{5229BFC3-AA30-45EF-88C9-92EC5A57E5AD}"/>
    <cellStyle name="20% - Accent6 2 6 5" xfId="10894" xr:uid="{E7AD69BC-299D-4E13-BB06-E82AEC4A0AD7}"/>
    <cellStyle name="20% - Accent6 2 7" xfId="1892" xr:uid="{00000000-0005-0000-0000-00006B030000}"/>
    <cellStyle name="20% - Accent6 2 7 2" xfId="4121" xr:uid="{00000000-0005-0000-0000-00006C030000}"/>
    <cellStyle name="20% - Accent6 2 7 2 2" xfId="8343" xr:uid="{00000000-0005-0000-0000-00006D030000}"/>
    <cellStyle name="20% - Accent6 2 7 2 2 2" xfId="26109" xr:uid="{60D15377-1A7E-4053-901D-8093A1985BBE}"/>
    <cellStyle name="20% - Accent6 2 7 2 2 3" xfId="17669" xr:uid="{A75DD153-C403-4743-8F7F-8C3A10C00687}"/>
    <cellStyle name="20% - Accent6 2 7 2 3" xfId="21892" xr:uid="{B93F39B1-3325-482B-BDAE-0C100DE66916}"/>
    <cellStyle name="20% - Accent6 2 7 2 4" xfId="13452" xr:uid="{F3A6FD84-EDED-4E48-B973-A33851412D50}"/>
    <cellStyle name="20% - Accent6 2 7 3" xfId="6198" xr:uid="{00000000-0005-0000-0000-00006E030000}"/>
    <cellStyle name="20% - Accent6 2 7 3 2" xfId="23964" xr:uid="{320CAAA6-E8A2-4728-BE84-0C246771666E}"/>
    <cellStyle name="20% - Accent6 2 7 3 3" xfId="15524" xr:uid="{10D3BD44-19BB-4324-AE0D-279675CFE636}"/>
    <cellStyle name="20% - Accent6 2 7 4" xfId="19747" xr:uid="{8917C4AA-247E-4E60-A167-AB18B503DA45}"/>
    <cellStyle name="20% - Accent6 2 7 5" xfId="11307" xr:uid="{974F5F40-D256-4DC5-9BBD-D5C4F9855D78}"/>
    <cellStyle name="20% - Accent6 2 8" xfId="2305" xr:uid="{00000000-0005-0000-0000-00006F030000}"/>
    <cellStyle name="20% - Accent6 2 8 2" xfId="6611" xr:uid="{00000000-0005-0000-0000-000070030000}"/>
    <cellStyle name="20% - Accent6 2 8 2 2" xfId="24377" xr:uid="{476C6E1F-BA49-4E17-9485-0CBF9C0A1A87}"/>
    <cellStyle name="20% - Accent6 2 8 2 3" xfId="15937" xr:uid="{654E9BCF-14CB-4964-96A8-933D0D920C3E}"/>
    <cellStyle name="20% - Accent6 2 8 3" xfId="20160" xr:uid="{5FF4050A-12AA-4021-A240-4CE77A3E6707}"/>
    <cellStyle name="20% - Accent6 2 8 4" xfId="11720" xr:uid="{513BB3EF-A5E7-4A1B-807B-8AB748B8484F}"/>
    <cellStyle name="20% - Accent6 2 9" xfId="4545" xr:uid="{00000000-0005-0000-0000-000071030000}"/>
    <cellStyle name="20% - Accent6 2 9 2" xfId="22311" xr:uid="{5498C611-26B5-4B38-A47F-D6B70EAE54AA}"/>
    <cellStyle name="20% - Accent6 2 9 3" xfId="13871" xr:uid="{70CF8808-DD50-40E4-9EB8-351511CDFA20}"/>
    <cellStyle name="20% - Accent6 3" xfId="46" xr:uid="{00000000-0005-0000-0000-000072030000}"/>
    <cellStyle name="20% - Accent6 3 10" xfId="9658" xr:uid="{5D52A93F-27EB-404A-8D6B-CBB863C63EDB}"/>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24875" xr:uid="{3A8247BC-6799-4CDD-B149-0AB1DE5B47B6}"/>
    <cellStyle name="20% - Accent6 3 2 2 2 2 3" xfId="16435" xr:uid="{CA5434FC-1EF1-42F5-AEE7-B7164A00901D}"/>
    <cellStyle name="20% - Accent6 3 2 2 2 3" xfId="20658" xr:uid="{83A74CCE-5076-436E-9392-EABB8872BD33}"/>
    <cellStyle name="20% - Accent6 3 2 2 2 4" xfId="12218" xr:uid="{A447DD73-EA16-439C-9F37-E9DB4849779A}"/>
    <cellStyle name="20% - Accent6 3 2 2 3" xfId="4964" xr:uid="{00000000-0005-0000-0000-000077030000}"/>
    <cellStyle name="20% - Accent6 3 2 2 3 2" xfId="22730" xr:uid="{B9EFE790-5C88-4F52-B734-96DEF698A5A2}"/>
    <cellStyle name="20% - Accent6 3 2 2 3 3" xfId="14290" xr:uid="{B44CB0B8-5B17-4FB3-A154-F3E57F37B294}"/>
    <cellStyle name="20% - Accent6 3 2 2 4" xfId="9503" xr:uid="{A5A3EDF8-16EA-4A86-8795-C3BA46FE244A}"/>
    <cellStyle name="20% - Accent6 3 2 2 4 2" xfId="18513" xr:uid="{B6BB2664-7B72-45E3-97F4-DE6EADEB876F}"/>
    <cellStyle name="20% - Accent6 3 2 2 5" xfId="10073" xr:uid="{4C55E346-04CE-43FC-B892-1AC812ABD473}"/>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25288" xr:uid="{420F50D8-35CE-4444-AB53-36F9577E5438}"/>
    <cellStyle name="20% - Accent6 3 2 3 2 2 3" xfId="16848" xr:uid="{102CCBAE-DBA7-4873-B07B-6B6A82E5E398}"/>
    <cellStyle name="20% - Accent6 3 2 3 2 3" xfId="21071" xr:uid="{BA795ED8-7093-42CD-9ADF-A279B65B44B7}"/>
    <cellStyle name="20% - Accent6 3 2 3 2 4" xfId="12631" xr:uid="{F267CC35-3FCF-4263-88D2-6071E0BAFA93}"/>
    <cellStyle name="20% - Accent6 3 2 3 3" xfId="5377" xr:uid="{00000000-0005-0000-0000-00007B030000}"/>
    <cellStyle name="20% - Accent6 3 2 3 3 2" xfId="23143" xr:uid="{FF535BDC-448C-41F2-9E78-6E1FC8A4E048}"/>
    <cellStyle name="20% - Accent6 3 2 3 3 3" xfId="14703" xr:uid="{0932E444-C4B5-43D2-AA91-6185E5CEC6F6}"/>
    <cellStyle name="20% - Accent6 3 2 3 4" xfId="18926" xr:uid="{3AC401E7-076A-4C70-9238-96CF26BD469E}"/>
    <cellStyle name="20% - Accent6 3 2 3 5" xfId="10486" xr:uid="{FDB45EA9-E856-4B75-AA6C-2E91DA4EC576}"/>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25701" xr:uid="{6CE574B0-247F-4F16-A3FB-DF0B16E09694}"/>
    <cellStyle name="20% - Accent6 3 2 4 2 2 3" xfId="17261" xr:uid="{95E02405-1EB5-4726-866E-5870DEA9C13F}"/>
    <cellStyle name="20% - Accent6 3 2 4 2 3" xfId="21484" xr:uid="{A97FBB1A-11E8-48A0-AD85-6C29D5C97F44}"/>
    <cellStyle name="20% - Accent6 3 2 4 2 4" xfId="13044" xr:uid="{D4E1C8E6-D64B-450F-A75C-6E0233E8418D}"/>
    <cellStyle name="20% - Accent6 3 2 4 3" xfId="5790" xr:uid="{00000000-0005-0000-0000-00007F030000}"/>
    <cellStyle name="20% - Accent6 3 2 4 3 2" xfId="23556" xr:uid="{968B3000-D3C4-4E3F-B2B0-65AD53776ED7}"/>
    <cellStyle name="20% - Accent6 3 2 4 3 3" xfId="15116" xr:uid="{5C607064-CBAF-46BB-8021-99C1896F91B4}"/>
    <cellStyle name="20% - Accent6 3 2 4 4" xfId="19339" xr:uid="{8F6B253F-FCEB-4C38-82BB-907889D31090}"/>
    <cellStyle name="20% - Accent6 3 2 4 5" xfId="10899" xr:uid="{A638A339-E585-4FBE-A2AE-E826CCAB3E4C}"/>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26114" xr:uid="{8255675A-FC6E-403C-ACFD-9A94AAA94FB0}"/>
    <cellStyle name="20% - Accent6 3 2 5 2 2 3" xfId="17674" xr:uid="{4BA4495E-E698-4D7A-BFE8-27A1B233C5FC}"/>
    <cellStyle name="20% - Accent6 3 2 5 2 3" xfId="21897" xr:uid="{2D0C06DB-131E-4B7B-B97F-696D37DD5C0A}"/>
    <cellStyle name="20% - Accent6 3 2 5 2 4" xfId="13457" xr:uid="{35E3FA52-57E0-4664-85A5-B4793C935AAF}"/>
    <cellStyle name="20% - Accent6 3 2 5 3" xfId="6203" xr:uid="{00000000-0005-0000-0000-000083030000}"/>
    <cellStyle name="20% - Accent6 3 2 5 3 2" xfId="23969" xr:uid="{AD3AB921-BFCC-4760-93FF-F0D9BFADC744}"/>
    <cellStyle name="20% - Accent6 3 2 5 3 3" xfId="15529" xr:uid="{8D3B9EA3-2B84-414F-B87D-C53BE0DACED5}"/>
    <cellStyle name="20% - Accent6 3 2 5 4" xfId="19752" xr:uid="{554DAA0C-1986-4DA9-B522-61AA267B3405}"/>
    <cellStyle name="20% - Accent6 3 2 5 5" xfId="11312" xr:uid="{B4E61F23-3A9C-4022-BB35-7C6A4C871359}"/>
    <cellStyle name="20% - Accent6 3 2 6" xfId="2310" xr:uid="{00000000-0005-0000-0000-000084030000}"/>
    <cellStyle name="20% - Accent6 3 2 6 2" xfId="6616" xr:uid="{00000000-0005-0000-0000-000085030000}"/>
    <cellStyle name="20% - Accent6 3 2 6 2 2" xfId="24382" xr:uid="{7D818AD5-B099-490D-A738-5CDB43F57E4A}"/>
    <cellStyle name="20% - Accent6 3 2 6 2 3" xfId="15942" xr:uid="{F8A9D763-F3B0-4ACB-B799-884A728F09D6}"/>
    <cellStyle name="20% - Accent6 3 2 6 3" xfId="20165" xr:uid="{9190DF94-BD6C-4733-BAF7-B2FCDD739288}"/>
    <cellStyle name="20% - Accent6 3 2 6 4" xfId="11725" xr:uid="{5C0E5E1E-6C66-4482-8630-D3ADE5954D8F}"/>
    <cellStyle name="20% - Accent6 3 2 7" xfId="4550" xr:uid="{00000000-0005-0000-0000-000086030000}"/>
    <cellStyle name="20% - Accent6 3 2 7 2" xfId="22316" xr:uid="{A81AE6DA-AEB2-4EBD-BEBC-DB7BDBBA0A0E}"/>
    <cellStyle name="20% - Accent6 3 2 7 3" xfId="13876" xr:uid="{10528199-631E-4F18-9F8C-92220980D007}"/>
    <cellStyle name="20% - Accent6 3 2 8" xfId="9078" xr:uid="{55C63253-C10A-44F0-A9A1-D3E9AD1B1E77}"/>
    <cellStyle name="20% - Accent6 3 2 8 2" xfId="18099" xr:uid="{B61F234A-B535-44B8-8EE8-EC9ECF4A0C02}"/>
    <cellStyle name="20% - Accent6 3 2 9" xfId="9659" xr:uid="{28889485-ABA9-4F87-B8AE-E966FF8B03C5}"/>
    <cellStyle name="20% - Accent6 3 3" xfId="615" xr:uid="{00000000-0005-0000-0000-000087030000}"/>
    <cellStyle name="20% - Accent6 3 3 2" xfId="2886" xr:uid="{00000000-0005-0000-0000-000088030000}"/>
    <cellStyle name="20% - Accent6 3 3 2 2" xfId="7108" xr:uid="{00000000-0005-0000-0000-000089030000}"/>
    <cellStyle name="20% - Accent6 3 3 2 2 2" xfId="24874" xr:uid="{E32ACA4D-6BE8-43B6-9242-3E4E63F89133}"/>
    <cellStyle name="20% - Accent6 3 3 2 2 3" xfId="16434" xr:uid="{B47EF094-A424-464A-9F43-B0410F8F3D51}"/>
    <cellStyle name="20% - Accent6 3 3 2 3" xfId="20657" xr:uid="{13B4DDD5-B197-4212-8BCA-E385DE5A3630}"/>
    <cellStyle name="20% - Accent6 3 3 2 4" xfId="12217" xr:uid="{A8002C03-75AB-42BA-9850-59561856D5A4}"/>
    <cellStyle name="20% - Accent6 3 3 3" xfId="4963" xr:uid="{00000000-0005-0000-0000-00008A030000}"/>
    <cellStyle name="20% - Accent6 3 3 3 2" xfId="22729" xr:uid="{93AC164F-4674-405A-BDC3-B7EFE00068E4}"/>
    <cellStyle name="20% - Accent6 3 3 3 3" xfId="14289" xr:uid="{CDFF32B2-0BAB-4514-81D2-8645FFAF426D}"/>
    <cellStyle name="20% - Accent6 3 3 4" xfId="9296" xr:uid="{68DBDAD1-945F-459A-93CE-56D312D1EDE4}"/>
    <cellStyle name="20% - Accent6 3 3 4 2" xfId="18512" xr:uid="{C0533141-7B48-4613-9472-76E0B9B3AD8C}"/>
    <cellStyle name="20% - Accent6 3 3 5" xfId="10072" xr:uid="{56E4931C-92C1-4F74-9C58-814D558D3A3A}"/>
    <cellStyle name="20% - Accent6 3 4" xfId="1068" xr:uid="{00000000-0005-0000-0000-00008B030000}"/>
    <cellStyle name="20% - Accent6 3 4 2" xfId="3299" xr:uid="{00000000-0005-0000-0000-00008C030000}"/>
    <cellStyle name="20% - Accent6 3 4 2 2" xfId="7521" xr:uid="{00000000-0005-0000-0000-00008D030000}"/>
    <cellStyle name="20% - Accent6 3 4 2 2 2" xfId="25287" xr:uid="{8BC023A4-CB5F-4670-919A-8959430175D4}"/>
    <cellStyle name="20% - Accent6 3 4 2 2 3" xfId="16847" xr:uid="{B412B60C-2770-464C-8095-C902CA343DA3}"/>
    <cellStyle name="20% - Accent6 3 4 2 3" xfId="21070" xr:uid="{93260C70-83ED-496C-9A0B-05F780F33696}"/>
    <cellStyle name="20% - Accent6 3 4 2 4" xfId="12630" xr:uid="{2B28B568-5B0A-4E0E-9747-926F3A9131AE}"/>
    <cellStyle name="20% - Accent6 3 4 3" xfId="5376" xr:uid="{00000000-0005-0000-0000-00008E030000}"/>
    <cellStyle name="20% - Accent6 3 4 3 2" xfId="23142" xr:uid="{F63E7067-6CFD-417E-8A87-C246FD367C9E}"/>
    <cellStyle name="20% - Accent6 3 4 3 3" xfId="14702" xr:uid="{FA9A9AF6-CF53-47AE-8D98-0D2BF96E400D}"/>
    <cellStyle name="20% - Accent6 3 4 4" xfId="18925" xr:uid="{05E3E75A-4EBC-4FB2-B7E4-FE4C7958ADB0}"/>
    <cellStyle name="20% - Accent6 3 4 5" xfId="10485" xr:uid="{5D2E63C6-94CD-4B0D-AE1B-442B9296C967}"/>
    <cellStyle name="20% - Accent6 3 5" xfId="1482" xr:uid="{00000000-0005-0000-0000-00008F030000}"/>
    <cellStyle name="20% - Accent6 3 5 2" xfId="3712" xr:uid="{00000000-0005-0000-0000-000090030000}"/>
    <cellStyle name="20% - Accent6 3 5 2 2" xfId="7934" xr:uid="{00000000-0005-0000-0000-000091030000}"/>
    <cellStyle name="20% - Accent6 3 5 2 2 2" xfId="25700" xr:uid="{3F055225-D1D5-44C4-9D77-540219CBD170}"/>
    <cellStyle name="20% - Accent6 3 5 2 2 3" xfId="17260" xr:uid="{83965D13-FD6C-4016-8839-78343B0172D8}"/>
    <cellStyle name="20% - Accent6 3 5 2 3" xfId="21483" xr:uid="{DE4131E9-3E2D-42A3-B138-A4250D6AB983}"/>
    <cellStyle name="20% - Accent6 3 5 2 4" xfId="13043" xr:uid="{1E0AD951-2C48-47EE-BEE2-AC74A8012A3C}"/>
    <cellStyle name="20% - Accent6 3 5 3" xfId="5789" xr:uid="{00000000-0005-0000-0000-000092030000}"/>
    <cellStyle name="20% - Accent6 3 5 3 2" xfId="23555" xr:uid="{64EC72D4-F931-499E-8E2B-3FD5503CD694}"/>
    <cellStyle name="20% - Accent6 3 5 3 3" xfId="15115" xr:uid="{BADD4411-2A0C-4FD1-9F13-78F357AEDFC1}"/>
    <cellStyle name="20% - Accent6 3 5 4" xfId="19338" xr:uid="{5413786F-44F9-4F41-89E7-73C151ED1162}"/>
    <cellStyle name="20% - Accent6 3 5 5" xfId="10898" xr:uid="{2E76022F-DE97-40A7-A3EF-05397A83A064}"/>
    <cellStyle name="20% - Accent6 3 6" xfId="1896" xr:uid="{00000000-0005-0000-0000-000093030000}"/>
    <cellStyle name="20% - Accent6 3 6 2" xfId="4125" xr:uid="{00000000-0005-0000-0000-000094030000}"/>
    <cellStyle name="20% - Accent6 3 6 2 2" xfId="8347" xr:uid="{00000000-0005-0000-0000-000095030000}"/>
    <cellStyle name="20% - Accent6 3 6 2 2 2" xfId="26113" xr:uid="{3217DB5F-EA7F-4488-AD05-1ED00EE07F03}"/>
    <cellStyle name="20% - Accent6 3 6 2 2 3" xfId="17673" xr:uid="{ADF0509E-DC4F-42F7-8826-B5388C201DC4}"/>
    <cellStyle name="20% - Accent6 3 6 2 3" xfId="21896" xr:uid="{65D1D2D8-7235-4DF9-8264-34BF645F8C94}"/>
    <cellStyle name="20% - Accent6 3 6 2 4" xfId="13456" xr:uid="{D6E653AD-FAC2-4184-AF6A-F6E9FC0E0519}"/>
    <cellStyle name="20% - Accent6 3 6 3" xfId="6202" xr:uid="{00000000-0005-0000-0000-000096030000}"/>
    <cellStyle name="20% - Accent6 3 6 3 2" xfId="23968" xr:uid="{441455A0-9757-4CD5-9460-2B369A5CAB10}"/>
    <cellStyle name="20% - Accent6 3 6 3 3" xfId="15528" xr:uid="{46C4B596-74E4-444F-BE01-C940DAA7C2AF}"/>
    <cellStyle name="20% - Accent6 3 6 4" xfId="19751" xr:uid="{E0A68E4C-ACD2-45B5-8FC3-37B1057DDA96}"/>
    <cellStyle name="20% - Accent6 3 6 5" xfId="11311" xr:uid="{84547ED7-E655-4D22-BDD2-1E4679E54934}"/>
    <cellStyle name="20% - Accent6 3 7" xfId="2309" xr:uid="{00000000-0005-0000-0000-000097030000}"/>
    <cellStyle name="20% - Accent6 3 7 2" xfId="6615" xr:uid="{00000000-0005-0000-0000-000098030000}"/>
    <cellStyle name="20% - Accent6 3 7 2 2" xfId="24381" xr:uid="{5AB69889-D8CC-44A2-84B3-818227B773FB}"/>
    <cellStyle name="20% - Accent6 3 7 2 3" xfId="15941" xr:uid="{5264D162-FA5E-4849-BBC1-A6D048E1CBB9}"/>
    <cellStyle name="20% - Accent6 3 7 3" xfId="20164" xr:uid="{91A25B9D-4C2C-4477-A9AF-93A35EFC6B55}"/>
    <cellStyle name="20% - Accent6 3 7 4" xfId="11724" xr:uid="{DDC1AFD4-6DE6-4326-A52F-9AA9D1C3043D}"/>
    <cellStyle name="20% - Accent6 3 8" xfId="4549" xr:uid="{00000000-0005-0000-0000-000099030000}"/>
    <cellStyle name="20% - Accent6 3 8 2" xfId="22315" xr:uid="{AB1EE9A2-FAF2-4B8A-A4BF-47933E207769}"/>
    <cellStyle name="20% - Accent6 3 8 3" xfId="13875" xr:uid="{700C2C91-C0ED-413E-B4E2-F40473CDB609}"/>
    <cellStyle name="20% - Accent6 3 9" xfId="8871" xr:uid="{6A653046-C3D6-46DC-9DAA-DA1241CBE9F0}"/>
    <cellStyle name="20% - Accent6 3 9 2" xfId="18098" xr:uid="{27F01B1A-7D39-4B65-9E2C-D01913B09D9A}"/>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24876" xr:uid="{1CDCE384-B5B2-4462-9FD9-55D19BBEBB25}"/>
    <cellStyle name="20% - Accent6 4 2 2 2 3" xfId="16436" xr:uid="{0A1411F0-634B-4D77-A35E-949D0A1911FD}"/>
    <cellStyle name="20% - Accent6 4 2 2 3" xfId="20659" xr:uid="{99E65178-1733-4124-9D3B-5D1D8C6ACE78}"/>
    <cellStyle name="20% - Accent6 4 2 2 4" xfId="12219" xr:uid="{29A1738B-6C8C-4D38-90D4-1DCDB65360CE}"/>
    <cellStyle name="20% - Accent6 4 2 3" xfId="4965" xr:uid="{00000000-0005-0000-0000-00009E030000}"/>
    <cellStyle name="20% - Accent6 4 2 3 2" xfId="22731" xr:uid="{1D7C993D-C482-4D18-BC85-247F92278C1C}"/>
    <cellStyle name="20% - Accent6 4 2 3 3" xfId="14291" xr:uid="{398112AF-50E5-41EF-B93D-FF891309E628}"/>
    <cellStyle name="20% - Accent6 4 2 4" xfId="9382" xr:uid="{704ED43C-A59A-4E80-A03F-B933767E3A55}"/>
    <cellStyle name="20% - Accent6 4 2 4 2" xfId="18514" xr:uid="{9C307740-8754-4A03-BF28-4FF1F4477C6E}"/>
    <cellStyle name="20% - Accent6 4 2 5" xfId="10074" xr:uid="{6E520DD4-EFA4-4F83-B07B-CCD8E6BD9AF0}"/>
    <cellStyle name="20% - Accent6 4 3" xfId="1070" xr:uid="{00000000-0005-0000-0000-00009F030000}"/>
    <cellStyle name="20% - Accent6 4 3 2" xfId="3301" xr:uid="{00000000-0005-0000-0000-0000A0030000}"/>
    <cellStyle name="20% - Accent6 4 3 2 2" xfId="7523" xr:uid="{00000000-0005-0000-0000-0000A1030000}"/>
    <cellStyle name="20% - Accent6 4 3 2 2 2" xfId="25289" xr:uid="{DB5AA0D8-FEE5-47DE-BA43-C0802BB8BDA1}"/>
    <cellStyle name="20% - Accent6 4 3 2 2 3" xfId="16849" xr:uid="{B2D0C118-2512-4DA6-B0E7-4A46CB7C75C8}"/>
    <cellStyle name="20% - Accent6 4 3 2 3" xfId="21072" xr:uid="{C534A641-552D-4126-9750-2A56BB4BCA89}"/>
    <cellStyle name="20% - Accent6 4 3 2 4" xfId="12632" xr:uid="{D8943139-BC45-40F2-8E38-850ED5AC7155}"/>
    <cellStyle name="20% - Accent6 4 3 3" xfId="5378" xr:uid="{00000000-0005-0000-0000-0000A2030000}"/>
    <cellStyle name="20% - Accent6 4 3 3 2" xfId="23144" xr:uid="{66798C0E-94D2-42AF-8EA3-FFBDD591B0CD}"/>
    <cellStyle name="20% - Accent6 4 3 3 3" xfId="14704" xr:uid="{FA464F13-4F38-44D0-8288-653C0AA27B2C}"/>
    <cellStyle name="20% - Accent6 4 3 4" xfId="18927" xr:uid="{BF4F9924-C805-447E-A76E-EA86A03C5C49}"/>
    <cellStyle name="20% - Accent6 4 3 5" xfId="10487" xr:uid="{4D98EB3A-CDEE-4D3B-BEB6-785DF6552318}"/>
    <cellStyle name="20% - Accent6 4 4" xfId="1484" xr:uid="{00000000-0005-0000-0000-0000A3030000}"/>
    <cellStyle name="20% - Accent6 4 4 2" xfId="3714" xr:uid="{00000000-0005-0000-0000-0000A4030000}"/>
    <cellStyle name="20% - Accent6 4 4 2 2" xfId="7936" xr:uid="{00000000-0005-0000-0000-0000A5030000}"/>
    <cellStyle name="20% - Accent6 4 4 2 2 2" xfId="25702" xr:uid="{0384BE27-D889-4145-834B-2E9F5449B997}"/>
    <cellStyle name="20% - Accent6 4 4 2 2 3" xfId="17262" xr:uid="{F3904A2D-E9A1-46CD-B7BA-2F86766A6925}"/>
    <cellStyle name="20% - Accent6 4 4 2 3" xfId="21485" xr:uid="{6248A36F-4DC0-417B-A1E9-A79189F050AA}"/>
    <cellStyle name="20% - Accent6 4 4 2 4" xfId="13045" xr:uid="{C30B0474-8E27-4FA5-A975-82C3C600BC84}"/>
    <cellStyle name="20% - Accent6 4 4 3" xfId="5791" xr:uid="{00000000-0005-0000-0000-0000A6030000}"/>
    <cellStyle name="20% - Accent6 4 4 3 2" xfId="23557" xr:uid="{5B8CB1F0-0F1C-40A2-A3B6-5167B37F9657}"/>
    <cellStyle name="20% - Accent6 4 4 3 3" xfId="15117" xr:uid="{A3EE9E84-6EDA-405E-AEC2-B37B32266C46}"/>
    <cellStyle name="20% - Accent6 4 4 4" xfId="19340" xr:uid="{E7BCB924-EB44-4FA5-B40E-EC53E95E7BDF}"/>
    <cellStyle name="20% - Accent6 4 4 5" xfId="10900" xr:uid="{8830145F-8A5F-4D81-B5A2-AAC0E6934155}"/>
    <cellStyle name="20% - Accent6 4 5" xfId="1898" xr:uid="{00000000-0005-0000-0000-0000A7030000}"/>
    <cellStyle name="20% - Accent6 4 5 2" xfId="4127" xr:uid="{00000000-0005-0000-0000-0000A8030000}"/>
    <cellStyle name="20% - Accent6 4 5 2 2" xfId="8349" xr:uid="{00000000-0005-0000-0000-0000A9030000}"/>
    <cellStyle name="20% - Accent6 4 5 2 2 2" xfId="26115" xr:uid="{4DB72D47-0F4F-4B19-BC14-D1D716C8DBBF}"/>
    <cellStyle name="20% - Accent6 4 5 2 2 3" xfId="17675" xr:uid="{5F424037-FCBA-4C81-8698-224B0C078B20}"/>
    <cellStyle name="20% - Accent6 4 5 2 3" xfId="21898" xr:uid="{A0BB9E25-A5F7-4F55-9967-09BCD6D4F62C}"/>
    <cellStyle name="20% - Accent6 4 5 2 4" xfId="13458" xr:uid="{0CC678B7-A56E-4F79-9C2A-54D5B7753DE0}"/>
    <cellStyle name="20% - Accent6 4 5 3" xfId="6204" xr:uid="{00000000-0005-0000-0000-0000AA030000}"/>
    <cellStyle name="20% - Accent6 4 5 3 2" xfId="23970" xr:uid="{02B07735-A239-4FE2-A85D-6F9DC8454304}"/>
    <cellStyle name="20% - Accent6 4 5 3 3" xfId="15530" xr:uid="{B4AC8CA1-7207-4452-84EE-4FF28AC270EE}"/>
    <cellStyle name="20% - Accent6 4 5 4" xfId="19753" xr:uid="{5BBBD6E5-4E2F-4BD9-A5F5-93B369C0E36A}"/>
    <cellStyle name="20% - Accent6 4 5 5" xfId="11313" xr:uid="{8C1B7EEE-9ED3-4867-B887-5303FE137BAB}"/>
    <cellStyle name="20% - Accent6 4 6" xfId="2311" xr:uid="{00000000-0005-0000-0000-0000AB030000}"/>
    <cellStyle name="20% - Accent6 4 6 2" xfId="6617" xr:uid="{00000000-0005-0000-0000-0000AC030000}"/>
    <cellStyle name="20% - Accent6 4 6 2 2" xfId="24383" xr:uid="{86254F56-889F-4D63-A3D9-5162B313E403}"/>
    <cellStyle name="20% - Accent6 4 6 2 3" xfId="15943" xr:uid="{A13A71B3-185F-46B6-9A16-8501E09F0516}"/>
    <cellStyle name="20% - Accent6 4 6 3" xfId="20166" xr:uid="{56D6E771-071D-499D-93CE-0B0E79774944}"/>
    <cellStyle name="20% - Accent6 4 6 4" xfId="11726" xr:uid="{934B5D54-D05C-4C39-8A90-8D2E4476FBBB}"/>
    <cellStyle name="20% - Accent6 4 7" xfId="4551" xr:uid="{00000000-0005-0000-0000-0000AD030000}"/>
    <cellStyle name="20% - Accent6 4 7 2" xfId="22317" xr:uid="{18C838B7-6442-4E59-A949-BB478B210BC0}"/>
    <cellStyle name="20% - Accent6 4 7 3" xfId="13877" xr:uid="{DE4DAEF2-DF06-4552-96C4-D5B819501C67}"/>
    <cellStyle name="20% - Accent6 4 8" xfId="8957" xr:uid="{03E1DA3A-6A3F-4C0D-9844-2D38E7BA13BC}"/>
    <cellStyle name="20% - Accent6 4 8 2" xfId="18100" xr:uid="{5FA53CE1-4923-4920-A292-473740163313}"/>
    <cellStyle name="20% - Accent6 4 9" xfId="9660" xr:uid="{E7909C0D-2888-42A3-B61F-54644EFF2962}"/>
    <cellStyle name="20% - Accent6 5" xfId="610" xr:uid="{00000000-0005-0000-0000-0000AE030000}"/>
    <cellStyle name="20% - Accent6 5 2" xfId="2881" xr:uid="{00000000-0005-0000-0000-0000AF030000}"/>
    <cellStyle name="20% - Accent6 5 2 2" xfId="7103" xr:uid="{00000000-0005-0000-0000-0000B0030000}"/>
    <cellStyle name="20% - Accent6 5 2 2 2" xfId="24869" xr:uid="{D5401556-AD4A-4A53-A3DB-AAC6A9EC42C4}"/>
    <cellStyle name="20% - Accent6 5 2 2 3" xfId="16429" xr:uid="{CA91B955-4F34-4E42-8532-D5298E33C29F}"/>
    <cellStyle name="20% - Accent6 5 2 3" xfId="20652" xr:uid="{CCBA28A4-F424-413C-8D26-DCD763E3D3A6}"/>
    <cellStyle name="20% - Accent6 5 2 4" xfId="12212" xr:uid="{CCFD107E-8772-4089-A2F9-E251F2975A38}"/>
    <cellStyle name="20% - Accent6 5 3" xfId="4958" xr:uid="{00000000-0005-0000-0000-0000B1030000}"/>
    <cellStyle name="20% - Accent6 5 3 2" xfId="22724" xr:uid="{3AAC5260-8DF5-4361-AAD2-9C5BFC9AF9D9}"/>
    <cellStyle name="20% - Accent6 5 3 3" xfId="14284" xr:uid="{38085293-A3A1-4F5D-8B7A-6EBF1C84767B}"/>
    <cellStyle name="20% - Accent6 5 4" xfId="9191" xr:uid="{C812E2E5-5572-4E86-9CB6-C7C53792C044}"/>
    <cellStyle name="20% - Accent6 5 4 2" xfId="18507" xr:uid="{89148642-C7B8-4025-99B2-9709DAA542FB}"/>
    <cellStyle name="20% - Accent6 5 5" xfId="10067" xr:uid="{54F6EEBB-B494-44D0-A5C3-A2E754D279EA}"/>
    <cellStyle name="20% - Accent6 6" xfId="1063" xr:uid="{00000000-0005-0000-0000-0000B2030000}"/>
    <cellStyle name="20% - Accent6 6 2" xfId="3294" xr:uid="{00000000-0005-0000-0000-0000B3030000}"/>
    <cellStyle name="20% - Accent6 6 2 2" xfId="7516" xr:uid="{00000000-0005-0000-0000-0000B4030000}"/>
    <cellStyle name="20% - Accent6 6 2 2 2" xfId="25282" xr:uid="{B9328E46-2F8B-423E-A202-E4B9C1FFB00A}"/>
    <cellStyle name="20% - Accent6 6 2 2 3" xfId="16842" xr:uid="{AF0DA1E5-597B-4403-AE11-B3B2A3076071}"/>
    <cellStyle name="20% - Accent6 6 2 3" xfId="21065" xr:uid="{A2E60713-D2B0-4049-8E79-0C95765CAC93}"/>
    <cellStyle name="20% - Accent6 6 2 4" xfId="12625" xr:uid="{42902F9D-1F59-4395-8CF4-D169B33D5ED1}"/>
    <cellStyle name="20% - Accent6 6 3" xfId="5371" xr:uid="{00000000-0005-0000-0000-0000B5030000}"/>
    <cellStyle name="20% - Accent6 6 3 2" xfId="23137" xr:uid="{9BFC3DBA-1413-4CA5-8E72-6C7635A6A6AC}"/>
    <cellStyle name="20% - Accent6 6 3 3" xfId="14697" xr:uid="{42E2F6FD-7592-454B-B30B-80FAE258DB14}"/>
    <cellStyle name="20% - Accent6 6 4" xfId="18920" xr:uid="{D9C19628-F92F-4A6A-A714-7E2AE930BEEA}"/>
    <cellStyle name="20% - Accent6 6 5" xfId="10480" xr:uid="{055C00C2-3DF8-4064-9BFC-84EB09B96719}"/>
    <cellStyle name="20% - Accent6 7" xfId="1477" xr:uid="{00000000-0005-0000-0000-0000B6030000}"/>
    <cellStyle name="20% - Accent6 7 2" xfId="3707" xr:uid="{00000000-0005-0000-0000-0000B7030000}"/>
    <cellStyle name="20% - Accent6 7 2 2" xfId="7929" xr:uid="{00000000-0005-0000-0000-0000B8030000}"/>
    <cellStyle name="20% - Accent6 7 2 2 2" xfId="25695" xr:uid="{3AF35ADF-F379-48D6-9DBD-52599A371C83}"/>
    <cellStyle name="20% - Accent6 7 2 2 3" xfId="17255" xr:uid="{DEE1D634-A7CC-4F8D-8CB6-3C4725021A60}"/>
    <cellStyle name="20% - Accent6 7 2 3" xfId="21478" xr:uid="{442A48E9-4E5B-4304-A520-C66937C0CB56}"/>
    <cellStyle name="20% - Accent6 7 2 4" xfId="13038" xr:uid="{965F43C3-4B31-4396-9442-38DAFE3583AF}"/>
    <cellStyle name="20% - Accent6 7 3" xfId="5784" xr:uid="{00000000-0005-0000-0000-0000B9030000}"/>
    <cellStyle name="20% - Accent6 7 3 2" xfId="23550" xr:uid="{1169BA7B-3BA8-4950-B875-8C895B5BEB63}"/>
    <cellStyle name="20% - Accent6 7 3 3" xfId="15110" xr:uid="{3D39CCAA-CADB-4E81-BE17-A46C89BED6DF}"/>
    <cellStyle name="20% - Accent6 7 4" xfId="19333" xr:uid="{F08BC38D-6811-4AB9-AD50-84F747C5BE45}"/>
    <cellStyle name="20% - Accent6 7 5" xfId="10893" xr:uid="{A2808536-452F-458D-83B0-D98BE0D36B14}"/>
    <cellStyle name="20% - Accent6 8" xfId="1891" xr:uid="{00000000-0005-0000-0000-0000BA030000}"/>
    <cellStyle name="20% - Accent6 8 2" xfId="4120" xr:uid="{00000000-0005-0000-0000-0000BB030000}"/>
    <cellStyle name="20% - Accent6 8 2 2" xfId="8342" xr:uid="{00000000-0005-0000-0000-0000BC030000}"/>
    <cellStyle name="20% - Accent6 8 2 2 2" xfId="26108" xr:uid="{C709EB57-A11C-4B80-8951-262E258A3CC4}"/>
    <cellStyle name="20% - Accent6 8 2 2 3" xfId="17668" xr:uid="{00D104AA-E93B-4E49-AD23-7864484D15AE}"/>
    <cellStyle name="20% - Accent6 8 2 3" xfId="21891" xr:uid="{1C0FB60E-5028-4DFB-95D9-7F120DCF223D}"/>
    <cellStyle name="20% - Accent6 8 2 4" xfId="13451" xr:uid="{D4D3CB27-5AE1-488A-BC7D-DB3A7E2BA55E}"/>
    <cellStyle name="20% - Accent6 8 3" xfId="6197" xr:uid="{00000000-0005-0000-0000-0000BD030000}"/>
    <cellStyle name="20% - Accent6 8 3 2" xfId="23963" xr:uid="{9E9C3E21-98ED-408E-93C4-BDD25D5E7831}"/>
    <cellStyle name="20% - Accent6 8 3 3" xfId="15523" xr:uid="{AA36C6A7-093C-466D-9408-4149049123F6}"/>
    <cellStyle name="20% - Accent6 8 4" xfId="19746" xr:uid="{14508E51-6ACA-4682-914C-A63B052DCABE}"/>
    <cellStyle name="20% - Accent6 8 5" xfId="11306" xr:uid="{78B41A60-A063-47B2-B808-C02E087A882F}"/>
    <cellStyle name="20% - Accent6 9" xfId="2304" xr:uid="{00000000-0005-0000-0000-0000BE030000}"/>
    <cellStyle name="20% - Accent6 9 2" xfId="6610" xr:uid="{00000000-0005-0000-0000-0000BF030000}"/>
    <cellStyle name="20% - Accent6 9 2 2" xfId="24376" xr:uid="{EA11DED4-9581-4627-8EF4-844F3B20F8D2}"/>
    <cellStyle name="20% - Accent6 9 2 3" xfId="15936" xr:uid="{858A6853-6D91-4572-B714-1B523D16EF3F}"/>
    <cellStyle name="20% - Accent6 9 3" xfId="20159" xr:uid="{A1FB7D63-F64C-4440-963D-AAD28C8372B4}"/>
    <cellStyle name="20% - Accent6 9 4" xfId="11719" xr:uid="{56A3CD7A-8E6C-4512-A28E-35C7F81FEE16}"/>
    <cellStyle name="40% - Accent1" xfId="49" builtinId="31" customBuiltin="1"/>
    <cellStyle name="40% - Accent1 10" xfId="4552" xr:uid="{00000000-0005-0000-0000-0000C1030000}"/>
    <cellStyle name="40% - Accent1 10 2" xfId="22318" xr:uid="{E5D86678-108E-40DC-94BF-102F058F29B5}"/>
    <cellStyle name="40% - Accent1 10 3" xfId="13878" xr:uid="{C515F693-A7FD-4C72-BD63-E3616F4853E9}"/>
    <cellStyle name="40% - Accent1 11" xfId="8759" xr:uid="{E0AA4078-00FF-4C00-81ED-1F048AC6C533}"/>
    <cellStyle name="40% - Accent1 11 2" xfId="18101" xr:uid="{6EB704CB-86BE-4D73-ACB9-CC90B41E53D1}"/>
    <cellStyle name="40% - Accent1 12" xfId="9661" xr:uid="{CDC4D14A-D036-43B5-9FC2-3E1C5F51D2DD}"/>
    <cellStyle name="40% - Accent1 2" xfId="50" xr:uid="{00000000-0005-0000-0000-0000C2030000}"/>
    <cellStyle name="40% - Accent1 2 10" xfId="8798" xr:uid="{82026451-631C-40CA-BC49-BE5DA2EA921A}"/>
    <cellStyle name="40% - Accent1 2 10 2" xfId="18102" xr:uid="{31FDD84E-9FAC-4185-9B87-2D38B0451D88}"/>
    <cellStyle name="40% - Accent1 2 11" xfId="9662" xr:uid="{0E2AC935-76DA-42C9-9E07-2ACD0647F626}"/>
    <cellStyle name="40% - Accent1 2 2" xfId="51" xr:uid="{00000000-0005-0000-0000-0000C3030000}"/>
    <cellStyle name="40% - Accent1 2 2 10" xfId="9663" xr:uid="{37B5B0CD-BC1C-4367-82B1-CD0768BE3C7C}"/>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24880" xr:uid="{26E6D41B-27F6-425F-9349-9388F6DC96E4}"/>
    <cellStyle name="40% - Accent1 2 2 2 2 2 2 3" xfId="16440" xr:uid="{FD8DB2A5-D67A-44BD-A8AF-97E5DA095ADB}"/>
    <cellStyle name="40% - Accent1 2 2 2 2 2 3" xfId="20663" xr:uid="{27448FEA-0D54-40C0-9758-7FDE33E8EAE8}"/>
    <cellStyle name="40% - Accent1 2 2 2 2 2 4" xfId="12223" xr:uid="{DA7FC591-7B8F-491E-87E6-3947A576EC55}"/>
    <cellStyle name="40% - Accent1 2 2 2 2 3" xfId="4969" xr:uid="{00000000-0005-0000-0000-0000C8030000}"/>
    <cellStyle name="40% - Accent1 2 2 2 2 3 2" xfId="22735" xr:uid="{C387E4E9-7903-4EF1-85A2-62BC08215D06}"/>
    <cellStyle name="40% - Accent1 2 2 2 2 3 3" xfId="14295" xr:uid="{A3019158-804A-45DA-9F39-41DD604F3077}"/>
    <cellStyle name="40% - Accent1 2 2 2 2 4" xfId="9533" xr:uid="{757B5AC4-115E-4B90-B4EA-505C31F9B178}"/>
    <cellStyle name="40% - Accent1 2 2 2 2 4 2" xfId="18518" xr:uid="{82FED94E-EA48-49EE-BAB8-65518414F828}"/>
    <cellStyle name="40% - Accent1 2 2 2 2 5" xfId="10078" xr:uid="{17975BE3-B39C-4F02-A38D-8A15D19EEC7B}"/>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25293" xr:uid="{2C4E381E-2E45-4BDF-86A8-447D83AFC84A}"/>
    <cellStyle name="40% - Accent1 2 2 2 3 2 2 3" xfId="16853" xr:uid="{E4CB8CBF-3F4C-469C-A6E3-C23449BCCFE6}"/>
    <cellStyle name="40% - Accent1 2 2 2 3 2 3" xfId="21076" xr:uid="{6E4AF66E-5F68-4C96-B310-53E53F7EA71B}"/>
    <cellStyle name="40% - Accent1 2 2 2 3 2 4" xfId="12636" xr:uid="{1C73F1B0-D6D0-4AAF-B226-789517DDE6E2}"/>
    <cellStyle name="40% - Accent1 2 2 2 3 3" xfId="5382" xr:uid="{00000000-0005-0000-0000-0000CC030000}"/>
    <cellStyle name="40% - Accent1 2 2 2 3 3 2" xfId="23148" xr:uid="{60DEBE1B-9317-42C8-B53A-1C09EFA0B0EB}"/>
    <cellStyle name="40% - Accent1 2 2 2 3 3 3" xfId="14708" xr:uid="{AFA5F798-B59D-4472-92F7-008CA7AC9FC4}"/>
    <cellStyle name="40% - Accent1 2 2 2 3 4" xfId="18931" xr:uid="{F3ACE3A4-50FB-4F02-989F-27649C98C010}"/>
    <cellStyle name="40% - Accent1 2 2 2 3 5" xfId="10491" xr:uid="{BB2ECEEF-432E-4169-8C1F-5BFE79F8882A}"/>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25706" xr:uid="{C31816C8-281F-4CF8-AB05-B9F8183F5E3F}"/>
    <cellStyle name="40% - Accent1 2 2 2 4 2 2 3" xfId="17266" xr:uid="{9ACD917A-C5EE-4603-9589-035BA43F6CB4}"/>
    <cellStyle name="40% - Accent1 2 2 2 4 2 3" xfId="21489" xr:uid="{D02566B9-DCF4-4D8C-BAC5-74B18BE769BB}"/>
    <cellStyle name="40% - Accent1 2 2 2 4 2 4" xfId="13049" xr:uid="{5FE15302-AC4F-4360-A174-5CFB614F4E34}"/>
    <cellStyle name="40% - Accent1 2 2 2 4 3" xfId="5795" xr:uid="{00000000-0005-0000-0000-0000D0030000}"/>
    <cellStyle name="40% - Accent1 2 2 2 4 3 2" xfId="23561" xr:uid="{2AFFFA31-FE99-4847-B872-C1F5F3415995}"/>
    <cellStyle name="40% - Accent1 2 2 2 4 3 3" xfId="15121" xr:uid="{14983A84-2791-47BF-B314-5E4F8E566649}"/>
    <cellStyle name="40% - Accent1 2 2 2 4 4" xfId="19344" xr:uid="{2EFE7EF1-45AF-42C7-AB71-8314A5DBF6A0}"/>
    <cellStyle name="40% - Accent1 2 2 2 4 5" xfId="10904" xr:uid="{A752AC75-B5B3-425D-9ADD-1A6CB96A3715}"/>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26119" xr:uid="{4F1C4A7A-A252-4EE8-AEEB-9157DB0BAD66}"/>
    <cellStyle name="40% - Accent1 2 2 2 5 2 2 3" xfId="17679" xr:uid="{39FA621F-EA37-44A4-B660-5A78FFC9B6AE}"/>
    <cellStyle name="40% - Accent1 2 2 2 5 2 3" xfId="21902" xr:uid="{5E3D28B9-1A68-49BA-AE42-597701D39FC9}"/>
    <cellStyle name="40% - Accent1 2 2 2 5 2 4" xfId="13462" xr:uid="{7F95A278-603E-4ABA-9975-6BFAC3580214}"/>
    <cellStyle name="40% - Accent1 2 2 2 5 3" xfId="6208" xr:uid="{00000000-0005-0000-0000-0000D4030000}"/>
    <cellStyle name="40% - Accent1 2 2 2 5 3 2" xfId="23974" xr:uid="{D85A3701-0EA7-4240-A2FE-93F326203E44}"/>
    <cellStyle name="40% - Accent1 2 2 2 5 3 3" xfId="15534" xr:uid="{66B92F81-1DCC-46F3-97F7-22D12EBFE0BC}"/>
    <cellStyle name="40% - Accent1 2 2 2 5 4" xfId="19757" xr:uid="{0CCC3427-4259-4B21-929B-F14467232F03}"/>
    <cellStyle name="40% - Accent1 2 2 2 5 5" xfId="11317" xr:uid="{99D39961-EBBC-4D9C-BE0C-666DABF29EFD}"/>
    <cellStyle name="40% - Accent1 2 2 2 6" xfId="2315" xr:uid="{00000000-0005-0000-0000-0000D5030000}"/>
    <cellStyle name="40% - Accent1 2 2 2 6 2" xfId="6621" xr:uid="{00000000-0005-0000-0000-0000D6030000}"/>
    <cellStyle name="40% - Accent1 2 2 2 6 2 2" xfId="24387" xr:uid="{7F3A90FB-463E-4B3F-9CE6-48986B111CF3}"/>
    <cellStyle name="40% - Accent1 2 2 2 6 2 3" xfId="15947" xr:uid="{B8ADCBD5-8053-48C0-BA2E-0C874AF0D886}"/>
    <cellStyle name="40% - Accent1 2 2 2 6 3" xfId="20170" xr:uid="{E64DB027-C290-4AD1-B44A-B6C0CD4E314A}"/>
    <cellStyle name="40% - Accent1 2 2 2 6 4" xfId="11730" xr:uid="{D492EBA2-5650-46FD-89A9-620B45156055}"/>
    <cellStyle name="40% - Accent1 2 2 2 7" xfId="4555" xr:uid="{00000000-0005-0000-0000-0000D7030000}"/>
    <cellStyle name="40% - Accent1 2 2 2 7 2" xfId="22321" xr:uid="{08058FC5-0DCA-4842-BE68-92F139083BEE}"/>
    <cellStyle name="40% - Accent1 2 2 2 7 3" xfId="13881" xr:uid="{B3B75750-B0FD-4267-B846-F96FCBA2EB2C}"/>
    <cellStyle name="40% - Accent1 2 2 2 8" xfId="9108" xr:uid="{1189B5E8-DD3C-4F9A-ACD3-DB853C0AC60B}"/>
    <cellStyle name="40% - Accent1 2 2 2 8 2" xfId="18104" xr:uid="{65027AD1-CEAA-4B38-A6C0-247D479BE075}"/>
    <cellStyle name="40% - Accent1 2 2 2 9" xfId="9664" xr:uid="{6A1411EE-13ED-493D-80EC-78DBFDA14447}"/>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24879" xr:uid="{CC16F7E9-1D46-433E-A89B-6F1AAFF459A8}"/>
    <cellStyle name="40% - Accent1 2 2 3 2 2 3" xfId="16439" xr:uid="{92C5AE39-67C9-4FB9-8532-489347B0E965}"/>
    <cellStyle name="40% - Accent1 2 2 3 2 3" xfId="20662" xr:uid="{E8E277B3-E564-4C14-A3A9-12B667B17BDA}"/>
    <cellStyle name="40% - Accent1 2 2 3 2 4" xfId="12222" xr:uid="{936FFE3D-83E9-45A0-929A-13B6F9C3DE42}"/>
    <cellStyle name="40% - Accent1 2 2 3 3" xfId="4968" xr:uid="{00000000-0005-0000-0000-0000DB030000}"/>
    <cellStyle name="40% - Accent1 2 2 3 3 2" xfId="22734" xr:uid="{893A554D-73DD-4A77-9392-64173245173F}"/>
    <cellStyle name="40% - Accent1 2 2 3 3 3" xfId="14294" xr:uid="{18035AD0-9C47-441F-943A-3CE4E640761B}"/>
    <cellStyle name="40% - Accent1 2 2 3 4" xfId="9326" xr:uid="{6D693950-F4D3-4A82-8C01-49E2379281D4}"/>
    <cellStyle name="40% - Accent1 2 2 3 4 2" xfId="18517" xr:uid="{9A625CA6-C1BB-4A3D-AFBF-83DC0A897D15}"/>
    <cellStyle name="40% - Accent1 2 2 3 5" xfId="10077" xr:uid="{3EDE4891-A397-489F-866D-9D3FAB6F740F}"/>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25292" xr:uid="{088E849E-A662-458B-BCBE-887C05D08F12}"/>
    <cellStyle name="40% - Accent1 2 2 4 2 2 3" xfId="16852" xr:uid="{8A17071E-F237-4B74-A386-88C1ADF80879}"/>
    <cellStyle name="40% - Accent1 2 2 4 2 3" xfId="21075" xr:uid="{B7CE9DB4-2716-4BC3-8496-93A10269FF88}"/>
    <cellStyle name="40% - Accent1 2 2 4 2 4" xfId="12635" xr:uid="{2DE231F6-603A-44EE-8EB6-DCA9192098E7}"/>
    <cellStyle name="40% - Accent1 2 2 4 3" xfId="5381" xr:uid="{00000000-0005-0000-0000-0000DF030000}"/>
    <cellStyle name="40% - Accent1 2 2 4 3 2" xfId="23147" xr:uid="{07DCA44E-235C-4AC3-9C27-7ED9FE5712AF}"/>
    <cellStyle name="40% - Accent1 2 2 4 3 3" xfId="14707" xr:uid="{3C365362-DB00-4C87-8F6B-EDECD9BC40EE}"/>
    <cellStyle name="40% - Accent1 2 2 4 4" xfId="18930" xr:uid="{80FD4164-F3DE-42E7-A063-EA330FEE28D2}"/>
    <cellStyle name="40% - Accent1 2 2 4 5" xfId="10490" xr:uid="{F0F1D620-B598-4043-99B7-9AAED01F1685}"/>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25705" xr:uid="{BBDE9005-1191-4166-AC37-E3B04CC129DA}"/>
    <cellStyle name="40% - Accent1 2 2 5 2 2 3" xfId="17265" xr:uid="{1E827650-3531-4217-8C1B-D9E7A1C1997F}"/>
    <cellStyle name="40% - Accent1 2 2 5 2 3" xfId="21488" xr:uid="{A13A7A56-FF14-4CB9-9DD7-7220B868127D}"/>
    <cellStyle name="40% - Accent1 2 2 5 2 4" xfId="13048" xr:uid="{157D566F-1CFF-4463-AB36-A7408A579C12}"/>
    <cellStyle name="40% - Accent1 2 2 5 3" xfId="5794" xr:uid="{00000000-0005-0000-0000-0000E3030000}"/>
    <cellStyle name="40% - Accent1 2 2 5 3 2" xfId="23560" xr:uid="{7907BD28-EE2B-48DE-8A5B-7A16C8C5A207}"/>
    <cellStyle name="40% - Accent1 2 2 5 3 3" xfId="15120" xr:uid="{570EA262-41D9-42DF-B482-5E25F82DB31A}"/>
    <cellStyle name="40% - Accent1 2 2 5 4" xfId="19343" xr:uid="{103949F8-6F19-4328-B5EB-252A27A35DE0}"/>
    <cellStyle name="40% - Accent1 2 2 5 5" xfId="10903" xr:uid="{5BC204AD-EB05-42F0-8968-0224668504A9}"/>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26118" xr:uid="{4C3F0E07-94BC-4D06-AB7B-E35951304AF6}"/>
    <cellStyle name="40% - Accent1 2 2 6 2 2 3" xfId="17678" xr:uid="{221D4688-0701-46A0-8F0F-D9DF1227D0DD}"/>
    <cellStyle name="40% - Accent1 2 2 6 2 3" xfId="21901" xr:uid="{A32940AF-4560-4610-A967-D4D9F114935B}"/>
    <cellStyle name="40% - Accent1 2 2 6 2 4" xfId="13461" xr:uid="{C7B5E29E-4C41-45AA-A6D8-68BA8A8C2B06}"/>
    <cellStyle name="40% - Accent1 2 2 6 3" xfId="6207" xr:uid="{00000000-0005-0000-0000-0000E7030000}"/>
    <cellStyle name="40% - Accent1 2 2 6 3 2" xfId="23973" xr:uid="{B295B15F-DB8C-46B6-9F2B-13D5685BB0C4}"/>
    <cellStyle name="40% - Accent1 2 2 6 3 3" xfId="15533" xr:uid="{B4F5AB21-B093-4B12-A004-8C9D9E7E2110}"/>
    <cellStyle name="40% - Accent1 2 2 6 4" xfId="19756" xr:uid="{8F3E8711-5A47-4445-8182-770E3F926C65}"/>
    <cellStyle name="40% - Accent1 2 2 6 5" xfId="11316" xr:uid="{A4538655-8848-4C17-944D-D3CDC1158ECB}"/>
    <cellStyle name="40% - Accent1 2 2 7" xfId="2314" xr:uid="{00000000-0005-0000-0000-0000E8030000}"/>
    <cellStyle name="40% - Accent1 2 2 7 2" xfId="6620" xr:uid="{00000000-0005-0000-0000-0000E9030000}"/>
    <cellStyle name="40% - Accent1 2 2 7 2 2" xfId="24386" xr:uid="{3DB8AB08-298E-4B4C-9E4E-8AF47AD04040}"/>
    <cellStyle name="40% - Accent1 2 2 7 2 3" xfId="15946" xr:uid="{E3AAAF0F-274D-4F44-991C-2F327DAFD986}"/>
    <cellStyle name="40% - Accent1 2 2 7 3" xfId="20169" xr:uid="{03633F8E-E642-4C6D-BFCB-23AC56BA0E88}"/>
    <cellStyle name="40% - Accent1 2 2 7 4" xfId="11729" xr:uid="{45EE9218-2230-407E-83B1-7967B948A0E5}"/>
    <cellStyle name="40% - Accent1 2 2 8" xfId="4554" xr:uid="{00000000-0005-0000-0000-0000EA030000}"/>
    <cellStyle name="40% - Accent1 2 2 8 2" xfId="22320" xr:uid="{8562EB76-50BA-4826-BBC9-2686E4F75E7A}"/>
    <cellStyle name="40% - Accent1 2 2 8 3" xfId="13880" xr:uid="{643E4685-7702-4549-B242-45289861AD16}"/>
    <cellStyle name="40% - Accent1 2 2 9" xfId="8901" xr:uid="{10130317-AF31-4351-8201-FD8BD447EA3C}"/>
    <cellStyle name="40% - Accent1 2 2 9 2" xfId="18103" xr:uid="{696BD7AB-1DBD-4313-B633-D1377CD126EA}"/>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24881" xr:uid="{BDE3554F-9AA7-44DF-BAE6-70FB2FBCD5A3}"/>
    <cellStyle name="40% - Accent1 2 3 2 2 2 3" xfId="16441" xr:uid="{EA9933F4-2219-4562-9F43-D223EBF4E7F4}"/>
    <cellStyle name="40% - Accent1 2 3 2 2 3" xfId="20664" xr:uid="{0B10EB04-8B66-43AC-8FD7-FC9080857374}"/>
    <cellStyle name="40% - Accent1 2 3 2 2 4" xfId="12224" xr:uid="{EAF161D7-46D6-4CC4-BAF7-ED74BE8BB07D}"/>
    <cellStyle name="40% - Accent1 2 3 2 3" xfId="4970" xr:uid="{00000000-0005-0000-0000-0000EF030000}"/>
    <cellStyle name="40% - Accent1 2 3 2 3 2" xfId="22736" xr:uid="{45858BCD-A1B1-4EE6-AE02-F57F88A3BF4C}"/>
    <cellStyle name="40% - Accent1 2 3 2 3 3" xfId="14296" xr:uid="{0439C874-1BEE-457B-AC3D-59A45EFA7726}"/>
    <cellStyle name="40% - Accent1 2 3 2 4" xfId="9430" xr:uid="{C79D1FB2-141C-4301-8F37-B3B9643C0550}"/>
    <cellStyle name="40% - Accent1 2 3 2 4 2" xfId="18519" xr:uid="{EDEFFCEF-6C9E-48C4-94D3-649A045C947A}"/>
    <cellStyle name="40% - Accent1 2 3 2 5" xfId="10079" xr:uid="{D357F6EE-2C8D-462C-A032-8A1381B6C164}"/>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25294" xr:uid="{0D55914E-40E2-4EAB-B7A8-697280A53263}"/>
    <cellStyle name="40% - Accent1 2 3 3 2 2 3" xfId="16854" xr:uid="{E4CF537B-0791-46ED-B4D8-535E105110F5}"/>
    <cellStyle name="40% - Accent1 2 3 3 2 3" xfId="21077" xr:uid="{37902ACE-80DB-4524-AD5D-F965F0ABD78C}"/>
    <cellStyle name="40% - Accent1 2 3 3 2 4" xfId="12637" xr:uid="{D8242B4A-3223-48AB-856F-C76AEB0320BF}"/>
    <cellStyle name="40% - Accent1 2 3 3 3" xfId="5383" xr:uid="{00000000-0005-0000-0000-0000F3030000}"/>
    <cellStyle name="40% - Accent1 2 3 3 3 2" xfId="23149" xr:uid="{89F30B46-98B3-4B45-8676-3EAC62775B8B}"/>
    <cellStyle name="40% - Accent1 2 3 3 3 3" xfId="14709" xr:uid="{4CA96EB1-5058-421A-9C9B-878344EC13C4}"/>
    <cellStyle name="40% - Accent1 2 3 3 4" xfId="18932" xr:uid="{A20F7B61-D289-4B99-BF4E-67951FE85C4A}"/>
    <cellStyle name="40% - Accent1 2 3 3 5" xfId="10492" xr:uid="{06DA6963-082D-41CA-9D4F-EF9087CE5EB8}"/>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25707" xr:uid="{BB1A55CE-0D07-42E0-A0F0-B88CFEB148BF}"/>
    <cellStyle name="40% - Accent1 2 3 4 2 2 3" xfId="17267" xr:uid="{EE9C6204-71BA-4D41-A81E-2F1AEDAF5306}"/>
    <cellStyle name="40% - Accent1 2 3 4 2 3" xfId="21490" xr:uid="{F7C78FD7-F3B5-4ECC-AECA-B7E32A9BEC71}"/>
    <cellStyle name="40% - Accent1 2 3 4 2 4" xfId="13050" xr:uid="{E0B98BAA-97CB-4964-9E48-15949FFD60F3}"/>
    <cellStyle name="40% - Accent1 2 3 4 3" xfId="5796" xr:uid="{00000000-0005-0000-0000-0000F7030000}"/>
    <cellStyle name="40% - Accent1 2 3 4 3 2" xfId="23562" xr:uid="{0F53D0F4-0998-47EB-A74A-DF82AE386F5D}"/>
    <cellStyle name="40% - Accent1 2 3 4 3 3" xfId="15122" xr:uid="{E1977C2F-8D5D-4621-A9B2-E531399984F6}"/>
    <cellStyle name="40% - Accent1 2 3 4 4" xfId="19345" xr:uid="{75870CB2-B14B-43D9-A44B-685662E46DB5}"/>
    <cellStyle name="40% - Accent1 2 3 4 5" xfId="10905" xr:uid="{609BAB84-8817-42DC-AB3B-9A44651E4207}"/>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26120" xr:uid="{0E931E0B-E5BD-4920-9B80-A169D982B772}"/>
    <cellStyle name="40% - Accent1 2 3 5 2 2 3" xfId="17680" xr:uid="{1B7F9044-E467-47E4-BDE9-5819F2F43BC5}"/>
    <cellStyle name="40% - Accent1 2 3 5 2 3" xfId="21903" xr:uid="{5F3C615C-4599-4786-A339-08717513C33C}"/>
    <cellStyle name="40% - Accent1 2 3 5 2 4" xfId="13463" xr:uid="{B7565C96-B716-4151-96FE-AC78A62F7302}"/>
    <cellStyle name="40% - Accent1 2 3 5 3" xfId="6209" xr:uid="{00000000-0005-0000-0000-0000FB030000}"/>
    <cellStyle name="40% - Accent1 2 3 5 3 2" xfId="23975" xr:uid="{632475B4-AC4B-4B33-8349-9DB80CED6C4C}"/>
    <cellStyle name="40% - Accent1 2 3 5 3 3" xfId="15535" xr:uid="{340A6206-E998-4F7E-9138-CABB179F267B}"/>
    <cellStyle name="40% - Accent1 2 3 5 4" xfId="19758" xr:uid="{15421EBC-26C6-4D88-9625-B30B95D5AF13}"/>
    <cellStyle name="40% - Accent1 2 3 5 5" xfId="11318" xr:uid="{EEFB1DA2-A621-477F-91FA-473D0998CBBD}"/>
    <cellStyle name="40% - Accent1 2 3 6" xfId="2316" xr:uid="{00000000-0005-0000-0000-0000FC030000}"/>
    <cellStyle name="40% - Accent1 2 3 6 2" xfId="6622" xr:uid="{00000000-0005-0000-0000-0000FD030000}"/>
    <cellStyle name="40% - Accent1 2 3 6 2 2" xfId="24388" xr:uid="{840F712E-19AF-4A3B-8E91-02E7D1321C83}"/>
    <cellStyle name="40% - Accent1 2 3 6 2 3" xfId="15948" xr:uid="{0CC9E132-AB4D-4E97-AA52-FB79D29F12EE}"/>
    <cellStyle name="40% - Accent1 2 3 6 3" xfId="20171" xr:uid="{2DD2FB5C-D559-4EAE-8F7E-2D280B1F6459}"/>
    <cellStyle name="40% - Accent1 2 3 6 4" xfId="11731" xr:uid="{E31D210F-8A77-4A40-ACD4-C93334EFDC9C}"/>
    <cellStyle name="40% - Accent1 2 3 7" xfId="4556" xr:uid="{00000000-0005-0000-0000-0000FE030000}"/>
    <cellStyle name="40% - Accent1 2 3 7 2" xfId="22322" xr:uid="{D1EDCDB9-2555-48B7-B215-E374D84191C0}"/>
    <cellStyle name="40% - Accent1 2 3 7 3" xfId="13882" xr:uid="{4BFFED26-47F7-4503-8820-A20FC7108271}"/>
    <cellStyle name="40% - Accent1 2 3 8" xfId="9005" xr:uid="{83AF69B9-664F-4E19-B721-7989C2FEBC0C}"/>
    <cellStyle name="40% - Accent1 2 3 8 2" xfId="18105" xr:uid="{98B7E683-14A2-4CA0-87B3-8224EA3699F8}"/>
    <cellStyle name="40% - Accent1 2 3 9" xfId="9665" xr:uid="{077059A3-AB83-4249-A8D4-10C4390C1087}"/>
    <cellStyle name="40% - Accent1 2 4" xfId="619" xr:uid="{00000000-0005-0000-0000-0000FF030000}"/>
    <cellStyle name="40% - Accent1 2 4 2" xfId="2890" xr:uid="{00000000-0005-0000-0000-000000040000}"/>
    <cellStyle name="40% - Accent1 2 4 2 2" xfId="7112" xr:uid="{00000000-0005-0000-0000-000001040000}"/>
    <cellStyle name="40% - Accent1 2 4 2 2 2" xfId="24878" xr:uid="{A7DB7793-4D63-4D98-9ABE-B2D319314A31}"/>
    <cellStyle name="40% - Accent1 2 4 2 2 3" xfId="16438" xr:uid="{606E0085-70A8-4DE8-A2E2-875D25A4972D}"/>
    <cellStyle name="40% - Accent1 2 4 2 3" xfId="20661" xr:uid="{AA6C7885-518C-4964-AC61-2D38E31359D1}"/>
    <cellStyle name="40% - Accent1 2 4 2 4" xfId="12221" xr:uid="{A19E16ED-5466-4CDC-8F1C-11152B1E3CD3}"/>
    <cellStyle name="40% - Accent1 2 4 3" xfId="4967" xr:uid="{00000000-0005-0000-0000-000002040000}"/>
    <cellStyle name="40% - Accent1 2 4 3 2" xfId="22733" xr:uid="{F31D132C-602F-4A38-85E2-4250F6019942}"/>
    <cellStyle name="40% - Accent1 2 4 3 3" xfId="14293" xr:uid="{84C5F348-96D8-49F5-BE23-F04CF6B1FD13}"/>
    <cellStyle name="40% - Accent1 2 4 4" xfId="9222" xr:uid="{A6B83122-AC98-4E58-AA4D-EC5ECC38FC6B}"/>
    <cellStyle name="40% - Accent1 2 4 4 2" xfId="18516" xr:uid="{5022DCB9-0F65-4A02-87FF-83A1AEA6A350}"/>
    <cellStyle name="40% - Accent1 2 4 5" xfId="10076" xr:uid="{153AD6B1-A6C5-4154-9CA5-1BB802412B57}"/>
    <cellStyle name="40% - Accent1 2 5" xfId="1072" xr:uid="{00000000-0005-0000-0000-000003040000}"/>
    <cellStyle name="40% - Accent1 2 5 2" xfId="3303" xr:uid="{00000000-0005-0000-0000-000004040000}"/>
    <cellStyle name="40% - Accent1 2 5 2 2" xfId="7525" xr:uid="{00000000-0005-0000-0000-000005040000}"/>
    <cellStyle name="40% - Accent1 2 5 2 2 2" xfId="25291" xr:uid="{30B6EE0A-BF68-4B63-8237-528928D46A49}"/>
    <cellStyle name="40% - Accent1 2 5 2 2 3" xfId="16851" xr:uid="{0AC6E02D-C205-4AA9-B69E-FE67F26DF812}"/>
    <cellStyle name="40% - Accent1 2 5 2 3" xfId="21074" xr:uid="{D3D58A67-12C4-42FF-856F-1C6D042ADAF3}"/>
    <cellStyle name="40% - Accent1 2 5 2 4" xfId="12634" xr:uid="{BB84E886-7E4C-4CD8-AD4D-3B72634A7F54}"/>
    <cellStyle name="40% - Accent1 2 5 3" xfId="5380" xr:uid="{00000000-0005-0000-0000-000006040000}"/>
    <cellStyle name="40% - Accent1 2 5 3 2" xfId="23146" xr:uid="{54A9C8BF-428D-44A7-8D72-77CC08FA8088}"/>
    <cellStyle name="40% - Accent1 2 5 3 3" xfId="14706" xr:uid="{3573002A-31F5-43BB-AA2E-AA2886FB33B4}"/>
    <cellStyle name="40% - Accent1 2 5 4" xfId="18929" xr:uid="{261F8C01-C6AD-472A-A4A6-B6681E7D1B52}"/>
    <cellStyle name="40% - Accent1 2 5 5" xfId="10489" xr:uid="{4CA63365-8398-4854-80BE-609C7A046750}"/>
    <cellStyle name="40% - Accent1 2 6" xfId="1486" xr:uid="{00000000-0005-0000-0000-000007040000}"/>
    <cellStyle name="40% - Accent1 2 6 2" xfId="3716" xr:uid="{00000000-0005-0000-0000-000008040000}"/>
    <cellStyle name="40% - Accent1 2 6 2 2" xfId="7938" xr:uid="{00000000-0005-0000-0000-000009040000}"/>
    <cellStyle name="40% - Accent1 2 6 2 2 2" xfId="25704" xr:uid="{1108C0A1-5B5B-4839-8F83-EA9B4FD2AA55}"/>
    <cellStyle name="40% - Accent1 2 6 2 2 3" xfId="17264" xr:uid="{D7B65D22-1BAD-439B-A9CB-C8B9D53AC733}"/>
    <cellStyle name="40% - Accent1 2 6 2 3" xfId="21487" xr:uid="{ABD65A50-96DC-4320-8BA3-46FC585B457C}"/>
    <cellStyle name="40% - Accent1 2 6 2 4" xfId="13047" xr:uid="{FD76C28D-B044-4AE5-8AB4-04C555B05AA4}"/>
    <cellStyle name="40% - Accent1 2 6 3" xfId="5793" xr:uid="{00000000-0005-0000-0000-00000A040000}"/>
    <cellStyle name="40% - Accent1 2 6 3 2" xfId="23559" xr:uid="{767446A2-5113-43E8-AA6B-441F2C2B55BC}"/>
    <cellStyle name="40% - Accent1 2 6 3 3" xfId="15119" xr:uid="{422246D4-4CFD-43AF-BF5A-C9DF97062520}"/>
    <cellStyle name="40% - Accent1 2 6 4" xfId="19342" xr:uid="{7A2EE427-07F6-468C-8D39-08B320AA4B25}"/>
    <cellStyle name="40% - Accent1 2 6 5" xfId="10902" xr:uid="{2E0CFF19-7553-4EA2-9FD5-1666D4A4B1CD}"/>
    <cellStyle name="40% - Accent1 2 7" xfId="1900" xr:uid="{00000000-0005-0000-0000-00000B040000}"/>
    <cellStyle name="40% - Accent1 2 7 2" xfId="4129" xr:uid="{00000000-0005-0000-0000-00000C040000}"/>
    <cellStyle name="40% - Accent1 2 7 2 2" xfId="8351" xr:uid="{00000000-0005-0000-0000-00000D040000}"/>
    <cellStyle name="40% - Accent1 2 7 2 2 2" xfId="26117" xr:uid="{F3CEB8E6-B36A-4546-9AB1-77DB0DD06437}"/>
    <cellStyle name="40% - Accent1 2 7 2 2 3" xfId="17677" xr:uid="{636ED903-74B4-4C75-B6E9-D81A9F7F5583}"/>
    <cellStyle name="40% - Accent1 2 7 2 3" xfId="21900" xr:uid="{C1386618-9F9D-4443-A72F-B31BF214522A}"/>
    <cellStyle name="40% - Accent1 2 7 2 4" xfId="13460" xr:uid="{7FBD08A5-AF56-414B-ACCA-8F6B6F549A1F}"/>
    <cellStyle name="40% - Accent1 2 7 3" xfId="6206" xr:uid="{00000000-0005-0000-0000-00000E040000}"/>
    <cellStyle name="40% - Accent1 2 7 3 2" xfId="23972" xr:uid="{4F477DEA-2A05-4E2C-B36C-9D5B49F9B26F}"/>
    <cellStyle name="40% - Accent1 2 7 3 3" xfId="15532" xr:uid="{FF5DAFC7-0B1D-4E1F-A709-F02D9FC09874}"/>
    <cellStyle name="40% - Accent1 2 7 4" xfId="19755" xr:uid="{EAC1A264-B1E6-4032-87C0-E647ED5F986C}"/>
    <cellStyle name="40% - Accent1 2 7 5" xfId="11315" xr:uid="{C8447D9A-46D9-4389-B524-C1D52E2AF52E}"/>
    <cellStyle name="40% - Accent1 2 8" xfId="2313" xr:uid="{00000000-0005-0000-0000-00000F040000}"/>
    <cellStyle name="40% - Accent1 2 8 2" xfId="6619" xr:uid="{00000000-0005-0000-0000-000010040000}"/>
    <cellStyle name="40% - Accent1 2 8 2 2" xfId="24385" xr:uid="{690F4A30-053D-4FD6-BFE3-36DC9E3947A2}"/>
    <cellStyle name="40% - Accent1 2 8 2 3" xfId="15945" xr:uid="{9B905D6F-0A98-4A51-A8E9-DFA8A6DE8C90}"/>
    <cellStyle name="40% - Accent1 2 8 3" xfId="20168" xr:uid="{1AD8A0A9-84A1-4546-8648-13F192B7D288}"/>
    <cellStyle name="40% - Accent1 2 8 4" xfId="11728" xr:uid="{8110D86E-A363-41A8-A19D-8550B2106D07}"/>
    <cellStyle name="40% - Accent1 2 9" xfId="4553" xr:uid="{00000000-0005-0000-0000-000011040000}"/>
    <cellStyle name="40% - Accent1 2 9 2" xfId="22319" xr:uid="{F2230C17-959F-4D2D-90F3-ACD3CC7E9641}"/>
    <cellStyle name="40% - Accent1 2 9 3" xfId="13879" xr:uid="{B1FB338B-637E-45E8-A8B2-5BFE4E8FD12F}"/>
    <cellStyle name="40% - Accent1 3" xfId="54" xr:uid="{00000000-0005-0000-0000-000012040000}"/>
    <cellStyle name="40% - Accent1 3 10" xfId="9666" xr:uid="{E262F92D-3C32-4D1D-89B0-4FE132332A65}"/>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24883" xr:uid="{0546C9C5-BB4C-475D-859E-D93732A95EEC}"/>
    <cellStyle name="40% - Accent1 3 2 2 2 2 3" xfId="16443" xr:uid="{3245E0C4-8812-4E93-A7B5-0112D7BAF16A}"/>
    <cellStyle name="40% - Accent1 3 2 2 2 3" xfId="20666" xr:uid="{EB6D4288-D208-48FA-8B86-B498ADFCFE4E}"/>
    <cellStyle name="40% - Accent1 3 2 2 2 4" xfId="12226" xr:uid="{5C0EB33B-21D4-4EE2-8E4D-1AED810A000B}"/>
    <cellStyle name="40% - Accent1 3 2 2 3" xfId="4972" xr:uid="{00000000-0005-0000-0000-000017040000}"/>
    <cellStyle name="40% - Accent1 3 2 2 3 2" xfId="22738" xr:uid="{162B9E40-653B-47E9-8646-4379653D5824}"/>
    <cellStyle name="40% - Accent1 3 2 2 3 3" xfId="14298" xr:uid="{F780C655-5AB3-4393-BE48-81DCFC12A1D7}"/>
    <cellStyle name="40% - Accent1 3 2 2 4" xfId="9494" xr:uid="{49092FA9-F337-44E8-98C8-15711B1C1558}"/>
    <cellStyle name="40% - Accent1 3 2 2 4 2" xfId="18521" xr:uid="{A5EEBCA1-66D3-4C74-A4A4-30E1F62B4D3A}"/>
    <cellStyle name="40% - Accent1 3 2 2 5" xfId="10081" xr:uid="{DB037B8B-9DCA-4AD9-856A-F30881ADBCCA}"/>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25296" xr:uid="{A31C0807-34B2-41B8-B126-C064582BB5AB}"/>
    <cellStyle name="40% - Accent1 3 2 3 2 2 3" xfId="16856" xr:uid="{E1A35DAE-9378-4CBB-86CC-88D3BAAFC059}"/>
    <cellStyle name="40% - Accent1 3 2 3 2 3" xfId="21079" xr:uid="{9CBABD3B-EA9A-41A1-989B-D7B8819123BD}"/>
    <cellStyle name="40% - Accent1 3 2 3 2 4" xfId="12639" xr:uid="{DC9F0023-C7F6-43CF-9D3B-CA9AEDF7879B}"/>
    <cellStyle name="40% - Accent1 3 2 3 3" xfId="5385" xr:uid="{00000000-0005-0000-0000-00001B040000}"/>
    <cellStyle name="40% - Accent1 3 2 3 3 2" xfId="23151" xr:uid="{CB23438A-869C-42D7-ADBB-7E95672CFD10}"/>
    <cellStyle name="40% - Accent1 3 2 3 3 3" xfId="14711" xr:uid="{AA3F9CE7-852A-4815-BABA-AD749FE178A7}"/>
    <cellStyle name="40% - Accent1 3 2 3 4" xfId="18934" xr:uid="{A9ABD796-8095-4683-AF8E-F0583394FF25}"/>
    <cellStyle name="40% - Accent1 3 2 3 5" xfId="10494" xr:uid="{8914A324-8644-4ABC-88B7-665E699459F4}"/>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25709" xr:uid="{8DBCEC74-4701-4300-88C4-8735C96493B1}"/>
    <cellStyle name="40% - Accent1 3 2 4 2 2 3" xfId="17269" xr:uid="{6A2DFBCD-2B8D-4282-8AE8-41CC371EF0A6}"/>
    <cellStyle name="40% - Accent1 3 2 4 2 3" xfId="21492" xr:uid="{F98597B5-8231-4AAD-BF0E-B559B3AB7A59}"/>
    <cellStyle name="40% - Accent1 3 2 4 2 4" xfId="13052" xr:uid="{A40A6788-C016-450B-A013-5A5895DDD647}"/>
    <cellStyle name="40% - Accent1 3 2 4 3" xfId="5798" xr:uid="{00000000-0005-0000-0000-00001F040000}"/>
    <cellStyle name="40% - Accent1 3 2 4 3 2" xfId="23564" xr:uid="{9507C3B5-BE6A-4168-B362-454D89E8C4A0}"/>
    <cellStyle name="40% - Accent1 3 2 4 3 3" xfId="15124" xr:uid="{3E382F61-23F0-4E94-86E1-50999C8F144E}"/>
    <cellStyle name="40% - Accent1 3 2 4 4" xfId="19347" xr:uid="{B568CC73-FD44-45E7-8492-F621C7E4ADF9}"/>
    <cellStyle name="40% - Accent1 3 2 4 5" xfId="10907" xr:uid="{06C5042F-F7B3-4F08-8BB8-A0D5AD8A998F}"/>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26122" xr:uid="{0C7F01CE-6FF3-4E02-92A6-EF6A5CF18233}"/>
    <cellStyle name="40% - Accent1 3 2 5 2 2 3" xfId="17682" xr:uid="{89B69166-68D6-49CE-B4D9-AAAAF631940E}"/>
    <cellStyle name="40% - Accent1 3 2 5 2 3" xfId="21905" xr:uid="{0C1A61EF-5DAE-45C0-A6BD-A9DB436BEAC9}"/>
    <cellStyle name="40% - Accent1 3 2 5 2 4" xfId="13465" xr:uid="{1EA13697-AE38-4152-820F-66B39771F269}"/>
    <cellStyle name="40% - Accent1 3 2 5 3" xfId="6211" xr:uid="{00000000-0005-0000-0000-000023040000}"/>
    <cellStyle name="40% - Accent1 3 2 5 3 2" xfId="23977" xr:uid="{908BEF63-8EC6-4CA6-BBB5-4CF8FE71894A}"/>
    <cellStyle name="40% - Accent1 3 2 5 3 3" xfId="15537" xr:uid="{D281C476-6D52-4153-986F-6DC51BC2744E}"/>
    <cellStyle name="40% - Accent1 3 2 5 4" xfId="19760" xr:uid="{965A57EA-5EC5-4720-B737-C900E0FFC131}"/>
    <cellStyle name="40% - Accent1 3 2 5 5" xfId="11320" xr:uid="{05832973-A0B4-4DC4-89FF-956721739CB9}"/>
    <cellStyle name="40% - Accent1 3 2 6" xfId="2318" xr:uid="{00000000-0005-0000-0000-000024040000}"/>
    <cellStyle name="40% - Accent1 3 2 6 2" xfId="6624" xr:uid="{00000000-0005-0000-0000-000025040000}"/>
    <cellStyle name="40% - Accent1 3 2 6 2 2" xfId="24390" xr:uid="{8B3DD2DA-86F1-4CA0-A5B4-D6E59B0816E1}"/>
    <cellStyle name="40% - Accent1 3 2 6 2 3" xfId="15950" xr:uid="{46BEE0F5-7155-477C-BE2E-70E7AEB7411E}"/>
    <cellStyle name="40% - Accent1 3 2 6 3" xfId="20173" xr:uid="{974426B4-1C0C-4A7C-923C-1ADD07A2398F}"/>
    <cellStyle name="40% - Accent1 3 2 6 4" xfId="11733" xr:uid="{B05AE72A-A6B8-42AD-9C4C-33F7B5DAC5B0}"/>
    <cellStyle name="40% - Accent1 3 2 7" xfId="4558" xr:uid="{00000000-0005-0000-0000-000026040000}"/>
    <cellStyle name="40% - Accent1 3 2 7 2" xfId="22324" xr:uid="{56C531EF-E9CC-4DC4-9B26-F60075EB952F}"/>
    <cellStyle name="40% - Accent1 3 2 7 3" xfId="13884" xr:uid="{14AF684D-C73A-4A46-A8B5-4FF565416F74}"/>
    <cellStyle name="40% - Accent1 3 2 8" xfId="9069" xr:uid="{F3D9FD63-8946-4492-B81A-42936E8B246D}"/>
    <cellStyle name="40% - Accent1 3 2 8 2" xfId="18107" xr:uid="{BC240F87-3791-4741-8E0A-678D023B1912}"/>
    <cellStyle name="40% - Accent1 3 2 9" xfId="9667" xr:uid="{4B81C9AE-E6DC-4B35-8FEB-7CF423914DF0}"/>
    <cellStyle name="40% - Accent1 3 3" xfId="623" xr:uid="{00000000-0005-0000-0000-000027040000}"/>
    <cellStyle name="40% - Accent1 3 3 2" xfId="2894" xr:uid="{00000000-0005-0000-0000-000028040000}"/>
    <cellStyle name="40% - Accent1 3 3 2 2" xfId="7116" xr:uid="{00000000-0005-0000-0000-000029040000}"/>
    <cellStyle name="40% - Accent1 3 3 2 2 2" xfId="24882" xr:uid="{F196470D-096D-4759-A420-FF52BFD75DB0}"/>
    <cellStyle name="40% - Accent1 3 3 2 2 3" xfId="16442" xr:uid="{28FE2BED-6262-47C9-B7BA-73A30F342305}"/>
    <cellStyle name="40% - Accent1 3 3 2 3" xfId="20665" xr:uid="{2EA6AC94-A2A5-4D4C-8DFB-06D96EE5A15D}"/>
    <cellStyle name="40% - Accent1 3 3 2 4" xfId="12225" xr:uid="{0F0AB763-DF2A-45ED-A0A1-413FE7E045F4}"/>
    <cellStyle name="40% - Accent1 3 3 3" xfId="4971" xr:uid="{00000000-0005-0000-0000-00002A040000}"/>
    <cellStyle name="40% - Accent1 3 3 3 2" xfId="22737" xr:uid="{872A8A84-57EB-4064-A99F-8B86F82996DE}"/>
    <cellStyle name="40% - Accent1 3 3 3 3" xfId="14297" xr:uid="{9AF5AE15-D9D4-4AF5-BCD3-8039DD3C61D2}"/>
    <cellStyle name="40% - Accent1 3 3 4" xfId="9287" xr:uid="{8C21B573-3D31-49DA-ACD8-D3EC7CC3A858}"/>
    <cellStyle name="40% - Accent1 3 3 4 2" xfId="18520" xr:uid="{74117893-D218-437E-B3A3-63848ED0B419}"/>
    <cellStyle name="40% - Accent1 3 3 5" xfId="10080" xr:uid="{EAE12395-D7EC-4466-BD88-0BE9B37734C2}"/>
    <cellStyle name="40% - Accent1 3 4" xfId="1076" xr:uid="{00000000-0005-0000-0000-00002B040000}"/>
    <cellStyle name="40% - Accent1 3 4 2" xfId="3307" xr:uid="{00000000-0005-0000-0000-00002C040000}"/>
    <cellStyle name="40% - Accent1 3 4 2 2" xfId="7529" xr:uid="{00000000-0005-0000-0000-00002D040000}"/>
    <cellStyle name="40% - Accent1 3 4 2 2 2" xfId="25295" xr:uid="{E4D96108-6B1B-4524-8C58-A9B9B7699E1C}"/>
    <cellStyle name="40% - Accent1 3 4 2 2 3" xfId="16855" xr:uid="{F92D8C9B-2DB1-4BDB-816A-F4D1C70F8D14}"/>
    <cellStyle name="40% - Accent1 3 4 2 3" xfId="21078" xr:uid="{D1482B35-D697-4F8D-A5F1-E7E31FC6E99E}"/>
    <cellStyle name="40% - Accent1 3 4 2 4" xfId="12638" xr:uid="{4407849A-14AB-4498-8F1C-AFB93142AEEE}"/>
    <cellStyle name="40% - Accent1 3 4 3" xfId="5384" xr:uid="{00000000-0005-0000-0000-00002E040000}"/>
    <cellStyle name="40% - Accent1 3 4 3 2" xfId="23150" xr:uid="{88F60CF0-B13C-4C6A-9ACE-A6554F74C41E}"/>
    <cellStyle name="40% - Accent1 3 4 3 3" xfId="14710" xr:uid="{7CC6C674-AFF6-4C4E-BA82-E2DD6A02498F}"/>
    <cellStyle name="40% - Accent1 3 4 4" xfId="18933" xr:uid="{415BE04C-10F3-4935-956A-404B42CBD7EB}"/>
    <cellStyle name="40% - Accent1 3 4 5" xfId="10493" xr:uid="{107CD67D-51E9-4646-8EBE-B589B8E3563D}"/>
    <cellStyle name="40% - Accent1 3 5" xfId="1490" xr:uid="{00000000-0005-0000-0000-00002F040000}"/>
    <cellStyle name="40% - Accent1 3 5 2" xfId="3720" xr:uid="{00000000-0005-0000-0000-000030040000}"/>
    <cellStyle name="40% - Accent1 3 5 2 2" xfId="7942" xr:uid="{00000000-0005-0000-0000-000031040000}"/>
    <cellStyle name="40% - Accent1 3 5 2 2 2" xfId="25708" xr:uid="{A173ED65-00F4-4BED-AF1B-B7CE06316157}"/>
    <cellStyle name="40% - Accent1 3 5 2 2 3" xfId="17268" xr:uid="{D5C99169-F800-4D46-BA5A-45A874F8F7F4}"/>
    <cellStyle name="40% - Accent1 3 5 2 3" xfId="21491" xr:uid="{BB42D89B-CB60-4B72-866A-DF56F10144B6}"/>
    <cellStyle name="40% - Accent1 3 5 2 4" xfId="13051" xr:uid="{AFE95C56-D83B-4DFD-AC8B-93BD2751DC76}"/>
    <cellStyle name="40% - Accent1 3 5 3" xfId="5797" xr:uid="{00000000-0005-0000-0000-000032040000}"/>
    <cellStyle name="40% - Accent1 3 5 3 2" xfId="23563" xr:uid="{78C648F1-6CB6-418B-B1F1-D40CA445EB14}"/>
    <cellStyle name="40% - Accent1 3 5 3 3" xfId="15123" xr:uid="{38B3F031-44BC-4737-8AB9-42813840E918}"/>
    <cellStyle name="40% - Accent1 3 5 4" xfId="19346" xr:uid="{6199EC80-A0C4-4FF1-AE56-4DFFCEE3D781}"/>
    <cellStyle name="40% - Accent1 3 5 5" xfId="10906" xr:uid="{8F565A17-0814-4059-8BD3-D762D9A8D78C}"/>
    <cellStyle name="40% - Accent1 3 6" xfId="1904" xr:uid="{00000000-0005-0000-0000-000033040000}"/>
    <cellStyle name="40% - Accent1 3 6 2" xfId="4133" xr:uid="{00000000-0005-0000-0000-000034040000}"/>
    <cellStyle name="40% - Accent1 3 6 2 2" xfId="8355" xr:uid="{00000000-0005-0000-0000-000035040000}"/>
    <cellStyle name="40% - Accent1 3 6 2 2 2" xfId="26121" xr:uid="{4A2986AD-B818-4B7B-8FEA-AB6AE0DE342D}"/>
    <cellStyle name="40% - Accent1 3 6 2 2 3" xfId="17681" xr:uid="{71644F9C-938F-4E60-A3C1-A608CEC6FD12}"/>
    <cellStyle name="40% - Accent1 3 6 2 3" xfId="21904" xr:uid="{9F092A63-1A94-4CFC-A5BC-3BF173DF52D0}"/>
    <cellStyle name="40% - Accent1 3 6 2 4" xfId="13464" xr:uid="{21E1E369-7857-4188-8C9F-A3C4524BEB82}"/>
    <cellStyle name="40% - Accent1 3 6 3" xfId="6210" xr:uid="{00000000-0005-0000-0000-000036040000}"/>
    <cellStyle name="40% - Accent1 3 6 3 2" xfId="23976" xr:uid="{7F13D807-6BED-4306-802F-C5475DADA7DE}"/>
    <cellStyle name="40% - Accent1 3 6 3 3" xfId="15536" xr:uid="{3254D005-874C-4D16-9370-A1BD9C67C351}"/>
    <cellStyle name="40% - Accent1 3 6 4" xfId="19759" xr:uid="{86DA060F-C03A-44F0-B44E-84C4666E89EF}"/>
    <cellStyle name="40% - Accent1 3 6 5" xfId="11319" xr:uid="{09181C1B-89D4-4E51-8B29-F2978DE16DD9}"/>
    <cellStyle name="40% - Accent1 3 7" xfId="2317" xr:uid="{00000000-0005-0000-0000-000037040000}"/>
    <cellStyle name="40% - Accent1 3 7 2" xfId="6623" xr:uid="{00000000-0005-0000-0000-000038040000}"/>
    <cellStyle name="40% - Accent1 3 7 2 2" xfId="24389" xr:uid="{7E0E90A4-7723-4947-B927-DA77D90C0E94}"/>
    <cellStyle name="40% - Accent1 3 7 2 3" xfId="15949" xr:uid="{30E9E564-1AF7-44B0-8CDA-FDA96A95E7A2}"/>
    <cellStyle name="40% - Accent1 3 7 3" xfId="20172" xr:uid="{116BB217-0924-4B18-BE64-D7F9B41C8697}"/>
    <cellStyle name="40% - Accent1 3 7 4" xfId="11732" xr:uid="{69607190-78F4-4889-B229-F6AAFDD12EB6}"/>
    <cellStyle name="40% - Accent1 3 8" xfId="4557" xr:uid="{00000000-0005-0000-0000-000039040000}"/>
    <cellStyle name="40% - Accent1 3 8 2" xfId="22323" xr:uid="{48E92D60-A08E-4E7B-89AD-32F02B8F823D}"/>
    <cellStyle name="40% - Accent1 3 8 3" xfId="13883" xr:uid="{C228E41F-346D-42CE-9BED-CA2E18C623E1}"/>
    <cellStyle name="40% - Accent1 3 9" xfId="8862" xr:uid="{2CC30516-31CA-485E-88BE-FCC7F9756A95}"/>
    <cellStyle name="40% - Accent1 3 9 2" xfId="18106" xr:uid="{ACED552F-28C2-45D4-8491-868B05DDA1E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24884" xr:uid="{437165C9-D3F2-4344-AE0F-1D42B40F26A2}"/>
    <cellStyle name="40% - Accent1 4 2 2 2 3" xfId="16444" xr:uid="{1EB4B5FD-BAB6-4A5B-946E-376243A02B28}"/>
    <cellStyle name="40% - Accent1 4 2 2 3" xfId="20667" xr:uid="{86A7CD6A-43DF-47F7-BBA5-C3AB408B5486}"/>
    <cellStyle name="40% - Accent1 4 2 2 4" xfId="12227" xr:uid="{BF9F466E-DC5E-46D8-B727-D05BE0498AB3}"/>
    <cellStyle name="40% - Accent1 4 2 3" xfId="4973" xr:uid="{00000000-0005-0000-0000-00003E040000}"/>
    <cellStyle name="40% - Accent1 4 2 3 2" xfId="22739" xr:uid="{9BC6FB65-53BD-47DE-AD38-3A6FA74B23B9}"/>
    <cellStyle name="40% - Accent1 4 2 3 3" xfId="14299" xr:uid="{18085A75-9EA6-48C1-9078-662AEB2C9F14}"/>
    <cellStyle name="40% - Accent1 4 2 4" xfId="9373" xr:uid="{3BC949C7-8F86-44EA-9F10-CF277586B131}"/>
    <cellStyle name="40% - Accent1 4 2 4 2" xfId="18522" xr:uid="{A3489BD5-3736-436A-9027-B0AFA656D572}"/>
    <cellStyle name="40% - Accent1 4 2 5" xfId="10082" xr:uid="{4F3A5F08-6463-4A65-9A23-0F327C78A19A}"/>
    <cellStyle name="40% - Accent1 4 3" xfId="1078" xr:uid="{00000000-0005-0000-0000-00003F040000}"/>
    <cellStyle name="40% - Accent1 4 3 2" xfId="3309" xr:uid="{00000000-0005-0000-0000-000040040000}"/>
    <cellStyle name="40% - Accent1 4 3 2 2" xfId="7531" xr:uid="{00000000-0005-0000-0000-000041040000}"/>
    <cellStyle name="40% - Accent1 4 3 2 2 2" xfId="25297" xr:uid="{8BBA8EE3-161E-4C26-AF8E-A6A56D649957}"/>
    <cellStyle name="40% - Accent1 4 3 2 2 3" xfId="16857" xr:uid="{8D83FB35-CF8C-4132-95BF-C778FE1DFE9C}"/>
    <cellStyle name="40% - Accent1 4 3 2 3" xfId="21080" xr:uid="{0EABF0D2-E813-433D-A436-CDFA3FEC1637}"/>
    <cellStyle name="40% - Accent1 4 3 2 4" xfId="12640" xr:uid="{D7B176F0-4C70-481B-BB50-EF8EC598A7DF}"/>
    <cellStyle name="40% - Accent1 4 3 3" xfId="5386" xr:uid="{00000000-0005-0000-0000-000042040000}"/>
    <cellStyle name="40% - Accent1 4 3 3 2" xfId="23152" xr:uid="{EDEF540D-FE13-4101-9E16-EC97C1427EDF}"/>
    <cellStyle name="40% - Accent1 4 3 3 3" xfId="14712" xr:uid="{CF409B45-327E-4626-9C8C-1F5A04E17B8E}"/>
    <cellStyle name="40% - Accent1 4 3 4" xfId="18935" xr:uid="{CC392BCA-1D20-4989-8CE8-437A7A2C339F}"/>
    <cellStyle name="40% - Accent1 4 3 5" xfId="10495" xr:uid="{F9A3BAA8-5778-41E4-AE00-5EFFD0AD3C1A}"/>
    <cellStyle name="40% - Accent1 4 4" xfId="1492" xr:uid="{00000000-0005-0000-0000-000043040000}"/>
    <cellStyle name="40% - Accent1 4 4 2" xfId="3722" xr:uid="{00000000-0005-0000-0000-000044040000}"/>
    <cellStyle name="40% - Accent1 4 4 2 2" xfId="7944" xr:uid="{00000000-0005-0000-0000-000045040000}"/>
    <cellStyle name="40% - Accent1 4 4 2 2 2" xfId="25710" xr:uid="{3A3DBC6A-B1AF-45DA-94B6-E4DAA3D48B64}"/>
    <cellStyle name="40% - Accent1 4 4 2 2 3" xfId="17270" xr:uid="{B01B50DE-F756-4B55-A6F5-58B6E2C8D67D}"/>
    <cellStyle name="40% - Accent1 4 4 2 3" xfId="21493" xr:uid="{CF84788C-00CB-4683-8ADF-39A7320F5FA6}"/>
    <cellStyle name="40% - Accent1 4 4 2 4" xfId="13053" xr:uid="{94AE4782-046F-47DE-8AF8-F8616D930760}"/>
    <cellStyle name="40% - Accent1 4 4 3" xfId="5799" xr:uid="{00000000-0005-0000-0000-000046040000}"/>
    <cellStyle name="40% - Accent1 4 4 3 2" xfId="23565" xr:uid="{440149C0-2055-4779-83A0-F7BFC8DA2829}"/>
    <cellStyle name="40% - Accent1 4 4 3 3" xfId="15125" xr:uid="{AD23BD27-3D12-48AF-8B13-233998C79936}"/>
    <cellStyle name="40% - Accent1 4 4 4" xfId="19348" xr:uid="{95287318-2BB3-48F5-96EF-BF49B95D1230}"/>
    <cellStyle name="40% - Accent1 4 4 5" xfId="10908" xr:uid="{7F7BF8F1-31A3-4578-B9DB-B501347AF5FF}"/>
    <cellStyle name="40% - Accent1 4 5" xfId="1906" xr:uid="{00000000-0005-0000-0000-000047040000}"/>
    <cellStyle name="40% - Accent1 4 5 2" xfId="4135" xr:uid="{00000000-0005-0000-0000-000048040000}"/>
    <cellStyle name="40% - Accent1 4 5 2 2" xfId="8357" xr:uid="{00000000-0005-0000-0000-000049040000}"/>
    <cellStyle name="40% - Accent1 4 5 2 2 2" xfId="26123" xr:uid="{B4AC1858-15EB-42E9-A2D3-5F651DFB951E}"/>
    <cellStyle name="40% - Accent1 4 5 2 2 3" xfId="17683" xr:uid="{E399E538-BFF6-4A5A-AFD7-1073BE3A4D48}"/>
    <cellStyle name="40% - Accent1 4 5 2 3" xfId="21906" xr:uid="{8A572C51-192C-4DB3-A549-E0925CCC2AA2}"/>
    <cellStyle name="40% - Accent1 4 5 2 4" xfId="13466" xr:uid="{ADC612D4-04AC-4280-B47F-B01099AC3301}"/>
    <cellStyle name="40% - Accent1 4 5 3" xfId="6212" xr:uid="{00000000-0005-0000-0000-00004A040000}"/>
    <cellStyle name="40% - Accent1 4 5 3 2" xfId="23978" xr:uid="{54D645A5-7B4A-41C8-8E75-380A690CB09A}"/>
    <cellStyle name="40% - Accent1 4 5 3 3" xfId="15538" xr:uid="{4768E730-7DCE-4583-9EF9-F3729D0265FB}"/>
    <cellStyle name="40% - Accent1 4 5 4" xfId="19761" xr:uid="{9BFCF9D1-26D3-436E-A11E-A68DC1BE10E8}"/>
    <cellStyle name="40% - Accent1 4 5 5" xfId="11321" xr:uid="{4E235292-22AE-47C1-AE09-D5452328990B}"/>
    <cellStyle name="40% - Accent1 4 6" xfId="2319" xr:uid="{00000000-0005-0000-0000-00004B040000}"/>
    <cellStyle name="40% - Accent1 4 6 2" xfId="6625" xr:uid="{00000000-0005-0000-0000-00004C040000}"/>
    <cellStyle name="40% - Accent1 4 6 2 2" xfId="24391" xr:uid="{D6F87EF1-B2CC-42B3-B018-919A4165A4BE}"/>
    <cellStyle name="40% - Accent1 4 6 2 3" xfId="15951" xr:uid="{DFFE8E54-A805-4C92-BF1F-1CECEFC4B146}"/>
    <cellStyle name="40% - Accent1 4 6 3" xfId="20174" xr:uid="{3050D041-ED58-4BB4-BC1E-4220DCF24819}"/>
    <cellStyle name="40% - Accent1 4 6 4" xfId="11734" xr:uid="{4683D697-CBD2-486D-897D-1964B96B3BD3}"/>
    <cellStyle name="40% - Accent1 4 7" xfId="4559" xr:uid="{00000000-0005-0000-0000-00004D040000}"/>
    <cellStyle name="40% - Accent1 4 7 2" xfId="22325" xr:uid="{BB45AED4-FC51-4422-A4E7-2272BF9D7FCC}"/>
    <cellStyle name="40% - Accent1 4 7 3" xfId="13885" xr:uid="{DDA61C18-54BF-45C7-8C8B-F29B8771C480}"/>
    <cellStyle name="40% - Accent1 4 8" xfId="8948" xr:uid="{7BCBB449-71B8-4468-A700-0125C7659C3D}"/>
    <cellStyle name="40% - Accent1 4 8 2" xfId="18108" xr:uid="{1EA12702-FD12-4BA1-839B-7B5A4631090A}"/>
    <cellStyle name="40% - Accent1 4 9" xfId="9668" xr:uid="{FFA89B9C-2E4C-4ABB-BD8A-A4D64FAE119A}"/>
    <cellStyle name="40% - Accent1 5" xfId="618" xr:uid="{00000000-0005-0000-0000-00004E040000}"/>
    <cellStyle name="40% - Accent1 5 2" xfId="2889" xr:uid="{00000000-0005-0000-0000-00004F040000}"/>
    <cellStyle name="40% - Accent1 5 2 2" xfId="7111" xr:uid="{00000000-0005-0000-0000-000050040000}"/>
    <cellStyle name="40% - Accent1 5 2 2 2" xfId="24877" xr:uid="{F8E9FD85-33CC-489A-9A8F-9B0E8DF32827}"/>
    <cellStyle name="40% - Accent1 5 2 2 3" xfId="16437" xr:uid="{C9F08987-99F9-4C60-987C-957D114D3EC1}"/>
    <cellStyle name="40% - Accent1 5 2 3" xfId="20660" xr:uid="{26DD6F06-0F6A-4111-A9EF-67A06D93C87E}"/>
    <cellStyle name="40% - Accent1 5 2 4" xfId="12220" xr:uid="{7FE2E007-D326-4833-8EC8-2A29D293F2DA}"/>
    <cellStyle name="40% - Accent1 5 3" xfId="4966" xr:uid="{00000000-0005-0000-0000-000051040000}"/>
    <cellStyle name="40% - Accent1 5 3 2" xfId="22732" xr:uid="{58BD8115-8554-41A1-A3E5-CEB74B977EE0}"/>
    <cellStyle name="40% - Accent1 5 3 3" xfId="14292" xr:uid="{40DF5139-73F7-401A-97F9-7F302A6DE77E}"/>
    <cellStyle name="40% - Accent1 5 4" xfId="9181" xr:uid="{332DA761-F1AA-4FF3-9BBB-9ECEE19D2DFF}"/>
    <cellStyle name="40% - Accent1 5 4 2" xfId="18515" xr:uid="{A7A45FF5-9F2F-4853-82AD-FF97711C2A8A}"/>
    <cellStyle name="40% - Accent1 5 5" xfId="10075" xr:uid="{60DEC4B5-EF98-4B74-B36E-1D4E6308FB80}"/>
    <cellStyle name="40% - Accent1 6" xfId="1071" xr:uid="{00000000-0005-0000-0000-000052040000}"/>
    <cellStyle name="40% - Accent1 6 2" xfId="3302" xr:uid="{00000000-0005-0000-0000-000053040000}"/>
    <cellStyle name="40% - Accent1 6 2 2" xfId="7524" xr:uid="{00000000-0005-0000-0000-000054040000}"/>
    <cellStyle name="40% - Accent1 6 2 2 2" xfId="25290" xr:uid="{0D6C69C3-F5B1-4CED-ADEE-481CC669E77A}"/>
    <cellStyle name="40% - Accent1 6 2 2 3" xfId="16850" xr:uid="{0A2AE255-F4DD-41B3-A1C0-DC32573178E2}"/>
    <cellStyle name="40% - Accent1 6 2 3" xfId="21073" xr:uid="{BACF510E-B78B-4492-8E08-AF26AEB8B3CB}"/>
    <cellStyle name="40% - Accent1 6 2 4" xfId="12633" xr:uid="{9DEFD45F-F4EE-461D-9FE8-639C1DEA3554}"/>
    <cellStyle name="40% - Accent1 6 3" xfId="5379" xr:uid="{00000000-0005-0000-0000-000055040000}"/>
    <cellStyle name="40% - Accent1 6 3 2" xfId="23145" xr:uid="{9F08AC6E-DA54-4E83-9FC8-BDA4F4E7FECE}"/>
    <cellStyle name="40% - Accent1 6 3 3" xfId="14705" xr:uid="{3DC9B7B7-02D9-44FA-8C66-4CA285B7EFB2}"/>
    <cellStyle name="40% - Accent1 6 4" xfId="18928" xr:uid="{C6B8D4F5-5502-4D4F-8205-2A23E4D21B0B}"/>
    <cellStyle name="40% - Accent1 6 5" xfId="10488" xr:uid="{BA1D4D56-BD46-42FD-84F2-14AF4F6F7EFB}"/>
    <cellStyle name="40% - Accent1 7" xfId="1485" xr:uid="{00000000-0005-0000-0000-000056040000}"/>
    <cellStyle name="40% - Accent1 7 2" xfId="3715" xr:uid="{00000000-0005-0000-0000-000057040000}"/>
    <cellStyle name="40% - Accent1 7 2 2" xfId="7937" xr:uid="{00000000-0005-0000-0000-000058040000}"/>
    <cellStyle name="40% - Accent1 7 2 2 2" xfId="25703" xr:uid="{B81F093C-8F85-4DAF-8475-DDDA88748EA6}"/>
    <cellStyle name="40% - Accent1 7 2 2 3" xfId="17263" xr:uid="{5AA52DB3-259D-4465-9B61-57503B46D2CB}"/>
    <cellStyle name="40% - Accent1 7 2 3" xfId="21486" xr:uid="{5A050D5D-8918-4C32-BCDA-67E21C8D5ECD}"/>
    <cellStyle name="40% - Accent1 7 2 4" xfId="13046" xr:uid="{BE92A6FB-3E22-49B1-A864-A4E2F6E1586F}"/>
    <cellStyle name="40% - Accent1 7 3" xfId="5792" xr:uid="{00000000-0005-0000-0000-000059040000}"/>
    <cellStyle name="40% - Accent1 7 3 2" xfId="23558" xr:uid="{1E073CCA-AA10-4BB6-8EF2-F5B89BA830C5}"/>
    <cellStyle name="40% - Accent1 7 3 3" xfId="15118" xr:uid="{5B5A327B-1B1A-43EB-8E34-F632182BE7DA}"/>
    <cellStyle name="40% - Accent1 7 4" xfId="19341" xr:uid="{35D769F5-2D10-4BBB-A74F-5DBE706E7252}"/>
    <cellStyle name="40% - Accent1 7 5" xfId="10901" xr:uid="{D27FE9C2-7977-4EBF-A9F3-69AE5648980C}"/>
    <cellStyle name="40% - Accent1 8" xfId="1899" xr:uid="{00000000-0005-0000-0000-00005A040000}"/>
    <cellStyle name="40% - Accent1 8 2" xfId="4128" xr:uid="{00000000-0005-0000-0000-00005B040000}"/>
    <cellStyle name="40% - Accent1 8 2 2" xfId="8350" xr:uid="{00000000-0005-0000-0000-00005C040000}"/>
    <cellStyle name="40% - Accent1 8 2 2 2" xfId="26116" xr:uid="{20830C42-A328-45D1-9BA6-6493DEB03840}"/>
    <cellStyle name="40% - Accent1 8 2 2 3" xfId="17676" xr:uid="{C8F27E46-E8DB-4564-94F4-52847D3C2855}"/>
    <cellStyle name="40% - Accent1 8 2 3" xfId="21899" xr:uid="{60E32D18-9F3A-459F-B0DA-F8E33A66D8F4}"/>
    <cellStyle name="40% - Accent1 8 2 4" xfId="13459" xr:uid="{F1930403-BE48-4717-9724-49E114910207}"/>
    <cellStyle name="40% - Accent1 8 3" xfId="6205" xr:uid="{00000000-0005-0000-0000-00005D040000}"/>
    <cellStyle name="40% - Accent1 8 3 2" xfId="23971" xr:uid="{30F9A5BB-C6D7-4845-8521-2DC8826BE549}"/>
    <cellStyle name="40% - Accent1 8 3 3" xfId="15531" xr:uid="{3F1AC923-1A53-4754-8643-B4904F25DE24}"/>
    <cellStyle name="40% - Accent1 8 4" xfId="19754" xr:uid="{05DC06CA-B604-4DC2-A9C0-E41E4D52B563}"/>
    <cellStyle name="40% - Accent1 8 5" xfId="11314" xr:uid="{D77C2F07-1305-4921-A0D0-3433E4079B81}"/>
    <cellStyle name="40% - Accent1 9" xfId="2312" xr:uid="{00000000-0005-0000-0000-00005E040000}"/>
    <cellStyle name="40% - Accent1 9 2" xfId="6618" xr:uid="{00000000-0005-0000-0000-00005F040000}"/>
    <cellStyle name="40% - Accent1 9 2 2" xfId="24384" xr:uid="{1A9FD6BD-F649-471A-AA75-8ADE9DE63C80}"/>
    <cellStyle name="40% - Accent1 9 2 3" xfId="15944" xr:uid="{5358E917-689D-4F2A-90C8-D80A07CE5EC5}"/>
    <cellStyle name="40% - Accent1 9 3" xfId="20167" xr:uid="{B75B6765-BE1E-438B-85FD-8266B69EBA27}"/>
    <cellStyle name="40% - Accent1 9 4" xfId="11727" xr:uid="{3A399128-1097-49A4-9A47-FA728D8672FC}"/>
    <cellStyle name="40% - Accent2" xfId="57" builtinId="35" customBuiltin="1"/>
    <cellStyle name="40% - Accent2 10" xfId="4560" xr:uid="{00000000-0005-0000-0000-000061040000}"/>
    <cellStyle name="40% - Accent2 10 2" xfId="22326" xr:uid="{DAB6430A-A99E-4AC9-8B4A-8DFF9C7362F1}"/>
    <cellStyle name="40% - Accent2 10 3" xfId="13886" xr:uid="{8F96008A-5BDB-4E00-AE99-2CB8CDB60BC7}"/>
    <cellStyle name="40% - Accent2 11" xfId="8761" xr:uid="{8631D9D1-53DA-4958-8F7C-AD68B7B91D61}"/>
    <cellStyle name="40% - Accent2 11 2" xfId="18109" xr:uid="{7758E08D-AC10-48BD-BB1D-B76091B591BA}"/>
    <cellStyle name="40% - Accent2 12" xfId="9669" xr:uid="{18782AA7-B9A7-4AFE-98BE-1AFDE712D0A6}"/>
    <cellStyle name="40% - Accent2 2" xfId="58" xr:uid="{00000000-0005-0000-0000-000062040000}"/>
    <cellStyle name="40% - Accent2 2 10" xfId="8799" xr:uid="{E3EEC046-6E76-44A5-8D1B-64621A8F0AC5}"/>
    <cellStyle name="40% - Accent2 2 10 2" xfId="18110" xr:uid="{B181E4B6-A7FF-4BA3-8A78-E50B20FFA2B8}"/>
    <cellStyle name="40% - Accent2 2 11" xfId="9670" xr:uid="{6B9787CD-2FB0-4B93-97F6-716A001AF2EA}"/>
    <cellStyle name="40% - Accent2 2 2" xfId="59" xr:uid="{00000000-0005-0000-0000-000063040000}"/>
    <cellStyle name="40% - Accent2 2 2 10" xfId="9671" xr:uid="{A1DD15B7-B01B-4FA4-A2B1-C6C9EA321377}"/>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24888" xr:uid="{44DF34EE-2302-49EE-9EF2-653F0B3F8C9E}"/>
    <cellStyle name="40% - Accent2 2 2 2 2 2 2 3" xfId="16448" xr:uid="{4224232F-6E66-4B2C-98DC-7C644616BE55}"/>
    <cellStyle name="40% - Accent2 2 2 2 2 2 3" xfId="20671" xr:uid="{A798A32D-224C-4AB3-BF07-28ECF42B0CD5}"/>
    <cellStyle name="40% - Accent2 2 2 2 2 2 4" xfId="12231" xr:uid="{C3C9247A-8262-41EE-8930-F8092ECE2372}"/>
    <cellStyle name="40% - Accent2 2 2 2 2 3" xfId="4977" xr:uid="{00000000-0005-0000-0000-000068040000}"/>
    <cellStyle name="40% - Accent2 2 2 2 2 3 2" xfId="22743" xr:uid="{F9940D4A-1A08-4781-9737-4C4784E008E0}"/>
    <cellStyle name="40% - Accent2 2 2 2 2 3 3" xfId="14303" xr:uid="{11315D1D-0FFE-4741-AEEE-EA451077675C}"/>
    <cellStyle name="40% - Accent2 2 2 2 2 4" xfId="9534" xr:uid="{9F53A086-33FC-422E-9DFF-72D04AC43949}"/>
    <cellStyle name="40% - Accent2 2 2 2 2 4 2" xfId="18526" xr:uid="{99BE95AC-9F65-481B-9067-E163F5743C48}"/>
    <cellStyle name="40% - Accent2 2 2 2 2 5" xfId="10086" xr:uid="{7DE9A8E3-AED4-43FB-9519-E6C782CBB0C3}"/>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25301" xr:uid="{452E60DD-E1ED-4833-95CE-A95C8A3A04B2}"/>
    <cellStyle name="40% - Accent2 2 2 2 3 2 2 3" xfId="16861" xr:uid="{5C813921-D3BE-4E78-8172-54C665AAFE74}"/>
    <cellStyle name="40% - Accent2 2 2 2 3 2 3" xfId="21084" xr:uid="{D5148DCB-91CD-44D5-87AC-BAD54EA7D65D}"/>
    <cellStyle name="40% - Accent2 2 2 2 3 2 4" xfId="12644" xr:uid="{5088AC65-AB30-4669-A74C-7F33427B414E}"/>
    <cellStyle name="40% - Accent2 2 2 2 3 3" xfId="5390" xr:uid="{00000000-0005-0000-0000-00006C040000}"/>
    <cellStyle name="40% - Accent2 2 2 2 3 3 2" xfId="23156" xr:uid="{0EEDDB76-A0A9-4B94-9FB5-E3D7F152ACBA}"/>
    <cellStyle name="40% - Accent2 2 2 2 3 3 3" xfId="14716" xr:uid="{1AE1E6D1-B750-41BD-B7AE-0637CACA44D5}"/>
    <cellStyle name="40% - Accent2 2 2 2 3 4" xfId="18939" xr:uid="{FD16CE7D-1B6F-456D-8BA6-2443F8E0209A}"/>
    <cellStyle name="40% - Accent2 2 2 2 3 5" xfId="10499" xr:uid="{B075AEAE-418A-4574-ABF8-3B09AFDE3B4A}"/>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25714" xr:uid="{8B41ED54-05B1-4E61-8909-AD4347159E46}"/>
    <cellStyle name="40% - Accent2 2 2 2 4 2 2 3" xfId="17274" xr:uid="{89E91A8B-CD5B-49B6-9278-8A6CE120C30A}"/>
    <cellStyle name="40% - Accent2 2 2 2 4 2 3" xfId="21497" xr:uid="{97860DC4-8909-4822-A510-91632A0B1B58}"/>
    <cellStyle name="40% - Accent2 2 2 2 4 2 4" xfId="13057" xr:uid="{E44CA5DF-7BAC-4C46-8A4D-3779E895C24B}"/>
    <cellStyle name="40% - Accent2 2 2 2 4 3" xfId="5803" xr:uid="{00000000-0005-0000-0000-000070040000}"/>
    <cellStyle name="40% - Accent2 2 2 2 4 3 2" xfId="23569" xr:uid="{96297B8A-0C00-4F93-AB95-D2C76574CFA7}"/>
    <cellStyle name="40% - Accent2 2 2 2 4 3 3" xfId="15129" xr:uid="{FC5692DD-C296-4A34-9F4A-28F20E23BA4F}"/>
    <cellStyle name="40% - Accent2 2 2 2 4 4" xfId="19352" xr:uid="{E9997B93-7109-479D-AAFF-5233B51AA7FB}"/>
    <cellStyle name="40% - Accent2 2 2 2 4 5" xfId="10912" xr:uid="{E72225E6-FC30-4537-99D3-0E8D60CC31F9}"/>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26127" xr:uid="{03AA5FAC-8E11-4FAB-A3A6-60ED7C08D896}"/>
    <cellStyle name="40% - Accent2 2 2 2 5 2 2 3" xfId="17687" xr:uid="{2418C31D-A311-4AA6-AF54-B27CB3E444D3}"/>
    <cellStyle name="40% - Accent2 2 2 2 5 2 3" xfId="21910" xr:uid="{082491FC-E3DA-458A-B8ED-A95804F94DBF}"/>
    <cellStyle name="40% - Accent2 2 2 2 5 2 4" xfId="13470" xr:uid="{3108EDF6-1928-4740-A4A4-4B6BF52E8293}"/>
    <cellStyle name="40% - Accent2 2 2 2 5 3" xfId="6216" xr:uid="{00000000-0005-0000-0000-000074040000}"/>
    <cellStyle name="40% - Accent2 2 2 2 5 3 2" xfId="23982" xr:uid="{C197CA61-A58B-4EBC-A020-E95E5FB0A6D9}"/>
    <cellStyle name="40% - Accent2 2 2 2 5 3 3" xfId="15542" xr:uid="{28822900-94E0-47DC-81E2-A8EAF5DCC589}"/>
    <cellStyle name="40% - Accent2 2 2 2 5 4" xfId="19765" xr:uid="{050EF137-5D25-4A6A-863D-177C31EDC402}"/>
    <cellStyle name="40% - Accent2 2 2 2 5 5" xfId="11325" xr:uid="{B6D74A38-FD4A-4947-9991-653F11853719}"/>
    <cellStyle name="40% - Accent2 2 2 2 6" xfId="2323" xr:uid="{00000000-0005-0000-0000-000075040000}"/>
    <cellStyle name="40% - Accent2 2 2 2 6 2" xfId="6629" xr:uid="{00000000-0005-0000-0000-000076040000}"/>
    <cellStyle name="40% - Accent2 2 2 2 6 2 2" xfId="24395" xr:uid="{122315F5-1B21-4F16-A21E-22442C1D7AEF}"/>
    <cellStyle name="40% - Accent2 2 2 2 6 2 3" xfId="15955" xr:uid="{E44EAF52-4DD1-45D7-BD83-2C37F7E54D16}"/>
    <cellStyle name="40% - Accent2 2 2 2 6 3" xfId="20178" xr:uid="{6190C3A0-8CBE-4957-9100-B06FD6F8D57E}"/>
    <cellStyle name="40% - Accent2 2 2 2 6 4" xfId="11738" xr:uid="{693A8690-A87F-4C75-95CD-B691AC0130DE}"/>
    <cellStyle name="40% - Accent2 2 2 2 7" xfId="4563" xr:uid="{00000000-0005-0000-0000-000077040000}"/>
    <cellStyle name="40% - Accent2 2 2 2 7 2" xfId="22329" xr:uid="{CD06E700-6CA4-4BF0-86E0-5BC29C7678B0}"/>
    <cellStyle name="40% - Accent2 2 2 2 7 3" xfId="13889" xr:uid="{F031BED1-EBDA-4E8B-A9B7-920910A4115C}"/>
    <cellStyle name="40% - Accent2 2 2 2 8" xfId="9109" xr:uid="{73F0012D-4386-4224-BFB0-7DB1C0E98822}"/>
    <cellStyle name="40% - Accent2 2 2 2 8 2" xfId="18112" xr:uid="{3C5E1C02-4B8D-4B65-B909-4188984EE48A}"/>
    <cellStyle name="40% - Accent2 2 2 2 9" xfId="9672" xr:uid="{67350077-E96A-4011-86F0-306041302F38}"/>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24887" xr:uid="{5B9A82E9-9E0F-4310-BAD0-D25647C5553D}"/>
    <cellStyle name="40% - Accent2 2 2 3 2 2 3" xfId="16447" xr:uid="{785B0881-A958-4945-BA84-357B67B3A839}"/>
    <cellStyle name="40% - Accent2 2 2 3 2 3" xfId="20670" xr:uid="{DD364FE3-8DCE-408A-A5E0-65B65E282454}"/>
    <cellStyle name="40% - Accent2 2 2 3 2 4" xfId="12230" xr:uid="{AEC37F4E-F11D-49B0-B555-167B5E59F1E6}"/>
    <cellStyle name="40% - Accent2 2 2 3 3" xfId="4976" xr:uid="{00000000-0005-0000-0000-00007B040000}"/>
    <cellStyle name="40% - Accent2 2 2 3 3 2" xfId="22742" xr:uid="{5AEB2E57-16B9-41B4-9F0D-CCEE4559404E}"/>
    <cellStyle name="40% - Accent2 2 2 3 3 3" xfId="14302" xr:uid="{E5C92A35-653A-484E-A344-0BC053AF54B9}"/>
    <cellStyle name="40% - Accent2 2 2 3 4" xfId="9327" xr:uid="{F2BC9A12-B689-4B73-B71E-77A9F0BC7FE4}"/>
    <cellStyle name="40% - Accent2 2 2 3 4 2" xfId="18525" xr:uid="{73952A81-C61E-4181-AEEB-D5028CB837A8}"/>
    <cellStyle name="40% - Accent2 2 2 3 5" xfId="10085" xr:uid="{44A001BF-1DFD-4CEE-9669-A11127B7F02C}"/>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25300" xr:uid="{256244F1-B54D-4C77-ADE5-287666C95E7E}"/>
    <cellStyle name="40% - Accent2 2 2 4 2 2 3" xfId="16860" xr:uid="{77B7A546-301A-4EBF-B2F6-12B11FE6421C}"/>
    <cellStyle name="40% - Accent2 2 2 4 2 3" xfId="21083" xr:uid="{65430272-FC20-40CD-8944-AF01E732FBD3}"/>
    <cellStyle name="40% - Accent2 2 2 4 2 4" xfId="12643" xr:uid="{FA04DAD4-7DF9-473E-A2F1-17946BCC4229}"/>
    <cellStyle name="40% - Accent2 2 2 4 3" xfId="5389" xr:uid="{00000000-0005-0000-0000-00007F040000}"/>
    <cellStyle name="40% - Accent2 2 2 4 3 2" xfId="23155" xr:uid="{02751069-12BA-4D30-B648-682A8E31323F}"/>
    <cellStyle name="40% - Accent2 2 2 4 3 3" xfId="14715" xr:uid="{566F22AC-955F-4224-9A87-D5284C5704B3}"/>
    <cellStyle name="40% - Accent2 2 2 4 4" xfId="18938" xr:uid="{20685353-3151-4A9A-8BA7-D4F4F1E8107C}"/>
    <cellStyle name="40% - Accent2 2 2 4 5" xfId="10498" xr:uid="{4FA8B9D7-47A3-4872-83B6-95F3C4A5B591}"/>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25713" xr:uid="{2C841E1E-4ABC-445A-BAE6-B1E69FC3BD54}"/>
    <cellStyle name="40% - Accent2 2 2 5 2 2 3" xfId="17273" xr:uid="{B249392A-86DF-41D6-9306-37142DF2A16E}"/>
    <cellStyle name="40% - Accent2 2 2 5 2 3" xfId="21496" xr:uid="{C2857C44-948A-48EF-ADF8-796E691E8E5B}"/>
    <cellStyle name="40% - Accent2 2 2 5 2 4" xfId="13056" xr:uid="{EBBF793E-70F7-43F5-B101-4B71706AB921}"/>
    <cellStyle name="40% - Accent2 2 2 5 3" xfId="5802" xr:uid="{00000000-0005-0000-0000-000083040000}"/>
    <cellStyle name="40% - Accent2 2 2 5 3 2" xfId="23568" xr:uid="{18A0E259-FF95-4E08-9225-35622D0067EE}"/>
    <cellStyle name="40% - Accent2 2 2 5 3 3" xfId="15128" xr:uid="{289315EE-CB3F-42B3-8E7A-0B67CCB44634}"/>
    <cellStyle name="40% - Accent2 2 2 5 4" xfId="19351" xr:uid="{DE05428B-FDB5-42DA-8E2F-C6624DB407BF}"/>
    <cellStyle name="40% - Accent2 2 2 5 5" xfId="10911" xr:uid="{7DC2DB15-E2FD-4727-87D7-F5A5C1063A1A}"/>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26126" xr:uid="{802DAE58-172F-4DDA-896F-5593D5DAFF88}"/>
    <cellStyle name="40% - Accent2 2 2 6 2 2 3" xfId="17686" xr:uid="{D575738C-91F8-4CA9-92CF-603DEFEB34D3}"/>
    <cellStyle name="40% - Accent2 2 2 6 2 3" xfId="21909" xr:uid="{8846E743-5B63-4CEA-99DC-688827CD46CE}"/>
    <cellStyle name="40% - Accent2 2 2 6 2 4" xfId="13469" xr:uid="{F16E5131-65BC-4464-A0AD-C9DFB0A50CBC}"/>
    <cellStyle name="40% - Accent2 2 2 6 3" xfId="6215" xr:uid="{00000000-0005-0000-0000-000087040000}"/>
    <cellStyle name="40% - Accent2 2 2 6 3 2" xfId="23981" xr:uid="{9F0E19A9-63DC-4CC4-B049-C2B59CF5D4CB}"/>
    <cellStyle name="40% - Accent2 2 2 6 3 3" xfId="15541" xr:uid="{56CF79A6-4F98-4777-8003-A7B8F61840B7}"/>
    <cellStyle name="40% - Accent2 2 2 6 4" xfId="19764" xr:uid="{46D2A77A-4DFE-4A49-89A3-1C4809092D64}"/>
    <cellStyle name="40% - Accent2 2 2 6 5" xfId="11324" xr:uid="{D3A3F7B1-F6C1-4152-B322-6AF88F40A70E}"/>
    <cellStyle name="40% - Accent2 2 2 7" xfId="2322" xr:uid="{00000000-0005-0000-0000-000088040000}"/>
    <cellStyle name="40% - Accent2 2 2 7 2" xfId="6628" xr:uid="{00000000-0005-0000-0000-000089040000}"/>
    <cellStyle name="40% - Accent2 2 2 7 2 2" xfId="24394" xr:uid="{F574E62D-33D0-41F8-8618-BD613E4E317D}"/>
    <cellStyle name="40% - Accent2 2 2 7 2 3" xfId="15954" xr:uid="{88D9EC4A-231C-4868-B8C8-DF5BF7A7CD4C}"/>
    <cellStyle name="40% - Accent2 2 2 7 3" xfId="20177" xr:uid="{E37021BE-86DE-41DB-A64C-70058C23AE9A}"/>
    <cellStyle name="40% - Accent2 2 2 7 4" xfId="11737" xr:uid="{5C90012B-F438-4D4D-A8E4-948F1C995E41}"/>
    <cellStyle name="40% - Accent2 2 2 8" xfId="4562" xr:uid="{00000000-0005-0000-0000-00008A040000}"/>
    <cellStyle name="40% - Accent2 2 2 8 2" xfId="22328" xr:uid="{3C918DDD-93BF-4A3F-B472-513D793C967A}"/>
    <cellStyle name="40% - Accent2 2 2 8 3" xfId="13888" xr:uid="{A4FAB5F6-B840-4594-B9DE-EF43A27A2033}"/>
    <cellStyle name="40% - Accent2 2 2 9" xfId="8902" xr:uid="{5D0C2022-B7A4-4DE2-895F-9E4BE510A7B9}"/>
    <cellStyle name="40% - Accent2 2 2 9 2" xfId="18111" xr:uid="{9296B70B-8A56-4DDB-8A87-02D4F4C978F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24889" xr:uid="{8B210230-9BC1-490D-9E79-5E8FECEE8BAC}"/>
    <cellStyle name="40% - Accent2 2 3 2 2 2 3" xfId="16449" xr:uid="{739FB595-C052-40D1-A505-A9FCCE638418}"/>
    <cellStyle name="40% - Accent2 2 3 2 2 3" xfId="20672" xr:uid="{E814A036-96A1-410C-A14B-4E85FCAC67DC}"/>
    <cellStyle name="40% - Accent2 2 3 2 2 4" xfId="12232" xr:uid="{02E8DA50-49DB-4D2F-9902-6736D09871EE}"/>
    <cellStyle name="40% - Accent2 2 3 2 3" xfId="4978" xr:uid="{00000000-0005-0000-0000-00008F040000}"/>
    <cellStyle name="40% - Accent2 2 3 2 3 2" xfId="22744" xr:uid="{6778815F-AC70-4AA7-991A-C9E54D5CC57E}"/>
    <cellStyle name="40% - Accent2 2 3 2 3 3" xfId="14304" xr:uid="{AEAE2EF2-06ED-4FDE-89F8-5B55286DD9A9}"/>
    <cellStyle name="40% - Accent2 2 3 2 4" xfId="9431" xr:uid="{BD4E3561-302E-4359-AAF3-4F2E007BC697}"/>
    <cellStyle name="40% - Accent2 2 3 2 4 2" xfId="18527" xr:uid="{01D8F904-4026-4252-BD82-0E5B5D704366}"/>
    <cellStyle name="40% - Accent2 2 3 2 5" xfId="10087" xr:uid="{69EC062A-E78A-4EB8-A98C-C4F6250A5574}"/>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25302" xr:uid="{78D6A2F5-F40F-4092-91AF-AE142E8E3C78}"/>
    <cellStyle name="40% - Accent2 2 3 3 2 2 3" xfId="16862" xr:uid="{A46EF0DA-B169-48B9-AFC1-C5D13909EAB2}"/>
    <cellStyle name="40% - Accent2 2 3 3 2 3" xfId="21085" xr:uid="{7694A098-0AAC-4DC9-BF0D-0CBB9BC19E44}"/>
    <cellStyle name="40% - Accent2 2 3 3 2 4" xfId="12645" xr:uid="{A064C374-844A-409F-BE51-DB996F54D4C4}"/>
    <cellStyle name="40% - Accent2 2 3 3 3" xfId="5391" xr:uid="{00000000-0005-0000-0000-000093040000}"/>
    <cellStyle name="40% - Accent2 2 3 3 3 2" xfId="23157" xr:uid="{838C662B-0A77-4243-858C-48EAB87A3120}"/>
    <cellStyle name="40% - Accent2 2 3 3 3 3" xfId="14717" xr:uid="{1AB847EB-8672-4F5D-B761-0873E25CC438}"/>
    <cellStyle name="40% - Accent2 2 3 3 4" xfId="18940" xr:uid="{6616519C-10F9-4B98-AFF0-A82D307A7A66}"/>
    <cellStyle name="40% - Accent2 2 3 3 5" xfId="10500" xr:uid="{C09DBEAC-A39F-4F68-82D6-F1F2F332717E}"/>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25715" xr:uid="{099AD6C6-5BD2-4FA0-A267-9CF786B7FBC9}"/>
    <cellStyle name="40% - Accent2 2 3 4 2 2 3" xfId="17275" xr:uid="{101A5E14-9BE3-41BE-A97B-93F6800B699F}"/>
    <cellStyle name="40% - Accent2 2 3 4 2 3" xfId="21498" xr:uid="{657B7E17-DBB4-487E-B1E2-D6135D594B7F}"/>
    <cellStyle name="40% - Accent2 2 3 4 2 4" xfId="13058" xr:uid="{6C36DFE3-2960-46CE-B51E-11A358D9115E}"/>
    <cellStyle name="40% - Accent2 2 3 4 3" xfId="5804" xr:uid="{00000000-0005-0000-0000-000097040000}"/>
    <cellStyle name="40% - Accent2 2 3 4 3 2" xfId="23570" xr:uid="{17F1E02A-1010-49AE-BB77-316AAAF0DBC3}"/>
    <cellStyle name="40% - Accent2 2 3 4 3 3" xfId="15130" xr:uid="{D003DD71-FC7F-47B7-AED7-E6E37CB71651}"/>
    <cellStyle name="40% - Accent2 2 3 4 4" xfId="19353" xr:uid="{1D2C064B-87B2-4A9F-AC59-C58261E91F52}"/>
    <cellStyle name="40% - Accent2 2 3 4 5" xfId="10913" xr:uid="{12F83BC1-9060-4574-9CF9-4C240333DA8F}"/>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26128" xr:uid="{CB481DC9-C94B-417E-AC3E-1D4DA0688183}"/>
    <cellStyle name="40% - Accent2 2 3 5 2 2 3" xfId="17688" xr:uid="{BF696AAB-269A-463E-ABBF-6FC3A0665B52}"/>
    <cellStyle name="40% - Accent2 2 3 5 2 3" xfId="21911" xr:uid="{2449D7C4-DFF3-4726-9743-282D6026F870}"/>
    <cellStyle name="40% - Accent2 2 3 5 2 4" xfId="13471" xr:uid="{0B44CF11-75D1-41F2-9CD8-2C922AFBA7B2}"/>
    <cellStyle name="40% - Accent2 2 3 5 3" xfId="6217" xr:uid="{00000000-0005-0000-0000-00009B040000}"/>
    <cellStyle name="40% - Accent2 2 3 5 3 2" xfId="23983" xr:uid="{F409B7A1-66F2-4E60-95D8-D0A990C95C0D}"/>
    <cellStyle name="40% - Accent2 2 3 5 3 3" xfId="15543" xr:uid="{C89B8522-D806-48CF-97EA-8321CD31DD58}"/>
    <cellStyle name="40% - Accent2 2 3 5 4" xfId="19766" xr:uid="{069B707E-B38D-4241-8308-057FFD4A70A9}"/>
    <cellStyle name="40% - Accent2 2 3 5 5" xfId="11326" xr:uid="{56D34B6E-E9BF-499E-8388-14EFEC510964}"/>
    <cellStyle name="40% - Accent2 2 3 6" xfId="2324" xr:uid="{00000000-0005-0000-0000-00009C040000}"/>
    <cellStyle name="40% - Accent2 2 3 6 2" xfId="6630" xr:uid="{00000000-0005-0000-0000-00009D040000}"/>
    <cellStyle name="40% - Accent2 2 3 6 2 2" xfId="24396" xr:uid="{7EB76361-389E-4CDB-A5D2-B0E8B3B8BEE8}"/>
    <cellStyle name="40% - Accent2 2 3 6 2 3" xfId="15956" xr:uid="{B976D4DA-9758-46E8-AAA2-2EE946EA4B16}"/>
    <cellStyle name="40% - Accent2 2 3 6 3" xfId="20179" xr:uid="{FEE92AB0-23AC-4696-9920-25A2BC7DE34B}"/>
    <cellStyle name="40% - Accent2 2 3 6 4" xfId="11739" xr:uid="{4B362169-78CC-47CE-88BB-2BC016599154}"/>
    <cellStyle name="40% - Accent2 2 3 7" xfId="4564" xr:uid="{00000000-0005-0000-0000-00009E040000}"/>
    <cellStyle name="40% - Accent2 2 3 7 2" xfId="22330" xr:uid="{6C49A389-6753-40E4-8A2A-6D6B2B936E3D}"/>
    <cellStyle name="40% - Accent2 2 3 7 3" xfId="13890" xr:uid="{878FD2A5-0B58-44BB-8805-C6860229AF16}"/>
    <cellStyle name="40% - Accent2 2 3 8" xfId="9006" xr:uid="{E6E89EA5-B76F-4FCC-89B9-DD4135B6364B}"/>
    <cellStyle name="40% - Accent2 2 3 8 2" xfId="18113" xr:uid="{69D085D1-1855-4D4F-9AAF-3F2034052E58}"/>
    <cellStyle name="40% - Accent2 2 3 9" xfId="9673" xr:uid="{7E373F6D-9B82-41A2-83A9-6DC13A5945FC}"/>
    <cellStyle name="40% - Accent2 2 4" xfId="627" xr:uid="{00000000-0005-0000-0000-00009F040000}"/>
    <cellStyle name="40% - Accent2 2 4 2" xfId="2898" xr:uid="{00000000-0005-0000-0000-0000A0040000}"/>
    <cellStyle name="40% - Accent2 2 4 2 2" xfId="7120" xr:uid="{00000000-0005-0000-0000-0000A1040000}"/>
    <cellStyle name="40% - Accent2 2 4 2 2 2" xfId="24886" xr:uid="{A7E1F376-7C76-457E-B780-752D93BD6914}"/>
    <cellStyle name="40% - Accent2 2 4 2 2 3" xfId="16446" xr:uid="{69FA8701-74E5-4D36-93CB-29F10214FBBD}"/>
    <cellStyle name="40% - Accent2 2 4 2 3" xfId="20669" xr:uid="{E20D83DD-D91E-4F4A-BD29-D695F2FD960F}"/>
    <cellStyle name="40% - Accent2 2 4 2 4" xfId="12229" xr:uid="{23C09D26-DA41-4269-B12D-41236B75C73E}"/>
    <cellStyle name="40% - Accent2 2 4 3" xfId="4975" xr:uid="{00000000-0005-0000-0000-0000A2040000}"/>
    <cellStyle name="40% - Accent2 2 4 3 2" xfId="22741" xr:uid="{EB69EFB8-9192-4E36-866F-4FCC72A2B718}"/>
    <cellStyle name="40% - Accent2 2 4 3 3" xfId="14301" xr:uid="{55E46C21-B02D-465F-8EB7-6A2D8B3D5BA2}"/>
    <cellStyle name="40% - Accent2 2 4 4" xfId="9223" xr:uid="{FA9890B4-781A-4E4C-81EE-BC7448559828}"/>
    <cellStyle name="40% - Accent2 2 4 4 2" xfId="18524" xr:uid="{DD56A1BB-CFD8-4F1C-89D2-D201D76AC614}"/>
    <cellStyle name="40% - Accent2 2 4 5" xfId="10084" xr:uid="{8A74AA0A-BDF2-483C-B24C-F9897CE60D13}"/>
    <cellStyle name="40% - Accent2 2 5" xfId="1080" xr:uid="{00000000-0005-0000-0000-0000A3040000}"/>
    <cellStyle name="40% - Accent2 2 5 2" xfId="3311" xr:uid="{00000000-0005-0000-0000-0000A4040000}"/>
    <cellStyle name="40% - Accent2 2 5 2 2" xfId="7533" xr:uid="{00000000-0005-0000-0000-0000A5040000}"/>
    <cellStyle name="40% - Accent2 2 5 2 2 2" xfId="25299" xr:uid="{4A4EAA9C-9829-4B49-A657-D49146FEF7BF}"/>
    <cellStyle name="40% - Accent2 2 5 2 2 3" xfId="16859" xr:uid="{CF3D34C0-3F96-4DE8-A381-13306FF95EA7}"/>
    <cellStyle name="40% - Accent2 2 5 2 3" xfId="21082" xr:uid="{5E04A16F-C240-49BD-844D-81E13EC35731}"/>
    <cellStyle name="40% - Accent2 2 5 2 4" xfId="12642" xr:uid="{AD4019D4-D403-4F73-BE75-3537BD8233D6}"/>
    <cellStyle name="40% - Accent2 2 5 3" xfId="5388" xr:uid="{00000000-0005-0000-0000-0000A6040000}"/>
    <cellStyle name="40% - Accent2 2 5 3 2" xfId="23154" xr:uid="{256E766C-9F0A-4101-A9B7-0258F67F3F83}"/>
    <cellStyle name="40% - Accent2 2 5 3 3" xfId="14714" xr:uid="{93B8F291-DC23-409D-953F-AFBBE56F759E}"/>
    <cellStyle name="40% - Accent2 2 5 4" xfId="18937" xr:uid="{F2D988C6-F479-4804-A361-B05F000FE41E}"/>
    <cellStyle name="40% - Accent2 2 5 5" xfId="10497" xr:uid="{204FAF03-D064-4D94-B851-4DC036B69ED3}"/>
    <cellStyle name="40% - Accent2 2 6" xfId="1494" xr:uid="{00000000-0005-0000-0000-0000A7040000}"/>
    <cellStyle name="40% - Accent2 2 6 2" xfId="3724" xr:uid="{00000000-0005-0000-0000-0000A8040000}"/>
    <cellStyle name="40% - Accent2 2 6 2 2" xfId="7946" xr:uid="{00000000-0005-0000-0000-0000A9040000}"/>
    <cellStyle name="40% - Accent2 2 6 2 2 2" xfId="25712" xr:uid="{2E45AD76-BAE3-40E1-825E-C67EA6DBC6E8}"/>
    <cellStyle name="40% - Accent2 2 6 2 2 3" xfId="17272" xr:uid="{2B21D0F9-12B3-4D20-9182-4F6BCFCFB23B}"/>
    <cellStyle name="40% - Accent2 2 6 2 3" xfId="21495" xr:uid="{AB3C95CF-2F45-47EF-BD8C-888CC769D79F}"/>
    <cellStyle name="40% - Accent2 2 6 2 4" xfId="13055" xr:uid="{7E5A8F45-F4C3-4FA9-8E04-C37F741FFDFA}"/>
    <cellStyle name="40% - Accent2 2 6 3" xfId="5801" xr:uid="{00000000-0005-0000-0000-0000AA040000}"/>
    <cellStyle name="40% - Accent2 2 6 3 2" xfId="23567" xr:uid="{7EEBA7CF-0D2C-4D1B-A877-270ECDD01518}"/>
    <cellStyle name="40% - Accent2 2 6 3 3" xfId="15127" xr:uid="{8DF88EDA-CB9C-4C4F-B8F6-8606C7339714}"/>
    <cellStyle name="40% - Accent2 2 6 4" xfId="19350" xr:uid="{F7FB7E06-A1EA-4AC7-8948-489E60CAFEFC}"/>
    <cellStyle name="40% - Accent2 2 6 5" xfId="10910" xr:uid="{7BB54878-6430-42D8-B874-65364BFC591E}"/>
    <cellStyle name="40% - Accent2 2 7" xfId="1908" xr:uid="{00000000-0005-0000-0000-0000AB040000}"/>
    <cellStyle name="40% - Accent2 2 7 2" xfId="4137" xr:uid="{00000000-0005-0000-0000-0000AC040000}"/>
    <cellStyle name="40% - Accent2 2 7 2 2" xfId="8359" xr:uid="{00000000-0005-0000-0000-0000AD040000}"/>
    <cellStyle name="40% - Accent2 2 7 2 2 2" xfId="26125" xr:uid="{BEDE43C1-B2F9-4409-8D37-12A4C53130E4}"/>
    <cellStyle name="40% - Accent2 2 7 2 2 3" xfId="17685" xr:uid="{834CD3E0-F4AF-43BB-AA2D-7DA078079CBA}"/>
    <cellStyle name="40% - Accent2 2 7 2 3" xfId="21908" xr:uid="{221AF358-FDBD-4537-BFF0-A9213DC780AD}"/>
    <cellStyle name="40% - Accent2 2 7 2 4" xfId="13468" xr:uid="{B3ED0396-2A02-49AC-B438-1CA879E4BFC6}"/>
    <cellStyle name="40% - Accent2 2 7 3" xfId="6214" xr:uid="{00000000-0005-0000-0000-0000AE040000}"/>
    <cellStyle name="40% - Accent2 2 7 3 2" xfId="23980" xr:uid="{0C887935-3817-4C21-BDD6-88DAAA6B032A}"/>
    <cellStyle name="40% - Accent2 2 7 3 3" xfId="15540" xr:uid="{ADB1FA99-9B9C-41B9-AD76-845D54F4A8CE}"/>
    <cellStyle name="40% - Accent2 2 7 4" xfId="19763" xr:uid="{595F13D6-432C-4193-B403-F4F0751F9582}"/>
    <cellStyle name="40% - Accent2 2 7 5" xfId="11323" xr:uid="{EDBBF882-EB4C-46A0-9260-90E48323C9D7}"/>
    <cellStyle name="40% - Accent2 2 8" xfId="2321" xr:uid="{00000000-0005-0000-0000-0000AF040000}"/>
    <cellStyle name="40% - Accent2 2 8 2" xfId="6627" xr:uid="{00000000-0005-0000-0000-0000B0040000}"/>
    <cellStyle name="40% - Accent2 2 8 2 2" xfId="24393" xr:uid="{CB9B080D-4673-47A4-9700-3FFEA925838C}"/>
    <cellStyle name="40% - Accent2 2 8 2 3" xfId="15953" xr:uid="{3E3197E5-EB62-4E13-A01C-E3DEAC0B78A4}"/>
    <cellStyle name="40% - Accent2 2 8 3" xfId="20176" xr:uid="{0FFE2748-C5C8-4978-A8FE-633B9B8B1B80}"/>
    <cellStyle name="40% - Accent2 2 8 4" xfId="11736" xr:uid="{EBCD28C6-82DD-40ED-94D7-38FC37DE5BA3}"/>
    <cellStyle name="40% - Accent2 2 9" xfId="4561" xr:uid="{00000000-0005-0000-0000-0000B1040000}"/>
    <cellStyle name="40% - Accent2 2 9 2" xfId="22327" xr:uid="{0C9890F3-DD4F-42B2-9D3C-1754708F7804}"/>
    <cellStyle name="40% - Accent2 2 9 3" xfId="13887" xr:uid="{2A4F4932-5C11-46A0-9AC4-4DD7D2535197}"/>
    <cellStyle name="40% - Accent2 3" xfId="62" xr:uid="{00000000-0005-0000-0000-0000B2040000}"/>
    <cellStyle name="40% - Accent2 3 10" xfId="9674" xr:uid="{7EC8B356-4FD1-46F5-87CE-1A5347F45556}"/>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24891" xr:uid="{8427DC61-60FD-46FA-A009-A8A4C48D3D5A}"/>
    <cellStyle name="40% - Accent2 3 2 2 2 2 3" xfId="16451" xr:uid="{B4EFFF64-ACD9-4A42-9D57-FE23C5FFB566}"/>
    <cellStyle name="40% - Accent2 3 2 2 2 3" xfId="20674" xr:uid="{4F58BA3B-3216-4AB1-8215-711006AF4BB7}"/>
    <cellStyle name="40% - Accent2 3 2 2 2 4" xfId="12234" xr:uid="{CB05696E-F9D1-49A1-B393-4DF0CB7C2AB9}"/>
    <cellStyle name="40% - Accent2 3 2 2 3" xfId="4980" xr:uid="{00000000-0005-0000-0000-0000B7040000}"/>
    <cellStyle name="40% - Accent2 3 2 2 3 2" xfId="22746" xr:uid="{895F3820-C017-4635-B074-260DFFF605DD}"/>
    <cellStyle name="40% - Accent2 3 2 2 3 3" xfId="14306" xr:uid="{10E0B861-1449-4A4D-B723-C62CE45C4ADE}"/>
    <cellStyle name="40% - Accent2 3 2 2 4" xfId="9496" xr:uid="{700FA1AF-D943-4FDB-BFB1-F903AD1F731A}"/>
    <cellStyle name="40% - Accent2 3 2 2 4 2" xfId="18529" xr:uid="{FCC49D87-3A43-49C1-8F26-34E24907657D}"/>
    <cellStyle name="40% - Accent2 3 2 2 5" xfId="10089" xr:uid="{CF439BA0-E977-4FC0-858D-0450701F1303}"/>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25304" xr:uid="{1AFACAB2-CB82-45F0-A5AD-C32E97B49423}"/>
    <cellStyle name="40% - Accent2 3 2 3 2 2 3" xfId="16864" xr:uid="{A281E3A2-4EA0-41BC-989A-080B69314A47}"/>
    <cellStyle name="40% - Accent2 3 2 3 2 3" xfId="21087" xr:uid="{039CB222-B44A-489B-887A-06B8A04F341F}"/>
    <cellStyle name="40% - Accent2 3 2 3 2 4" xfId="12647" xr:uid="{D52F7992-F8A4-41E7-AE7F-6E1D569D09B4}"/>
    <cellStyle name="40% - Accent2 3 2 3 3" xfId="5393" xr:uid="{00000000-0005-0000-0000-0000BB040000}"/>
    <cellStyle name="40% - Accent2 3 2 3 3 2" xfId="23159" xr:uid="{42DC25C8-8517-4EB4-BDCB-43208CFBB9C6}"/>
    <cellStyle name="40% - Accent2 3 2 3 3 3" xfId="14719" xr:uid="{A3E14744-4E94-450A-B528-0A7847A24DF1}"/>
    <cellStyle name="40% - Accent2 3 2 3 4" xfId="18942" xr:uid="{B072D049-006E-49BC-AF2B-940A9BB7848D}"/>
    <cellStyle name="40% - Accent2 3 2 3 5" xfId="10502" xr:uid="{6488BE7C-E0DB-4746-900D-70F6CF9ACFDA}"/>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25717" xr:uid="{441D7C2B-8347-4CCF-947C-B79EF8EA256A}"/>
    <cellStyle name="40% - Accent2 3 2 4 2 2 3" xfId="17277" xr:uid="{2C7DFD1A-949A-4893-86DF-0D19604DB82A}"/>
    <cellStyle name="40% - Accent2 3 2 4 2 3" xfId="21500" xr:uid="{7570F7A5-F37E-4ED7-926D-13A22453EA4B}"/>
    <cellStyle name="40% - Accent2 3 2 4 2 4" xfId="13060" xr:uid="{40160CAC-2E69-4C17-86B4-74D1976CDEC8}"/>
    <cellStyle name="40% - Accent2 3 2 4 3" xfId="5806" xr:uid="{00000000-0005-0000-0000-0000BF040000}"/>
    <cellStyle name="40% - Accent2 3 2 4 3 2" xfId="23572" xr:uid="{395B165A-D55E-4E3F-B818-3E5EB8AAF455}"/>
    <cellStyle name="40% - Accent2 3 2 4 3 3" xfId="15132" xr:uid="{DCF73667-BDAF-461F-A96E-D623919DD1EB}"/>
    <cellStyle name="40% - Accent2 3 2 4 4" xfId="19355" xr:uid="{5B66A7BA-7149-4D4D-84C8-81BD0F6130E8}"/>
    <cellStyle name="40% - Accent2 3 2 4 5" xfId="10915" xr:uid="{CD006F1D-486E-45EB-A6CA-20479C37BB65}"/>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26130" xr:uid="{17CE53EE-0588-4EE1-A6F7-CFC63666488E}"/>
    <cellStyle name="40% - Accent2 3 2 5 2 2 3" xfId="17690" xr:uid="{F5986812-11EB-4D93-8DD7-31E27EDCD615}"/>
    <cellStyle name="40% - Accent2 3 2 5 2 3" xfId="21913" xr:uid="{66AA509F-BC80-415B-9082-E40D19950F41}"/>
    <cellStyle name="40% - Accent2 3 2 5 2 4" xfId="13473" xr:uid="{06365268-BBAA-4DDF-9CB2-06EBABD044F3}"/>
    <cellStyle name="40% - Accent2 3 2 5 3" xfId="6219" xr:uid="{00000000-0005-0000-0000-0000C3040000}"/>
    <cellStyle name="40% - Accent2 3 2 5 3 2" xfId="23985" xr:uid="{EE43C9A6-B88F-4DDA-B4D9-CB37F46697FD}"/>
    <cellStyle name="40% - Accent2 3 2 5 3 3" xfId="15545" xr:uid="{D94BF5EF-1556-4B5B-8B87-7A3960403C73}"/>
    <cellStyle name="40% - Accent2 3 2 5 4" xfId="19768" xr:uid="{D4775F96-6140-4035-AAFA-47D029BDDC7E}"/>
    <cellStyle name="40% - Accent2 3 2 5 5" xfId="11328" xr:uid="{17B83972-14D8-4EC9-9578-5149C3A54A4F}"/>
    <cellStyle name="40% - Accent2 3 2 6" xfId="2326" xr:uid="{00000000-0005-0000-0000-0000C4040000}"/>
    <cellStyle name="40% - Accent2 3 2 6 2" xfId="6632" xr:uid="{00000000-0005-0000-0000-0000C5040000}"/>
    <cellStyle name="40% - Accent2 3 2 6 2 2" xfId="24398" xr:uid="{15BB6B59-5E74-49D0-86BA-81072BC01A9A}"/>
    <cellStyle name="40% - Accent2 3 2 6 2 3" xfId="15958" xr:uid="{F068E857-38A0-4E9C-B17F-607F7A98050A}"/>
    <cellStyle name="40% - Accent2 3 2 6 3" xfId="20181" xr:uid="{E2A27DCA-D903-4B07-BDD0-3FBCA2FBE941}"/>
    <cellStyle name="40% - Accent2 3 2 6 4" xfId="11741" xr:uid="{2A63F3AF-5A52-4102-BBB9-8EA189390D1B}"/>
    <cellStyle name="40% - Accent2 3 2 7" xfId="4566" xr:uid="{00000000-0005-0000-0000-0000C6040000}"/>
    <cellStyle name="40% - Accent2 3 2 7 2" xfId="22332" xr:uid="{BBF4D8F5-9A3B-4B55-857F-2D26E937F5B3}"/>
    <cellStyle name="40% - Accent2 3 2 7 3" xfId="13892" xr:uid="{45C1B4C3-CD1E-4163-A9AB-EE3B8A1A4235}"/>
    <cellStyle name="40% - Accent2 3 2 8" xfId="9071" xr:uid="{B5463F05-11FC-4377-B380-DDB549C63AA9}"/>
    <cellStyle name="40% - Accent2 3 2 8 2" xfId="18115" xr:uid="{F984B207-2DCC-4E22-9F3F-42AA5310D899}"/>
    <cellStyle name="40% - Accent2 3 2 9" xfId="9675" xr:uid="{886C182B-91B3-4C17-9466-B97DD0699127}"/>
    <cellStyle name="40% - Accent2 3 3" xfId="631" xr:uid="{00000000-0005-0000-0000-0000C7040000}"/>
    <cellStyle name="40% - Accent2 3 3 2" xfId="2902" xr:uid="{00000000-0005-0000-0000-0000C8040000}"/>
    <cellStyle name="40% - Accent2 3 3 2 2" xfId="7124" xr:uid="{00000000-0005-0000-0000-0000C9040000}"/>
    <cellStyle name="40% - Accent2 3 3 2 2 2" xfId="24890" xr:uid="{CEEC3276-B5F3-4298-9DFE-2927EFA71EC7}"/>
    <cellStyle name="40% - Accent2 3 3 2 2 3" xfId="16450" xr:uid="{256029A6-E575-4FEA-93D9-33454E8D3564}"/>
    <cellStyle name="40% - Accent2 3 3 2 3" xfId="20673" xr:uid="{C476ED86-1F5F-45EF-BBE1-6F05333C3E58}"/>
    <cellStyle name="40% - Accent2 3 3 2 4" xfId="12233" xr:uid="{7D3B5FEB-EB36-42FA-816A-CA94452470AE}"/>
    <cellStyle name="40% - Accent2 3 3 3" xfId="4979" xr:uid="{00000000-0005-0000-0000-0000CA040000}"/>
    <cellStyle name="40% - Accent2 3 3 3 2" xfId="22745" xr:uid="{460FCE84-F175-40E8-A210-E63DBC57A8A2}"/>
    <cellStyle name="40% - Accent2 3 3 3 3" xfId="14305" xr:uid="{D1E06C80-E225-42EB-95B5-D2495FD2EA04}"/>
    <cellStyle name="40% - Accent2 3 3 4" xfId="9289" xr:uid="{B234EB9F-4AFE-41A2-A17D-ABC1D0F80875}"/>
    <cellStyle name="40% - Accent2 3 3 4 2" xfId="18528" xr:uid="{5E578CE7-D776-4B7C-BACD-E5A573DBA9C2}"/>
    <cellStyle name="40% - Accent2 3 3 5" xfId="10088" xr:uid="{3BDF52FF-A6BE-4F4E-BD59-25B91CEF79C7}"/>
    <cellStyle name="40% - Accent2 3 4" xfId="1084" xr:uid="{00000000-0005-0000-0000-0000CB040000}"/>
    <cellStyle name="40% - Accent2 3 4 2" xfId="3315" xr:uid="{00000000-0005-0000-0000-0000CC040000}"/>
    <cellStyle name="40% - Accent2 3 4 2 2" xfId="7537" xr:uid="{00000000-0005-0000-0000-0000CD040000}"/>
    <cellStyle name="40% - Accent2 3 4 2 2 2" xfId="25303" xr:uid="{D5F7E451-54A9-46D6-83C6-6841E205B7C9}"/>
    <cellStyle name="40% - Accent2 3 4 2 2 3" xfId="16863" xr:uid="{C8EA4E67-44D3-463F-BCD0-4D062BE17AD1}"/>
    <cellStyle name="40% - Accent2 3 4 2 3" xfId="21086" xr:uid="{04C64F96-CD5C-41A3-B656-4F75B410A693}"/>
    <cellStyle name="40% - Accent2 3 4 2 4" xfId="12646" xr:uid="{1A85E60F-6F82-47CD-85FE-375CE0EE8579}"/>
    <cellStyle name="40% - Accent2 3 4 3" xfId="5392" xr:uid="{00000000-0005-0000-0000-0000CE040000}"/>
    <cellStyle name="40% - Accent2 3 4 3 2" xfId="23158" xr:uid="{763991FE-76EF-4217-B0B9-8984CD2B4CCB}"/>
    <cellStyle name="40% - Accent2 3 4 3 3" xfId="14718" xr:uid="{C133119A-E23C-4E9E-AD8A-B6D4533510FA}"/>
    <cellStyle name="40% - Accent2 3 4 4" xfId="18941" xr:uid="{D59030B6-735C-47E2-A074-BA75ADC30E5E}"/>
    <cellStyle name="40% - Accent2 3 4 5" xfId="10501" xr:uid="{2536A0E0-8384-419A-8680-A5F60B420181}"/>
    <cellStyle name="40% - Accent2 3 5" xfId="1498" xr:uid="{00000000-0005-0000-0000-0000CF040000}"/>
    <cellStyle name="40% - Accent2 3 5 2" xfId="3728" xr:uid="{00000000-0005-0000-0000-0000D0040000}"/>
    <cellStyle name="40% - Accent2 3 5 2 2" xfId="7950" xr:uid="{00000000-0005-0000-0000-0000D1040000}"/>
    <cellStyle name="40% - Accent2 3 5 2 2 2" xfId="25716" xr:uid="{76326F4D-F2CA-4059-9A06-DE0AC9C91AFE}"/>
    <cellStyle name="40% - Accent2 3 5 2 2 3" xfId="17276" xr:uid="{3E898A93-664F-47C4-9C88-16DE9E6E001D}"/>
    <cellStyle name="40% - Accent2 3 5 2 3" xfId="21499" xr:uid="{BF69A74E-7804-4BDB-BB18-13DBA6675A3D}"/>
    <cellStyle name="40% - Accent2 3 5 2 4" xfId="13059" xr:uid="{63EC2233-C109-4BDC-8D44-BEFDB55AC59C}"/>
    <cellStyle name="40% - Accent2 3 5 3" xfId="5805" xr:uid="{00000000-0005-0000-0000-0000D2040000}"/>
    <cellStyle name="40% - Accent2 3 5 3 2" xfId="23571" xr:uid="{2495F74E-CEEB-41A7-AA09-F1C578E9C685}"/>
    <cellStyle name="40% - Accent2 3 5 3 3" xfId="15131" xr:uid="{601D39F4-4D74-4482-9B40-9ECFE7838A3B}"/>
    <cellStyle name="40% - Accent2 3 5 4" xfId="19354" xr:uid="{D20A1144-8AD4-4364-A2FD-03FB01C3467E}"/>
    <cellStyle name="40% - Accent2 3 5 5" xfId="10914" xr:uid="{7E167E03-6966-4520-93CB-D9D3F5BB96EF}"/>
    <cellStyle name="40% - Accent2 3 6" xfId="1912" xr:uid="{00000000-0005-0000-0000-0000D3040000}"/>
    <cellStyle name="40% - Accent2 3 6 2" xfId="4141" xr:uid="{00000000-0005-0000-0000-0000D4040000}"/>
    <cellStyle name="40% - Accent2 3 6 2 2" xfId="8363" xr:uid="{00000000-0005-0000-0000-0000D5040000}"/>
    <cellStyle name="40% - Accent2 3 6 2 2 2" xfId="26129" xr:uid="{8B39DF5C-579F-40EF-AF64-C10B65E9ADF7}"/>
    <cellStyle name="40% - Accent2 3 6 2 2 3" xfId="17689" xr:uid="{38F8656E-04C1-4F89-92ED-5BF697893DF7}"/>
    <cellStyle name="40% - Accent2 3 6 2 3" xfId="21912" xr:uid="{57AB0734-0CED-4C6E-BCCE-CF1AA8BB16BA}"/>
    <cellStyle name="40% - Accent2 3 6 2 4" xfId="13472" xr:uid="{39FEB745-32D3-48F7-BF08-C0CB4E3F0D1E}"/>
    <cellStyle name="40% - Accent2 3 6 3" xfId="6218" xr:uid="{00000000-0005-0000-0000-0000D6040000}"/>
    <cellStyle name="40% - Accent2 3 6 3 2" xfId="23984" xr:uid="{917AD8A6-0850-42D1-89CB-51A518F3E9F4}"/>
    <cellStyle name="40% - Accent2 3 6 3 3" xfId="15544" xr:uid="{C6955F27-9985-4DC1-84F7-4426D0C83656}"/>
    <cellStyle name="40% - Accent2 3 6 4" xfId="19767" xr:uid="{3D11C1B5-D67A-45D9-B960-ABA5F9B0225D}"/>
    <cellStyle name="40% - Accent2 3 6 5" xfId="11327" xr:uid="{44CA207B-AB6F-421F-A1BF-81C33E1D8032}"/>
    <cellStyle name="40% - Accent2 3 7" xfId="2325" xr:uid="{00000000-0005-0000-0000-0000D7040000}"/>
    <cellStyle name="40% - Accent2 3 7 2" xfId="6631" xr:uid="{00000000-0005-0000-0000-0000D8040000}"/>
    <cellStyle name="40% - Accent2 3 7 2 2" xfId="24397" xr:uid="{6BD1695B-DBA3-43E2-B645-9CDB65DDD97C}"/>
    <cellStyle name="40% - Accent2 3 7 2 3" xfId="15957" xr:uid="{F826A88B-F45E-4218-9D79-190FD1A23562}"/>
    <cellStyle name="40% - Accent2 3 7 3" xfId="20180" xr:uid="{2BCBD3AF-08A6-4807-95CA-81957ABD1F08}"/>
    <cellStyle name="40% - Accent2 3 7 4" xfId="11740" xr:uid="{7BE8856A-128C-430E-9D12-DF9D9249E1D9}"/>
    <cellStyle name="40% - Accent2 3 8" xfId="4565" xr:uid="{00000000-0005-0000-0000-0000D9040000}"/>
    <cellStyle name="40% - Accent2 3 8 2" xfId="22331" xr:uid="{3B191A5B-43A1-4499-8132-34E3727CFCC1}"/>
    <cellStyle name="40% - Accent2 3 8 3" xfId="13891" xr:uid="{B4954158-C569-46D3-95BF-199EE8D1D220}"/>
    <cellStyle name="40% - Accent2 3 9" xfId="8864" xr:uid="{311EF031-8CA9-4ACC-8705-6D408E1B50DB}"/>
    <cellStyle name="40% - Accent2 3 9 2" xfId="18114" xr:uid="{278D9E41-FD95-4114-B17D-7689C37DA765}"/>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24892" xr:uid="{6CB6DF9E-4E45-4424-8CDD-8A304625D1D2}"/>
    <cellStyle name="40% - Accent2 4 2 2 2 3" xfId="16452" xr:uid="{A0D60042-7790-4F89-8AB7-2B0DE8BDE0FF}"/>
    <cellStyle name="40% - Accent2 4 2 2 3" xfId="20675" xr:uid="{EA878362-AC61-4B27-82A4-D408C63CDADC}"/>
    <cellStyle name="40% - Accent2 4 2 2 4" xfId="12235" xr:uid="{479F30B4-D8F8-4039-B160-3E3E0BE5244E}"/>
    <cellStyle name="40% - Accent2 4 2 3" xfId="4981" xr:uid="{00000000-0005-0000-0000-0000DE040000}"/>
    <cellStyle name="40% - Accent2 4 2 3 2" xfId="22747" xr:uid="{AF20345C-1E55-4746-9036-064CBE351D93}"/>
    <cellStyle name="40% - Accent2 4 2 3 3" xfId="14307" xr:uid="{724649E4-C0DE-4E40-8E76-522EB77D1FD7}"/>
    <cellStyle name="40% - Accent2 4 2 4" xfId="9375" xr:uid="{E0F8B4F7-419E-40A5-89E1-F3F0DF6ADFF8}"/>
    <cellStyle name="40% - Accent2 4 2 4 2" xfId="18530" xr:uid="{59343D2C-EF77-4707-9A5B-A7B94880E540}"/>
    <cellStyle name="40% - Accent2 4 2 5" xfId="10090" xr:uid="{3A9AA6E8-96CF-4D8B-9397-25795D28A473}"/>
    <cellStyle name="40% - Accent2 4 3" xfId="1086" xr:uid="{00000000-0005-0000-0000-0000DF040000}"/>
    <cellStyle name="40% - Accent2 4 3 2" xfId="3317" xr:uid="{00000000-0005-0000-0000-0000E0040000}"/>
    <cellStyle name="40% - Accent2 4 3 2 2" xfId="7539" xr:uid="{00000000-0005-0000-0000-0000E1040000}"/>
    <cellStyle name="40% - Accent2 4 3 2 2 2" xfId="25305" xr:uid="{F15DDFDE-CD3A-4A19-8AC4-F2A9B626434F}"/>
    <cellStyle name="40% - Accent2 4 3 2 2 3" xfId="16865" xr:uid="{B0F8AF7B-0295-45B8-A555-ECE505D62225}"/>
    <cellStyle name="40% - Accent2 4 3 2 3" xfId="21088" xr:uid="{E02CD3C5-A5AD-4BCF-B55E-B3A8C4798B37}"/>
    <cellStyle name="40% - Accent2 4 3 2 4" xfId="12648" xr:uid="{5A1DE5F4-3AC3-4310-A148-BF56D2E2A217}"/>
    <cellStyle name="40% - Accent2 4 3 3" xfId="5394" xr:uid="{00000000-0005-0000-0000-0000E2040000}"/>
    <cellStyle name="40% - Accent2 4 3 3 2" xfId="23160" xr:uid="{5FBD9A48-84AB-4245-A32A-8C88202D6471}"/>
    <cellStyle name="40% - Accent2 4 3 3 3" xfId="14720" xr:uid="{BA733BDF-026F-470C-AEB5-F30C00F3A1F6}"/>
    <cellStyle name="40% - Accent2 4 3 4" xfId="18943" xr:uid="{DAEEDDE1-3150-45D4-9F28-8A1D1BA264FD}"/>
    <cellStyle name="40% - Accent2 4 3 5" xfId="10503" xr:uid="{57AAD6F7-F4B6-4423-A25C-52748041DE7E}"/>
    <cellStyle name="40% - Accent2 4 4" xfId="1500" xr:uid="{00000000-0005-0000-0000-0000E3040000}"/>
    <cellStyle name="40% - Accent2 4 4 2" xfId="3730" xr:uid="{00000000-0005-0000-0000-0000E4040000}"/>
    <cellStyle name="40% - Accent2 4 4 2 2" xfId="7952" xr:uid="{00000000-0005-0000-0000-0000E5040000}"/>
    <cellStyle name="40% - Accent2 4 4 2 2 2" xfId="25718" xr:uid="{09E739C4-8C51-4CDB-ADB9-D38B9EB7B663}"/>
    <cellStyle name="40% - Accent2 4 4 2 2 3" xfId="17278" xr:uid="{1DBF7A53-E175-4924-AB2C-CA819673B967}"/>
    <cellStyle name="40% - Accent2 4 4 2 3" xfId="21501" xr:uid="{60400D87-EBEE-42A2-991C-90FD16DE3E06}"/>
    <cellStyle name="40% - Accent2 4 4 2 4" xfId="13061" xr:uid="{5B084DB2-F4F1-4932-BE51-65C40F823BF7}"/>
    <cellStyle name="40% - Accent2 4 4 3" xfId="5807" xr:uid="{00000000-0005-0000-0000-0000E6040000}"/>
    <cellStyle name="40% - Accent2 4 4 3 2" xfId="23573" xr:uid="{18B6DF6D-355E-4E84-AC45-8CC1F3EC0938}"/>
    <cellStyle name="40% - Accent2 4 4 3 3" xfId="15133" xr:uid="{027BE90B-A9E3-4B51-A59F-7033C7C9877A}"/>
    <cellStyle name="40% - Accent2 4 4 4" xfId="19356" xr:uid="{156695D7-1061-4700-BB92-8CB275E1974C}"/>
    <cellStyle name="40% - Accent2 4 4 5" xfId="10916" xr:uid="{6E7951CA-6B76-4D44-B208-593E28A9C548}"/>
    <cellStyle name="40% - Accent2 4 5" xfId="1914" xr:uid="{00000000-0005-0000-0000-0000E7040000}"/>
    <cellStyle name="40% - Accent2 4 5 2" xfId="4143" xr:uid="{00000000-0005-0000-0000-0000E8040000}"/>
    <cellStyle name="40% - Accent2 4 5 2 2" xfId="8365" xr:uid="{00000000-0005-0000-0000-0000E9040000}"/>
    <cellStyle name="40% - Accent2 4 5 2 2 2" xfId="26131" xr:uid="{2E48A771-408F-4D7B-B623-82E6C009BAD4}"/>
    <cellStyle name="40% - Accent2 4 5 2 2 3" xfId="17691" xr:uid="{F3A345B5-AF24-4804-AFFF-2F6C76761C15}"/>
    <cellStyle name="40% - Accent2 4 5 2 3" xfId="21914" xr:uid="{6E1532AD-3779-4126-A26F-869AD30BB69D}"/>
    <cellStyle name="40% - Accent2 4 5 2 4" xfId="13474" xr:uid="{D8A0A75B-93F4-4825-83F9-F19FBA393BE2}"/>
    <cellStyle name="40% - Accent2 4 5 3" xfId="6220" xr:uid="{00000000-0005-0000-0000-0000EA040000}"/>
    <cellStyle name="40% - Accent2 4 5 3 2" xfId="23986" xr:uid="{88F302C0-124E-4DAF-9D69-404A040463CC}"/>
    <cellStyle name="40% - Accent2 4 5 3 3" xfId="15546" xr:uid="{DA986922-22F8-4E14-A790-07F444ED8F71}"/>
    <cellStyle name="40% - Accent2 4 5 4" xfId="19769" xr:uid="{0977036F-31D6-4E46-A6CE-7868F595D771}"/>
    <cellStyle name="40% - Accent2 4 5 5" xfId="11329" xr:uid="{83CCB326-850A-4571-9D0A-AE5F9BF62C19}"/>
    <cellStyle name="40% - Accent2 4 6" xfId="2327" xr:uid="{00000000-0005-0000-0000-0000EB040000}"/>
    <cellStyle name="40% - Accent2 4 6 2" xfId="6633" xr:uid="{00000000-0005-0000-0000-0000EC040000}"/>
    <cellStyle name="40% - Accent2 4 6 2 2" xfId="24399" xr:uid="{07E39789-F541-498E-84B2-50EB02370A48}"/>
    <cellStyle name="40% - Accent2 4 6 2 3" xfId="15959" xr:uid="{A791A089-20E6-4942-9F9A-889EDAFBED6A}"/>
    <cellStyle name="40% - Accent2 4 6 3" xfId="20182" xr:uid="{757C15ED-42FA-4FCC-8CEB-88E22E89EA4F}"/>
    <cellStyle name="40% - Accent2 4 6 4" xfId="11742" xr:uid="{2B94B288-5C62-478C-89F3-3D1AA1C2F948}"/>
    <cellStyle name="40% - Accent2 4 7" xfId="4567" xr:uid="{00000000-0005-0000-0000-0000ED040000}"/>
    <cellStyle name="40% - Accent2 4 7 2" xfId="22333" xr:uid="{AD9DBC87-63BE-4604-8A60-0A203E82C6DE}"/>
    <cellStyle name="40% - Accent2 4 7 3" xfId="13893" xr:uid="{19A611FF-B833-41AE-9936-3025E74D40A2}"/>
    <cellStyle name="40% - Accent2 4 8" xfId="8950" xr:uid="{02FCA414-0598-4779-8636-7B176A3552C0}"/>
    <cellStyle name="40% - Accent2 4 8 2" xfId="18116" xr:uid="{BFBDE593-5C51-4C0F-B171-29874A61D8EB}"/>
    <cellStyle name="40% - Accent2 4 9" xfId="9676" xr:uid="{5B6A0E73-C9BB-453A-A437-07DF32D759B3}"/>
    <cellStyle name="40% - Accent2 5" xfId="626" xr:uid="{00000000-0005-0000-0000-0000EE040000}"/>
    <cellStyle name="40% - Accent2 5 2" xfId="2897" xr:uid="{00000000-0005-0000-0000-0000EF040000}"/>
    <cellStyle name="40% - Accent2 5 2 2" xfId="7119" xr:uid="{00000000-0005-0000-0000-0000F0040000}"/>
    <cellStyle name="40% - Accent2 5 2 2 2" xfId="24885" xr:uid="{8755138A-6E1D-4957-B330-3B995AF59A28}"/>
    <cellStyle name="40% - Accent2 5 2 2 3" xfId="16445" xr:uid="{7B620424-84B8-4D51-8B8F-B6A6CB3C55E5}"/>
    <cellStyle name="40% - Accent2 5 2 3" xfId="20668" xr:uid="{5DBE39F1-3619-4AF1-9FDF-54F862D732B9}"/>
    <cellStyle name="40% - Accent2 5 2 4" xfId="12228" xr:uid="{80AA23F4-41C8-4D55-A64C-FF143C952A75}"/>
    <cellStyle name="40% - Accent2 5 3" xfId="4974" xr:uid="{00000000-0005-0000-0000-0000F1040000}"/>
    <cellStyle name="40% - Accent2 5 3 2" xfId="22740" xr:uid="{F618124A-B350-40FB-A4FA-B5D95E97B437}"/>
    <cellStyle name="40% - Accent2 5 3 3" xfId="14300" xr:uid="{611A5947-A653-4CF9-9D6F-0631AC5D50C4}"/>
    <cellStyle name="40% - Accent2 5 4" xfId="9183" xr:uid="{071EDB8E-9FD1-4063-BCEF-70B734E5ECF1}"/>
    <cellStyle name="40% - Accent2 5 4 2" xfId="18523" xr:uid="{59B89707-5F6D-4DD2-ABC8-07E1FBCBC10C}"/>
    <cellStyle name="40% - Accent2 5 5" xfId="10083" xr:uid="{30676C45-15B9-4595-9178-AE5489AB9796}"/>
    <cellStyle name="40% - Accent2 6" xfId="1079" xr:uid="{00000000-0005-0000-0000-0000F2040000}"/>
    <cellStyle name="40% - Accent2 6 2" xfId="3310" xr:uid="{00000000-0005-0000-0000-0000F3040000}"/>
    <cellStyle name="40% - Accent2 6 2 2" xfId="7532" xr:uid="{00000000-0005-0000-0000-0000F4040000}"/>
    <cellStyle name="40% - Accent2 6 2 2 2" xfId="25298" xr:uid="{A2D162AC-A113-44E4-8DA1-323C267145DA}"/>
    <cellStyle name="40% - Accent2 6 2 2 3" xfId="16858" xr:uid="{FE67E817-D706-4A6A-A538-A7F3A6E697E6}"/>
    <cellStyle name="40% - Accent2 6 2 3" xfId="21081" xr:uid="{2FC4AAD9-6FEE-40FA-9B38-D9033B36B4BC}"/>
    <cellStyle name="40% - Accent2 6 2 4" xfId="12641" xr:uid="{77F3C10B-83F4-4E2F-9C5A-7E3C047C81D9}"/>
    <cellStyle name="40% - Accent2 6 3" xfId="5387" xr:uid="{00000000-0005-0000-0000-0000F5040000}"/>
    <cellStyle name="40% - Accent2 6 3 2" xfId="23153" xr:uid="{3E2BCA9F-A090-4A3E-B4B1-228C3914E969}"/>
    <cellStyle name="40% - Accent2 6 3 3" xfId="14713" xr:uid="{7FF25D61-3677-4191-8EB7-E4B15DE89A57}"/>
    <cellStyle name="40% - Accent2 6 4" xfId="18936" xr:uid="{F505A019-E2A8-47BF-A1A5-A35CB89C4F09}"/>
    <cellStyle name="40% - Accent2 6 5" xfId="10496" xr:uid="{EBC5EDC7-067E-4B79-9D09-72EEBFE516F8}"/>
    <cellStyle name="40% - Accent2 7" xfId="1493" xr:uid="{00000000-0005-0000-0000-0000F6040000}"/>
    <cellStyle name="40% - Accent2 7 2" xfId="3723" xr:uid="{00000000-0005-0000-0000-0000F7040000}"/>
    <cellStyle name="40% - Accent2 7 2 2" xfId="7945" xr:uid="{00000000-0005-0000-0000-0000F8040000}"/>
    <cellStyle name="40% - Accent2 7 2 2 2" xfId="25711" xr:uid="{A9BDA4FD-53DA-4E21-A04E-078F67746D64}"/>
    <cellStyle name="40% - Accent2 7 2 2 3" xfId="17271" xr:uid="{EEC47C73-73A8-4D23-8787-4AD3D0547EB3}"/>
    <cellStyle name="40% - Accent2 7 2 3" xfId="21494" xr:uid="{031670B9-C15B-4855-ACB8-4FA38F7A82DD}"/>
    <cellStyle name="40% - Accent2 7 2 4" xfId="13054" xr:uid="{034FA4DF-D48D-4AD4-AFAF-A54CE87A65B7}"/>
    <cellStyle name="40% - Accent2 7 3" xfId="5800" xr:uid="{00000000-0005-0000-0000-0000F9040000}"/>
    <cellStyle name="40% - Accent2 7 3 2" xfId="23566" xr:uid="{E863A188-3689-4430-A25D-635A44C77363}"/>
    <cellStyle name="40% - Accent2 7 3 3" xfId="15126" xr:uid="{84378E03-4788-4A9B-B223-775363AB0ECE}"/>
    <cellStyle name="40% - Accent2 7 4" xfId="19349" xr:uid="{2281C36A-BC92-4016-8A18-37C313BA36EE}"/>
    <cellStyle name="40% - Accent2 7 5" xfId="10909" xr:uid="{24860C98-AB73-4155-9E7C-DF6533B978FA}"/>
    <cellStyle name="40% - Accent2 8" xfId="1907" xr:uid="{00000000-0005-0000-0000-0000FA040000}"/>
    <cellStyle name="40% - Accent2 8 2" xfId="4136" xr:uid="{00000000-0005-0000-0000-0000FB040000}"/>
    <cellStyle name="40% - Accent2 8 2 2" xfId="8358" xr:uid="{00000000-0005-0000-0000-0000FC040000}"/>
    <cellStyle name="40% - Accent2 8 2 2 2" xfId="26124" xr:uid="{23C54D69-8B75-4BE6-8797-BEC1D0B94979}"/>
    <cellStyle name="40% - Accent2 8 2 2 3" xfId="17684" xr:uid="{D6ED2284-EBFF-43D4-A2B5-E3E51F8C9AD0}"/>
    <cellStyle name="40% - Accent2 8 2 3" xfId="21907" xr:uid="{61B7FA81-169F-4B7B-A431-861B138BE9F3}"/>
    <cellStyle name="40% - Accent2 8 2 4" xfId="13467" xr:uid="{4B9AF927-61A4-493D-AAAA-75DD6FAF5EE8}"/>
    <cellStyle name="40% - Accent2 8 3" xfId="6213" xr:uid="{00000000-0005-0000-0000-0000FD040000}"/>
    <cellStyle name="40% - Accent2 8 3 2" xfId="23979" xr:uid="{3BAA78BD-1633-4797-8BC3-7529495D83C0}"/>
    <cellStyle name="40% - Accent2 8 3 3" xfId="15539" xr:uid="{AFB0DEFD-FB2A-42BC-B5C5-E950CC8F190C}"/>
    <cellStyle name="40% - Accent2 8 4" xfId="19762" xr:uid="{6972344D-1853-4A55-BB91-3B4577B26372}"/>
    <cellStyle name="40% - Accent2 8 5" xfId="11322" xr:uid="{9A3B4917-AB17-4F92-B3EA-B83FF6FEE09F}"/>
    <cellStyle name="40% - Accent2 9" xfId="2320" xr:uid="{00000000-0005-0000-0000-0000FE040000}"/>
    <cellStyle name="40% - Accent2 9 2" xfId="6626" xr:uid="{00000000-0005-0000-0000-0000FF040000}"/>
    <cellStyle name="40% - Accent2 9 2 2" xfId="24392" xr:uid="{50B2B181-8077-4F82-9DF8-BAFF95E12BD9}"/>
    <cellStyle name="40% - Accent2 9 2 3" xfId="15952" xr:uid="{22BECD9F-4517-481F-8B45-719998805C6A}"/>
    <cellStyle name="40% - Accent2 9 3" xfId="20175" xr:uid="{78B05A56-E51D-4719-9452-8E22D24E30C9}"/>
    <cellStyle name="40% - Accent2 9 4" xfId="11735" xr:uid="{3B8F29C4-A90A-4828-9B32-D83F36676D20}"/>
    <cellStyle name="40% - Accent3" xfId="65" builtinId="39" customBuiltin="1"/>
    <cellStyle name="40% - Accent3 10" xfId="4568" xr:uid="{00000000-0005-0000-0000-000001050000}"/>
    <cellStyle name="40% - Accent3 10 2" xfId="22334" xr:uid="{32C88041-B3DE-4BC0-B523-6C3C5600A94E}"/>
    <cellStyle name="40% - Accent3 10 3" xfId="13894" xr:uid="{31491DBF-730B-4C48-9E34-0502DC9743A8}"/>
    <cellStyle name="40% - Accent3 11" xfId="8763" xr:uid="{CEFBFA85-5B68-4AEB-BF0D-8E604938B05F}"/>
    <cellStyle name="40% - Accent3 11 2" xfId="18117" xr:uid="{23B0A3E9-5A81-446D-9D0E-66EBFC1E4206}"/>
    <cellStyle name="40% - Accent3 12" xfId="9677" xr:uid="{2F662767-C170-47B4-B40F-11F21451583F}"/>
    <cellStyle name="40% - Accent3 2" xfId="66" xr:uid="{00000000-0005-0000-0000-000002050000}"/>
    <cellStyle name="40% - Accent3 2 10" xfId="8800" xr:uid="{00FF2AAD-7D96-45B5-8981-0BB923A3505B}"/>
    <cellStyle name="40% - Accent3 2 10 2" xfId="18118" xr:uid="{5CDFC5B1-7F0A-49A3-A628-5C0B5CB900D0}"/>
    <cellStyle name="40% - Accent3 2 11" xfId="9678" xr:uid="{F39083A0-9AD6-431B-9C3D-821C111A3432}"/>
    <cellStyle name="40% - Accent3 2 2" xfId="67" xr:uid="{00000000-0005-0000-0000-000003050000}"/>
    <cellStyle name="40% - Accent3 2 2 10" xfId="9679" xr:uid="{85EB626B-1661-473B-922E-CFA220FDA743}"/>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24896" xr:uid="{E108E44F-590F-4642-B8D7-B1B16F0BA345}"/>
    <cellStyle name="40% - Accent3 2 2 2 2 2 2 3" xfId="16456" xr:uid="{9ABB3E60-5EC4-4B22-9412-BE5F8B9C2322}"/>
    <cellStyle name="40% - Accent3 2 2 2 2 2 3" xfId="20679" xr:uid="{EA5C82AD-0158-4D82-8B4A-2A61E1B1CAC4}"/>
    <cellStyle name="40% - Accent3 2 2 2 2 2 4" xfId="12239" xr:uid="{66A5D48C-1570-4C28-91F9-92F808D3EA73}"/>
    <cellStyle name="40% - Accent3 2 2 2 2 3" xfId="4985" xr:uid="{00000000-0005-0000-0000-000008050000}"/>
    <cellStyle name="40% - Accent3 2 2 2 2 3 2" xfId="22751" xr:uid="{42E5E5ED-1F1A-4C2B-B37B-5E33E76A45E0}"/>
    <cellStyle name="40% - Accent3 2 2 2 2 3 3" xfId="14311" xr:uid="{544FE2A0-CE64-472B-8C41-13A916D02FB4}"/>
    <cellStyle name="40% - Accent3 2 2 2 2 4" xfId="9535" xr:uid="{3AC66435-D4C7-42EF-A799-3DC81A57BDF4}"/>
    <cellStyle name="40% - Accent3 2 2 2 2 4 2" xfId="18534" xr:uid="{1A10F616-1D56-423A-9642-E9C6FB12AEFE}"/>
    <cellStyle name="40% - Accent3 2 2 2 2 5" xfId="10094" xr:uid="{75D09C28-A64C-424E-B26E-12B8BE1BF3B8}"/>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25309" xr:uid="{B80D4475-84D6-429B-90D4-D6B027DBF2E7}"/>
    <cellStyle name="40% - Accent3 2 2 2 3 2 2 3" xfId="16869" xr:uid="{084EA3F8-99DE-4E82-BFB2-40CEE6948566}"/>
    <cellStyle name="40% - Accent3 2 2 2 3 2 3" xfId="21092" xr:uid="{2DA8B353-3ED7-45CD-9ACB-1DF558847A98}"/>
    <cellStyle name="40% - Accent3 2 2 2 3 2 4" xfId="12652" xr:uid="{DDB4BE8B-CD55-4A07-A725-A65161711F20}"/>
    <cellStyle name="40% - Accent3 2 2 2 3 3" xfId="5398" xr:uid="{00000000-0005-0000-0000-00000C050000}"/>
    <cellStyle name="40% - Accent3 2 2 2 3 3 2" xfId="23164" xr:uid="{3231D527-B76A-47AC-BB18-BA1D4078BB41}"/>
    <cellStyle name="40% - Accent3 2 2 2 3 3 3" xfId="14724" xr:uid="{6924C7B1-4EB4-4C97-B414-B371B73662F1}"/>
    <cellStyle name="40% - Accent3 2 2 2 3 4" xfId="18947" xr:uid="{657F38B4-D14A-4557-94E4-75CC957DB2C4}"/>
    <cellStyle name="40% - Accent3 2 2 2 3 5" xfId="10507" xr:uid="{168E94A2-BC64-4C58-8FE4-A3DFBBC2B25C}"/>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25722" xr:uid="{E0B47485-7EE8-44D6-AB69-DB4213D6F9CA}"/>
    <cellStyle name="40% - Accent3 2 2 2 4 2 2 3" xfId="17282" xr:uid="{4CCCA045-14BA-47A7-806C-D19FD457AF4E}"/>
    <cellStyle name="40% - Accent3 2 2 2 4 2 3" xfId="21505" xr:uid="{AC245E70-43BA-40DF-9B22-6A3AC8BF16E1}"/>
    <cellStyle name="40% - Accent3 2 2 2 4 2 4" xfId="13065" xr:uid="{DE43DCE2-715B-47A6-97EB-682E2043DD9D}"/>
    <cellStyle name="40% - Accent3 2 2 2 4 3" xfId="5811" xr:uid="{00000000-0005-0000-0000-000010050000}"/>
    <cellStyle name="40% - Accent3 2 2 2 4 3 2" xfId="23577" xr:uid="{2B19FFD7-4FBF-42E4-B37F-A0B6F43923B4}"/>
    <cellStyle name="40% - Accent3 2 2 2 4 3 3" xfId="15137" xr:uid="{A00B7424-EDA9-426C-AB70-80CB0E2553C1}"/>
    <cellStyle name="40% - Accent3 2 2 2 4 4" xfId="19360" xr:uid="{17933D79-06C9-4C66-BF44-4298D2CA765E}"/>
    <cellStyle name="40% - Accent3 2 2 2 4 5" xfId="10920" xr:uid="{74ABAA3A-0484-4ADF-B614-EA70B1F03536}"/>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26135" xr:uid="{1F76A605-2DF9-4BE9-99EB-35D287E5BA9B}"/>
    <cellStyle name="40% - Accent3 2 2 2 5 2 2 3" xfId="17695" xr:uid="{185D44D5-E54A-42B4-AAE2-1B365AA62D52}"/>
    <cellStyle name="40% - Accent3 2 2 2 5 2 3" xfId="21918" xr:uid="{5890E0AA-08FB-4297-9983-CFB9D4F4E142}"/>
    <cellStyle name="40% - Accent3 2 2 2 5 2 4" xfId="13478" xr:uid="{0727BF53-7955-42EE-891E-9D20FA505159}"/>
    <cellStyle name="40% - Accent3 2 2 2 5 3" xfId="6224" xr:uid="{00000000-0005-0000-0000-000014050000}"/>
    <cellStyle name="40% - Accent3 2 2 2 5 3 2" xfId="23990" xr:uid="{D16E7EB6-3D93-4DFA-99F6-4AD06C548235}"/>
    <cellStyle name="40% - Accent3 2 2 2 5 3 3" xfId="15550" xr:uid="{BCA1AB07-904C-43DD-B22C-253EC38F97A3}"/>
    <cellStyle name="40% - Accent3 2 2 2 5 4" xfId="19773" xr:uid="{015E85DC-20ED-40E9-A6C9-D6B14DB59445}"/>
    <cellStyle name="40% - Accent3 2 2 2 5 5" xfId="11333" xr:uid="{D507A8AD-9ACE-4AE8-A367-ABA51D2B7B3B}"/>
    <cellStyle name="40% - Accent3 2 2 2 6" xfId="2331" xr:uid="{00000000-0005-0000-0000-000015050000}"/>
    <cellStyle name="40% - Accent3 2 2 2 6 2" xfId="6637" xr:uid="{00000000-0005-0000-0000-000016050000}"/>
    <cellStyle name="40% - Accent3 2 2 2 6 2 2" xfId="24403" xr:uid="{74D96578-F04E-4098-9AA3-944F4AF91E14}"/>
    <cellStyle name="40% - Accent3 2 2 2 6 2 3" xfId="15963" xr:uid="{452C230B-FFC0-4AB2-9A83-DF8DD0C86F4E}"/>
    <cellStyle name="40% - Accent3 2 2 2 6 3" xfId="20186" xr:uid="{6CB2BE73-F84B-44EF-AFFC-775F439B7C1A}"/>
    <cellStyle name="40% - Accent3 2 2 2 6 4" xfId="11746" xr:uid="{8E3F2614-73AE-4122-BCB7-5CB23403D8F5}"/>
    <cellStyle name="40% - Accent3 2 2 2 7" xfId="4571" xr:uid="{00000000-0005-0000-0000-000017050000}"/>
    <cellStyle name="40% - Accent3 2 2 2 7 2" xfId="22337" xr:uid="{DBA47220-639D-4DD0-8E90-8E541E1C6F43}"/>
    <cellStyle name="40% - Accent3 2 2 2 7 3" xfId="13897" xr:uid="{441CAE2B-F632-478D-98E5-2A5EF791DB3F}"/>
    <cellStyle name="40% - Accent3 2 2 2 8" xfId="9110" xr:uid="{E41CBEF9-86F8-44B9-895F-532A7BDC9A2A}"/>
    <cellStyle name="40% - Accent3 2 2 2 8 2" xfId="18120" xr:uid="{8103A28D-CC59-4406-9662-43BB56B26C1E}"/>
    <cellStyle name="40% - Accent3 2 2 2 9" xfId="9680" xr:uid="{F5AC3490-277C-41CF-8277-F3A799D61EB3}"/>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24895" xr:uid="{C39A439E-5917-4765-953E-D03A267E5973}"/>
    <cellStyle name="40% - Accent3 2 2 3 2 2 3" xfId="16455" xr:uid="{BF664599-1566-49AF-A5E0-1DE9E0717054}"/>
    <cellStyle name="40% - Accent3 2 2 3 2 3" xfId="20678" xr:uid="{64A46892-FAD8-4145-BA8F-DDDDD65C1E18}"/>
    <cellStyle name="40% - Accent3 2 2 3 2 4" xfId="12238" xr:uid="{0E4AC7FD-4305-4C18-969D-FE8CEE7DE11C}"/>
    <cellStyle name="40% - Accent3 2 2 3 3" xfId="4984" xr:uid="{00000000-0005-0000-0000-00001B050000}"/>
    <cellStyle name="40% - Accent3 2 2 3 3 2" xfId="22750" xr:uid="{E904EBC2-0821-485F-9D92-96BF3A03F5C7}"/>
    <cellStyle name="40% - Accent3 2 2 3 3 3" xfId="14310" xr:uid="{E887A7F9-DACD-4B35-890C-FDA60E74FB94}"/>
    <cellStyle name="40% - Accent3 2 2 3 4" xfId="9328" xr:uid="{1DAEB9B9-01CE-426D-A8F1-CE08999D7264}"/>
    <cellStyle name="40% - Accent3 2 2 3 4 2" xfId="18533" xr:uid="{130D4C66-7925-41D5-8C71-0B15941C2CB8}"/>
    <cellStyle name="40% - Accent3 2 2 3 5" xfId="10093" xr:uid="{05F58220-A07C-42CC-9C29-C814AB99313D}"/>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25308" xr:uid="{541BEC86-1C06-4CD9-9611-82328084A7E6}"/>
    <cellStyle name="40% - Accent3 2 2 4 2 2 3" xfId="16868" xr:uid="{533BFB67-9672-489F-AD4A-7F172DC6496B}"/>
    <cellStyle name="40% - Accent3 2 2 4 2 3" xfId="21091" xr:uid="{80B22067-F713-4EDE-9B5C-84E24A34B4D2}"/>
    <cellStyle name="40% - Accent3 2 2 4 2 4" xfId="12651" xr:uid="{C6EB6A04-65A4-40A2-90F5-042A472AD58B}"/>
    <cellStyle name="40% - Accent3 2 2 4 3" xfId="5397" xr:uid="{00000000-0005-0000-0000-00001F050000}"/>
    <cellStyle name="40% - Accent3 2 2 4 3 2" xfId="23163" xr:uid="{F83939A8-1D43-47B4-ACBA-E272CB5C08DF}"/>
    <cellStyle name="40% - Accent3 2 2 4 3 3" xfId="14723" xr:uid="{7E70439C-79DB-4699-B8B2-2D5B9B98A249}"/>
    <cellStyle name="40% - Accent3 2 2 4 4" xfId="18946" xr:uid="{9045883E-73A9-45B8-93CC-21C879A78A13}"/>
    <cellStyle name="40% - Accent3 2 2 4 5" xfId="10506" xr:uid="{DA72CA6E-F6C7-4A28-93F1-8D6DA20EA618}"/>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25721" xr:uid="{811FD4F3-052B-4E42-9102-1449122FA606}"/>
    <cellStyle name="40% - Accent3 2 2 5 2 2 3" xfId="17281" xr:uid="{6D66D045-0993-42A6-B085-58DB4F44F5B6}"/>
    <cellStyle name="40% - Accent3 2 2 5 2 3" xfId="21504" xr:uid="{0F8AA99B-3295-43CC-AD77-34384C218467}"/>
    <cellStyle name="40% - Accent3 2 2 5 2 4" xfId="13064" xr:uid="{1DF5EBE5-B4E6-42B0-A90F-2EF9351AD45A}"/>
    <cellStyle name="40% - Accent3 2 2 5 3" xfId="5810" xr:uid="{00000000-0005-0000-0000-000023050000}"/>
    <cellStyle name="40% - Accent3 2 2 5 3 2" xfId="23576" xr:uid="{3647A11C-B84B-4A03-ACC2-06E256CE9B89}"/>
    <cellStyle name="40% - Accent3 2 2 5 3 3" xfId="15136" xr:uid="{A661600E-8A91-4A06-BBBC-3B52C79C158E}"/>
    <cellStyle name="40% - Accent3 2 2 5 4" xfId="19359" xr:uid="{5B5D8874-C396-4C77-BADE-B2383CD84F92}"/>
    <cellStyle name="40% - Accent3 2 2 5 5" xfId="10919" xr:uid="{931880ED-F1D1-4052-BB49-0CCC0282C0EF}"/>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26134" xr:uid="{1DA74C15-BF68-4F01-96C3-967BE6A0CD57}"/>
    <cellStyle name="40% - Accent3 2 2 6 2 2 3" xfId="17694" xr:uid="{783A2200-B7B1-4E39-9842-5F672F6DE540}"/>
    <cellStyle name="40% - Accent3 2 2 6 2 3" xfId="21917" xr:uid="{5BFCBEC4-FED4-4894-AE26-750D7CEFC42F}"/>
    <cellStyle name="40% - Accent3 2 2 6 2 4" xfId="13477" xr:uid="{9AFCD1CE-145E-4FB7-A943-6187392A1233}"/>
    <cellStyle name="40% - Accent3 2 2 6 3" xfId="6223" xr:uid="{00000000-0005-0000-0000-000027050000}"/>
    <cellStyle name="40% - Accent3 2 2 6 3 2" xfId="23989" xr:uid="{4308838C-1F4B-4218-9C37-8A787AEEE475}"/>
    <cellStyle name="40% - Accent3 2 2 6 3 3" xfId="15549" xr:uid="{C112181A-BB0D-4D03-8270-6121161FF773}"/>
    <cellStyle name="40% - Accent3 2 2 6 4" xfId="19772" xr:uid="{5AC1E9FA-27DE-4FFD-A6D1-D6E26749F479}"/>
    <cellStyle name="40% - Accent3 2 2 6 5" xfId="11332" xr:uid="{3D9850CD-670A-47B4-A051-FC7F01FB9629}"/>
    <cellStyle name="40% - Accent3 2 2 7" xfId="2330" xr:uid="{00000000-0005-0000-0000-000028050000}"/>
    <cellStyle name="40% - Accent3 2 2 7 2" xfId="6636" xr:uid="{00000000-0005-0000-0000-000029050000}"/>
    <cellStyle name="40% - Accent3 2 2 7 2 2" xfId="24402" xr:uid="{11B31269-8805-4169-AB05-40F6DDB19B56}"/>
    <cellStyle name="40% - Accent3 2 2 7 2 3" xfId="15962" xr:uid="{66E75B45-2632-4A27-8B97-B7B7FB830708}"/>
    <cellStyle name="40% - Accent3 2 2 7 3" xfId="20185" xr:uid="{F2A9435D-4165-48ED-9B5A-E5D4E95BEC44}"/>
    <cellStyle name="40% - Accent3 2 2 7 4" xfId="11745" xr:uid="{6CE8FC5C-7BC0-479A-A2E4-02A184ED02F5}"/>
    <cellStyle name="40% - Accent3 2 2 8" xfId="4570" xr:uid="{00000000-0005-0000-0000-00002A050000}"/>
    <cellStyle name="40% - Accent3 2 2 8 2" xfId="22336" xr:uid="{365AF2C0-DE7E-4261-AF02-8190ADD3E79D}"/>
    <cellStyle name="40% - Accent3 2 2 8 3" xfId="13896" xr:uid="{92B60F1B-FAF8-4734-AAA9-6D05BA8B78D1}"/>
    <cellStyle name="40% - Accent3 2 2 9" xfId="8903" xr:uid="{D9C85917-26AE-466C-8B98-905BCDA9E329}"/>
    <cellStyle name="40% - Accent3 2 2 9 2" xfId="18119" xr:uid="{62F365A7-7091-40A8-8355-FA946590D64A}"/>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24897" xr:uid="{D51D5E25-9639-4048-8D99-60123B99262B}"/>
    <cellStyle name="40% - Accent3 2 3 2 2 2 3" xfId="16457" xr:uid="{807FB68D-1682-4744-9318-EA45B705D459}"/>
    <cellStyle name="40% - Accent3 2 3 2 2 3" xfId="20680" xr:uid="{60FF6A1B-61D0-4812-890E-572A1390B2F9}"/>
    <cellStyle name="40% - Accent3 2 3 2 2 4" xfId="12240" xr:uid="{BBDDCDAA-1519-45F6-8972-4247623BC700}"/>
    <cellStyle name="40% - Accent3 2 3 2 3" xfId="4986" xr:uid="{00000000-0005-0000-0000-00002F050000}"/>
    <cellStyle name="40% - Accent3 2 3 2 3 2" xfId="22752" xr:uid="{02424525-09DC-4D31-89FB-94E56059858D}"/>
    <cellStyle name="40% - Accent3 2 3 2 3 3" xfId="14312" xr:uid="{4F9B7DC8-E521-458B-8B36-C927737FD3AA}"/>
    <cellStyle name="40% - Accent3 2 3 2 4" xfId="9432" xr:uid="{54D6848B-0200-4F42-820D-262A8F9A2C0F}"/>
    <cellStyle name="40% - Accent3 2 3 2 4 2" xfId="18535" xr:uid="{944B2617-605E-4EA1-9502-F4C16BACBA6E}"/>
    <cellStyle name="40% - Accent3 2 3 2 5" xfId="10095" xr:uid="{E25E3CD6-2E07-4639-916B-AC24A380E2BE}"/>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25310" xr:uid="{CF2D4243-A143-463A-95D7-84E3D1B2878F}"/>
    <cellStyle name="40% - Accent3 2 3 3 2 2 3" xfId="16870" xr:uid="{6CDE5C43-58B2-45F0-AF2B-8AF3B11FDDA1}"/>
    <cellStyle name="40% - Accent3 2 3 3 2 3" xfId="21093" xr:uid="{AE26816E-9347-4AF6-A4A0-5C136DD0DD8E}"/>
    <cellStyle name="40% - Accent3 2 3 3 2 4" xfId="12653" xr:uid="{9EFB7014-8DAD-4998-8090-BDB608E8129D}"/>
    <cellStyle name="40% - Accent3 2 3 3 3" xfId="5399" xr:uid="{00000000-0005-0000-0000-000033050000}"/>
    <cellStyle name="40% - Accent3 2 3 3 3 2" xfId="23165" xr:uid="{57D6FC19-04F6-4843-A071-E462AE9BE6F8}"/>
    <cellStyle name="40% - Accent3 2 3 3 3 3" xfId="14725" xr:uid="{BD00FF9C-6042-4EC0-BFA3-118DB1F93D19}"/>
    <cellStyle name="40% - Accent3 2 3 3 4" xfId="18948" xr:uid="{39B9036A-7753-4C1C-AAAB-63341AA9B293}"/>
    <cellStyle name="40% - Accent3 2 3 3 5" xfId="10508" xr:uid="{34A252DF-AC5D-4062-B426-627E3809F72F}"/>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25723" xr:uid="{B45119BF-F25F-431D-BC6F-D9DE1F208C70}"/>
    <cellStyle name="40% - Accent3 2 3 4 2 2 3" xfId="17283" xr:uid="{B85A26F5-C99E-4BCE-B9CE-F9F9B94AE868}"/>
    <cellStyle name="40% - Accent3 2 3 4 2 3" xfId="21506" xr:uid="{BBAF8438-50B5-46A7-B7E9-BEEDC5F9B08F}"/>
    <cellStyle name="40% - Accent3 2 3 4 2 4" xfId="13066" xr:uid="{B4E50D33-9F2E-409A-B99D-BFB226657B75}"/>
    <cellStyle name="40% - Accent3 2 3 4 3" xfId="5812" xr:uid="{00000000-0005-0000-0000-000037050000}"/>
    <cellStyle name="40% - Accent3 2 3 4 3 2" xfId="23578" xr:uid="{E81BB934-605A-412D-971F-7BF124E7B190}"/>
    <cellStyle name="40% - Accent3 2 3 4 3 3" xfId="15138" xr:uid="{B984BB82-B756-4FA4-87A4-76ADA9807E7C}"/>
    <cellStyle name="40% - Accent3 2 3 4 4" xfId="19361" xr:uid="{F256110C-D86F-4C87-A706-767CF7576B08}"/>
    <cellStyle name="40% - Accent3 2 3 4 5" xfId="10921" xr:uid="{845278ED-1E56-4502-A218-08D99E4DE2F0}"/>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26136" xr:uid="{EBBCE409-8F1E-407D-BA7C-E297B2DBEEBF}"/>
    <cellStyle name="40% - Accent3 2 3 5 2 2 3" xfId="17696" xr:uid="{FB0C4E36-1668-4A11-B11C-5E540DB15B2F}"/>
    <cellStyle name="40% - Accent3 2 3 5 2 3" xfId="21919" xr:uid="{D6A59000-3C68-40C3-9F48-887751DCBBF8}"/>
    <cellStyle name="40% - Accent3 2 3 5 2 4" xfId="13479" xr:uid="{78E27DD6-39D9-472F-85FD-3BB37BF68ED5}"/>
    <cellStyle name="40% - Accent3 2 3 5 3" xfId="6225" xr:uid="{00000000-0005-0000-0000-00003B050000}"/>
    <cellStyle name="40% - Accent3 2 3 5 3 2" xfId="23991" xr:uid="{320CFA27-AB8F-420E-941E-F1AC0C20C1E5}"/>
    <cellStyle name="40% - Accent3 2 3 5 3 3" xfId="15551" xr:uid="{4CC58882-B36E-4BBE-B284-3D6BEED4CAA2}"/>
    <cellStyle name="40% - Accent3 2 3 5 4" xfId="19774" xr:uid="{21623BC7-ABE5-43EE-BD26-75DF645AF213}"/>
    <cellStyle name="40% - Accent3 2 3 5 5" xfId="11334" xr:uid="{81441152-197C-4F74-A095-0D870CAE5B81}"/>
    <cellStyle name="40% - Accent3 2 3 6" xfId="2332" xr:uid="{00000000-0005-0000-0000-00003C050000}"/>
    <cellStyle name="40% - Accent3 2 3 6 2" xfId="6638" xr:uid="{00000000-0005-0000-0000-00003D050000}"/>
    <cellStyle name="40% - Accent3 2 3 6 2 2" xfId="24404" xr:uid="{12A5661E-83E6-4427-B77E-9C0694567334}"/>
    <cellStyle name="40% - Accent3 2 3 6 2 3" xfId="15964" xr:uid="{BE5A04D4-DF3D-474D-A030-65E377EE81EC}"/>
    <cellStyle name="40% - Accent3 2 3 6 3" xfId="20187" xr:uid="{8E7FFCEB-ADA4-463F-9D2D-A9123BBA0BCD}"/>
    <cellStyle name="40% - Accent3 2 3 6 4" xfId="11747" xr:uid="{006F0139-74E3-4B73-BB93-03A1AAADA2AB}"/>
    <cellStyle name="40% - Accent3 2 3 7" xfId="4572" xr:uid="{00000000-0005-0000-0000-00003E050000}"/>
    <cellStyle name="40% - Accent3 2 3 7 2" xfId="22338" xr:uid="{07739388-9525-4283-94C2-BDA6A1D083E2}"/>
    <cellStyle name="40% - Accent3 2 3 7 3" xfId="13898" xr:uid="{71779BAF-F442-4AA4-AE69-49ABF5A3F9A5}"/>
    <cellStyle name="40% - Accent3 2 3 8" xfId="9007" xr:uid="{2DEFD82C-2A62-4C1E-AA8D-7F2606BD9091}"/>
    <cellStyle name="40% - Accent3 2 3 8 2" xfId="18121" xr:uid="{29EE102C-BBB7-4BFC-BC2E-7D9D59EFE7C1}"/>
    <cellStyle name="40% - Accent3 2 3 9" xfId="9681" xr:uid="{615FD224-830A-441C-9E4D-5BD8B25D7C89}"/>
    <cellStyle name="40% - Accent3 2 4" xfId="635" xr:uid="{00000000-0005-0000-0000-00003F050000}"/>
    <cellStyle name="40% - Accent3 2 4 2" xfId="2906" xr:uid="{00000000-0005-0000-0000-000040050000}"/>
    <cellStyle name="40% - Accent3 2 4 2 2" xfId="7128" xr:uid="{00000000-0005-0000-0000-000041050000}"/>
    <cellStyle name="40% - Accent3 2 4 2 2 2" xfId="24894" xr:uid="{5FCBC686-FBD9-4748-BF26-467FEBD1BBF9}"/>
    <cellStyle name="40% - Accent3 2 4 2 2 3" xfId="16454" xr:uid="{64883E33-8688-45CA-B750-3031FC5E989E}"/>
    <cellStyle name="40% - Accent3 2 4 2 3" xfId="20677" xr:uid="{D39850E9-9177-49F4-A93B-76D12A363756}"/>
    <cellStyle name="40% - Accent3 2 4 2 4" xfId="12237" xr:uid="{256EEA79-F911-4AF8-9E95-2872D9FA36A7}"/>
    <cellStyle name="40% - Accent3 2 4 3" xfId="4983" xr:uid="{00000000-0005-0000-0000-000042050000}"/>
    <cellStyle name="40% - Accent3 2 4 3 2" xfId="22749" xr:uid="{48863DBB-7250-4262-A8BD-B299E911C610}"/>
    <cellStyle name="40% - Accent3 2 4 3 3" xfId="14309" xr:uid="{898048DA-238D-400F-9758-F1EB8FF4FE1B}"/>
    <cellStyle name="40% - Accent3 2 4 4" xfId="9224" xr:uid="{6B91012A-BFF2-4F1F-901C-A91F06F80031}"/>
    <cellStyle name="40% - Accent3 2 4 4 2" xfId="18532" xr:uid="{D75A4CF9-05BB-426D-9FB5-6FC7E9D189B6}"/>
    <cellStyle name="40% - Accent3 2 4 5" xfId="10092" xr:uid="{5C41F3FF-8737-4B0A-ABF0-754D251F9CEB}"/>
    <cellStyle name="40% - Accent3 2 5" xfId="1088" xr:uid="{00000000-0005-0000-0000-000043050000}"/>
    <cellStyle name="40% - Accent3 2 5 2" xfId="3319" xr:uid="{00000000-0005-0000-0000-000044050000}"/>
    <cellStyle name="40% - Accent3 2 5 2 2" xfId="7541" xr:uid="{00000000-0005-0000-0000-000045050000}"/>
    <cellStyle name="40% - Accent3 2 5 2 2 2" xfId="25307" xr:uid="{DE2C601A-0994-4192-A719-660FCFF34DE2}"/>
    <cellStyle name="40% - Accent3 2 5 2 2 3" xfId="16867" xr:uid="{6BE09D8A-738F-4A36-ABD2-F6EFFAA90418}"/>
    <cellStyle name="40% - Accent3 2 5 2 3" xfId="21090" xr:uid="{88FB7713-8905-4795-B198-A768CF822908}"/>
    <cellStyle name="40% - Accent3 2 5 2 4" xfId="12650" xr:uid="{E5E91832-9994-4B0D-8E4F-6ACC7DE84C36}"/>
    <cellStyle name="40% - Accent3 2 5 3" xfId="5396" xr:uid="{00000000-0005-0000-0000-000046050000}"/>
    <cellStyle name="40% - Accent3 2 5 3 2" xfId="23162" xr:uid="{77A11185-A1FE-4AD1-812A-A669E797079E}"/>
    <cellStyle name="40% - Accent3 2 5 3 3" xfId="14722" xr:uid="{A37E134C-6253-420E-9697-5A924AB136A9}"/>
    <cellStyle name="40% - Accent3 2 5 4" xfId="18945" xr:uid="{E8BAAFC4-2119-43A5-B67F-4566221FD33E}"/>
    <cellStyle name="40% - Accent3 2 5 5" xfId="10505" xr:uid="{AFD294CF-6361-4C47-9E80-2E9DB5FE9DC8}"/>
    <cellStyle name="40% - Accent3 2 6" xfId="1502" xr:uid="{00000000-0005-0000-0000-000047050000}"/>
    <cellStyle name="40% - Accent3 2 6 2" xfId="3732" xr:uid="{00000000-0005-0000-0000-000048050000}"/>
    <cellStyle name="40% - Accent3 2 6 2 2" xfId="7954" xr:uid="{00000000-0005-0000-0000-000049050000}"/>
    <cellStyle name="40% - Accent3 2 6 2 2 2" xfId="25720" xr:uid="{FA189E6D-355F-4CAC-81AF-626E6BC6F672}"/>
    <cellStyle name="40% - Accent3 2 6 2 2 3" xfId="17280" xr:uid="{D1683626-E18E-4929-BC14-4AD76D81CE81}"/>
    <cellStyle name="40% - Accent3 2 6 2 3" xfId="21503" xr:uid="{75D3CD84-0D1E-4345-B6FC-743EA1B09381}"/>
    <cellStyle name="40% - Accent3 2 6 2 4" xfId="13063" xr:uid="{733480B3-69AF-4126-872D-B740950CD31F}"/>
    <cellStyle name="40% - Accent3 2 6 3" xfId="5809" xr:uid="{00000000-0005-0000-0000-00004A050000}"/>
    <cellStyle name="40% - Accent3 2 6 3 2" xfId="23575" xr:uid="{ABFEF453-0ACB-4919-875B-3C2496666512}"/>
    <cellStyle name="40% - Accent3 2 6 3 3" xfId="15135" xr:uid="{5A1A0822-ECA6-477B-987F-7391F9206EAA}"/>
    <cellStyle name="40% - Accent3 2 6 4" xfId="19358" xr:uid="{B3B666A7-0771-42B3-B2FB-2E3109212D1B}"/>
    <cellStyle name="40% - Accent3 2 6 5" xfId="10918" xr:uid="{18019C4F-D8B4-4399-BED8-F6E5EB5EFF40}"/>
    <cellStyle name="40% - Accent3 2 7" xfId="1916" xr:uid="{00000000-0005-0000-0000-00004B050000}"/>
    <cellStyle name="40% - Accent3 2 7 2" xfId="4145" xr:uid="{00000000-0005-0000-0000-00004C050000}"/>
    <cellStyle name="40% - Accent3 2 7 2 2" xfId="8367" xr:uid="{00000000-0005-0000-0000-00004D050000}"/>
    <cellStyle name="40% - Accent3 2 7 2 2 2" xfId="26133" xr:uid="{04D783DA-6782-41A9-8935-40BFFA4896A5}"/>
    <cellStyle name="40% - Accent3 2 7 2 2 3" xfId="17693" xr:uid="{D910AF8A-C819-4A69-89B8-11A9F5E6727E}"/>
    <cellStyle name="40% - Accent3 2 7 2 3" xfId="21916" xr:uid="{3E6A910F-B451-46DE-A78F-43879156A4B8}"/>
    <cellStyle name="40% - Accent3 2 7 2 4" xfId="13476" xr:uid="{FDFBA5C3-2E22-44C1-8A55-13873DADDDA9}"/>
    <cellStyle name="40% - Accent3 2 7 3" xfId="6222" xr:uid="{00000000-0005-0000-0000-00004E050000}"/>
    <cellStyle name="40% - Accent3 2 7 3 2" xfId="23988" xr:uid="{74053D48-A9C3-4CA2-9523-96D4DCF1092C}"/>
    <cellStyle name="40% - Accent3 2 7 3 3" xfId="15548" xr:uid="{5BA9A329-F74C-45B5-9D6E-C4DBCDA3D2D1}"/>
    <cellStyle name="40% - Accent3 2 7 4" xfId="19771" xr:uid="{3D6AF789-5F42-479F-BEA5-A887ECD0FA31}"/>
    <cellStyle name="40% - Accent3 2 7 5" xfId="11331" xr:uid="{86877E43-9DE3-431F-8564-84BE4F4C3676}"/>
    <cellStyle name="40% - Accent3 2 8" xfId="2329" xr:uid="{00000000-0005-0000-0000-00004F050000}"/>
    <cellStyle name="40% - Accent3 2 8 2" xfId="6635" xr:uid="{00000000-0005-0000-0000-000050050000}"/>
    <cellStyle name="40% - Accent3 2 8 2 2" xfId="24401" xr:uid="{ABB86EEC-203D-4D5B-94BA-5312FE27C0EF}"/>
    <cellStyle name="40% - Accent3 2 8 2 3" xfId="15961" xr:uid="{3BB03056-202E-41F1-8D96-A9A57D607FEE}"/>
    <cellStyle name="40% - Accent3 2 8 3" xfId="20184" xr:uid="{970236BC-23AC-44CE-BBFC-5E3FD6739CAD}"/>
    <cellStyle name="40% - Accent3 2 8 4" xfId="11744" xr:uid="{7383637C-F4DB-444C-AA16-406FE4987793}"/>
    <cellStyle name="40% - Accent3 2 9" xfId="4569" xr:uid="{00000000-0005-0000-0000-000051050000}"/>
    <cellStyle name="40% - Accent3 2 9 2" xfId="22335" xr:uid="{3B2B2657-C12C-4F68-AA97-34B48B455FE4}"/>
    <cellStyle name="40% - Accent3 2 9 3" xfId="13895" xr:uid="{DF576780-B888-4489-BAB8-82AA4F6F848D}"/>
    <cellStyle name="40% - Accent3 3" xfId="70" xr:uid="{00000000-0005-0000-0000-000052050000}"/>
    <cellStyle name="40% - Accent3 3 10" xfId="9682" xr:uid="{4A29E13D-4D0E-4D56-9BEC-CB9C27D6137B}"/>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24899" xr:uid="{A756B610-4346-4676-AD3A-CABF32435767}"/>
    <cellStyle name="40% - Accent3 3 2 2 2 2 3" xfId="16459" xr:uid="{6CBF5C4C-4E8B-4953-8E6C-87A992EBF4A0}"/>
    <cellStyle name="40% - Accent3 3 2 2 2 3" xfId="20682" xr:uid="{6B42AD11-283D-45A9-966E-ABB88D409975}"/>
    <cellStyle name="40% - Accent3 3 2 2 2 4" xfId="12242" xr:uid="{5C7BD991-B9C6-46D2-B522-2D56BFC5DA36}"/>
    <cellStyle name="40% - Accent3 3 2 2 3" xfId="4988" xr:uid="{00000000-0005-0000-0000-000057050000}"/>
    <cellStyle name="40% - Accent3 3 2 2 3 2" xfId="22754" xr:uid="{B2A40997-DF95-4ADF-9194-F4F82E795CF4}"/>
    <cellStyle name="40% - Accent3 3 2 2 3 3" xfId="14314" xr:uid="{23026283-2AA3-492B-94FD-EBD8116DB5DD}"/>
    <cellStyle name="40% - Accent3 3 2 2 4" xfId="9498" xr:uid="{7C43CF58-5AE0-4BAA-9D2B-CAB92F3612F1}"/>
    <cellStyle name="40% - Accent3 3 2 2 4 2" xfId="18537" xr:uid="{313BAA36-6A08-404E-B169-B95D975A5776}"/>
    <cellStyle name="40% - Accent3 3 2 2 5" xfId="10097" xr:uid="{F3A350C9-8D6C-4A17-A811-D13824D0C4AE}"/>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25312" xr:uid="{93D14D7D-1A64-4F93-97F1-D83DFF808E2F}"/>
    <cellStyle name="40% - Accent3 3 2 3 2 2 3" xfId="16872" xr:uid="{B2CC2386-91E1-4ED1-9A1B-6E8AEA0A7CB2}"/>
    <cellStyle name="40% - Accent3 3 2 3 2 3" xfId="21095" xr:uid="{6648E412-A9AC-4098-B9E4-9705022D19B4}"/>
    <cellStyle name="40% - Accent3 3 2 3 2 4" xfId="12655" xr:uid="{3C55A802-C358-48B2-A7BD-250A9C6A8828}"/>
    <cellStyle name="40% - Accent3 3 2 3 3" xfId="5401" xr:uid="{00000000-0005-0000-0000-00005B050000}"/>
    <cellStyle name="40% - Accent3 3 2 3 3 2" xfId="23167" xr:uid="{C870D995-3FDC-4FA5-B473-297686D3F9D5}"/>
    <cellStyle name="40% - Accent3 3 2 3 3 3" xfId="14727" xr:uid="{8469F72F-14BC-46B1-9A87-75C3B320637D}"/>
    <cellStyle name="40% - Accent3 3 2 3 4" xfId="18950" xr:uid="{BD94568D-4652-48C0-BFAB-5A2F8494B60C}"/>
    <cellStyle name="40% - Accent3 3 2 3 5" xfId="10510" xr:uid="{E58D59F0-B1E8-40D2-B498-D39171F22447}"/>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25725" xr:uid="{F65ADFBB-5302-4A31-9306-F41866E3D469}"/>
    <cellStyle name="40% - Accent3 3 2 4 2 2 3" xfId="17285" xr:uid="{6A307E68-E544-444B-8723-ABB9E46701F2}"/>
    <cellStyle name="40% - Accent3 3 2 4 2 3" xfId="21508" xr:uid="{52528E71-1601-44EF-BF48-53E0CDEB00A1}"/>
    <cellStyle name="40% - Accent3 3 2 4 2 4" xfId="13068" xr:uid="{C659139A-6B2D-4859-8EE7-B188B82A2DDA}"/>
    <cellStyle name="40% - Accent3 3 2 4 3" xfId="5814" xr:uid="{00000000-0005-0000-0000-00005F050000}"/>
    <cellStyle name="40% - Accent3 3 2 4 3 2" xfId="23580" xr:uid="{52F30F60-CFB0-40F1-9F4C-68961D0EE960}"/>
    <cellStyle name="40% - Accent3 3 2 4 3 3" xfId="15140" xr:uid="{AC3B79ED-A731-4A4A-BD11-27BA3659FF27}"/>
    <cellStyle name="40% - Accent3 3 2 4 4" xfId="19363" xr:uid="{C7A25D04-2B73-4844-B4CE-310A55BD3023}"/>
    <cellStyle name="40% - Accent3 3 2 4 5" xfId="10923" xr:uid="{7FB9523E-5D4E-4826-B6EA-8B83C55D6C92}"/>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26138" xr:uid="{AD38D7D4-1FD1-4AA1-AF5F-6C8B5BFB9D86}"/>
    <cellStyle name="40% - Accent3 3 2 5 2 2 3" xfId="17698" xr:uid="{C24D325E-16F9-48D7-8F20-CD2E98852706}"/>
    <cellStyle name="40% - Accent3 3 2 5 2 3" xfId="21921" xr:uid="{EC4EE05E-3FBF-4837-8B02-FE11E65E5719}"/>
    <cellStyle name="40% - Accent3 3 2 5 2 4" xfId="13481" xr:uid="{FE99A27A-A0D1-4988-9574-62E4F7539A34}"/>
    <cellStyle name="40% - Accent3 3 2 5 3" xfId="6227" xr:uid="{00000000-0005-0000-0000-000063050000}"/>
    <cellStyle name="40% - Accent3 3 2 5 3 2" xfId="23993" xr:uid="{284595B3-8124-4681-AD4A-DBBE263042AD}"/>
    <cellStyle name="40% - Accent3 3 2 5 3 3" xfId="15553" xr:uid="{E5A5781D-2896-457B-80EA-29AD60549B09}"/>
    <cellStyle name="40% - Accent3 3 2 5 4" xfId="19776" xr:uid="{746BDE4C-222D-4C94-8D32-0D5F15104A4C}"/>
    <cellStyle name="40% - Accent3 3 2 5 5" xfId="11336" xr:uid="{46EA5B27-B47D-4F1F-B62F-547BC496C131}"/>
    <cellStyle name="40% - Accent3 3 2 6" xfId="2334" xr:uid="{00000000-0005-0000-0000-000064050000}"/>
    <cellStyle name="40% - Accent3 3 2 6 2" xfId="6640" xr:uid="{00000000-0005-0000-0000-000065050000}"/>
    <cellStyle name="40% - Accent3 3 2 6 2 2" xfId="24406" xr:uid="{F8520350-9333-436A-8D6E-61CCFC69D846}"/>
    <cellStyle name="40% - Accent3 3 2 6 2 3" xfId="15966" xr:uid="{EBC07B2A-2D7A-4305-A05E-A7FF3B154EF2}"/>
    <cellStyle name="40% - Accent3 3 2 6 3" xfId="20189" xr:uid="{E6CCC0BC-94B0-41A3-8AFB-2558851334B1}"/>
    <cellStyle name="40% - Accent3 3 2 6 4" xfId="11749" xr:uid="{DF854D06-B23A-497E-A1E7-0681F6BCDA2F}"/>
    <cellStyle name="40% - Accent3 3 2 7" xfId="4574" xr:uid="{00000000-0005-0000-0000-000066050000}"/>
    <cellStyle name="40% - Accent3 3 2 7 2" xfId="22340" xr:uid="{90E05D4A-528E-49E5-99FB-4DD0ED7D9909}"/>
    <cellStyle name="40% - Accent3 3 2 7 3" xfId="13900" xr:uid="{8E6F88C1-6B4B-4DFC-A4B2-2ACC3069D73A}"/>
    <cellStyle name="40% - Accent3 3 2 8" xfId="9073" xr:uid="{0E71C752-2CF0-411D-A05E-4DA4A73CFC34}"/>
    <cellStyle name="40% - Accent3 3 2 8 2" xfId="18123" xr:uid="{1855F515-7BB7-4434-86F1-0C8EF258C494}"/>
    <cellStyle name="40% - Accent3 3 2 9" xfId="9683" xr:uid="{DBDE965D-54FC-42E2-9ACC-A194C581DB3B}"/>
    <cellStyle name="40% - Accent3 3 3" xfId="639" xr:uid="{00000000-0005-0000-0000-000067050000}"/>
    <cellStyle name="40% - Accent3 3 3 2" xfId="2910" xr:uid="{00000000-0005-0000-0000-000068050000}"/>
    <cellStyle name="40% - Accent3 3 3 2 2" xfId="7132" xr:uid="{00000000-0005-0000-0000-000069050000}"/>
    <cellStyle name="40% - Accent3 3 3 2 2 2" xfId="24898" xr:uid="{0B3BD67D-196B-45F4-B8C7-9EBB9E8A70AD}"/>
    <cellStyle name="40% - Accent3 3 3 2 2 3" xfId="16458" xr:uid="{38980EC3-3357-47B2-B09B-7CB5673FC7A3}"/>
    <cellStyle name="40% - Accent3 3 3 2 3" xfId="20681" xr:uid="{F9E5E0D6-E58E-46A7-9A82-32ADE7C28583}"/>
    <cellStyle name="40% - Accent3 3 3 2 4" xfId="12241" xr:uid="{0733D122-DF4E-4339-A7F7-08BCE5BE99FE}"/>
    <cellStyle name="40% - Accent3 3 3 3" xfId="4987" xr:uid="{00000000-0005-0000-0000-00006A050000}"/>
    <cellStyle name="40% - Accent3 3 3 3 2" xfId="22753" xr:uid="{DF7FC140-E03C-48B8-9443-BDA1BEC0FDD0}"/>
    <cellStyle name="40% - Accent3 3 3 3 3" xfId="14313" xr:uid="{862098FF-AD52-460E-869D-9CC268E201FC}"/>
    <cellStyle name="40% - Accent3 3 3 4" xfId="9291" xr:uid="{59AB3F6D-A8C6-4A37-A8E3-967850079A77}"/>
    <cellStyle name="40% - Accent3 3 3 4 2" xfId="18536" xr:uid="{F974CF87-0F3C-4FC1-86F3-67881F8E8ABD}"/>
    <cellStyle name="40% - Accent3 3 3 5" xfId="10096" xr:uid="{A9A201FC-CE41-4AA1-894A-0BDD77B762B5}"/>
    <cellStyle name="40% - Accent3 3 4" xfId="1092" xr:uid="{00000000-0005-0000-0000-00006B050000}"/>
    <cellStyle name="40% - Accent3 3 4 2" xfId="3323" xr:uid="{00000000-0005-0000-0000-00006C050000}"/>
    <cellStyle name="40% - Accent3 3 4 2 2" xfId="7545" xr:uid="{00000000-0005-0000-0000-00006D050000}"/>
    <cellStyle name="40% - Accent3 3 4 2 2 2" xfId="25311" xr:uid="{35BFEDD8-C538-44E3-B4D2-4569D396DB44}"/>
    <cellStyle name="40% - Accent3 3 4 2 2 3" xfId="16871" xr:uid="{D3BA6824-85DA-4ED9-8140-0F165FDC307E}"/>
    <cellStyle name="40% - Accent3 3 4 2 3" xfId="21094" xr:uid="{CA5AB299-3FB8-45EC-9E82-5E31EF8A9BA2}"/>
    <cellStyle name="40% - Accent3 3 4 2 4" xfId="12654" xr:uid="{FF88CFB7-3AF2-4B7D-AC9B-AD0C8F1F7AD9}"/>
    <cellStyle name="40% - Accent3 3 4 3" xfId="5400" xr:uid="{00000000-0005-0000-0000-00006E050000}"/>
    <cellStyle name="40% - Accent3 3 4 3 2" xfId="23166" xr:uid="{905888D8-5D29-4EBA-B08B-BA75D9E36B6D}"/>
    <cellStyle name="40% - Accent3 3 4 3 3" xfId="14726" xr:uid="{F040ACB8-1068-402C-AF63-2E859478990A}"/>
    <cellStyle name="40% - Accent3 3 4 4" xfId="18949" xr:uid="{5AFEC566-D715-40F3-A25C-04931B4A4DD2}"/>
    <cellStyle name="40% - Accent3 3 4 5" xfId="10509" xr:uid="{30BD9003-9A2B-456D-AC1D-900EE559BAF6}"/>
    <cellStyle name="40% - Accent3 3 5" xfId="1506" xr:uid="{00000000-0005-0000-0000-00006F050000}"/>
    <cellStyle name="40% - Accent3 3 5 2" xfId="3736" xr:uid="{00000000-0005-0000-0000-000070050000}"/>
    <cellStyle name="40% - Accent3 3 5 2 2" xfId="7958" xr:uid="{00000000-0005-0000-0000-000071050000}"/>
    <cellStyle name="40% - Accent3 3 5 2 2 2" xfId="25724" xr:uid="{8297CBE0-C7A2-4ED1-A3CE-AE8C3BE5DBDB}"/>
    <cellStyle name="40% - Accent3 3 5 2 2 3" xfId="17284" xr:uid="{A74CE555-2864-4953-9071-D483A752ADC9}"/>
    <cellStyle name="40% - Accent3 3 5 2 3" xfId="21507" xr:uid="{B7051338-F5A7-41B4-B379-DC52F74D69AB}"/>
    <cellStyle name="40% - Accent3 3 5 2 4" xfId="13067" xr:uid="{CBAF9E39-1FBB-46B5-BB2D-C557C2237B84}"/>
    <cellStyle name="40% - Accent3 3 5 3" xfId="5813" xr:uid="{00000000-0005-0000-0000-000072050000}"/>
    <cellStyle name="40% - Accent3 3 5 3 2" xfId="23579" xr:uid="{A7C1AEDB-C972-4E4C-9B83-85958A458951}"/>
    <cellStyle name="40% - Accent3 3 5 3 3" xfId="15139" xr:uid="{99B311FC-341F-457E-82D5-D52668BFC19B}"/>
    <cellStyle name="40% - Accent3 3 5 4" xfId="19362" xr:uid="{3A300CA3-E456-4A61-A810-C9D615FFA901}"/>
    <cellStyle name="40% - Accent3 3 5 5" xfId="10922" xr:uid="{05B9678E-1ED8-46B3-965B-C39403C6DD47}"/>
    <cellStyle name="40% - Accent3 3 6" xfId="1920" xr:uid="{00000000-0005-0000-0000-000073050000}"/>
    <cellStyle name="40% - Accent3 3 6 2" xfId="4149" xr:uid="{00000000-0005-0000-0000-000074050000}"/>
    <cellStyle name="40% - Accent3 3 6 2 2" xfId="8371" xr:uid="{00000000-0005-0000-0000-000075050000}"/>
    <cellStyle name="40% - Accent3 3 6 2 2 2" xfId="26137" xr:uid="{67F4D15E-3EA8-46A2-97E4-0CB65721DCC0}"/>
    <cellStyle name="40% - Accent3 3 6 2 2 3" xfId="17697" xr:uid="{CECF7858-3465-4772-B974-F8C864BAE24E}"/>
    <cellStyle name="40% - Accent3 3 6 2 3" xfId="21920" xr:uid="{27ADEF1E-8BD4-4DC3-AC42-3702B101E214}"/>
    <cellStyle name="40% - Accent3 3 6 2 4" xfId="13480" xr:uid="{80774601-7F09-4DBF-8565-F0F8841F1DB7}"/>
    <cellStyle name="40% - Accent3 3 6 3" xfId="6226" xr:uid="{00000000-0005-0000-0000-000076050000}"/>
    <cellStyle name="40% - Accent3 3 6 3 2" xfId="23992" xr:uid="{511BD04F-B7F0-4BD1-A703-48AA8D0AE2FD}"/>
    <cellStyle name="40% - Accent3 3 6 3 3" xfId="15552" xr:uid="{E2B400B8-BC98-4017-8AE1-32A5BE042115}"/>
    <cellStyle name="40% - Accent3 3 6 4" xfId="19775" xr:uid="{3925DCA2-61F2-47D6-89F3-6090331CDD45}"/>
    <cellStyle name="40% - Accent3 3 6 5" xfId="11335" xr:uid="{8B279FBF-7A7D-42A4-B791-25EA2A8BFA96}"/>
    <cellStyle name="40% - Accent3 3 7" xfId="2333" xr:uid="{00000000-0005-0000-0000-000077050000}"/>
    <cellStyle name="40% - Accent3 3 7 2" xfId="6639" xr:uid="{00000000-0005-0000-0000-000078050000}"/>
    <cellStyle name="40% - Accent3 3 7 2 2" xfId="24405" xr:uid="{FD128265-AE33-41A6-9806-45BF24FB45AD}"/>
    <cellStyle name="40% - Accent3 3 7 2 3" xfId="15965" xr:uid="{9B4B3235-6098-446E-A797-E1D5CCBC36EC}"/>
    <cellStyle name="40% - Accent3 3 7 3" xfId="20188" xr:uid="{A3A99C66-B029-48A1-BADF-315576D60565}"/>
    <cellStyle name="40% - Accent3 3 7 4" xfId="11748" xr:uid="{9DC78642-61BE-42E8-9DCC-9538914BCB6C}"/>
    <cellStyle name="40% - Accent3 3 8" xfId="4573" xr:uid="{00000000-0005-0000-0000-000079050000}"/>
    <cellStyle name="40% - Accent3 3 8 2" xfId="22339" xr:uid="{1CFB145F-CED1-454E-90AB-DE2ACABD737C}"/>
    <cellStyle name="40% - Accent3 3 8 3" xfId="13899" xr:uid="{0F1D46E2-E0D3-42F2-97B9-73D95BD0AEBA}"/>
    <cellStyle name="40% - Accent3 3 9" xfId="8866" xr:uid="{1A1EF43E-4A2B-42A8-98A3-CEC34DD3B00D}"/>
    <cellStyle name="40% - Accent3 3 9 2" xfId="18122" xr:uid="{C5B5AE50-6E29-4CD0-BB32-95F9BDE7714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24900" xr:uid="{3BB7EC87-6227-4678-A5EB-A1EB19E656B2}"/>
    <cellStyle name="40% - Accent3 4 2 2 2 3" xfId="16460" xr:uid="{296EEF6A-8B55-4FCE-859C-4D676B9A7084}"/>
    <cellStyle name="40% - Accent3 4 2 2 3" xfId="20683" xr:uid="{C627AF5D-2589-4395-9AE9-6D72B9EDF5C8}"/>
    <cellStyle name="40% - Accent3 4 2 2 4" xfId="12243" xr:uid="{F1B1C664-B3FE-490E-A03A-E414E2C30B7E}"/>
    <cellStyle name="40% - Accent3 4 2 3" xfId="4989" xr:uid="{00000000-0005-0000-0000-00007E050000}"/>
    <cellStyle name="40% - Accent3 4 2 3 2" xfId="22755" xr:uid="{B8AB5927-AA11-4CD7-A4D5-A884DE573517}"/>
    <cellStyle name="40% - Accent3 4 2 3 3" xfId="14315" xr:uid="{3991C200-7F9F-4BCD-9BE4-736B6C00BF9F}"/>
    <cellStyle name="40% - Accent3 4 2 4" xfId="9377" xr:uid="{F4393833-4E73-4685-9332-CF918D5239A9}"/>
    <cellStyle name="40% - Accent3 4 2 4 2" xfId="18538" xr:uid="{45FAE9B6-2DED-49B5-A41B-F48507DFFB85}"/>
    <cellStyle name="40% - Accent3 4 2 5" xfId="10098" xr:uid="{A9F40FC0-904A-47E5-99BB-D3B73CF8DB4B}"/>
    <cellStyle name="40% - Accent3 4 3" xfId="1094" xr:uid="{00000000-0005-0000-0000-00007F050000}"/>
    <cellStyle name="40% - Accent3 4 3 2" xfId="3325" xr:uid="{00000000-0005-0000-0000-000080050000}"/>
    <cellStyle name="40% - Accent3 4 3 2 2" xfId="7547" xr:uid="{00000000-0005-0000-0000-000081050000}"/>
    <cellStyle name="40% - Accent3 4 3 2 2 2" xfId="25313" xr:uid="{7BF2BB58-700D-42E0-B8F0-6A08A54B5930}"/>
    <cellStyle name="40% - Accent3 4 3 2 2 3" xfId="16873" xr:uid="{740A5CE2-0107-47B1-B86F-D25571A1A05F}"/>
    <cellStyle name="40% - Accent3 4 3 2 3" xfId="21096" xr:uid="{20A10EA3-5866-41BF-8C0F-3BA811A19245}"/>
    <cellStyle name="40% - Accent3 4 3 2 4" xfId="12656" xr:uid="{9733242D-F2F7-44F2-920A-FCA386A3C4B6}"/>
    <cellStyle name="40% - Accent3 4 3 3" xfId="5402" xr:uid="{00000000-0005-0000-0000-000082050000}"/>
    <cellStyle name="40% - Accent3 4 3 3 2" xfId="23168" xr:uid="{3E4DD38A-A2F5-469C-B2D8-5EBE90BAA23E}"/>
    <cellStyle name="40% - Accent3 4 3 3 3" xfId="14728" xr:uid="{BE01EA20-7647-41D3-93E4-1F3F09D8B75C}"/>
    <cellStyle name="40% - Accent3 4 3 4" xfId="18951" xr:uid="{300AFD4C-32D3-41E7-BA6C-27B151F139E1}"/>
    <cellStyle name="40% - Accent3 4 3 5" xfId="10511" xr:uid="{673CC79D-0978-4546-965A-D6A893B54D3B}"/>
    <cellStyle name="40% - Accent3 4 4" xfId="1508" xr:uid="{00000000-0005-0000-0000-000083050000}"/>
    <cellStyle name="40% - Accent3 4 4 2" xfId="3738" xr:uid="{00000000-0005-0000-0000-000084050000}"/>
    <cellStyle name="40% - Accent3 4 4 2 2" xfId="7960" xr:uid="{00000000-0005-0000-0000-000085050000}"/>
    <cellStyle name="40% - Accent3 4 4 2 2 2" xfId="25726" xr:uid="{987CCA0D-7836-4EF7-8ACC-F826C82F74BB}"/>
    <cellStyle name="40% - Accent3 4 4 2 2 3" xfId="17286" xr:uid="{85A89FD1-F32D-47FC-AE74-89EDEB1F8087}"/>
    <cellStyle name="40% - Accent3 4 4 2 3" xfId="21509" xr:uid="{CB4243F7-974A-41EF-BFBF-B4CBBFAA0D3C}"/>
    <cellStyle name="40% - Accent3 4 4 2 4" xfId="13069" xr:uid="{AFD4D8CE-4ED3-4B14-8371-53034D8C0E82}"/>
    <cellStyle name="40% - Accent3 4 4 3" xfId="5815" xr:uid="{00000000-0005-0000-0000-000086050000}"/>
    <cellStyle name="40% - Accent3 4 4 3 2" xfId="23581" xr:uid="{8DC7FA6D-E1A9-47B9-8A78-0CA9386026DD}"/>
    <cellStyle name="40% - Accent3 4 4 3 3" xfId="15141" xr:uid="{702C54D1-210A-4C6F-B01A-CDEB4A9972F4}"/>
    <cellStyle name="40% - Accent3 4 4 4" xfId="19364" xr:uid="{F0AD30E8-2003-4E95-A76A-0297CCC60EFF}"/>
    <cellStyle name="40% - Accent3 4 4 5" xfId="10924" xr:uid="{DE620E54-2177-4303-ACC5-F2CB27133564}"/>
    <cellStyle name="40% - Accent3 4 5" xfId="1922" xr:uid="{00000000-0005-0000-0000-000087050000}"/>
    <cellStyle name="40% - Accent3 4 5 2" xfId="4151" xr:uid="{00000000-0005-0000-0000-000088050000}"/>
    <cellStyle name="40% - Accent3 4 5 2 2" xfId="8373" xr:uid="{00000000-0005-0000-0000-000089050000}"/>
    <cellStyle name="40% - Accent3 4 5 2 2 2" xfId="26139" xr:uid="{B47380D4-4173-4C8C-833C-517B520A9C0F}"/>
    <cellStyle name="40% - Accent3 4 5 2 2 3" xfId="17699" xr:uid="{6F914E5A-C8AC-4836-90A1-E715BE23B33F}"/>
    <cellStyle name="40% - Accent3 4 5 2 3" xfId="21922" xr:uid="{9D1A0958-7F0F-41A2-AA2B-EF97A7F743D9}"/>
    <cellStyle name="40% - Accent3 4 5 2 4" xfId="13482" xr:uid="{3D5BE597-14FC-4F82-94CC-1068A33B130B}"/>
    <cellStyle name="40% - Accent3 4 5 3" xfId="6228" xr:uid="{00000000-0005-0000-0000-00008A050000}"/>
    <cellStyle name="40% - Accent3 4 5 3 2" xfId="23994" xr:uid="{5D4095F0-513F-4818-9BB3-085BC7484ADB}"/>
    <cellStyle name="40% - Accent3 4 5 3 3" xfId="15554" xr:uid="{CDD36068-D512-4A58-AF07-BC9550C087D5}"/>
    <cellStyle name="40% - Accent3 4 5 4" xfId="19777" xr:uid="{38B0D00F-2D3F-49B6-B6E4-6164D9A4140C}"/>
    <cellStyle name="40% - Accent3 4 5 5" xfId="11337" xr:uid="{CA2AD543-4512-4E03-AFEE-A5003F4AAA44}"/>
    <cellStyle name="40% - Accent3 4 6" xfId="2335" xr:uid="{00000000-0005-0000-0000-00008B050000}"/>
    <cellStyle name="40% - Accent3 4 6 2" xfId="6641" xr:uid="{00000000-0005-0000-0000-00008C050000}"/>
    <cellStyle name="40% - Accent3 4 6 2 2" xfId="24407" xr:uid="{3ECDA205-5A83-4AF9-B91C-1FF4A226C553}"/>
    <cellStyle name="40% - Accent3 4 6 2 3" xfId="15967" xr:uid="{EA53BE1E-E39E-4F9D-9517-8BA0545EE3D4}"/>
    <cellStyle name="40% - Accent3 4 6 3" xfId="20190" xr:uid="{338F93D5-F13F-45DB-95C3-2B289981A19C}"/>
    <cellStyle name="40% - Accent3 4 6 4" xfId="11750" xr:uid="{D136E25A-9D6A-485D-AA31-865D31D54991}"/>
    <cellStyle name="40% - Accent3 4 7" xfId="4575" xr:uid="{00000000-0005-0000-0000-00008D050000}"/>
    <cellStyle name="40% - Accent3 4 7 2" xfId="22341" xr:uid="{DCA50581-23DB-4EB4-8E5D-86CDC31C5ED5}"/>
    <cellStyle name="40% - Accent3 4 7 3" xfId="13901" xr:uid="{3D82FF32-EE80-4F99-858B-E1B3AE2A3C03}"/>
    <cellStyle name="40% - Accent3 4 8" xfId="8952" xr:uid="{74BF8F1E-4A34-4787-9BA1-0B97E446635F}"/>
    <cellStyle name="40% - Accent3 4 8 2" xfId="18124" xr:uid="{926EBF16-F71D-4523-9A1E-7827AB9FDE97}"/>
    <cellStyle name="40% - Accent3 4 9" xfId="9684" xr:uid="{681FF1D1-E3A7-4613-B34A-347BFAE76421}"/>
    <cellStyle name="40% - Accent3 5" xfId="634" xr:uid="{00000000-0005-0000-0000-00008E050000}"/>
    <cellStyle name="40% - Accent3 5 2" xfId="2905" xr:uid="{00000000-0005-0000-0000-00008F050000}"/>
    <cellStyle name="40% - Accent3 5 2 2" xfId="7127" xr:uid="{00000000-0005-0000-0000-000090050000}"/>
    <cellStyle name="40% - Accent3 5 2 2 2" xfId="24893" xr:uid="{EA848062-9DC6-4730-8CAD-BBB378920B84}"/>
    <cellStyle name="40% - Accent3 5 2 2 3" xfId="16453" xr:uid="{34446A55-B3F7-4AE6-8D8D-2642DA027A50}"/>
    <cellStyle name="40% - Accent3 5 2 3" xfId="20676" xr:uid="{449A46DD-48F8-4381-AA94-EBA5EC338820}"/>
    <cellStyle name="40% - Accent3 5 2 4" xfId="12236" xr:uid="{16013435-E88F-4A96-9BD7-C6507D0980CC}"/>
    <cellStyle name="40% - Accent3 5 3" xfId="4982" xr:uid="{00000000-0005-0000-0000-000091050000}"/>
    <cellStyle name="40% - Accent3 5 3 2" xfId="22748" xr:uid="{646263B1-36E5-4005-A017-064608900B44}"/>
    <cellStyle name="40% - Accent3 5 3 3" xfId="14308" xr:uid="{D79793F9-282F-4916-9483-6E6B3039151C}"/>
    <cellStyle name="40% - Accent3 5 4" xfId="9185" xr:uid="{526F025D-EBF7-4976-9E38-4C0631A2843B}"/>
    <cellStyle name="40% - Accent3 5 4 2" xfId="18531" xr:uid="{86A55123-7E14-428D-9A0C-9B8C6A96A715}"/>
    <cellStyle name="40% - Accent3 5 5" xfId="10091" xr:uid="{BD4733BA-00E8-42AF-8BE8-A41B2C010A0C}"/>
    <cellStyle name="40% - Accent3 6" xfId="1087" xr:uid="{00000000-0005-0000-0000-000092050000}"/>
    <cellStyle name="40% - Accent3 6 2" xfId="3318" xr:uid="{00000000-0005-0000-0000-000093050000}"/>
    <cellStyle name="40% - Accent3 6 2 2" xfId="7540" xr:uid="{00000000-0005-0000-0000-000094050000}"/>
    <cellStyle name="40% - Accent3 6 2 2 2" xfId="25306" xr:uid="{25200D17-BAED-4221-989E-C15C58BA275C}"/>
    <cellStyle name="40% - Accent3 6 2 2 3" xfId="16866" xr:uid="{98F6857A-B996-4F3F-9447-FB7E9C6ED6FB}"/>
    <cellStyle name="40% - Accent3 6 2 3" xfId="21089" xr:uid="{3FDBE6BE-DCE2-4DD7-9F8B-A564B1D9A50B}"/>
    <cellStyle name="40% - Accent3 6 2 4" xfId="12649" xr:uid="{8E6F5F15-DC1C-469A-A0AC-1ED47E1250C4}"/>
    <cellStyle name="40% - Accent3 6 3" xfId="5395" xr:uid="{00000000-0005-0000-0000-000095050000}"/>
    <cellStyle name="40% - Accent3 6 3 2" xfId="23161" xr:uid="{49CEB06A-2300-4C46-B732-B7766846E91F}"/>
    <cellStyle name="40% - Accent3 6 3 3" xfId="14721" xr:uid="{439A6B89-4FE0-4C45-9DFF-AF679BACA1EB}"/>
    <cellStyle name="40% - Accent3 6 4" xfId="18944" xr:uid="{191FA3FC-10E5-4F02-9AFB-996722200FA1}"/>
    <cellStyle name="40% - Accent3 6 5" xfId="10504" xr:uid="{6F7D027C-E247-4695-B044-939945FFBD48}"/>
    <cellStyle name="40% - Accent3 7" xfId="1501" xr:uid="{00000000-0005-0000-0000-000096050000}"/>
    <cellStyle name="40% - Accent3 7 2" xfId="3731" xr:uid="{00000000-0005-0000-0000-000097050000}"/>
    <cellStyle name="40% - Accent3 7 2 2" xfId="7953" xr:uid="{00000000-0005-0000-0000-000098050000}"/>
    <cellStyle name="40% - Accent3 7 2 2 2" xfId="25719" xr:uid="{ED897874-F6AA-4EF3-A7EF-B4606075CF94}"/>
    <cellStyle name="40% - Accent3 7 2 2 3" xfId="17279" xr:uid="{40B8D71A-E764-436C-A455-3D7B553026B9}"/>
    <cellStyle name="40% - Accent3 7 2 3" xfId="21502" xr:uid="{EFDCDEC6-C5E8-4B53-ACC7-2307897A1A69}"/>
    <cellStyle name="40% - Accent3 7 2 4" xfId="13062" xr:uid="{59859B26-AB0E-4D23-9981-9CE9DA99FEDD}"/>
    <cellStyle name="40% - Accent3 7 3" xfId="5808" xr:uid="{00000000-0005-0000-0000-000099050000}"/>
    <cellStyle name="40% - Accent3 7 3 2" xfId="23574" xr:uid="{9531406C-C41E-4A40-A94C-CCE2B8434C51}"/>
    <cellStyle name="40% - Accent3 7 3 3" xfId="15134" xr:uid="{0404B043-60DF-4378-8A15-ED5E57432923}"/>
    <cellStyle name="40% - Accent3 7 4" xfId="19357" xr:uid="{14E859EF-7D09-456A-BCEF-25002BEE8651}"/>
    <cellStyle name="40% - Accent3 7 5" xfId="10917" xr:uid="{6A4F5940-153E-4E18-8C8D-AA18382E6C94}"/>
    <cellStyle name="40% - Accent3 8" xfId="1915" xr:uid="{00000000-0005-0000-0000-00009A050000}"/>
    <cellStyle name="40% - Accent3 8 2" xfId="4144" xr:uid="{00000000-0005-0000-0000-00009B050000}"/>
    <cellStyle name="40% - Accent3 8 2 2" xfId="8366" xr:uid="{00000000-0005-0000-0000-00009C050000}"/>
    <cellStyle name="40% - Accent3 8 2 2 2" xfId="26132" xr:uid="{BE56D6C6-7475-40D0-8213-845A750CEFEB}"/>
    <cellStyle name="40% - Accent3 8 2 2 3" xfId="17692" xr:uid="{CB9775A1-CB2F-49DD-B9A0-930A5843F721}"/>
    <cellStyle name="40% - Accent3 8 2 3" xfId="21915" xr:uid="{FBAA5E34-3EE7-4558-89A9-C7FA6D809041}"/>
    <cellStyle name="40% - Accent3 8 2 4" xfId="13475" xr:uid="{AA820065-B298-4563-973F-9518332B65C4}"/>
    <cellStyle name="40% - Accent3 8 3" xfId="6221" xr:uid="{00000000-0005-0000-0000-00009D050000}"/>
    <cellStyle name="40% - Accent3 8 3 2" xfId="23987" xr:uid="{35F943C0-A52B-40D8-82A3-DF0F84A6F554}"/>
    <cellStyle name="40% - Accent3 8 3 3" xfId="15547" xr:uid="{3CAD1B90-726C-46F0-AC75-9145AD0384A6}"/>
    <cellStyle name="40% - Accent3 8 4" xfId="19770" xr:uid="{AA515971-8C87-431B-ABBF-1496964D5447}"/>
    <cellStyle name="40% - Accent3 8 5" xfId="11330" xr:uid="{41AEC7A3-83FC-4BB6-8CF5-D6BD8C1C3846}"/>
    <cellStyle name="40% - Accent3 9" xfId="2328" xr:uid="{00000000-0005-0000-0000-00009E050000}"/>
    <cellStyle name="40% - Accent3 9 2" xfId="6634" xr:uid="{00000000-0005-0000-0000-00009F050000}"/>
    <cellStyle name="40% - Accent3 9 2 2" xfId="24400" xr:uid="{53424A62-8DB0-4A24-BC2D-A4A64EE39D38}"/>
    <cellStyle name="40% - Accent3 9 2 3" xfId="15960" xr:uid="{23EEB4CD-28E1-476E-A7DE-F9D9BABA26CF}"/>
    <cellStyle name="40% - Accent3 9 3" xfId="20183" xr:uid="{6B20E0DF-09EC-4498-A14F-8852B05E71FD}"/>
    <cellStyle name="40% - Accent3 9 4" xfId="11743" xr:uid="{080C86C4-E369-4BED-ABE7-9FD257E9D0A6}"/>
    <cellStyle name="40% - Accent4" xfId="73" builtinId="43" customBuiltin="1"/>
    <cellStyle name="40% - Accent4 10" xfId="4576" xr:uid="{00000000-0005-0000-0000-0000A1050000}"/>
    <cellStyle name="40% - Accent4 10 2" xfId="22342" xr:uid="{F544C5EE-D34F-459F-B7D6-BA09A4939779}"/>
    <cellStyle name="40% - Accent4 10 3" xfId="13902" xr:uid="{6D9D2FB6-491A-4AAB-A2B2-D5780ABD5E6A}"/>
    <cellStyle name="40% - Accent4 11" xfId="8765" xr:uid="{18B6B6D6-5043-43D1-BB02-3855BF7027C3}"/>
    <cellStyle name="40% - Accent4 11 2" xfId="18125" xr:uid="{01410EEA-A1B0-489E-9D60-87106BA74E91}"/>
    <cellStyle name="40% - Accent4 12" xfId="9685" xr:uid="{4CAFE1F3-EBE5-4E2B-AC39-3BC88B262172}"/>
    <cellStyle name="40% - Accent4 2" xfId="74" xr:uid="{00000000-0005-0000-0000-0000A2050000}"/>
    <cellStyle name="40% - Accent4 2 10" xfId="8801" xr:uid="{223FCC58-A05E-4022-8080-E75A80678FA6}"/>
    <cellStyle name="40% - Accent4 2 10 2" xfId="18126" xr:uid="{58A037DE-040D-4936-B981-786268850068}"/>
    <cellStyle name="40% - Accent4 2 11" xfId="9686" xr:uid="{DE9BC789-F03F-4EA4-8A6A-905AC9602CC0}"/>
    <cellStyle name="40% - Accent4 2 2" xfId="75" xr:uid="{00000000-0005-0000-0000-0000A3050000}"/>
    <cellStyle name="40% - Accent4 2 2 10" xfId="9687" xr:uid="{6AE4A378-63AD-4451-89B7-7BA634FA6046}"/>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24904" xr:uid="{7B0F4180-B1CF-471F-86F9-DB133F19D2A0}"/>
    <cellStyle name="40% - Accent4 2 2 2 2 2 2 3" xfId="16464" xr:uid="{8496A97D-50E7-48DD-942F-FD1F10310D07}"/>
    <cellStyle name="40% - Accent4 2 2 2 2 2 3" xfId="20687" xr:uid="{DA7C696C-EB68-415D-9975-76CED71529E3}"/>
    <cellStyle name="40% - Accent4 2 2 2 2 2 4" xfId="12247" xr:uid="{4C88915E-9B95-47FA-BE68-A950C049FDBE}"/>
    <cellStyle name="40% - Accent4 2 2 2 2 3" xfId="4993" xr:uid="{00000000-0005-0000-0000-0000A8050000}"/>
    <cellStyle name="40% - Accent4 2 2 2 2 3 2" xfId="22759" xr:uid="{E1350B82-FB8A-47E8-BE64-1767253990DE}"/>
    <cellStyle name="40% - Accent4 2 2 2 2 3 3" xfId="14319" xr:uid="{5182A78E-5AF6-4913-9C83-49C1477396FA}"/>
    <cellStyle name="40% - Accent4 2 2 2 2 4" xfId="9536" xr:uid="{4351D24F-CE30-4CFD-968F-4B882F0FC9B5}"/>
    <cellStyle name="40% - Accent4 2 2 2 2 4 2" xfId="18542" xr:uid="{9786B5C4-2977-4BE0-8DC7-0352533E19B3}"/>
    <cellStyle name="40% - Accent4 2 2 2 2 5" xfId="10102" xr:uid="{BB60C886-B4E9-478D-85E2-A7D1815D4ED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25317" xr:uid="{EC86F2EF-8302-42C9-A354-595FF7EC8FD1}"/>
    <cellStyle name="40% - Accent4 2 2 2 3 2 2 3" xfId="16877" xr:uid="{826F176A-67BF-445B-8B73-A2FCAD2B06DE}"/>
    <cellStyle name="40% - Accent4 2 2 2 3 2 3" xfId="21100" xr:uid="{5317CFF5-15C3-487F-9530-BAE0FECE508C}"/>
    <cellStyle name="40% - Accent4 2 2 2 3 2 4" xfId="12660" xr:uid="{F7C3BCAF-75BE-4E4E-9672-5D8331142D6F}"/>
    <cellStyle name="40% - Accent4 2 2 2 3 3" xfId="5406" xr:uid="{00000000-0005-0000-0000-0000AC050000}"/>
    <cellStyle name="40% - Accent4 2 2 2 3 3 2" xfId="23172" xr:uid="{1006BADC-EBAF-48A3-B8C4-3CB098AF847E}"/>
    <cellStyle name="40% - Accent4 2 2 2 3 3 3" xfId="14732" xr:uid="{416D2B5B-8340-4583-AB63-B91932AE5AE1}"/>
    <cellStyle name="40% - Accent4 2 2 2 3 4" xfId="18955" xr:uid="{95CB4FFF-0A82-4399-A418-0A56EA523B6E}"/>
    <cellStyle name="40% - Accent4 2 2 2 3 5" xfId="10515" xr:uid="{A5FDDCE7-CF9F-4E4C-8F30-6DE04582641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25730" xr:uid="{5EE74073-C586-4CFF-A621-75572154657F}"/>
    <cellStyle name="40% - Accent4 2 2 2 4 2 2 3" xfId="17290" xr:uid="{0A6489FC-CF28-4D71-8A27-49F44B5018D2}"/>
    <cellStyle name="40% - Accent4 2 2 2 4 2 3" xfId="21513" xr:uid="{A8523D6C-3914-434C-9355-6744B968BA0B}"/>
    <cellStyle name="40% - Accent4 2 2 2 4 2 4" xfId="13073" xr:uid="{48D102A3-5C9A-4CB1-98E4-8C41C157C50C}"/>
    <cellStyle name="40% - Accent4 2 2 2 4 3" xfId="5819" xr:uid="{00000000-0005-0000-0000-0000B0050000}"/>
    <cellStyle name="40% - Accent4 2 2 2 4 3 2" xfId="23585" xr:uid="{7C2B61C0-5AB8-410E-97A2-6B55C3D90C40}"/>
    <cellStyle name="40% - Accent4 2 2 2 4 3 3" xfId="15145" xr:uid="{511B2E31-759A-4F2C-909F-CADCF2BC8DD1}"/>
    <cellStyle name="40% - Accent4 2 2 2 4 4" xfId="19368" xr:uid="{C5C0BFFC-33A4-4FFD-AE29-11312AC2220F}"/>
    <cellStyle name="40% - Accent4 2 2 2 4 5" xfId="10928" xr:uid="{34FE3BB2-5642-4A1F-911E-69B008FD8E91}"/>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26143" xr:uid="{B1173074-8415-4540-A686-8CCBABBD6B78}"/>
    <cellStyle name="40% - Accent4 2 2 2 5 2 2 3" xfId="17703" xr:uid="{16E29CCA-38A1-41E1-9908-D81B3D2864E4}"/>
    <cellStyle name="40% - Accent4 2 2 2 5 2 3" xfId="21926" xr:uid="{4E25CFA8-8232-4899-BC11-1B28828CCE22}"/>
    <cellStyle name="40% - Accent4 2 2 2 5 2 4" xfId="13486" xr:uid="{92FB9447-4FAB-4AC9-A75A-360927174093}"/>
    <cellStyle name="40% - Accent4 2 2 2 5 3" xfId="6232" xr:uid="{00000000-0005-0000-0000-0000B4050000}"/>
    <cellStyle name="40% - Accent4 2 2 2 5 3 2" xfId="23998" xr:uid="{1EA05FAF-0698-47F3-B8DA-53650B660C86}"/>
    <cellStyle name="40% - Accent4 2 2 2 5 3 3" xfId="15558" xr:uid="{2B2C4440-3E38-4DC6-A543-20060CBACEC0}"/>
    <cellStyle name="40% - Accent4 2 2 2 5 4" xfId="19781" xr:uid="{7CAAF532-0F78-41F2-A451-AE377D765178}"/>
    <cellStyle name="40% - Accent4 2 2 2 5 5" xfId="11341" xr:uid="{70036440-7BDC-4F9E-9283-0A33E569A854}"/>
    <cellStyle name="40% - Accent4 2 2 2 6" xfId="2339" xr:uid="{00000000-0005-0000-0000-0000B5050000}"/>
    <cellStyle name="40% - Accent4 2 2 2 6 2" xfId="6645" xr:uid="{00000000-0005-0000-0000-0000B6050000}"/>
    <cellStyle name="40% - Accent4 2 2 2 6 2 2" xfId="24411" xr:uid="{3C8CCB67-95AF-45A5-99A2-4A4F5204D3CC}"/>
    <cellStyle name="40% - Accent4 2 2 2 6 2 3" xfId="15971" xr:uid="{88267EFF-A102-4AE1-9E2D-A70C3CC2DB7B}"/>
    <cellStyle name="40% - Accent4 2 2 2 6 3" xfId="20194" xr:uid="{78CC9023-9805-4B22-A6BC-AD2B96CF6F82}"/>
    <cellStyle name="40% - Accent4 2 2 2 6 4" xfId="11754" xr:uid="{952CB1F1-B5B7-41DE-B2AC-7C16AE28A4C3}"/>
    <cellStyle name="40% - Accent4 2 2 2 7" xfId="4579" xr:uid="{00000000-0005-0000-0000-0000B7050000}"/>
    <cellStyle name="40% - Accent4 2 2 2 7 2" xfId="22345" xr:uid="{BAC76531-E2E5-4B73-84FA-B0226192FDA0}"/>
    <cellStyle name="40% - Accent4 2 2 2 7 3" xfId="13905" xr:uid="{07D44A5A-CF6F-49FE-8BB0-CBCD66713D6C}"/>
    <cellStyle name="40% - Accent4 2 2 2 8" xfId="9111" xr:uid="{1DD86F12-0D11-497C-88D9-78D90E1EF65F}"/>
    <cellStyle name="40% - Accent4 2 2 2 8 2" xfId="18128" xr:uid="{4722533E-E6E4-4513-9F0F-6386D1DE3A30}"/>
    <cellStyle name="40% - Accent4 2 2 2 9" xfId="9688" xr:uid="{C23F2CC7-F16D-432E-963C-C22A00C46102}"/>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24903" xr:uid="{BAC38665-6A7C-4340-89E0-4A279F608D92}"/>
    <cellStyle name="40% - Accent4 2 2 3 2 2 3" xfId="16463" xr:uid="{2F92FD0C-DADA-438C-86EF-C75DEA328191}"/>
    <cellStyle name="40% - Accent4 2 2 3 2 3" xfId="20686" xr:uid="{41DEF01F-020A-47E2-940A-82BCC48433C8}"/>
    <cellStyle name="40% - Accent4 2 2 3 2 4" xfId="12246" xr:uid="{E60C2916-427C-4795-8E1C-7C05F877B062}"/>
    <cellStyle name="40% - Accent4 2 2 3 3" xfId="4992" xr:uid="{00000000-0005-0000-0000-0000BB050000}"/>
    <cellStyle name="40% - Accent4 2 2 3 3 2" xfId="22758" xr:uid="{49586068-F481-486A-91F8-C420092687AA}"/>
    <cellStyle name="40% - Accent4 2 2 3 3 3" xfId="14318" xr:uid="{D5B8E100-CA96-4D9B-B709-A12D60066F55}"/>
    <cellStyle name="40% - Accent4 2 2 3 4" xfId="9329" xr:uid="{62CB3536-9FC4-4DBF-9121-AD0025D891C9}"/>
    <cellStyle name="40% - Accent4 2 2 3 4 2" xfId="18541" xr:uid="{FCE260CD-18CB-4211-96D5-B57159D8BC47}"/>
    <cellStyle name="40% - Accent4 2 2 3 5" xfId="10101" xr:uid="{2413551D-5989-4749-B3FE-3500CBB5C8A8}"/>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25316" xr:uid="{B754F763-30E7-405E-A33D-E41C91206F1E}"/>
    <cellStyle name="40% - Accent4 2 2 4 2 2 3" xfId="16876" xr:uid="{76052A0D-4E27-4060-B2FD-31C6E5CE1DD7}"/>
    <cellStyle name="40% - Accent4 2 2 4 2 3" xfId="21099" xr:uid="{58A9B332-6F99-48BD-ABC9-E87A26518673}"/>
    <cellStyle name="40% - Accent4 2 2 4 2 4" xfId="12659" xr:uid="{BE674283-1C86-4A97-8047-134C46F61DF0}"/>
    <cellStyle name="40% - Accent4 2 2 4 3" xfId="5405" xr:uid="{00000000-0005-0000-0000-0000BF050000}"/>
    <cellStyle name="40% - Accent4 2 2 4 3 2" xfId="23171" xr:uid="{C842E08A-E0CF-4294-8451-12527B0AA73B}"/>
    <cellStyle name="40% - Accent4 2 2 4 3 3" xfId="14731" xr:uid="{1334A487-7C4C-485F-9604-020C7AAC5FBC}"/>
    <cellStyle name="40% - Accent4 2 2 4 4" xfId="18954" xr:uid="{FF839B3E-8F8D-4AB6-BE68-6371414089DA}"/>
    <cellStyle name="40% - Accent4 2 2 4 5" xfId="10514" xr:uid="{7CEE7B54-A398-40A2-BAED-093EF43B6697}"/>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25729" xr:uid="{8871590C-1788-48BF-B458-596A515169CD}"/>
    <cellStyle name="40% - Accent4 2 2 5 2 2 3" xfId="17289" xr:uid="{5F1B8DE8-C6D7-43D8-9B4C-C8F29BD559BB}"/>
    <cellStyle name="40% - Accent4 2 2 5 2 3" xfId="21512" xr:uid="{884A1ACD-9A34-4B23-993C-4776380E91AA}"/>
    <cellStyle name="40% - Accent4 2 2 5 2 4" xfId="13072" xr:uid="{05413CB8-FF6A-401C-B6D1-FCCD49502FBB}"/>
    <cellStyle name="40% - Accent4 2 2 5 3" xfId="5818" xr:uid="{00000000-0005-0000-0000-0000C3050000}"/>
    <cellStyle name="40% - Accent4 2 2 5 3 2" xfId="23584" xr:uid="{8D6EB06C-DA98-4E51-9D21-C4ABAFAA57BB}"/>
    <cellStyle name="40% - Accent4 2 2 5 3 3" xfId="15144" xr:uid="{C48C85AB-2CC7-405A-BA38-282C30068D82}"/>
    <cellStyle name="40% - Accent4 2 2 5 4" xfId="19367" xr:uid="{E1A78D24-224E-4EF4-AC09-25AEE8FEB0EE}"/>
    <cellStyle name="40% - Accent4 2 2 5 5" xfId="10927" xr:uid="{26185EEE-0A3E-4EF7-A31E-6A208248F3E8}"/>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26142" xr:uid="{04EB513B-D200-40D4-83BF-16B67338A773}"/>
    <cellStyle name="40% - Accent4 2 2 6 2 2 3" xfId="17702" xr:uid="{00579E07-A8BE-4234-AC05-302A3DC7EF9C}"/>
    <cellStyle name="40% - Accent4 2 2 6 2 3" xfId="21925" xr:uid="{E1F46B51-41F3-4C12-9697-C4AACEDA4FD5}"/>
    <cellStyle name="40% - Accent4 2 2 6 2 4" xfId="13485" xr:uid="{35E3205D-9EEA-4784-B8B9-E43CAB589084}"/>
    <cellStyle name="40% - Accent4 2 2 6 3" xfId="6231" xr:uid="{00000000-0005-0000-0000-0000C7050000}"/>
    <cellStyle name="40% - Accent4 2 2 6 3 2" xfId="23997" xr:uid="{535B46D9-45C8-4656-BC78-02E81485D3C4}"/>
    <cellStyle name="40% - Accent4 2 2 6 3 3" xfId="15557" xr:uid="{898653FA-7078-447A-BB91-E31367295B9E}"/>
    <cellStyle name="40% - Accent4 2 2 6 4" xfId="19780" xr:uid="{4688E972-6443-485E-AE7F-8CE06A85A6FF}"/>
    <cellStyle name="40% - Accent4 2 2 6 5" xfId="11340" xr:uid="{11018E2A-27A0-4DF5-8F30-8B8D54E2C4AC}"/>
    <cellStyle name="40% - Accent4 2 2 7" xfId="2338" xr:uid="{00000000-0005-0000-0000-0000C8050000}"/>
    <cellStyle name="40% - Accent4 2 2 7 2" xfId="6644" xr:uid="{00000000-0005-0000-0000-0000C9050000}"/>
    <cellStyle name="40% - Accent4 2 2 7 2 2" xfId="24410" xr:uid="{BD8145C0-DF75-46DF-8347-C255F56076C0}"/>
    <cellStyle name="40% - Accent4 2 2 7 2 3" xfId="15970" xr:uid="{E8E38B49-B2CB-4FDD-9274-D9B15D67349E}"/>
    <cellStyle name="40% - Accent4 2 2 7 3" xfId="20193" xr:uid="{3290D2D7-BF66-41DB-895D-019A5E1FC9BD}"/>
    <cellStyle name="40% - Accent4 2 2 7 4" xfId="11753" xr:uid="{2D8CC194-9D05-4872-880C-28F92C5D042C}"/>
    <cellStyle name="40% - Accent4 2 2 8" xfId="4578" xr:uid="{00000000-0005-0000-0000-0000CA050000}"/>
    <cellStyle name="40% - Accent4 2 2 8 2" xfId="22344" xr:uid="{7EF07703-8975-4A18-9880-6C1630496672}"/>
    <cellStyle name="40% - Accent4 2 2 8 3" xfId="13904" xr:uid="{FB56DD7F-3460-415F-8F67-9BC6F0AA0695}"/>
    <cellStyle name="40% - Accent4 2 2 9" xfId="8904" xr:uid="{64C959C5-2FAF-462D-88B6-14B59CDC763B}"/>
    <cellStyle name="40% - Accent4 2 2 9 2" xfId="18127" xr:uid="{35750F78-3625-40CA-A5E7-2410AF11824E}"/>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24905" xr:uid="{6DACAB07-26CD-4BF0-A385-0DC9FA22E20A}"/>
    <cellStyle name="40% - Accent4 2 3 2 2 2 3" xfId="16465" xr:uid="{8532AF65-7D19-4A68-9937-D516EF65D26F}"/>
    <cellStyle name="40% - Accent4 2 3 2 2 3" xfId="20688" xr:uid="{680097CD-88C0-4CCC-B8EB-024BBBBABC4D}"/>
    <cellStyle name="40% - Accent4 2 3 2 2 4" xfId="12248" xr:uid="{59C2AD57-1A3E-498D-9043-E2CDF2C1F28F}"/>
    <cellStyle name="40% - Accent4 2 3 2 3" xfId="4994" xr:uid="{00000000-0005-0000-0000-0000CF050000}"/>
    <cellStyle name="40% - Accent4 2 3 2 3 2" xfId="22760" xr:uid="{34381B2D-71BA-49C8-A0CD-EA539ECD9149}"/>
    <cellStyle name="40% - Accent4 2 3 2 3 3" xfId="14320" xr:uid="{2A803CA6-4F8D-40CC-AB4F-AA621F6198ED}"/>
    <cellStyle name="40% - Accent4 2 3 2 4" xfId="9433" xr:uid="{058786D1-7E7D-40D9-9218-B4C7219F4E53}"/>
    <cellStyle name="40% - Accent4 2 3 2 4 2" xfId="18543" xr:uid="{DEFB5C2D-65A3-41B8-A259-34F227C35D75}"/>
    <cellStyle name="40% - Accent4 2 3 2 5" xfId="10103" xr:uid="{1FD753F3-D523-49E8-919C-62F47E49387D}"/>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25318" xr:uid="{29001421-5F89-46E4-B3EF-7C49DAE74B2A}"/>
    <cellStyle name="40% - Accent4 2 3 3 2 2 3" xfId="16878" xr:uid="{DF21D442-5133-45C8-BDC0-1DA0880A7CE3}"/>
    <cellStyle name="40% - Accent4 2 3 3 2 3" xfId="21101" xr:uid="{AF5EDB7C-9FA4-4357-8E11-DF5D611E9324}"/>
    <cellStyle name="40% - Accent4 2 3 3 2 4" xfId="12661" xr:uid="{B369F6F6-549B-42D5-A850-D723B63CF86F}"/>
    <cellStyle name="40% - Accent4 2 3 3 3" xfId="5407" xr:uid="{00000000-0005-0000-0000-0000D3050000}"/>
    <cellStyle name="40% - Accent4 2 3 3 3 2" xfId="23173" xr:uid="{7B5FBBA0-1803-4740-A2F7-C5D1E6256A59}"/>
    <cellStyle name="40% - Accent4 2 3 3 3 3" xfId="14733" xr:uid="{11E1DC13-E807-4167-86E6-9B79BB4ACCB8}"/>
    <cellStyle name="40% - Accent4 2 3 3 4" xfId="18956" xr:uid="{34ADDB47-A508-41AD-B023-C4F75BD4CD59}"/>
    <cellStyle name="40% - Accent4 2 3 3 5" xfId="10516" xr:uid="{38091F93-66E1-476F-B64E-F7364E121274}"/>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25731" xr:uid="{D7700623-2FFF-4DDD-9C48-D0107DA47A77}"/>
    <cellStyle name="40% - Accent4 2 3 4 2 2 3" xfId="17291" xr:uid="{FB970C5E-E72E-4F80-9BB7-88FE3197AEE4}"/>
    <cellStyle name="40% - Accent4 2 3 4 2 3" xfId="21514" xr:uid="{00EA6BD8-0723-4E10-BBC7-2006C56C6D82}"/>
    <cellStyle name="40% - Accent4 2 3 4 2 4" xfId="13074" xr:uid="{A445E317-5619-4C04-A930-761CD1713AF9}"/>
    <cellStyle name="40% - Accent4 2 3 4 3" xfId="5820" xr:uid="{00000000-0005-0000-0000-0000D7050000}"/>
    <cellStyle name="40% - Accent4 2 3 4 3 2" xfId="23586" xr:uid="{978360E7-5AC4-4C34-BE27-04D7DB941299}"/>
    <cellStyle name="40% - Accent4 2 3 4 3 3" xfId="15146" xr:uid="{14F53CB2-5832-4307-814D-76A530152618}"/>
    <cellStyle name="40% - Accent4 2 3 4 4" xfId="19369" xr:uid="{49C58196-22C4-4436-A685-8849E2BCA1B6}"/>
    <cellStyle name="40% - Accent4 2 3 4 5" xfId="10929" xr:uid="{A5E2475E-14A1-4F49-96D5-0DB9FA62710E}"/>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26144" xr:uid="{7A605DBF-7C8A-49CF-A3BB-FFB20D6394BF}"/>
    <cellStyle name="40% - Accent4 2 3 5 2 2 3" xfId="17704" xr:uid="{2921D9BA-AE46-4A04-81B6-F0A4B7FA2012}"/>
    <cellStyle name="40% - Accent4 2 3 5 2 3" xfId="21927" xr:uid="{FB5E7BBC-375F-467B-AE52-921CB48CA121}"/>
    <cellStyle name="40% - Accent4 2 3 5 2 4" xfId="13487" xr:uid="{F9546543-7EA1-43A8-AB70-5082EF161070}"/>
    <cellStyle name="40% - Accent4 2 3 5 3" xfId="6233" xr:uid="{00000000-0005-0000-0000-0000DB050000}"/>
    <cellStyle name="40% - Accent4 2 3 5 3 2" xfId="23999" xr:uid="{37058B22-B6DB-4119-ADEA-09D5191FB875}"/>
    <cellStyle name="40% - Accent4 2 3 5 3 3" xfId="15559" xr:uid="{3BDAEA76-B121-43BA-9829-1A79BBEE9546}"/>
    <cellStyle name="40% - Accent4 2 3 5 4" xfId="19782" xr:uid="{3C3E949F-E427-4B6E-9684-54CB8B6A3819}"/>
    <cellStyle name="40% - Accent4 2 3 5 5" xfId="11342" xr:uid="{92A97B56-C17C-4869-8B0F-790A24953F17}"/>
    <cellStyle name="40% - Accent4 2 3 6" xfId="2340" xr:uid="{00000000-0005-0000-0000-0000DC050000}"/>
    <cellStyle name="40% - Accent4 2 3 6 2" xfId="6646" xr:uid="{00000000-0005-0000-0000-0000DD050000}"/>
    <cellStyle name="40% - Accent4 2 3 6 2 2" xfId="24412" xr:uid="{2E0FC3AF-1843-45AD-923D-85BD9AD4D951}"/>
    <cellStyle name="40% - Accent4 2 3 6 2 3" xfId="15972" xr:uid="{529CD924-EDA4-4975-ACF7-4CF6419E2060}"/>
    <cellStyle name="40% - Accent4 2 3 6 3" xfId="20195" xr:uid="{3798DC0C-AE99-4922-A541-81BD81EC5D13}"/>
    <cellStyle name="40% - Accent4 2 3 6 4" xfId="11755" xr:uid="{AE4F7635-B164-46BC-93CA-3AD103097FD7}"/>
    <cellStyle name="40% - Accent4 2 3 7" xfId="4580" xr:uid="{00000000-0005-0000-0000-0000DE050000}"/>
    <cellStyle name="40% - Accent4 2 3 7 2" xfId="22346" xr:uid="{126658FC-80F1-4FFB-820B-3BFD162FB739}"/>
    <cellStyle name="40% - Accent4 2 3 7 3" xfId="13906" xr:uid="{CE14E106-B5C7-4014-97E9-B4138E24723D}"/>
    <cellStyle name="40% - Accent4 2 3 8" xfId="9008" xr:uid="{270F4CAB-C86F-4D9D-804F-69497913908B}"/>
    <cellStyle name="40% - Accent4 2 3 8 2" xfId="18129" xr:uid="{61ECB7AC-C86F-4C2E-89DC-B1545D931591}"/>
    <cellStyle name="40% - Accent4 2 3 9" xfId="9689" xr:uid="{AAA234BB-747D-4DD5-9C1B-CDBA255F535A}"/>
    <cellStyle name="40% - Accent4 2 4" xfId="643" xr:uid="{00000000-0005-0000-0000-0000DF050000}"/>
    <cellStyle name="40% - Accent4 2 4 2" xfId="2914" xr:uid="{00000000-0005-0000-0000-0000E0050000}"/>
    <cellStyle name="40% - Accent4 2 4 2 2" xfId="7136" xr:uid="{00000000-0005-0000-0000-0000E1050000}"/>
    <cellStyle name="40% - Accent4 2 4 2 2 2" xfId="24902" xr:uid="{36C39474-EBB7-445C-BD11-6CDDFD8D982E}"/>
    <cellStyle name="40% - Accent4 2 4 2 2 3" xfId="16462" xr:uid="{9F01DB50-E6E4-4CA7-8081-2FC8996556F1}"/>
    <cellStyle name="40% - Accent4 2 4 2 3" xfId="20685" xr:uid="{A8F81A88-0DB0-47BA-9F1D-7F2398EC2280}"/>
    <cellStyle name="40% - Accent4 2 4 2 4" xfId="12245" xr:uid="{4082DAAB-FF2B-4247-89C5-3E84717D89F7}"/>
    <cellStyle name="40% - Accent4 2 4 3" xfId="4991" xr:uid="{00000000-0005-0000-0000-0000E2050000}"/>
    <cellStyle name="40% - Accent4 2 4 3 2" xfId="22757" xr:uid="{4E562C11-5DAB-42F8-B2D2-DA8C66FDD91E}"/>
    <cellStyle name="40% - Accent4 2 4 3 3" xfId="14317" xr:uid="{2409EDA8-14DF-47B2-8D84-CECA6203F4D5}"/>
    <cellStyle name="40% - Accent4 2 4 4" xfId="9225" xr:uid="{40EEB981-54C4-40E4-A2F9-BCD479248D23}"/>
    <cellStyle name="40% - Accent4 2 4 4 2" xfId="18540" xr:uid="{E07CF9A8-ABBA-4362-9111-46786A9277DA}"/>
    <cellStyle name="40% - Accent4 2 4 5" xfId="10100" xr:uid="{93488A4F-B884-449F-AC5B-EBCE65C8FCFF}"/>
    <cellStyle name="40% - Accent4 2 5" xfId="1096" xr:uid="{00000000-0005-0000-0000-0000E3050000}"/>
    <cellStyle name="40% - Accent4 2 5 2" xfId="3327" xr:uid="{00000000-0005-0000-0000-0000E4050000}"/>
    <cellStyle name="40% - Accent4 2 5 2 2" xfId="7549" xr:uid="{00000000-0005-0000-0000-0000E5050000}"/>
    <cellStyle name="40% - Accent4 2 5 2 2 2" xfId="25315" xr:uid="{59CF7301-C245-4066-A726-DF366F8F9C55}"/>
    <cellStyle name="40% - Accent4 2 5 2 2 3" xfId="16875" xr:uid="{A1715C6D-D981-4B88-AAB4-1B39F4ED99CD}"/>
    <cellStyle name="40% - Accent4 2 5 2 3" xfId="21098" xr:uid="{6247C85A-315F-4FD0-91AF-B4B898A2CC3B}"/>
    <cellStyle name="40% - Accent4 2 5 2 4" xfId="12658" xr:uid="{B66CE3C2-7284-41AF-AD61-D5CBC88BCE0A}"/>
    <cellStyle name="40% - Accent4 2 5 3" xfId="5404" xr:uid="{00000000-0005-0000-0000-0000E6050000}"/>
    <cellStyle name="40% - Accent4 2 5 3 2" xfId="23170" xr:uid="{62D87D28-1876-460A-8FE0-ED8E79E97D38}"/>
    <cellStyle name="40% - Accent4 2 5 3 3" xfId="14730" xr:uid="{14B7990C-DC8D-429B-A5CF-449C85D60DE8}"/>
    <cellStyle name="40% - Accent4 2 5 4" xfId="18953" xr:uid="{92F0DA2C-A12A-4EBA-A8ED-DEFF2E88813D}"/>
    <cellStyle name="40% - Accent4 2 5 5" xfId="10513" xr:uid="{E1837020-B8D2-432E-BC3E-88267B6E2E01}"/>
    <cellStyle name="40% - Accent4 2 6" xfId="1510" xr:uid="{00000000-0005-0000-0000-0000E7050000}"/>
    <cellStyle name="40% - Accent4 2 6 2" xfId="3740" xr:uid="{00000000-0005-0000-0000-0000E8050000}"/>
    <cellStyle name="40% - Accent4 2 6 2 2" xfId="7962" xr:uid="{00000000-0005-0000-0000-0000E9050000}"/>
    <cellStyle name="40% - Accent4 2 6 2 2 2" xfId="25728" xr:uid="{EBEE7C31-ABC0-4909-91BE-FDBF932AADF6}"/>
    <cellStyle name="40% - Accent4 2 6 2 2 3" xfId="17288" xr:uid="{1C9C947B-4C3F-4EF6-8E81-04BC4872F0F4}"/>
    <cellStyle name="40% - Accent4 2 6 2 3" xfId="21511" xr:uid="{7347F938-831D-44E3-8F41-0C7A67B1EE60}"/>
    <cellStyle name="40% - Accent4 2 6 2 4" xfId="13071" xr:uid="{45B1F11F-EAA5-4AFC-BB70-EE9EBA825960}"/>
    <cellStyle name="40% - Accent4 2 6 3" xfId="5817" xr:uid="{00000000-0005-0000-0000-0000EA050000}"/>
    <cellStyle name="40% - Accent4 2 6 3 2" xfId="23583" xr:uid="{E27DA757-58A0-4206-AEFB-E527A5CDE106}"/>
    <cellStyle name="40% - Accent4 2 6 3 3" xfId="15143" xr:uid="{32C10813-85E5-47F7-9622-5351DCAF6E91}"/>
    <cellStyle name="40% - Accent4 2 6 4" xfId="19366" xr:uid="{768824B7-9585-403F-B6B4-2A490030393B}"/>
    <cellStyle name="40% - Accent4 2 6 5" xfId="10926" xr:uid="{D1567314-C387-4576-84CA-FA5DE7670679}"/>
    <cellStyle name="40% - Accent4 2 7" xfId="1924" xr:uid="{00000000-0005-0000-0000-0000EB050000}"/>
    <cellStyle name="40% - Accent4 2 7 2" xfId="4153" xr:uid="{00000000-0005-0000-0000-0000EC050000}"/>
    <cellStyle name="40% - Accent4 2 7 2 2" xfId="8375" xr:uid="{00000000-0005-0000-0000-0000ED050000}"/>
    <cellStyle name="40% - Accent4 2 7 2 2 2" xfId="26141" xr:uid="{E61BF00B-1260-4B6C-AB4A-D380C8AED9D0}"/>
    <cellStyle name="40% - Accent4 2 7 2 2 3" xfId="17701" xr:uid="{53FD0BC0-499F-4407-BEAB-E8389B56AF4B}"/>
    <cellStyle name="40% - Accent4 2 7 2 3" xfId="21924" xr:uid="{FE76C526-ADAD-4267-890D-370D9A958E58}"/>
    <cellStyle name="40% - Accent4 2 7 2 4" xfId="13484" xr:uid="{676E226B-788C-49A6-A4AC-EA78E6FEF25D}"/>
    <cellStyle name="40% - Accent4 2 7 3" xfId="6230" xr:uid="{00000000-0005-0000-0000-0000EE050000}"/>
    <cellStyle name="40% - Accent4 2 7 3 2" xfId="23996" xr:uid="{C2537C12-05B7-461F-983C-7BB6D38F9A77}"/>
    <cellStyle name="40% - Accent4 2 7 3 3" xfId="15556" xr:uid="{E6CF9F6F-21D7-4A36-9AFE-47EDC35707E4}"/>
    <cellStyle name="40% - Accent4 2 7 4" xfId="19779" xr:uid="{07AA1AA5-3CDC-49E3-ADA1-0436E3B1115D}"/>
    <cellStyle name="40% - Accent4 2 7 5" xfId="11339" xr:uid="{A3882DBF-6871-450D-AB51-3F3F469729D4}"/>
    <cellStyle name="40% - Accent4 2 8" xfId="2337" xr:uid="{00000000-0005-0000-0000-0000EF050000}"/>
    <cellStyle name="40% - Accent4 2 8 2" xfId="6643" xr:uid="{00000000-0005-0000-0000-0000F0050000}"/>
    <cellStyle name="40% - Accent4 2 8 2 2" xfId="24409" xr:uid="{A8D24EF0-0F69-4908-A3E9-46CE42E36878}"/>
    <cellStyle name="40% - Accent4 2 8 2 3" xfId="15969" xr:uid="{CE431F88-A144-45CA-9279-F429FA5574F2}"/>
    <cellStyle name="40% - Accent4 2 8 3" xfId="20192" xr:uid="{C6573139-D2B1-4931-8192-583D018061C5}"/>
    <cellStyle name="40% - Accent4 2 8 4" xfId="11752" xr:uid="{0D8D9FC2-08E0-4314-9428-764E323A0835}"/>
    <cellStyle name="40% - Accent4 2 9" xfId="4577" xr:uid="{00000000-0005-0000-0000-0000F1050000}"/>
    <cellStyle name="40% - Accent4 2 9 2" xfId="22343" xr:uid="{42D7B364-FE7C-4AF8-BB79-561BF974ACB5}"/>
    <cellStyle name="40% - Accent4 2 9 3" xfId="13903" xr:uid="{4263D31C-CFBE-4C44-804A-EA480F1DC1E5}"/>
    <cellStyle name="40% - Accent4 3" xfId="78" xr:uid="{00000000-0005-0000-0000-0000F2050000}"/>
    <cellStyle name="40% - Accent4 3 10" xfId="9690" xr:uid="{62CD1F8F-6EF1-46A8-8B37-4868DF7BA219}"/>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24907" xr:uid="{F18BD47E-689A-4AD8-96F9-C1B10E662EC4}"/>
    <cellStyle name="40% - Accent4 3 2 2 2 2 3" xfId="16467" xr:uid="{AEEF71DE-5200-4987-8D46-C55320FC1910}"/>
    <cellStyle name="40% - Accent4 3 2 2 2 3" xfId="20690" xr:uid="{1F494E1A-B0A6-41D9-AB6B-04A14EA43B3A}"/>
    <cellStyle name="40% - Accent4 3 2 2 2 4" xfId="12250" xr:uid="{EF735BAE-C979-4D04-9573-630949D3DD52}"/>
    <cellStyle name="40% - Accent4 3 2 2 3" xfId="4996" xr:uid="{00000000-0005-0000-0000-0000F7050000}"/>
    <cellStyle name="40% - Accent4 3 2 2 3 2" xfId="22762" xr:uid="{5AF7F3E5-2D2D-47B1-BC86-9085BCAB85F6}"/>
    <cellStyle name="40% - Accent4 3 2 2 3 3" xfId="14322" xr:uid="{8A8539C0-FD3E-4D19-A39B-A6A08482EFE3}"/>
    <cellStyle name="40% - Accent4 3 2 2 4" xfId="9500" xr:uid="{EAAAC99F-A3A1-40FB-B78D-6862EF121B7A}"/>
    <cellStyle name="40% - Accent4 3 2 2 4 2" xfId="18545" xr:uid="{65703B47-A964-4E1A-8320-C1C96C32E157}"/>
    <cellStyle name="40% - Accent4 3 2 2 5" xfId="10105" xr:uid="{7A24D9C0-3620-40EE-BE2D-6ABA41FA38CC}"/>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25320" xr:uid="{823817BC-4DD4-43D9-8CF9-034C14CB87FC}"/>
    <cellStyle name="40% - Accent4 3 2 3 2 2 3" xfId="16880" xr:uid="{3BDF9191-0DFB-42B4-923F-9AD807A2F3A8}"/>
    <cellStyle name="40% - Accent4 3 2 3 2 3" xfId="21103" xr:uid="{2F6C0E03-F70C-42B5-BE76-EBFCBF3D382F}"/>
    <cellStyle name="40% - Accent4 3 2 3 2 4" xfId="12663" xr:uid="{A0E66D57-D6CD-4933-8F67-E9F0A49B3C13}"/>
    <cellStyle name="40% - Accent4 3 2 3 3" xfId="5409" xr:uid="{00000000-0005-0000-0000-0000FB050000}"/>
    <cellStyle name="40% - Accent4 3 2 3 3 2" xfId="23175" xr:uid="{4F1CD7D2-37AC-4187-BBFD-EDC12AC0A1E2}"/>
    <cellStyle name="40% - Accent4 3 2 3 3 3" xfId="14735" xr:uid="{AA234639-2F2A-412E-B4A0-1D99C0920264}"/>
    <cellStyle name="40% - Accent4 3 2 3 4" xfId="18958" xr:uid="{26D8DECE-C7FC-493F-AF3D-DD8200A40CFC}"/>
    <cellStyle name="40% - Accent4 3 2 3 5" xfId="10518" xr:uid="{30F67FB5-73C6-43FD-9115-138B1C134920}"/>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25733" xr:uid="{50BA07E7-B981-4B35-8FCA-041DDC6D1228}"/>
    <cellStyle name="40% - Accent4 3 2 4 2 2 3" xfId="17293" xr:uid="{27A3AA64-E759-43CE-BD6A-A0B7CDA03BE2}"/>
    <cellStyle name="40% - Accent4 3 2 4 2 3" xfId="21516" xr:uid="{47F6FA92-4AD1-4677-89C4-F1FD30EA78CC}"/>
    <cellStyle name="40% - Accent4 3 2 4 2 4" xfId="13076" xr:uid="{01323D70-4812-4899-882B-C99859671ADC}"/>
    <cellStyle name="40% - Accent4 3 2 4 3" xfId="5822" xr:uid="{00000000-0005-0000-0000-0000FF050000}"/>
    <cellStyle name="40% - Accent4 3 2 4 3 2" xfId="23588" xr:uid="{16935452-9BB9-4CE7-8B12-5D21F4FDC94A}"/>
    <cellStyle name="40% - Accent4 3 2 4 3 3" xfId="15148" xr:uid="{5B62F60A-8905-46CE-80C2-CEC726DD404D}"/>
    <cellStyle name="40% - Accent4 3 2 4 4" xfId="19371" xr:uid="{277657F6-5C40-4217-A3D3-D74F3C9A3DB6}"/>
    <cellStyle name="40% - Accent4 3 2 4 5" xfId="10931" xr:uid="{15C137C3-9B47-4D32-848A-EB29A9952801}"/>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26146" xr:uid="{FAD39171-6410-4172-897F-9BA08DD207CB}"/>
    <cellStyle name="40% - Accent4 3 2 5 2 2 3" xfId="17706" xr:uid="{ED02832E-F8CD-4837-98A7-960326A49A08}"/>
    <cellStyle name="40% - Accent4 3 2 5 2 3" xfId="21929" xr:uid="{9B2A69FF-6AFF-4D4A-A640-CBF76DFC8027}"/>
    <cellStyle name="40% - Accent4 3 2 5 2 4" xfId="13489" xr:uid="{9B49E0F5-5248-4AEB-B8E7-F0D6446107E8}"/>
    <cellStyle name="40% - Accent4 3 2 5 3" xfId="6235" xr:uid="{00000000-0005-0000-0000-000003060000}"/>
    <cellStyle name="40% - Accent4 3 2 5 3 2" xfId="24001" xr:uid="{5A7EACCC-1F9F-4265-915E-807C0A1B06C1}"/>
    <cellStyle name="40% - Accent4 3 2 5 3 3" xfId="15561" xr:uid="{E71B2AA6-6B46-4CFB-BDA6-A9482E4457A5}"/>
    <cellStyle name="40% - Accent4 3 2 5 4" xfId="19784" xr:uid="{62862020-9A80-49FB-A1B2-48155E6E9047}"/>
    <cellStyle name="40% - Accent4 3 2 5 5" xfId="11344" xr:uid="{E60C7150-3A35-46FB-B163-CE744D90E88C}"/>
    <cellStyle name="40% - Accent4 3 2 6" xfId="2342" xr:uid="{00000000-0005-0000-0000-000004060000}"/>
    <cellStyle name="40% - Accent4 3 2 6 2" xfId="6648" xr:uid="{00000000-0005-0000-0000-000005060000}"/>
    <cellStyle name="40% - Accent4 3 2 6 2 2" xfId="24414" xr:uid="{2BB2FEC8-9389-4C67-8D86-170CBE489199}"/>
    <cellStyle name="40% - Accent4 3 2 6 2 3" xfId="15974" xr:uid="{D71A623D-2C99-4FBF-92BB-C352B1901DD6}"/>
    <cellStyle name="40% - Accent4 3 2 6 3" xfId="20197" xr:uid="{29570BD9-6D61-441F-8EA8-1207530EBDB9}"/>
    <cellStyle name="40% - Accent4 3 2 6 4" xfId="11757" xr:uid="{6D8DDED1-8B8C-4A3B-808A-63D8E59A0378}"/>
    <cellStyle name="40% - Accent4 3 2 7" xfId="4582" xr:uid="{00000000-0005-0000-0000-000006060000}"/>
    <cellStyle name="40% - Accent4 3 2 7 2" xfId="22348" xr:uid="{1A799AE8-482A-4775-9043-8E0B13B5DB69}"/>
    <cellStyle name="40% - Accent4 3 2 7 3" xfId="13908" xr:uid="{E38296C8-8E9B-48D4-8252-1551A0D19554}"/>
    <cellStyle name="40% - Accent4 3 2 8" xfId="9075" xr:uid="{6C51FF47-5618-4E1E-BC97-01FFF287A6C3}"/>
    <cellStyle name="40% - Accent4 3 2 8 2" xfId="18131" xr:uid="{9DF8A2F5-901D-4E76-B6D7-A9EDD812440E}"/>
    <cellStyle name="40% - Accent4 3 2 9" xfId="9691" xr:uid="{A84A43A7-F9B7-4FAD-B88C-12704EB340CE}"/>
    <cellStyle name="40% - Accent4 3 3" xfId="647" xr:uid="{00000000-0005-0000-0000-000007060000}"/>
    <cellStyle name="40% - Accent4 3 3 2" xfId="2918" xr:uid="{00000000-0005-0000-0000-000008060000}"/>
    <cellStyle name="40% - Accent4 3 3 2 2" xfId="7140" xr:uid="{00000000-0005-0000-0000-000009060000}"/>
    <cellStyle name="40% - Accent4 3 3 2 2 2" xfId="24906" xr:uid="{82814FC4-4359-4A09-BC59-8A4B60A2B71B}"/>
    <cellStyle name="40% - Accent4 3 3 2 2 3" xfId="16466" xr:uid="{ED07BFEB-DAA9-463C-9C30-F6DAA6C0F7D0}"/>
    <cellStyle name="40% - Accent4 3 3 2 3" xfId="20689" xr:uid="{2373778B-D321-4B9B-8089-4EAB2CE538DE}"/>
    <cellStyle name="40% - Accent4 3 3 2 4" xfId="12249" xr:uid="{B17DBEAE-9C3B-4B09-B9B8-1F512574D05E}"/>
    <cellStyle name="40% - Accent4 3 3 3" xfId="4995" xr:uid="{00000000-0005-0000-0000-00000A060000}"/>
    <cellStyle name="40% - Accent4 3 3 3 2" xfId="22761" xr:uid="{1336786E-9AD9-4BCD-A458-BCD0C6F0040B}"/>
    <cellStyle name="40% - Accent4 3 3 3 3" xfId="14321" xr:uid="{A171FA23-9D21-4AA0-836B-9C26C43BAE2F}"/>
    <cellStyle name="40% - Accent4 3 3 4" xfId="9293" xr:uid="{4A28D7F5-3617-45DC-A350-6C6596CDA765}"/>
    <cellStyle name="40% - Accent4 3 3 4 2" xfId="18544" xr:uid="{4880C5EE-6BAF-43ED-8965-81903E793994}"/>
    <cellStyle name="40% - Accent4 3 3 5" xfId="10104" xr:uid="{12ECC6D0-E945-401D-9E0D-2A8A11177CF8}"/>
    <cellStyle name="40% - Accent4 3 4" xfId="1100" xr:uid="{00000000-0005-0000-0000-00000B060000}"/>
    <cellStyle name="40% - Accent4 3 4 2" xfId="3331" xr:uid="{00000000-0005-0000-0000-00000C060000}"/>
    <cellStyle name="40% - Accent4 3 4 2 2" xfId="7553" xr:uid="{00000000-0005-0000-0000-00000D060000}"/>
    <cellStyle name="40% - Accent4 3 4 2 2 2" xfId="25319" xr:uid="{338E1532-96BE-43FB-B7AB-975A5ECB3316}"/>
    <cellStyle name="40% - Accent4 3 4 2 2 3" xfId="16879" xr:uid="{B3A9B959-0473-4E75-97DF-0A7F7850EEDE}"/>
    <cellStyle name="40% - Accent4 3 4 2 3" xfId="21102" xr:uid="{928DDF6F-CF94-469A-B723-32A7D005B675}"/>
    <cellStyle name="40% - Accent4 3 4 2 4" xfId="12662" xr:uid="{C836AA6D-305A-4DF0-8CE6-F2FBBECBF510}"/>
    <cellStyle name="40% - Accent4 3 4 3" xfId="5408" xr:uid="{00000000-0005-0000-0000-00000E060000}"/>
    <cellStyle name="40% - Accent4 3 4 3 2" xfId="23174" xr:uid="{57E9999B-9872-4631-9316-AF579452C16E}"/>
    <cellStyle name="40% - Accent4 3 4 3 3" xfId="14734" xr:uid="{8C6F0293-96D2-4163-92DC-4B91B545BFD5}"/>
    <cellStyle name="40% - Accent4 3 4 4" xfId="18957" xr:uid="{CC6F8831-78A0-4AA5-A32B-A0406AB14800}"/>
    <cellStyle name="40% - Accent4 3 4 5" xfId="10517" xr:uid="{A2BEC1DB-1C07-4BE9-B8D6-40D3B7ED2737}"/>
    <cellStyle name="40% - Accent4 3 5" xfId="1514" xr:uid="{00000000-0005-0000-0000-00000F060000}"/>
    <cellStyle name="40% - Accent4 3 5 2" xfId="3744" xr:uid="{00000000-0005-0000-0000-000010060000}"/>
    <cellStyle name="40% - Accent4 3 5 2 2" xfId="7966" xr:uid="{00000000-0005-0000-0000-000011060000}"/>
    <cellStyle name="40% - Accent4 3 5 2 2 2" xfId="25732" xr:uid="{8930A2DA-3ECE-43F3-9DB6-B7A434ED5DB3}"/>
    <cellStyle name="40% - Accent4 3 5 2 2 3" xfId="17292" xr:uid="{21B160F6-D4E7-42DE-93FD-2012E9FA5AD6}"/>
    <cellStyle name="40% - Accent4 3 5 2 3" xfId="21515" xr:uid="{1A520ED3-3664-4F13-868E-58DC1C158261}"/>
    <cellStyle name="40% - Accent4 3 5 2 4" xfId="13075" xr:uid="{8837C2E4-70B0-4629-92D4-46848AB79BDB}"/>
    <cellStyle name="40% - Accent4 3 5 3" xfId="5821" xr:uid="{00000000-0005-0000-0000-000012060000}"/>
    <cellStyle name="40% - Accent4 3 5 3 2" xfId="23587" xr:uid="{AF47EBF8-C9EC-4294-83A2-82DFFB13C35B}"/>
    <cellStyle name="40% - Accent4 3 5 3 3" xfId="15147" xr:uid="{07F3611E-BA7C-46D1-94DD-F8C5ABF2945A}"/>
    <cellStyle name="40% - Accent4 3 5 4" xfId="19370" xr:uid="{CEB2A01A-E6BA-48E7-98B4-255F305EA5E0}"/>
    <cellStyle name="40% - Accent4 3 5 5" xfId="10930" xr:uid="{641C43F1-26FB-4DFF-A2FD-E74BDB35790C}"/>
    <cellStyle name="40% - Accent4 3 6" xfId="1928" xr:uid="{00000000-0005-0000-0000-000013060000}"/>
    <cellStyle name="40% - Accent4 3 6 2" xfId="4157" xr:uid="{00000000-0005-0000-0000-000014060000}"/>
    <cellStyle name="40% - Accent4 3 6 2 2" xfId="8379" xr:uid="{00000000-0005-0000-0000-000015060000}"/>
    <cellStyle name="40% - Accent4 3 6 2 2 2" xfId="26145" xr:uid="{65AB05CE-5A00-414B-9786-F3C1CE6DF4F1}"/>
    <cellStyle name="40% - Accent4 3 6 2 2 3" xfId="17705" xr:uid="{D9D8447D-E97C-410A-A86A-4A6DEA5C6077}"/>
    <cellStyle name="40% - Accent4 3 6 2 3" xfId="21928" xr:uid="{4BB08770-DBC6-4540-8B55-0ECC8FB54890}"/>
    <cellStyle name="40% - Accent4 3 6 2 4" xfId="13488" xr:uid="{CF0B8846-34EF-4F96-8EB6-29AFC24BF642}"/>
    <cellStyle name="40% - Accent4 3 6 3" xfId="6234" xr:uid="{00000000-0005-0000-0000-000016060000}"/>
    <cellStyle name="40% - Accent4 3 6 3 2" xfId="24000" xr:uid="{CDC01C67-6CD8-4F22-A6FC-B3034E301A08}"/>
    <cellStyle name="40% - Accent4 3 6 3 3" xfId="15560" xr:uid="{6B09B75D-60F6-4461-9F5C-DBB324AD2D14}"/>
    <cellStyle name="40% - Accent4 3 6 4" xfId="19783" xr:uid="{DFD7F920-C51E-4983-A150-8D6C9462397E}"/>
    <cellStyle name="40% - Accent4 3 6 5" xfId="11343" xr:uid="{3220081C-DA69-4268-8019-D04DAB997AE5}"/>
    <cellStyle name="40% - Accent4 3 7" xfId="2341" xr:uid="{00000000-0005-0000-0000-000017060000}"/>
    <cellStyle name="40% - Accent4 3 7 2" xfId="6647" xr:uid="{00000000-0005-0000-0000-000018060000}"/>
    <cellStyle name="40% - Accent4 3 7 2 2" xfId="24413" xr:uid="{FD940229-ABCD-442B-A8B2-D70E48C18308}"/>
    <cellStyle name="40% - Accent4 3 7 2 3" xfId="15973" xr:uid="{2DBC2A1B-C626-434F-ADAA-7F1D1338003D}"/>
    <cellStyle name="40% - Accent4 3 7 3" xfId="20196" xr:uid="{992C9F92-D44C-4B63-BC73-0370ABC5388F}"/>
    <cellStyle name="40% - Accent4 3 7 4" xfId="11756" xr:uid="{01B887ED-D498-4B37-B28A-A04BF2D28396}"/>
    <cellStyle name="40% - Accent4 3 8" xfId="4581" xr:uid="{00000000-0005-0000-0000-000019060000}"/>
    <cellStyle name="40% - Accent4 3 8 2" xfId="22347" xr:uid="{50EA4898-8E5F-45AA-AC75-3CF98CCB3507}"/>
    <cellStyle name="40% - Accent4 3 8 3" xfId="13907" xr:uid="{EFCEC1B3-618D-4449-9562-75F657950FBD}"/>
    <cellStyle name="40% - Accent4 3 9" xfId="8868" xr:uid="{538D9F50-ACCA-4DB0-A3F1-A129ACFFA0BF}"/>
    <cellStyle name="40% - Accent4 3 9 2" xfId="18130" xr:uid="{BA65E4AA-D6EF-4953-9429-D33E35A19EEE}"/>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24908" xr:uid="{F0FD4D79-764F-404B-9ABD-1593292E305A}"/>
    <cellStyle name="40% - Accent4 4 2 2 2 3" xfId="16468" xr:uid="{7594D191-217F-4104-BB97-73375344A94F}"/>
    <cellStyle name="40% - Accent4 4 2 2 3" xfId="20691" xr:uid="{980C0A4E-79AB-476E-9E3A-8C98D48EEB41}"/>
    <cellStyle name="40% - Accent4 4 2 2 4" xfId="12251" xr:uid="{AE34F4B9-0B65-4972-B8C5-9EE5005F1A21}"/>
    <cellStyle name="40% - Accent4 4 2 3" xfId="4997" xr:uid="{00000000-0005-0000-0000-00001E060000}"/>
    <cellStyle name="40% - Accent4 4 2 3 2" xfId="22763" xr:uid="{F6DFE0CC-2818-4850-85AC-BFE93861615A}"/>
    <cellStyle name="40% - Accent4 4 2 3 3" xfId="14323" xr:uid="{A1653834-AEA7-4E87-B3B4-57531A7A6866}"/>
    <cellStyle name="40% - Accent4 4 2 4" xfId="9379" xr:uid="{EE31EAE0-1741-4D6E-B7B4-C5DB59044F55}"/>
    <cellStyle name="40% - Accent4 4 2 4 2" xfId="18546" xr:uid="{822EC953-06FD-466B-AED1-C54FB80CD9D3}"/>
    <cellStyle name="40% - Accent4 4 2 5" xfId="10106" xr:uid="{A3C8CBAA-60DF-4B97-9591-5FB2AB2048FB}"/>
    <cellStyle name="40% - Accent4 4 3" xfId="1102" xr:uid="{00000000-0005-0000-0000-00001F060000}"/>
    <cellStyle name="40% - Accent4 4 3 2" xfId="3333" xr:uid="{00000000-0005-0000-0000-000020060000}"/>
    <cellStyle name="40% - Accent4 4 3 2 2" xfId="7555" xr:uid="{00000000-0005-0000-0000-000021060000}"/>
    <cellStyle name="40% - Accent4 4 3 2 2 2" xfId="25321" xr:uid="{BC85073D-E84A-4F39-8949-DB9188200BC0}"/>
    <cellStyle name="40% - Accent4 4 3 2 2 3" xfId="16881" xr:uid="{3F70887C-2432-4BD8-ABBB-C23E2322C2F6}"/>
    <cellStyle name="40% - Accent4 4 3 2 3" xfId="21104" xr:uid="{04EAC614-F8D2-46EC-993B-C111EF766F38}"/>
    <cellStyle name="40% - Accent4 4 3 2 4" xfId="12664" xr:uid="{BE36F670-D7F6-4982-ACC0-01F39187E9EF}"/>
    <cellStyle name="40% - Accent4 4 3 3" xfId="5410" xr:uid="{00000000-0005-0000-0000-000022060000}"/>
    <cellStyle name="40% - Accent4 4 3 3 2" xfId="23176" xr:uid="{4FB60D55-FB36-4DC4-946A-BECB639C83AA}"/>
    <cellStyle name="40% - Accent4 4 3 3 3" xfId="14736" xr:uid="{2B98DB8A-CDC1-4496-8756-D94055B54B1F}"/>
    <cellStyle name="40% - Accent4 4 3 4" xfId="18959" xr:uid="{A2E26B42-8FA8-4B2B-9B00-A65CE500E6B4}"/>
    <cellStyle name="40% - Accent4 4 3 5" xfId="10519" xr:uid="{1ADB5558-8EEE-4981-BFEA-DF4C6B6F4464}"/>
    <cellStyle name="40% - Accent4 4 4" xfId="1516" xr:uid="{00000000-0005-0000-0000-000023060000}"/>
    <cellStyle name="40% - Accent4 4 4 2" xfId="3746" xr:uid="{00000000-0005-0000-0000-000024060000}"/>
    <cellStyle name="40% - Accent4 4 4 2 2" xfId="7968" xr:uid="{00000000-0005-0000-0000-000025060000}"/>
    <cellStyle name="40% - Accent4 4 4 2 2 2" xfId="25734" xr:uid="{8E29B368-5AD8-4971-9964-9F254AEBB927}"/>
    <cellStyle name="40% - Accent4 4 4 2 2 3" xfId="17294" xr:uid="{79C933C2-3954-42FD-8A6A-BE176AD4F8BD}"/>
    <cellStyle name="40% - Accent4 4 4 2 3" xfId="21517" xr:uid="{3C71BA71-6FD4-4CFE-8C23-5A67088EAE89}"/>
    <cellStyle name="40% - Accent4 4 4 2 4" xfId="13077" xr:uid="{98291E0E-FF52-4ABF-AFD3-4B906F40AD62}"/>
    <cellStyle name="40% - Accent4 4 4 3" xfId="5823" xr:uid="{00000000-0005-0000-0000-000026060000}"/>
    <cellStyle name="40% - Accent4 4 4 3 2" xfId="23589" xr:uid="{AE2F5389-5DEA-4A08-A454-57C6FCBF1808}"/>
    <cellStyle name="40% - Accent4 4 4 3 3" xfId="15149" xr:uid="{93CBB2AD-0C34-41C8-9B01-5CF03359CDAA}"/>
    <cellStyle name="40% - Accent4 4 4 4" xfId="19372" xr:uid="{A2337CEB-0E84-4A59-83F0-DC24BDE9AA91}"/>
    <cellStyle name="40% - Accent4 4 4 5" xfId="10932" xr:uid="{EC5C13C7-709F-4887-91F2-7CB69364D269}"/>
    <cellStyle name="40% - Accent4 4 5" xfId="1930" xr:uid="{00000000-0005-0000-0000-000027060000}"/>
    <cellStyle name="40% - Accent4 4 5 2" xfId="4159" xr:uid="{00000000-0005-0000-0000-000028060000}"/>
    <cellStyle name="40% - Accent4 4 5 2 2" xfId="8381" xr:uid="{00000000-0005-0000-0000-000029060000}"/>
    <cellStyle name="40% - Accent4 4 5 2 2 2" xfId="26147" xr:uid="{495B5B33-B113-4588-AD5B-D009AFA778CE}"/>
    <cellStyle name="40% - Accent4 4 5 2 2 3" xfId="17707" xr:uid="{C3CB26CA-0C3F-47B0-ACBC-EC6AD2BC227D}"/>
    <cellStyle name="40% - Accent4 4 5 2 3" xfId="21930" xr:uid="{3ABFC0B5-931D-49D6-A2E6-CB6F08EC8A14}"/>
    <cellStyle name="40% - Accent4 4 5 2 4" xfId="13490" xr:uid="{9DCA791C-75DE-4819-AD04-99D8D1A33672}"/>
    <cellStyle name="40% - Accent4 4 5 3" xfId="6236" xr:uid="{00000000-0005-0000-0000-00002A060000}"/>
    <cellStyle name="40% - Accent4 4 5 3 2" xfId="24002" xr:uid="{741CE3F0-056B-4C8A-A391-66E31A2128A8}"/>
    <cellStyle name="40% - Accent4 4 5 3 3" xfId="15562" xr:uid="{F0864F7E-70D2-474C-A34B-4494E57CA56E}"/>
    <cellStyle name="40% - Accent4 4 5 4" xfId="19785" xr:uid="{EBF83F64-BCCA-4261-8003-A783F3D870B0}"/>
    <cellStyle name="40% - Accent4 4 5 5" xfId="11345" xr:uid="{9B8A28F7-65B9-40D1-A295-6A819A014B56}"/>
    <cellStyle name="40% - Accent4 4 6" xfId="2343" xr:uid="{00000000-0005-0000-0000-00002B060000}"/>
    <cellStyle name="40% - Accent4 4 6 2" xfId="6649" xr:uid="{00000000-0005-0000-0000-00002C060000}"/>
    <cellStyle name="40% - Accent4 4 6 2 2" xfId="24415" xr:uid="{E67EE812-CF67-41D8-B12C-E6340B79A25B}"/>
    <cellStyle name="40% - Accent4 4 6 2 3" xfId="15975" xr:uid="{E0801B22-4472-413C-AF53-13B5209E9D24}"/>
    <cellStyle name="40% - Accent4 4 6 3" xfId="20198" xr:uid="{A826F752-F346-42DD-AA53-2047BAB9F97C}"/>
    <cellStyle name="40% - Accent4 4 6 4" xfId="11758" xr:uid="{A418EEF4-EBA6-4029-93DD-05B41CC283E4}"/>
    <cellStyle name="40% - Accent4 4 7" xfId="4583" xr:uid="{00000000-0005-0000-0000-00002D060000}"/>
    <cellStyle name="40% - Accent4 4 7 2" xfId="22349" xr:uid="{B473EBEC-7094-4BF7-A1B5-30E90ECEF5BF}"/>
    <cellStyle name="40% - Accent4 4 7 3" xfId="13909" xr:uid="{417F3C8E-F9D4-4C2E-A19A-70C2D88DD803}"/>
    <cellStyle name="40% - Accent4 4 8" xfId="8954" xr:uid="{2C178683-58B3-4513-85E7-15FAC3AC035D}"/>
    <cellStyle name="40% - Accent4 4 8 2" xfId="18132" xr:uid="{11ABC6EB-2801-4415-A44B-A4BD0C91A755}"/>
    <cellStyle name="40% - Accent4 4 9" xfId="9692" xr:uid="{7DBC8C5A-D41B-4A1A-B75C-DD986FF98BF9}"/>
    <cellStyle name="40% - Accent4 5" xfId="642" xr:uid="{00000000-0005-0000-0000-00002E060000}"/>
    <cellStyle name="40% - Accent4 5 2" xfId="2913" xr:uid="{00000000-0005-0000-0000-00002F060000}"/>
    <cellStyle name="40% - Accent4 5 2 2" xfId="7135" xr:uid="{00000000-0005-0000-0000-000030060000}"/>
    <cellStyle name="40% - Accent4 5 2 2 2" xfId="24901" xr:uid="{D0EB5563-DEB7-45D8-BEA0-86ECBBC22710}"/>
    <cellStyle name="40% - Accent4 5 2 2 3" xfId="16461" xr:uid="{AF421258-55AA-46BD-8B47-46DE166DD91F}"/>
    <cellStyle name="40% - Accent4 5 2 3" xfId="20684" xr:uid="{43E9700D-0394-4161-A2A7-D66B5F249682}"/>
    <cellStyle name="40% - Accent4 5 2 4" xfId="12244" xr:uid="{73570506-0AED-455F-B447-3B38072CC3F7}"/>
    <cellStyle name="40% - Accent4 5 3" xfId="4990" xr:uid="{00000000-0005-0000-0000-000031060000}"/>
    <cellStyle name="40% - Accent4 5 3 2" xfId="22756" xr:uid="{1F18A21E-4E32-428A-B737-EF3DF5AE1D8C}"/>
    <cellStyle name="40% - Accent4 5 3 3" xfId="14316" xr:uid="{28F99195-28EC-4116-8F9D-B6191BCF2D01}"/>
    <cellStyle name="40% - Accent4 5 4" xfId="9187" xr:uid="{33022C89-0CDD-4091-8005-358F63FF8F46}"/>
    <cellStyle name="40% - Accent4 5 4 2" xfId="18539" xr:uid="{5FCBB46C-0585-4D7C-9484-5F43E16251F7}"/>
    <cellStyle name="40% - Accent4 5 5" xfId="10099" xr:uid="{2BF94172-5F82-4F7C-BD6F-5DF0C1B5FB3A}"/>
    <cellStyle name="40% - Accent4 6" xfId="1095" xr:uid="{00000000-0005-0000-0000-000032060000}"/>
    <cellStyle name="40% - Accent4 6 2" xfId="3326" xr:uid="{00000000-0005-0000-0000-000033060000}"/>
    <cellStyle name="40% - Accent4 6 2 2" xfId="7548" xr:uid="{00000000-0005-0000-0000-000034060000}"/>
    <cellStyle name="40% - Accent4 6 2 2 2" xfId="25314" xr:uid="{47AF616C-5798-4229-BD69-C5F3665A553E}"/>
    <cellStyle name="40% - Accent4 6 2 2 3" xfId="16874" xr:uid="{D29FE43F-1B99-442A-941F-C887D2DF4E72}"/>
    <cellStyle name="40% - Accent4 6 2 3" xfId="21097" xr:uid="{7933DB12-43C8-465B-867F-4436DC39F619}"/>
    <cellStyle name="40% - Accent4 6 2 4" xfId="12657" xr:uid="{A06323A5-FF3C-4A18-81BC-36C1884EFF3A}"/>
    <cellStyle name="40% - Accent4 6 3" xfId="5403" xr:uid="{00000000-0005-0000-0000-000035060000}"/>
    <cellStyle name="40% - Accent4 6 3 2" xfId="23169" xr:uid="{364CB4DA-1B26-4D38-88EC-6EAE6812EF1F}"/>
    <cellStyle name="40% - Accent4 6 3 3" xfId="14729" xr:uid="{517B8B12-13B1-4EF1-BAB5-2929A2510BD1}"/>
    <cellStyle name="40% - Accent4 6 4" xfId="18952" xr:uid="{D0F20A07-95AA-40C4-BBE7-95BDEF8CCCAA}"/>
    <cellStyle name="40% - Accent4 6 5" xfId="10512" xr:uid="{544709FE-FE21-4ECE-AA89-4BAC1FAA3590}"/>
    <cellStyle name="40% - Accent4 7" xfId="1509" xr:uid="{00000000-0005-0000-0000-000036060000}"/>
    <cellStyle name="40% - Accent4 7 2" xfId="3739" xr:uid="{00000000-0005-0000-0000-000037060000}"/>
    <cellStyle name="40% - Accent4 7 2 2" xfId="7961" xr:uid="{00000000-0005-0000-0000-000038060000}"/>
    <cellStyle name="40% - Accent4 7 2 2 2" xfId="25727" xr:uid="{C2D8E6DC-90D0-4DA9-ABF9-84540DA9DD6A}"/>
    <cellStyle name="40% - Accent4 7 2 2 3" xfId="17287" xr:uid="{FF3ACCB5-E5D1-4F2A-9B79-74FF41E2B7B8}"/>
    <cellStyle name="40% - Accent4 7 2 3" xfId="21510" xr:uid="{E4279923-D4D0-495C-9C03-0CFBAA5499FE}"/>
    <cellStyle name="40% - Accent4 7 2 4" xfId="13070" xr:uid="{58411F2A-1AE2-4135-B675-2EE3CB005D18}"/>
    <cellStyle name="40% - Accent4 7 3" xfId="5816" xr:uid="{00000000-0005-0000-0000-000039060000}"/>
    <cellStyle name="40% - Accent4 7 3 2" xfId="23582" xr:uid="{058E631D-E04B-4834-9C74-E447DCD7FF9E}"/>
    <cellStyle name="40% - Accent4 7 3 3" xfId="15142" xr:uid="{40F34AE2-6A4D-4188-847F-02D33C4A9E16}"/>
    <cellStyle name="40% - Accent4 7 4" xfId="19365" xr:uid="{B769761F-C7BF-4AA4-B418-66AD275084C7}"/>
    <cellStyle name="40% - Accent4 7 5" xfId="10925" xr:uid="{76DAA492-7E70-4F00-B7C4-C6202160406B}"/>
    <cellStyle name="40% - Accent4 8" xfId="1923" xr:uid="{00000000-0005-0000-0000-00003A060000}"/>
    <cellStyle name="40% - Accent4 8 2" xfId="4152" xr:uid="{00000000-0005-0000-0000-00003B060000}"/>
    <cellStyle name="40% - Accent4 8 2 2" xfId="8374" xr:uid="{00000000-0005-0000-0000-00003C060000}"/>
    <cellStyle name="40% - Accent4 8 2 2 2" xfId="26140" xr:uid="{16994970-05A9-4FC2-BC4E-B4A98519DFB1}"/>
    <cellStyle name="40% - Accent4 8 2 2 3" xfId="17700" xr:uid="{685079B7-5F97-4E4F-A52B-3759218BB962}"/>
    <cellStyle name="40% - Accent4 8 2 3" xfId="21923" xr:uid="{41D066A5-F0EC-4FE0-BE55-0F6A56285A17}"/>
    <cellStyle name="40% - Accent4 8 2 4" xfId="13483" xr:uid="{C5F2CC8C-AEB6-48FA-872F-72CEBB304F40}"/>
    <cellStyle name="40% - Accent4 8 3" xfId="6229" xr:uid="{00000000-0005-0000-0000-00003D060000}"/>
    <cellStyle name="40% - Accent4 8 3 2" xfId="23995" xr:uid="{2780430A-218B-4697-9086-0A7C148484FB}"/>
    <cellStyle name="40% - Accent4 8 3 3" xfId="15555" xr:uid="{0347FC0C-15E4-4671-B3EF-D8004B017DDE}"/>
    <cellStyle name="40% - Accent4 8 4" xfId="19778" xr:uid="{0F1848D4-6B47-4D2E-8C3F-4C2EF2B0565A}"/>
    <cellStyle name="40% - Accent4 8 5" xfId="11338" xr:uid="{A0D47F09-6E33-4C2B-AC9C-204D3AE3DB3C}"/>
    <cellStyle name="40% - Accent4 9" xfId="2336" xr:uid="{00000000-0005-0000-0000-00003E060000}"/>
    <cellStyle name="40% - Accent4 9 2" xfId="6642" xr:uid="{00000000-0005-0000-0000-00003F060000}"/>
    <cellStyle name="40% - Accent4 9 2 2" xfId="24408" xr:uid="{1666139E-C7B2-4BD2-9073-72CE13E3C16F}"/>
    <cellStyle name="40% - Accent4 9 2 3" xfId="15968" xr:uid="{8FADDFA7-C3BB-4701-9932-A83A26349FA0}"/>
    <cellStyle name="40% - Accent4 9 3" xfId="20191" xr:uid="{4D3FEACF-3B3E-4196-A66A-FE14B0392ED6}"/>
    <cellStyle name="40% - Accent4 9 4" xfId="11751" xr:uid="{BE60A83C-65D5-410A-97F6-E913AFE509E9}"/>
    <cellStyle name="40% - Accent5" xfId="81" builtinId="47" customBuiltin="1"/>
    <cellStyle name="40% - Accent5 10" xfId="4584" xr:uid="{00000000-0005-0000-0000-000041060000}"/>
    <cellStyle name="40% - Accent5 10 2" xfId="22350" xr:uid="{AC1A3A91-4226-49BC-BED2-6C384F3CF2E9}"/>
    <cellStyle name="40% - Accent5 10 3" xfId="13910" xr:uid="{C131D639-7B15-447C-9071-2BF9B2D10C49}"/>
    <cellStyle name="40% - Accent5 11" xfId="8767" xr:uid="{7A46ADF8-3420-4D4A-A3FE-8E96F0FA38E7}"/>
    <cellStyle name="40% - Accent5 11 2" xfId="18133" xr:uid="{C2ACA9C4-9691-4C48-BC16-68AD44F6DDB2}"/>
    <cellStyle name="40% - Accent5 12" xfId="9693" xr:uid="{AD555E0D-B625-412E-A937-DE78168198FE}"/>
    <cellStyle name="40% - Accent5 2" xfId="82" xr:uid="{00000000-0005-0000-0000-000042060000}"/>
    <cellStyle name="40% - Accent5 2 10" xfId="8802" xr:uid="{CF9BFF45-99AC-47A3-8B01-051C55FBB24D}"/>
    <cellStyle name="40% - Accent5 2 10 2" xfId="18134" xr:uid="{777B987A-623E-4552-89E3-C908584E5BB8}"/>
    <cellStyle name="40% - Accent5 2 11" xfId="9694" xr:uid="{E0ACF433-C4E1-4CFC-A54A-5BDE24F3EFC8}"/>
    <cellStyle name="40% - Accent5 2 2" xfId="83" xr:uid="{00000000-0005-0000-0000-000043060000}"/>
    <cellStyle name="40% - Accent5 2 2 10" xfId="9695" xr:uid="{51551056-6982-4E80-8B6F-C333A5FA9D01}"/>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24912" xr:uid="{A34DF9A3-625E-47E5-A77A-FA6D2ADB4BC0}"/>
    <cellStyle name="40% - Accent5 2 2 2 2 2 2 3" xfId="16472" xr:uid="{57EF8712-6EE5-4C64-8421-1BCB9E38AFFB}"/>
    <cellStyle name="40% - Accent5 2 2 2 2 2 3" xfId="20695" xr:uid="{6566A766-E043-44F9-BB91-438B256726D2}"/>
    <cellStyle name="40% - Accent5 2 2 2 2 2 4" xfId="12255" xr:uid="{5EE4BE8B-537F-4D15-9F39-B671F7BFA771}"/>
    <cellStyle name="40% - Accent5 2 2 2 2 3" xfId="5001" xr:uid="{00000000-0005-0000-0000-000048060000}"/>
    <cellStyle name="40% - Accent5 2 2 2 2 3 2" xfId="22767" xr:uid="{CE583893-BCAD-40ED-A886-C5091380BE27}"/>
    <cellStyle name="40% - Accent5 2 2 2 2 3 3" xfId="14327" xr:uid="{E1FF75B0-FD08-4CFE-8765-4A3267C9D4D4}"/>
    <cellStyle name="40% - Accent5 2 2 2 2 4" xfId="9537" xr:uid="{83834145-5D3F-4083-A609-6DB90651C4CE}"/>
    <cellStyle name="40% - Accent5 2 2 2 2 4 2" xfId="18550" xr:uid="{14103C6A-B53E-42A6-B5E2-87DDECDC5F4C}"/>
    <cellStyle name="40% - Accent5 2 2 2 2 5" xfId="10110" xr:uid="{EE7EECD5-692D-4170-8A4B-86EF725ECDA8}"/>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25325" xr:uid="{53D058EF-24E7-4F85-97F5-7ECC6400C49C}"/>
    <cellStyle name="40% - Accent5 2 2 2 3 2 2 3" xfId="16885" xr:uid="{89A98720-6247-4235-AFC4-9F5702AFED94}"/>
    <cellStyle name="40% - Accent5 2 2 2 3 2 3" xfId="21108" xr:uid="{91A8DB4B-D3C9-41B1-B666-6EA1C8C5EAF5}"/>
    <cellStyle name="40% - Accent5 2 2 2 3 2 4" xfId="12668" xr:uid="{0497E702-CC4A-4FA2-BE88-615D8DA2EC1A}"/>
    <cellStyle name="40% - Accent5 2 2 2 3 3" xfId="5414" xr:uid="{00000000-0005-0000-0000-00004C060000}"/>
    <cellStyle name="40% - Accent5 2 2 2 3 3 2" xfId="23180" xr:uid="{4E59F348-ED46-4BCA-9749-94A5E147D261}"/>
    <cellStyle name="40% - Accent5 2 2 2 3 3 3" xfId="14740" xr:uid="{7F99723E-D0F4-4BBA-90F0-65C970A8F260}"/>
    <cellStyle name="40% - Accent5 2 2 2 3 4" xfId="18963" xr:uid="{12D11C7F-5533-4FA1-8710-40A905A9C4D3}"/>
    <cellStyle name="40% - Accent5 2 2 2 3 5" xfId="10523" xr:uid="{58AB2E3B-404F-4424-A41D-785BA16152D7}"/>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25738" xr:uid="{247FCBD4-A9BD-4911-AD71-A28A32B08989}"/>
    <cellStyle name="40% - Accent5 2 2 2 4 2 2 3" xfId="17298" xr:uid="{82E08607-7623-4A28-8067-162592658EE4}"/>
    <cellStyle name="40% - Accent5 2 2 2 4 2 3" xfId="21521" xr:uid="{B9DB0180-DB61-4AA7-BC12-E62663A024B8}"/>
    <cellStyle name="40% - Accent5 2 2 2 4 2 4" xfId="13081" xr:uid="{DFDBBC92-5C51-42C7-9B93-EBE74D6637DD}"/>
    <cellStyle name="40% - Accent5 2 2 2 4 3" xfId="5827" xr:uid="{00000000-0005-0000-0000-000050060000}"/>
    <cellStyle name="40% - Accent5 2 2 2 4 3 2" xfId="23593" xr:uid="{63D5AAE3-2657-44AE-BF14-47ADA06E8167}"/>
    <cellStyle name="40% - Accent5 2 2 2 4 3 3" xfId="15153" xr:uid="{4224E68C-1FCD-4A4C-88AC-E9B55E95C7A9}"/>
    <cellStyle name="40% - Accent5 2 2 2 4 4" xfId="19376" xr:uid="{ED4AB683-EFB2-4689-A8CB-BDB7A15872B5}"/>
    <cellStyle name="40% - Accent5 2 2 2 4 5" xfId="10936" xr:uid="{3CBF2E79-CAA5-437A-ABAA-2F9606B86DEA}"/>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26151" xr:uid="{0463A8FF-519C-4564-B136-EBF7AB2140DF}"/>
    <cellStyle name="40% - Accent5 2 2 2 5 2 2 3" xfId="17711" xr:uid="{3940D912-4ABE-48C5-9250-FE0A4687B0BE}"/>
    <cellStyle name="40% - Accent5 2 2 2 5 2 3" xfId="21934" xr:uid="{116278DD-5204-4F45-8E30-C7657444B188}"/>
    <cellStyle name="40% - Accent5 2 2 2 5 2 4" xfId="13494" xr:uid="{34A1D778-97FC-4417-A0EE-FC649E28B9B0}"/>
    <cellStyle name="40% - Accent5 2 2 2 5 3" xfId="6240" xr:uid="{00000000-0005-0000-0000-000054060000}"/>
    <cellStyle name="40% - Accent5 2 2 2 5 3 2" xfId="24006" xr:uid="{87E1CF6E-3629-4501-85E8-282DCE3CE7D6}"/>
    <cellStyle name="40% - Accent5 2 2 2 5 3 3" xfId="15566" xr:uid="{CF7EFED0-EA72-46B3-AFBF-DEA4D45BFC23}"/>
    <cellStyle name="40% - Accent5 2 2 2 5 4" xfId="19789" xr:uid="{4F7A6B3D-CCCB-4803-B3B7-9BCC10ED5608}"/>
    <cellStyle name="40% - Accent5 2 2 2 5 5" xfId="11349" xr:uid="{576A8E0A-9ECF-4C0D-BD5A-5D45ADC05370}"/>
    <cellStyle name="40% - Accent5 2 2 2 6" xfId="2347" xr:uid="{00000000-0005-0000-0000-000055060000}"/>
    <cellStyle name="40% - Accent5 2 2 2 6 2" xfId="6653" xr:uid="{00000000-0005-0000-0000-000056060000}"/>
    <cellStyle name="40% - Accent5 2 2 2 6 2 2" xfId="24419" xr:uid="{8546C1D1-8085-446B-8D53-5B3BB8437B1F}"/>
    <cellStyle name="40% - Accent5 2 2 2 6 2 3" xfId="15979" xr:uid="{08744879-89C1-46A0-A8B8-D99ACA5D1E0B}"/>
    <cellStyle name="40% - Accent5 2 2 2 6 3" xfId="20202" xr:uid="{1B415F03-622B-4B33-8F3F-3DFABDC1B281}"/>
    <cellStyle name="40% - Accent5 2 2 2 6 4" xfId="11762" xr:uid="{180767A4-5749-4B40-AD4E-2F374AC87600}"/>
    <cellStyle name="40% - Accent5 2 2 2 7" xfId="4587" xr:uid="{00000000-0005-0000-0000-000057060000}"/>
    <cellStyle name="40% - Accent5 2 2 2 7 2" xfId="22353" xr:uid="{6F02FB18-6192-4E08-8892-F64F2EFA5448}"/>
    <cellStyle name="40% - Accent5 2 2 2 7 3" xfId="13913" xr:uid="{1E13E6CF-360D-4C73-9D95-978560BAFF15}"/>
    <cellStyle name="40% - Accent5 2 2 2 8" xfId="9112" xr:uid="{65D0CC40-E9D0-4CE3-B684-8DE4A2C7BCD7}"/>
    <cellStyle name="40% - Accent5 2 2 2 8 2" xfId="18136" xr:uid="{8BEA8E8D-BD21-4605-8471-7F74D9311C64}"/>
    <cellStyle name="40% - Accent5 2 2 2 9" xfId="9696" xr:uid="{3855FB0B-1BE7-47C8-B4A9-E0FFEC93D58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24911" xr:uid="{1E448B94-4FC2-444E-B3DA-3ADEAE358FF4}"/>
    <cellStyle name="40% - Accent5 2 2 3 2 2 3" xfId="16471" xr:uid="{CE20B1E8-2566-422A-977D-C19BFDA71D41}"/>
    <cellStyle name="40% - Accent5 2 2 3 2 3" xfId="20694" xr:uid="{0CA9EAC0-A079-44C0-A836-66A1D601B3EC}"/>
    <cellStyle name="40% - Accent5 2 2 3 2 4" xfId="12254" xr:uid="{263C72D2-6872-4D2A-8609-01C1EE59AA30}"/>
    <cellStyle name="40% - Accent5 2 2 3 3" xfId="5000" xr:uid="{00000000-0005-0000-0000-00005B060000}"/>
    <cellStyle name="40% - Accent5 2 2 3 3 2" xfId="22766" xr:uid="{C7FF6BB1-18F4-4DA1-8394-DE49C0B912D8}"/>
    <cellStyle name="40% - Accent5 2 2 3 3 3" xfId="14326" xr:uid="{80E086E0-C68F-4345-841C-A025F70249B9}"/>
    <cellStyle name="40% - Accent5 2 2 3 4" xfId="9330" xr:uid="{75959B30-FD84-42A5-95AE-69048CCC8361}"/>
    <cellStyle name="40% - Accent5 2 2 3 4 2" xfId="18549" xr:uid="{D3623EB8-D30A-4856-B994-6C17BCA65B0E}"/>
    <cellStyle name="40% - Accent5 2 2 3 5" xfId="10109" xr:uid="{E28C410D-B9C9-4DC7-870B-194E4F56C96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25324" xr:uid="{AF622513-2A82-40BC-A042-E7A8ABB170D4}"/>
    <cellStyle name="40% - Accent5 2 2 4 2 2 3" xfId="16884" xr:uid="{B2C9F82A-BBE7-4ABF-9657-6631E963B658}"/>
    <cellStyle name="40% - Accent5 2 2 4 2 3" xfId="21107" xr:uid="{89E05454-FF55-4EBF-8401-565B6039C3B9}"/>
    <cellStyle name="40% - Accent5 2 2 4 2 4" xfId="12667" xr:uid="{95A7E2DD-AECE-41AB-AC3D-3C1D7226CFA6}"/>
    <cellStyle name="40% - Accent5 2 2 4 3" xfId="5413" xr:uid="{00000000-0005-0000-0000-00005F060000}"/>
    <cellStyle name="40% - Accent5 2 2 4 3 2" xfId="23179" xr:uid="{156FDF46-A5AF-4624-9828-7C3F0AA89F3D}"/>
    <cellStyle name="40% - Accent5 2 2 4 3 3" xfId="14739" xr:uid="{6A83890C-CD3E-4335-86E5-EEBB3185BCED}"/>
    <cellStyle name="40% - Accent5 2 2 4 4" xfId="18962" xr:uid="{2320AF69-E983-4E76-B43F-97A992D4EF40}"/>
    <cellStyle name="40% - Accent5 2 2 4 5" xfId="10522" xr:uid="{09BC06E4-3EE1-401C-BF4E-54CA38785D0D}"/>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25737" xr:uid="{4355A6D8-BF26-45DA-9094-AC33E6A8AE84}"/>
    <cellStyle name="40% - Accent5 2 2 5 2 2 3" xfId="17297" xr:uid="{7618FD10-91FE-43ED-BFDF-AA55F6FB3015}"/>
    <cellStyle name="40% - Accent5 2 2 5 2 3" xfId="21520" xr:uid="{33696682-5C07-4791-8E03-16ECD3DB5C81}"/>
    <cellStyle name="40% - Accent5 2 2 5 2 4" xfId="13080" xr:uid="{CC1FBA6D-C1CC-48BA-A7D4-8F14B7F15A04}"/>
    <cellStyle name="40% - Accent5 2 2 5 3" xfId="5826" xr:uid="{00000000-0005-0000-0000-000063060000}"/>
    <cellStyle name="40% - Accent5 2 2 5 3 2" xfId="23592" xr:uid="{4582F751-1056-4136-9ED1-C338B85673BF}"/>
    <cellStyle name="40% - Accent5 2 2 5 3 3" xfId="15152" xr:uid="{5C582E62-CE3A-4DD9-8590-81EA1BC37ACB}"/>
    <cellStyle name="40% - Accent5 2 2 5 4" xfId="19375" xr:uid="{EED36B44-DD5E-42E8-8CB5-AEAAC740E3B9}"/>
    <cellStyle name="40% - Accent5 2 2 5 5" xfId="10935" xr:uid="{E257FDB0-9B6C-4731-9362-7D52B92CC3E9}"/>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26150" xr:uid="{1EA45F97-717A-4E0F-BF59-626490621624}"/>
    <cellStyle name="40% - Accent5 2 2 6 2 2 3" xfId="17710" xr:uid="{DCE6211F-34F7-455D-9BF6-7FA562C7F9B9}"/>
    <cellStyle name="40% - Accent5 2 2 6 2 3" xfId="21933" xr:uid="{E0BBC190-6716-4FE8-AF2F-ECD7998A782E}"/>
    <cellStyle name="40% - Accent5 2 2 6 2 4" xfId="13493" xr:uid="{03DD3D59-3898-4185-8DC7-9DFA105E75BB}"/>
    <cellStyle name="40% - Accent5 2 2 6 3" xfId="6239" xr:uid="{00000000-0005-0000-0000-000067060000}"/>
    <cellStyle name="40% - Accent5 2 2 6 3 2" xfId="24005" xr:uid="{BA853E74-D4D7-44C2-855E-71EFC24EDED2}"/>
    <cellStyle name="40% - Accent5 2 2 6 3 3" xfId="15565" xr:uid="{00DFC687-FA22-474D-97BF-476B8E74C102}"/>
    <cellStyle name="40% - Accent5 2 2 6 4" xfId="19788" xr:uid="{DB5C812A-BD3F-4BCA-8B1A-7C13E467EBDE}"/>
    <cellStyle name="40% - Accent5 2 2 6 5" xfId="11348" xr:uid="{FD653440-9180-41FF-AE02-00A53F6D39E8}"/>
    <cellStyle name="40% - Accent5 2 2 7" xfId="2346" xr:uid="{00000000-0005-0000-0000-000068060000}"/>
    <cellStyle name="40% - Accent5 2 2 7 2" xfId="6652" xr:uid="{00000000-0005-0000-0000-000069060000}"/>
    <cellStyle name="40% - Accent5 2 2 7 2 2" xfId="24418" xr:uid="{AF4C011B-2763-493F-BA6D-68EFED2CC201}"/>
    <cellStyle name="40% - Accent5 2 2 7 2 3" xfId="15978" xr:uid="{EE90A9AD-5672-4C0B-A14C-5E5503D6A27E}"/>
    <cellStyle name="40% - Accent5 2 2 7 3" xfId="20201" xr:uid="{2C87C037-B257-4E77-9BC8-D187CDCFFB8C}"/>
    <cellStyle name="40% - Accent5 2 2 7 4" xfId="11761" xr:uid="{3A6AF69E-2A57-483B-8AF0-18BD88044294}"/>
    <cellStyle name="40% - Accent5 2 2 8" xfId="4586" xr:uid="{00000000-0005-0000-0000-00006A060000}"/>
    <cellStyle name="40% - Accent5 2 2 8 2" xfId="22352" xr:uid="{259A8714-404B-4614-B098-F2D093A690CB}"/>
    <cellStyle name="40% - Accent5 2 2 8 3" xfId="13912" xr:uid="{2C3ACFB4-5581-4C36-9811-18EEFF719DFD}"/>
    <cellStyle name="40% - Accent5 2 2 9" xfId="8905" xr:uid="{3B48B2AE-2C2B-47FB-A8F4-43FECCDBCFEF}"/>
    <cellStyle name="40% - Accent5 2 2 9 2" xfId="18135" xr:uid="{3B8AC4CA-0415-4D19-82D3-C397BB501CC3}"/>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24913" xr:uid="{3DA6870D-4B2A-4E97-B271-1C8ECF86AC9A}"/>
    <cellStyle name="40% - Accent5 2 3 2 2 2 3" xfId="16473" xr:uid="{08515F4F-9AB5-498F-95F8-283F1A38EF18}"/>
    <cellStyle name="40% - Accent5 2 3 2 2 3" xfId="20696" xr:uid="{AD1779F3-49DD-473C-A798-5F921099F6B1}"/>
    <cellStyle name="40% - Accent5 2 3 2 2 4" xfId="12256" xr:uid="{A4E3BDA4-69CD-430A-83FE-886F40166C67}"/>
    <cellStyle name="40% - Accent5 2 3 2 3" xfId="5002" xr:uid="{00000000-0005-0000-0000-00006F060000}"/>
    <cellStyle name="40% - Accent5 2 3 2 3 2" xfId="22768" xr:uid="{F454BA1C-D673-4F60-B989-CF02E8FCE814}"/>
    <cellStyle name="40% - Accent5 2 3 2 3 3" xfId="14328" xr:uid="{5D06E871-DFCA-4D3A-AB43-69ABFEF73C43}"/>
    <cellStyle name="40% - Accent5 2 3 2 4" xfId="9434" xr:uid="{512EAA64-F150-4B15-8534-EB34D6D41408}"/>
    <cellStyle name="40% - Accent5 2 3 2 4 2" xfId="18551" xr:uid="{649E6880-9391-4AB7-8D66-6F41BEC9786F}"/>
    <cellStyle name="40% - Accent5 2 3 2 5" xfId="10111" xr:uid="{0A61CB54-72DF-4849-BE40-DFC58990EDD0}"/>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25326" xr:uid="{C6C5BEC8-5315-4524-9717-5F7682D659F0}"/>
    <cellStyle name="40% - Accent5 2 3 3 2 2 3" xfId="16886" xr:uid="{0F8B1070-014D-45CA-AFC6-6D31FAB99C12}"/>
    <cellStyle name="40% - Accent5 2 3 3 2 3" xfId="21109" xr:uid="{B9B77897-9D0E-4A71-9892-EB15D66E7EF9}"/>
    <cellStyle name="40% - Accent5 2 3 3 2 4" xfId="12669" xr:uid="{606D2E28-4E0E-4D18-81DA-8C0BD001204F}"/>
    <cellStyle name="40% - Accent5 2 3 3 3" xfId="5415" xr:uid="{00000000-0005-0000-0000-000073060000}"/>
    <cellStyle name="40% - Accent5 2 3 3 3 2" xfId="23181" xr:uid="{8602C2C6-AE7A-43DA-9204-551FC40A7DA6}"/>
    <cellStyle name="40% - Accent5 2 3 3 3 3" xfId="14741" xr:uid="{86021097-A888-48C5-A514-6C95CD7D75DB}"/>
    <cellStyle name="40% - Accent5 2 3 3 4" xfId="18964" xr:uid="{C1CCA7DD-37E5-4A04-B9BC-2BE74B789515}"/>
    <cellStyle name="40% - Accent5 2 3 3 5" xfId="10524" xr:uid="{9E851E08-6735-435E-AB73-FDC7EF54E646}"/>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25739" xr:uid="{5965C444-A7E7-435F-B6C8-E0138B13D0A6}"/>
    <cellStyle name="40% - Accent5 2 3 4 2 2 3" xfId="17299" xr:uid="{25DAFA51-1E54-4A52-BC3B-B4228A981F77}"/>
    <cellStyle name="40% - Accent5 2 3 4 2 3" xfId="21522" xr:uid="{A73D4888-4807-424B-8100-B94D039B23A0}"/>
    <cellStyle name="40% - Accent5 2 3 4 2 4" xfId="13082" xr:uid="{3945A8BE-F2FB-4502-A0E3-AF188045DB46}"/>
    <cellStyle name="40% - Accent5 2 3 4 3" xfId="5828" xr:uid="{00000000-0005-0000-0000-000077060000}"/>
    <cellStyle name="40% - Accent5 2 3 4 3 2" xfId="23594" xr:uid="{54D25911-0A36-44D7-8010-330A2F6174CF}"/>
    <cellStyle name="40% - Accent5 2 3 4 3 3" xfId="15154" xr:uid="{355E914A-6667-4724-AF0B-78296047DEC2}"/>
    <cellStyle name="40% - Accent5 2 3 4 4" xfId="19377" xr:uid="{E7709ABB-EBBF-4E04-B226-85CABC0E084C}"/>
    <cellStyle name="40% - Accent5 2 3 4 5" xfId="10937" xr:uid="{5A134443-FBAB-48AD-8678-FBF7F8384BDC}"/>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26152" xr:uid="{F062CEFD-CD7E-46AB-A454-AE2918003B5B}"/>
    <cellStyle name="40% - Accent5 2 3 5 2 2 3" xfId="17712" xr:uid="{0C0D3774-C38F-48F7-ACDF-1008EF9B8D62}"/>
    <cellStyle name="40% - Accent5 2 3 5 2 3" xfId="21935" xr:uid="{55572D49-5793-4871-9AB9-555C8A73B785}"/>
    <cellStyle name="40% - Accent5 2 3 5 2 4" xfId="13495" xr:uid="{FC8E625A-862F-4C17-9857-83FEB079A284}"/>
    <cellStyle name="40% - Accent5 2 3 5 3" xfId="6241" xr:uid="{00000000-0005-0000-0000-00007B060000}"/>
    <cellStyle name="40% - Accent5 2 3 5 3 2" xfId="24007" xr:uid="{2F8CA601-16A1-4CAE-9B81-B479F95818E3}"/>
    <cellStyle name="40% - Accent5 2 3 5 3 3" xfId="15567" xr:uid="{0F64B216-A7BD-4A20-A9BF-83493E0DBB1E}"/>
    <cellStyle name="40% - Accent5 2 3 5 4" xfId="19790" xr:uid="{A91222E1-DEBD-47FD-85D3-F9E7BD9B8AEA}"/>
    <cellStyle name="40% - Accent5 2 3 5 5" xfId="11350" xr:uid="{6F6026D0-7963-49F3-9808-92116C82AA50}"/>
    <cellStyle name="40% - Accent5 2 3 6" xfId="2348" xr:uid="{00000000-0005-0000-0000-00007C060000}"/>
    <cellStyle name="40% - Accent5 2 3 6 2" xfId="6654" xr:uid="{00000000-0005-0000-0000-00007D060000}"/>
    <cellStyle name="40% - Accent5 2 3 6 2 2" xfId="24420" xr:uid="{18185D29-F3C7-40D6-B0E4-BC4F3A051FAA}"/>
    <cellStyle name="40% - Accent5 2 3 6 2 3" xfId="15980" xr:uid="{AC180E6E-5EEE-4F8C-A8EF-6BA97CEFEB2E}"/>
    <cellStyle name="40% - Accent5 2 3 6 3" xfId="20203" xr:uid="{64C0A10A-1592-4A6A-90FF-80207E6800C0}"/>
    <cellStyle name="40% - Accent5 2 3 6 4" xfId="11763" xr:uid="{55715314-819D-4BB9-90D1-310C65FF5D66}"/>
    <cellStyle name="40% - Accent5 2 3 7" xfId="4588" xr:uid="{00000000-0005-0000-0000-00007E060000}"/>
    <cellStyle name="40% - Accent5 2 3 7 2" xfId="22354" xr:uid="{0AB95BBD-F9D2-404F-ABB9-5AF952A869C1}"/>
    <cellStyle name="40% - Accent5 2 3 7 3" xfId="13914" xr:uid="{33F49BE4-6279-4143-9492-B2C13D95F684}"/>
    <cellStyle name="40% - Accent5 2 3 8" xfId="9009" xr:uid="{DE8B6E41-761F-4ED0-BA8A-00A6A898A2FC}"/>
    <cellStyle name="40% - Accent5 2 3 8 2" xfId="18137" xr:uid="{36BB62AD-0D3C-48B3-A98D-83E17B31F031}"/>
    <cellStyle name="40% - Accent5 2 3 9" xfId="9697" xr:uid="{4D2A860B-37D9-4D23-9A53-87187B854148}"/>
    <cellStyle name="40% - Accent5 2 4" xfId="651" xr:uid="{00000000-0005-0000-0000-00007F060000}"/>
    <cellStyle name="40% - Accent5 2 4 2" xfId="2922" xr:uid="{00000000-0005-0000-0000-000080060000}"/>
    <cellStyle name="40% - Accent5 2 4 2 2" xfId="7144" xr:uid="{00000000-0005-0000-0000-000081060000}"/>
    <cellStyle name="40% - Accent5 2 4 2 2 2" xfId="24910" xr:uid="{B794772B-0C93-4154-87E7-BFF77085FF9E}"/>
    <cellStyle name="40% - Accent5 2 4 2 2 3" xfId="16470" xr:uid="{977F52B6-5CEE-4D2E-8E1C-0F670AEBB8D4}"/>
    <cellStyle name="40% - Accent5 2 4 2 3" xfId="20693" xr:uid="{174FDD77-F803-4422-8532-4F4D1DE5C377}"/>
    <cellStyle name="40% - Accent5 2 4 2 4" xfId="12253" xr:uid="{F7ECFE62-34DC-4FA4-B6BB-F4CDE44559DD}"/>
    <cellStyle name="40% - Accent5 2 4 3" xfId="4999" xr:uid="{00000000-0005-0000-0000-000082060000}"/>
    <cellStyle name="40% - Accent5 2 4 3 2" xfId="22765" xr:uid="{4F3EAE7D-44C3-4F33-9774-B71F0280009B}"/>
    <cellStyle name="40% - Accent5 2 4 3 3" xfId="14325" xr:uid="{37E0FA25-FD62-4DD8-8C38-EF405B3B8886}"/>
    <cellStyle name="40% - Accent5 2 4 4" xfId="9226" xr:uid="{6A688709-D29B-458C-973B-231279FAFEF5}"/>
    <cellStyle name="40% - Accent5 2 4 4 2" xfId="18548" xr:uid="{4FC8DB88-D4B9-437B-AF9D-336AEE8B954E}"/>
    <cellStyle name="40% - Accent5 2 4 5" xfId="10108" xr:uid="{7D025A07-47EF-4333-B15D-8C93336A96BA}"/>
    <cellStyle name="40% - Accent5 2 5" xfId="1104" xr:uid="{00000000-0005-0000-0000-000083060000}"/>
    <cellStyle name="40% - Accent5 2 5 2" xfId="3335" xr:uid="{00000000-0005-0000-0000-000084060000}"/>
    <cellStyle name="40% - Accent5 2 5 2 2" xfId="7557" xr:uid="{00000000-0005-0000-0000-000085060000}"/>
    <cellStyle name="40% - Accent5 2 5 2 2 2" xfId="25323" xr:uid="{E6FD8810-2E8C-4A99-8F3E-E7AA685593CB}"/>
    <cellStyle name="40% - Accent5 2 5 2 2 3" xfId="16883" xr:uid="{1E586385-8C20-49B3-ACC8-48A9653D54EA}"/>
    <cellStyle name="40% - Accent5 2 5 2 3" xfId="21106" xr:uid="{434F96F0-F628-4112-A213-EF9B690BF488}"/>
    <cellStyle name="40% - Accent5 2 5 2 4" xfId="12666" xr:uid="{68ADEDFD-6119-4D48-B07A-1C9DDB938CB1}"/>
    <cellStyle name="40% - Accent5 2 5 3" xfId="5412" xr:uid="{00000000-0005-0000-0000-000086060000}"/>
    <cellStyle name="40% - Accent5 2 5 3 2" xfId="23178" xr:uid="{006BF513-8CFD-4313-8496-41D733BB70D0}"/>
    <cellStyle name="40% - Accent5 2 5 3 3" xfId="14738" xr:uid="{0AD1FBC7-7C0A-44AC-8526-1E26998B58FB}"/>
    <cellStyle name="40% - Accent5 2 5 4" xfId="18961" xr:uid="{185DCF5F-5F58-4EDE-A170-D4FE16705EAF}"/>
    <cellStyle name="40% - Accent5 2 5 5" xfId="10521" xr:uid="{8447B251-AF1C-441A-872C-5DF546A7B623}"/>
    <cellStyle name="40% - Accent5 2 6" xfId="1518" xr:uid="{00000000-0005-0000-0000-000087060000}"/>
    <cellStyle name="40% - Accent5 2 6 2" xfId="3748" xr:uid="{00000000-0005-0000-0000-000088060000}"/>
    <cellStyle name="40% - Accent5 2 6 2 2" xfId="7970" xr:uid="{00000000-0005-0000-0000-000089060000}"/>
    <cellStyle name="40% - Accent5 2 6 2 2 2" xfId="25736" xr:uid="{A74DF2C9-944A-427E-9914-CC12E83D81AB}"/>
    <cellStyle name="40% - Accent5 2 6 2 2 3" xfId="17296" xr:uid="{50F6048F-7D22-4E44-AD85-BDDE7DDBA4CE}"/>
    <cellStyle name="40% - Accent5 2 6 2 3" xfId="21519" xr:uid="{BBEAA29D-D7B2-46A0-B82A-E7A381790F27}"/>
    <cellStyle name="40% - Accent5 2 6 2 4" xfId="13079" xr:uid="{32B1626A-6387-4EE9-9BFA-083184A729CA}"/>
    <cellStyle name="40% - Accent5 2 6 3" xfId="5825" xr:uid="{00000000-0005-0000-0000-00008A060000}"/>
    <cellStyle name="40% - Accent5 2 6 3 2" xfId="23591" xr:uid="{BA51B128-643A-4A84-8E76-43981488021C}"/>
    <cellStyle name="40% - Accent5 2 6 3 3" xfId="15151" xr:uid="{8E081EDB-38BF-439C-AA77-04E234832F34}"/>
    <cellStyle name="40% - Accent5 2 6 4" xfId="19374" xr:uid="{8CC275D3-DDEE-4BDC-982B-216BC2D5F51D}"/>
    <cellStyle name="40% - Accent5 2 6 5" xfId="10934" xr:uid="{DB096E58-FB32-41AA-8744-C7D0DCA93583}"/>
    <cellStyle name="40% - Accent5 2 7" xfId="1932" xr:uid="{00000000-0005-0000-0000-00008B060000}"/>
    <cellStyle name="40% - Accent5 2 7 2" xfId="4161" xr:uid="{00000000-0005-0000-0000-00008C060000}"/>
    <cellStyle name="40% - Accent5 2 7 2 2" xfId="8383" xr:uid="{00000000-0005-0000-0000-00008D060000}"/>
    <cellStyle name="40% - Accent5 2 7 2 2 2" xfId="26149" xr:uid="{713DD814-CE7E-48E5-BDA7-F3B07B935350}"/>
    <cellStyle name="40% - Accent5 2 7 2 2 3" xfId="17709" xr:uid="{8C94C1C8-82F2-4879-AAFE-04BDA2898D88}"/>
    <cellStyle name="40% - Accent5 2 7 2 3" xfId="21932" xr:uid="{036C540B-DA37-43F3-A8FE-E9BDD459A71D}"/>
    <cellStyle name="40% - Accent5 2 7 2 4" xfId="13492" xr:uid="{66AC52F5-1AEB-44B2-97A6-499A29A538EB}"/>
    <cellStyle name="40% - Accent5 2 7 3" xfId="6238" xr:uid="{00000000-0005-0000-0000-00008E060000}"/>
    <cellStyle name="40% - Accent5 2 7 3 2" xfId="24004" xr:uid="{EF9B4631-3941-440A-826B-8D0246A6528E}"/>
    <cellStyle name="40% - Accent5 2 7 3 3" xfId="15564" xr:uid="{F0D2139D-2F9E-4123-AF57-0A598C1DE8B7}"/>
    <cellStyle name="40% - Accent5 2 7 4" xfId="19787" xr:uid="{6C058852-BEDE-488B-AC9C-4BEED6D047EC}"/>
    <cellStyle name="40% - Accent5 2 7 5" xfId="11347" xr:uid="{4F07728A-B8B6-4452-A8CA-CE006993D49E}"/>
    <cellStyle name="40% - Accent5 2 8" xfId="2345" xr:uid="{00000000-0005-0000-0000-00008F060000}"/>
    <cellStyle name="40% - Accent5 2 8 2" xfId="6651" xr:uid="{00000000-0005-0000-0000-000090060000}"/>
    <cellStyle name="40% - Accent5 2 8 2 2" xfId="24417" xr:uid="{CE85CA63-DA67-4F1F-83C2-CA77C13925A5}"/>
    <cellStyle name="40% - Accent5 2 8 2 3" xfId="15977" xr:uid="{E8C68C4E-6BDE-4E36-A47D-065EC6E820F9}"/>
    <cellStyle name="40% - Accent5 2 8 3" xfId="20200" xr:uid="{91B7758D-42FD-4BCF-B637-ACF67A165076}"/>
    <cellStyle name="40% - Accent5 2 8 4" xfId="11760" xr:uid="{4CA100B9-D063-4951-A58D-317FCB607024}"/>
    <cellStyle name="40% - Accent5 2 9" xfId="4585" xr:uid="{00000000-0005-0000-0000-000091060000}"/>
    <cellStyle name="40% - Accent5 2 9 2" xfId="22351" xr:uid="{442F9AC9-435C-47BA-8453-ACFC0AEF419B}"/>
    <cellStyle name="40% - Accent5 2 9 3" xfId="13911" xr:uid="{D523BAA5-0401-42D6-87E8-992312300B5F}"/>
    <cellStyle name="40% - Accent5 3" xfId="86" xr:uid="{00000000-0005-0000-0000-000092060000}"/>
    <cellStyle name="40% - Accent5 3 10" xfId="9698" xr:uid="{8A1206A9-7DFE-4530-88FE-4B09E76E23CB}"/>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24915" xr:uid="{D2A9AECE-5559-4A74-8669-FE8513349DC3}"/>
    <cellStyle name="40% - Accent5 3 2 2 2 2 3" xfId="16475" xr:uid="{FC8BC88B-924B-4E04-9D60-CD52F27D754A}"/>
    <cellStyle name="40% - Accent5 3 2 2 2 3" xfId="20698" xr:uid="{6AC4B6F1-F641-4FE1-BF32-6D808C21D30B}"/>
    <cellStyle name="40% - Accent5 3 2 2 2 4" xfId="12258" xr:uid="{6922CB2C-B60B-4336-8F60-1D66B12BCFCB}"/>
    <cellStyle name="40% - Accent5 3 2 2 3" xfId="5004" xr:uid="{00000000-0005-0000-0000-000097060000}"/>
    <cellStyle name="40% - Accent5 3 2 2 3 2" xfId="22770" xr:uid="{7E73BA85-F94E-4B56-A74A-F832FED9A272}"/>
    <cellStyle name="40% - Accent5 3 2 2 3 3" xfId="14330" xr:uid="{E3A07E7D-6AA6-4EBA-9FCF-53D9DDE57A6A}"/>
    <cellStyle name="40% - Accent5 3 2 2 4" xfId="9502" xr:uid="{96903B0D-DCFE-4149-8088-461BCB03A73B}"/>
    <cellStyle name="40% - Accent5 3 2 2 4 2" xfId="18553" xr:uid="{0DD6A98F-808F-4810-BD66-63687F96722F}"/>
    <cellStyle name="40% - Accent5 3 2 2 5" xfId="10113" xr:uid="{CD917F1A-20C8-42B5-8A5B-910627AD2969}"/>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25328" xr:uid="{9265D1C0-827B-487D-8834-F178849FBBE8}"/>
    <cellStyle name="40% - Accent5 3 2 3 2 2 3" xfId="16888" xr:uid="{A528B950-35F0-4B1A-8B66-F525317C8322}"/>
    <cellStyle name="40% - Accent5 3 2 3 2 3" xfId="21111" xr:uid="{87ECFE32-CCAC-4FE1-B3F4-484F17E2D52F}"/>
    <cellStyle name="40% - Accent5 3 2 3 2 4" xfId="12671" xr:uid="{BEDAC968-E65E-4BEB-ACD4-26BE075617DC}"/>
    <cellStyle name="40% - Accent5 3 2 3 3" xfId="5417" xr:uid="{00000000-0005-0000-0000-00009B060000}"/>
    <cellStyle name="40% - Accent5 3 2 3 3 2" xfId="23183" xr:uid="{19B367B2-7176-40F8-81A5-3B6D6D0606DB}"/>
    <cellStyle name="40% - Accent5 3 2 3 3 3" xfId="14743" xr:uid="{D0081970-1B90-4190-BCD8-FD9EBF07F876}"/>
    <cellStyle name="40% - Accent5 3 2 3 4" xfId="18966" xr:uid="{46BE9DF8-B6CB-4214-A59B-0D8F1115AD8B}"/>
    <cellStyle name="40% - Accent5 3 2 3 5" xfId="10526" xr:uid="{714CDB20-02E3-4937-8919-56B17A1C5353}"/>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25741" xr:uid="{E2E79806-4C28-4286-B745-3B2C48CBC54C}"/>
    <cellStyle name="40% - Accent5 3 2 4 2 2 3" xfId="17301" xr:uid="{386BD2A1-9740-4BEA-B045-6B1C2395CAD4}"/>
    <cellStyle name="40% - Accent5 3 2 4 2 3" xfId="21524" xr:uid="{3AA53D37-56F4-4CFF-8119-6CECC76EFCDE}"/>
    <cellStyle name="40% - Accent5 3 2 4 2 4" xfId="13084" xr:uid="{224B0CB8-87AB-491F-9313-D41CFEAA9835}"/>
    <cellStyle name="40% - Accent5 3 2 4 3" xfId="5830" xr:uid="{00000000-0005-0000-0000-00009F060000}"/>
    <cellStyle name="40% - Accent5 3 2 4 3 2" xfId="23596" xr:uid="{C90471F4-C2CA-4254-8558-78205B37EE8B}"/>
    <cellStyle name="40% - Accent5 3 2 4 3 3" xfId="15156" xr:uid="{460D5EDF-1F1F-48E2-AEF7-7C9BA57A95FA}"/>
    <cellStyle name="40% - Accent5 3 2 4 4" xfId="19379" xr:uid="{24D9086C-9530-4876-9F0C-9FFD26948EDE}"/>
    <cellStyle name="40% - Accent5 3 2 4 5" xfId="10939" xr:uid="{0FCB1673-1F6F-4726-B47F-39B20CDADAE6}"/>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26154" xr:uid="{8206863A-45E3-4E29-B4AC-265CE63D5155}"/>
    <cellStyle name="40% - Accent5 3 2 5 2 2 3" xfId="17714" xr:uid="{A1AFB926-C1C6-4F69-A4D6-D849A7B6F08E}"/>
    <cellStyle name="40% - Accent5 3 2 5 2 3" xfId="21937" xr:uid="{F923C402-1B54-4768-8ACD-35450502EBCB}"/>
    <cellStyle name="40% - Accent5 3 2 5 2 4" xfId="13497" xr:uid="{FCD006B4-8C38-4ABC-AD40-CD21AC94FD66}"/>
    <cellStyle name="40% - Accent5 3 2 5 3" xfId="6243" xr:uid="{00000000-0005-0000-0000-0000A3060000}"/>
    <cellStyle name="40% - Accent5 3 2 5 3 2" xfId="24009" xr:uid="{584404DA-1A35-4A8A-ACDD-76D00DB5A3B7}"/>
    <cellStyle name="40% - Accent5 3 2 5 3 3" xfId="15569" xr:uid="{71C1AA29-9B22-4DDB-AD0E-70ACA2F85A97}"/>
    <cellStyle name="40% - Accent5 3 2 5 4" xfId="19792" xr:uid="{EC05953A-0E95-46AC-9FC9-FA8FFC3726AD}"/>
    <cellStyle name="40% - Accent5 3 2 5 5" xfId="11352" xr:uid="{D5E7F925-E2D2-4C12-8C63-B108C84718EB}"/>
    <cellStyle name="40% - Accent5 3 2 6" xfId="2350" xr:uid="{00000000-0005-0000-0000-0000A4060000}"/>
    <cellStyle name="40% - Accent5 3 2 6 2" xfId="6656" xr:uid="{00000000-0005-0000-0000-0000A5060000}"/>
    <cellStyle name="40% - Accent5 3 2 6 2 2" xfId="24422" xr:uid="{51BF947D-715B-4BB9-ADC7-A34C9881480C}"/>
    <cellStyle name="40% - Accent5 3 2 6 2 3" xfId="15982" xr:uid="{01B3D463-B58E-4BFA-BBAB-75CE1CA0F628}"/>
    <cellStyle name="40% - Accent5 3 2 6 3" xfId="20205" xr:uid="{1A0FF95D-57A7-4CD7-8EF6-2E74728EA835}"/>
    <cellStyle name="40% - Accent5 3 2 6 4" xfId="11765" xr:uid="{56D03046-06B3-4EBD-9854-BD51601099E6}"/>
    <cellStyle name="40% - Accent5 3 2 7" xfId="4590" xr:uid="{00000000-0005-0000-0000-0000A6060000}"/>
    <cellStyle name="40% - Accent5 3 2 7 2" xfId="22356" xr:uid="{26652B16-DCC4-449D-AF6E-025B7549962A}"/>
    <cellStyle name="40% - Accent5 3 2 7 3" xfId="13916" xr:uid="{85FFCBA8-BF3B-4AA1-A447-1618D5D87010}"/>
    <cellStyle name="40% - Accent5 3 2 8" xfId="9077" xr:uid="{8842DD15-54E4-487D-B492-3A505722387C}"/>
    <cellStyle name="40% - Accent5 3 2 8 2" xfId="18139" xr:uid="{ECDF650C-7447-4A04-B57D-052703740AE6}"/>
    <cellStyle name="40% - Accent5 3 2 9" xfId="9699" xr:uid="{786B399F-7F25-4832-A326-11DB4E2D3668}"/>
    <cellStyle name="40% - Accent5 3 3" xfId="655" xr:uid="{00000000-0005-0000-0000-0000A7060000}"/>
    <cellStyle name="40% - Accent5 3 3 2" xfId="2926" xr:uid="{00000000-0005-0000-0000-0000A8060000}"/>
    <cellStyle name="40% - Accent5 3 3 2 2" xfId="7148" xr:uid="{00000000-0005-0000-0000-0000A9060000}"/>
    <cellStyle name="40% - Accent5 3 3 2 2 2" xfId="24914" xr:uid="{9694C829-DAE9-413C-BA94-655E7187C294}"/>
    <cellStyle name="40% - Accent5 3 3 2 2 3" xfId="16474" xr:uid="{B3329035-AEB1-4E61-B00F-A69831D701AA}"/>
    <cellStyle name="40% - Accent5 3 3 2 3" xfId="20697" xr:uid="{36213494-61F5-4164-B88A-E3F33FD5B477}"/>
    <cellStyle name="40% - Accent5 3 3 2 4" xfId="12257" xr:uid="{110AC4B8-82E4-4534-983D-031C306BA9A5}"/>
    <cellStyle name="40% - Accent5 3 3 3" xfId="5003" xr:uid="{00000000-0005-0000-0000-0000AA060000}"/>
    <cellStyle name="40% - Accent5 3 3 3 2" xfId="22769" xr:uid="{AD2A59BB-B1C3-4E34-9F27-FDAA73CA7B51}"/>
    <cellStyle name="40% - Accent5 3 3 3 3" xfId="14329" xr:uid="{74ECB492-1480-4498-9CB2-EB9E38DF4008}"/>
    <cellStyle name="40% - Accent5 3 3 4" xfId="9295" xr:uid="{0D42C89E-252E-426A-8E1F-7D3AD6B9FE55}"/>
    <cellStyle name="40% - Accent5 3 3 4 2" xfId="18552" xr:uid="{F8B979B2-5200-4B20-AB9E-35BE6A70B461}"/>
    <cellStyle name="40% - Accent5 3 3 5" xfId="10112" xr:uid="{0BAF3369-7952-450A-87FF-3FACCCAE4A93}"/>
    <cellStyle name="40% - Accent5 3 4" xfId="1108" xr:uid="{00000000-0005-0000-0000-0000AB060000}"/>
    <cellStyle name="40% - Accent5 3 4 2" xfId="3339" xr:uid="{00000000-0005-0000-0000-0000AC060000}"/>
    <cellStyle name="40% - Accent5 3 4 2 2" xfId="7561" xr:uid="{00000000-0005-0000-0000-0000AD060000}"/>
    <cellStyle name="40% - Accent5 3 4 2 2 2" xfId="25327" xr:uid="{25833EEC-EEF9-463E-B98E-491ACD7CC542}"/>
    <cellStyle name="40% - Accent5 3 4 2 2 3" xfId="16887" xr:uid="{E67AFF70-BB55-423C-A047-E03140676B2E}"/>
    <cellStyle name="40% - Accent5 3 4 2 3" xfId="21110" xr:uid="{FF3BFA33-3885-4789-855E-FDD3F347A41B}"/>
    <cellStyle name="40% - Accent5 3 4 2 4" xfId="12670" xr:uid="{AE74BF47-487E-4163-98C9-509B630CA019}"/>
    <cellStyle name="40% - Accent5 3 4 3" xfId="5416" xr:uid="{00000000-0005-0000-0000-0000AE060000}"/>
    <cellStyle name="40% - Accent5 3 4 3 2" xfId="23182" xr:uid="{E395F0C5-F372-49C8-A884-8D38E2B9B071}"/>
    <cellStyle name="40% - Accent5 3 4 3 3" xfId="14742" xr:uid="{672845C9-0178-4B8B-A1BD-382C4D8A8CFF}"/>
    <cellStyle name="40% - Accent5 3 4 4" xfId="18965" xr:uid="{B1BD7C06-6252-441C-BA07-DC89EF86AD0B}"/>
    <cellStyle name="40% - Accent5 3 4 5" xfId="10525" xr:uid="{BBBB9D3C-4D3B-4D28-885B-8E6E95D36793}"/>
    <cellStyle name="40% - Accent5 3 5" xfId="1522" xr:uid="{00000000-0005-0000-0000-0000AF060000}"/>
    <cellStyle name="40% - Accent5 3 5 2" xfId="3752" xr:uid="{00000000-0005-0000-0000-0000B0060000}"/>
    <cellStyle name="40% - Accent5 3 5 2 2" xfId="7974" xr:uid="{00000000-0005-0000-0000-0000B1060000}"/>
    <cellStyle name="40% - Accent5 3 5 2 2 2" xfId="25740" xr:uid="{3C74A654-AE73-41B3-B491-4A98CD983914}"/>
    <cellStyle name="40% - Accent5 3 5 2 2 3" xfId="17300" xr:uid="{AE250F3A-2F0D-45E3-B4A4-40714C7912B3}"/>
    <cellStyle name="40% - Accent5 3 5 2 3" xfId="21523" xr:uid="{ECC4206D-8CA8-492F-A42B-51598B2DE01F}"/>
    <cellStyle name="40% - Accent5 3 5 2 4" xfId="13083" xr:uid="{43B1EBBC-F617-42A1-8DD9-93EE00819AB2}"/>
    <cellStyle name="40% - Accent5 3 5 3" xfId="5829" xr:uid="{00000000-0005-0000-0000-0000B2060000}"/>
    <cellStyle name="40% - Accent5 3 5 3 2" xfId="23595" xr:uid="{2CA735A4-6CB4-4105-AE1E-8F503584FCD9}"/>
    <cellStyle name="40% - Accent5 3 5 3 3" xfId="15155" xr:uid="{6A4F2513-252F-47A2-B815-51A435EFF8AA}"/>
    <cellStyle name="40% - Accent5 3 5 4" xfId="19378" xr:uid="{BAEF42FE-DE4C-41FC-AD8F-32F4F37C375E}"/>
    <cellStyle name="40% - Accent5 3 5 5" xfId="10938" xr:uid="{7BF8F1E0-19B8-4CA1-8400-52AFC146A326}"/>
    <cellStyle name="40% - Accent5 3 6" xfId="1936" xr:uid="{00000000-0005-0000-0000-0000B3060000}"/>
    <cellStyle name="40% - Accent5 3 6 2" xfId="4165" xr:uid="{00000000-0005-0000-0000-0000B4060000}"/>
    <cellStyle name="40% - Accent5 3 6 2 2" xfId="8387" xr:uid="{00000000-0005-0000-0000-0000B5060000}"/>
    <cellStyle name="40% - Accent5 3 6 2 2 2" xfId="26153" xr:uid="{91B8D2E6-2B7A-46A4-8D72-2224B5CD3540}"/>
    <cellStyle name="40% - Accent5 3 6 2 2 3" xfId="17713" xr:uid="{3580585A-A6F1-456C-92A5-BD0A4C842191}"/>
    <cellStyle name="40% - Accent5 3 6 2 3" xfId="21936" xr:uid="{9E0BDE2E-55A8-4311-B31B-FAB17EA56E27}"/>
    <cellStyle name="40% - Accent5 3 6 2 4" xfId="13496" xr:uid="{5A5A0485-8838-4A17-8216-928CC0072D0C}"/>
    <cellStyle name="40% - Accent5 3 6 3" xfId="6242" xr:uid="{00000000-0005-0000-0000-0000B6060000}"/>
    <cellStyle name="40% - Accent5 3 6 3 2" xfId="24008" xr:uid="{A798235D-6E4F-48A9-94F1-A23DF196499E}"/>
    <cellStyle name="40% - Accent5 3 6 3 3" xfId="15568" xr:uid="{A311A6EE-C5E5-4F0E-B635-461345B58CEE}"/>
    <cellStyle name="40% - Accent5 3 6 4" xfId="19791" xr:uid="{C190D9A5-5475-417F-BA5F-80B5A6CBD57F}"/>
    <cellStyle name="40% - Accent5 3 6 5" xfId="11351" xr:uid="{F8E930D0-176E-4AA6-A83D-267EA0D6314A}"/>
    <cellStyle name="40% - Accent5 3 7" xfId="2349" xr:uid="{00000000-0005-0000-0000-0000B7060000}"/>
    <cellStyle name="40% - Accent5 3 7 2" xfId="6655" xr:uid="{00000000-0005-0000-0000-0000B8060000}"/>
    <cellStyle name="40% - Accent5 3 7 2 2" xfId="24421" xr:uid="{F7E8A979-3DF4-49B7-A97C-0932AD3FE318}"/>
    <cellStyle name="40% - Accent5 3 7 2 3" xfId="15981" xr:uid="{72CF66D4-9EBF-4FA6-866E-3CA8C7E4CDA4}"/>
    <cellStyle name="40% - Accent5 3 7 3" xfId="20204" xr:uid="{06238A82-7900-4276-8358-BB188B8AFF4D}"/>
    <cellStyle name="40% - Accent5 3 7 4" xfId="11764" xr:uid="{5625E915-2301-4E71-8880-CD644A68FF92}"/>
    <cellStyle name="40% - Accent5 3 8" xfId="4589" xr:uid="{00000000-0005-0000-0000-0000B9060000}"/>
    <cellStyle name="40% - Accent5 3 8 2" xfId="22355" xr:uid="{22DFE2AA-2A1A-4AE2-AC9A-71A4CA05201A}"/>
    <cellStyle name="40% - Accent5 3 8 3" xfId="13915" xr:uid="{942F1569-F004-49C5-A29A-39EF60DFCB1B}"/>
    <cellStyle name="40% - Accent5 3 9" xfId="8870" xr:uid="{F7DB5D96-1272-4D48-B3B6-48053CFCBA44}"/>
    <cellStyle name="40% - Accent5 3 9 2" xfId="18138" xr:uid="{F29683AE-656C-4A14-A41E-448D8E9C36D5}"/>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24916" xr:uid="{F608CE68-F09E-483F-BE63-3C3F4568EF4E}"/>
    <cellStyle name="40% - Accent5 4 2 2 2 3" xfId="16476" xr:uid="{4F9E616B-92A6-49C5-9BDE-487BED10090C}"/>
    <cellStyle name="40% - Accent5 4 2 2 3" xfId="20699" xr:uid="{71C4CF52-F740-44FC-AA2B-7DCA028C54B2}"/>
    <cellStyle name="40% - Accent5 4 2 2 4" xfId="12259" xr:uid="{998A1B32-C7D1-4F0D-A060-C602DFEE4ACA}"/>
    <cellStyle name="40% - Accent5 4 2 3" xfId="5005" xr:uid="{00000000-0005-0000-0000-0000BE060000}"/>
    <cellStyle name="40% - Accent5 4 2 3 2" xfId="22771" xr:uid="{8D26B168-6290-4637-AAE3-FA4C93AE77D1}"/>
    <cellStyle name="40% - Accent5 4 2 3 3" xfId="14331" xr:uid="{682DBD47-A6C1-44D5-893A-45BA2A16D339}"/>
    <cellStyle name="40% - Accent5 4 2 4" xfId="9381" xr:uid="{6D86932C-AFC4-4FF0-967D-0F56E90E02E1}"/>
    <cellStyle name="40% - Accent5 4 2 4 2" xfId="18554" xr:uid="{890AEAC4-CD98-4264-9FBA-7EC00F43A6D1}"/>
    <cellStyle name="40% - Accent5 4 2 5" xfId="10114" xr:uid="{016D155C-9044-4A33-BC1F-5B147666DCB6}"/>
    <cellStyle name="40% - Accent5 4 3" xfId="1110" xr:uid="{00000000-0005-0000-0000-0000BF060000}"/>
    <cellStyle name="40% - Accent5 4 3 2" xfId="3341" xr:uid="{00000000-0005-0000-0000-0000C0060000}"/>
    <cellStyle name="40% - Accent5 4 3 2 2" xfId="7563" xr:uid="{00000000-0005-0000-0000-0000C1060000}"/>
    <cellStyle name="40% - Accent5 4 3 2 2 2" xfId="25329" xr:uid="{DD347594-6B7E-4753-9C12-8385C0098445}"/>
    <cellStyle name="40% - Accent5 4 3 2 2 3" xfId="16889" xr:uid="{0213FE3D-EB62-455F-984B-5BB282B39C40}"/>
    <cellStyle name="40% - Accent5 4 3 2 3" xfId="21112" xr:uid="{FF07CA23-C010-47F9-B52C-FAE0E8BAD328}"/>
    <cellStyle name="40% - Accent5 4 3 2 4" xfId="12672" xr:uid="{E54A12B0-79E6-41EB-8044-38A0E51A4404}"/>
    <cellStyle name="40% - Accent5 4 3 3" xfId="5418" xr:uid="{00000000-0005-0000-0000-0000C2060000}"/>
    <cellStyle name="40% - Accent5 4 3 3 2" xfId="23184" xr:uid="{37194297-005C-41AE-8C0E-85A0668713EC}"/>
    <cellStyle name="40% - Accent5 4 3 3 3" xfId="14744" xr:uid="{CACFE99E-F806-468D-910F-EB813F0216B0}"/>
    <cellStyle name="40% - Accent5 4 3 4" xfId="18967" xr:uid="{BE23DCE8-1566-40CC-842F-35BCC501F178}"/>
    <cellStyle name="40% - Accent5 4 3 5" xfId="10527" xr:uid="{46C52FB7-6B24-4212-9321-EEF92EFC8EFA}"/>
    <cellStyle name="40% - Accent5 4 4" xfId="1524" xr:uid="{00000000-0005-0000-0000-0000C3060000}"/>
    <cellStyle name="40% - Accent5 4 4 2" xfId="3754" xr:uid="{00000000-0005-0000-0000-0000C4060000}"/>
    <cellStyle name="40% - Accent5 4 4 2 2" xfId="7976" xr:uid="{00000000-0005-0000-0000-0000C5060000}"/>
    <cellStyle name="40% - Accent5 4 4 2 2 2" xfId="25742" xr:uid="{73110A02-C011-4147-ACDD-2088EFEBA135}"/>
    <cellStyle name="40% - Accent5 4 4 2 2 3" xfId="17302" xr:uid="{F2AE81A8-7C57-46A6-B879-6088BC2CD572}"/>
    <cellStyle name="40% - Accent5 4 4 2 3" xfId="21525" xr:uid="{494835B3-EB39-4B36-B518-32990EBA310B}"/>
    <cellStyle name="40% - Accent5 4 4 2 4" xfId="13085" xr:uid="{4B9D220A-8236-4E63-BCFD-9004D5C11A30}"/>
    <cellStyle name="40% - Accent5 4 4 3" xfId="5831" xr:uid="{00000000-0005-0000-0000-0000C6060000}"/>
    <cellStyle name="40% - Accent5 4 4 3 2" xfId="23597" xr:uid="{FE95F261-EC48-4C69-83FC-01ACA640CBF7}"/>
    <cellStyle name="40% - Accent5 4 4 3 3" xfId="15157" xr:uid="{2471360F-BEAF-480B-8F4E-5D682883D2D2}"/>
    <cellStyle name="40% - Accent5 4 4 4" xfId="19380" xr:uid="{267B4709-A777-43D6-B4A3-11A3FC70CD44}"/>
    <cellStyle name="40% - Accent5 4 4 5" xfId="10940" xr:uid="{2645657F-42B3-40AC-A1A2-638DAAC96113}"/>
    <cellStyle name="40% - Accent5 4 5" xfId="1938" xr:uid="{00000000-0005-0000-0000-0000C7060000}"/>
    <cellStyle name="40% - Accent5 4 5 2" xfId="4167" xr:uid="{00000000-0005-0000-0000-0000C8060000}"/>
    <cellStyle name="40% - Accent5 4 5 2 2" xfId="8389" xr:uid="{00000000-0005-0000-0000-0000C9060000}"/>
    <cellStyle name="40% - Accent5 4 5 2 2 2" xfId="26155" xr:uid="{7C65EB67-2D2F-4260-9D3C-AD26221C13E0}"/>
    <cellStyle name="40% - Accent5 4 5 2 2 3" xfId="17715" xr:uid="{BA1574EE-7FE9-4968-84AA-67625FC1FF3C}"/>
    <cellStyle name="40% - Accent5 4 5 2 3" xfId="21938" xr:uid="{321DC496-8A48-43D7-BB15-E05EA9D6DE2F}"/>
    <cellStyle name="40% - Accent5 4 5 2 4" xfId="13498" xr:uid="{B3619D2A-3F14-40FB-8E5F-17AABBB992D4}"/>
    <cellStyle name="40% - Accent5 4 5 3" xfId="6244" xr:uid="{00000000-0005-0000-0000-0000CA060000}"/>
    <cellStyle name="40% - Accent5 4 5 3 2" xfId="24010" xr:uid="{818C7D9C-F038-44F7-9905-15E380F2E862}"/>
    <cellStyle name="40% - Accent5 4 5 3 3" xfId="15570" xr:uid="{90A7130E-097D-4997-9254-555A123EA8B9}"/>
    <cellStyle name="40% - Accent5 4 5 4" xfId="19793" xr:uid="{2E1A8572-A2A0-4907-B9FC-9DA6ED94D5B8}"/>
    <cellStyle name="40% - Accent5 4 5 5" xfId="11353" xr:uid="{B5BB0F3B-1574-40DB-B510-B56131CE45B3}"/>
    <cellStyle name="40% - Accent5 4 6" xfId="2351" xr:uid="{00000000-0005-0000-0000-0000CB060000}"/>
    <cellStyle name="40% - Accent5 4 6 2" xfId="6657" xr:uid="{00000000-0005-0000-0000-0000CC060000}"/>
    <cellStyle name="40% - Accent5 4 6 2 2" xfId="24423" xr:uid="{B6D2BC8C-BF3C-45C0-B2F8-22A3C6C9734D}"/>
    <cellStyle name="40% - Accent5 4 6 2 3" xfId="15983" xr:uid="{F1605F7A-A3F0-412D-B82A-E94A283E501C}"/>
    <cellStyle name="40% - Accent5 4 6 3" xfId="20206" xr:uid="{03D7F868-9C17-401D-B15A-CA3165412CCD}"/>
    <cellStyle name="40% - Accent5 4 6 4" xfId="11766" xr:uid="{F5B641B6-0248-4FC2-8A4C-F47746522FE7}"/>
    <cellStyle name="40% - Accent5 4 7" xfId="4591" xr:uid="{00000000-0005-0000-0000-0000CD060000}"/>
    <cellStyle name="40% - Accent5 4 7 2" xfId="22357" xr:uid="{0F805EEA-9D26-4FE5-A6B7-002DE7F68EC4}"/>
    <cellStyle name="40% - Accent5 4 7 3" xfId="13917" xr:uid="{6EEF7402-2C0B-4748-B5D2-EB61A03D8A8B}"/>
    <cellStyle name="40% - Accent5 4 8" xfId="8956" xr:uid="{20EBAEFE-DF5E-4B38-878B-CDA5BD3DABC1}"/>
    <cellStyle name="40% - Accent5 4 8 2" xfId="18140" xr:uid="{7A07FDF2-25D6-4FE0-BBAA-C6E8737136A0}"/>
    <cellStyle name="40% - Accent5 4 9" xfId="9700" xr:uid="{DAA9EEFE-BE1C-46BE-8580-847DFEBBD385}"/>
    <cellStyle name="40% - Accent5 5" xfId="650" xr:uid="{00000000-0005-0000-0000-0000CE060000}"/>
    <cellStyle name="40% - Accent5 5 2" xfId="2921" xr:uid="{00000000-0005-0000-0000-0000CF060000}"/>
    <cellStyle name="40% - Accent5 5 2 2" xfId="7143" xr:uid="{00000000-0005-0000-0000-0000D0060000}"/>
    <cellStyle name="40% - Accent5 5 2 2 2" xfId="24909" xr:uid="{0BF671D8-C7CB-4DE8-8875-A68C8A5AA088}"/>
    <cellStyle name="40% - Accent5 5 2 2 3" xfId="16469" xr:uid="{9ADB3075-143B-4329-9A86-AF2A66675CAA}"/>
    <cellStyle name="40% - Accent5 5 2 3" xfId="20692" xr:uid="{0923A8AD-3168-4525-8E66-653576A73D07}"/>
    <cellStyle name="40% - Accent5 5 2 4" xfId="12252" xr:uid="{49CD348E-863C-4A37-B929-4A8B184A33D5}"/>
    <cellStyle name="40% - Accent5 5 3" xfId="4998" xr:uid="{00000000-0005-0000-0000-0000D1060000}"/>
    <cellStyle name="40% - Accent5 5 3 2" xfId="22764" xr:uid="{4A0F1B0B-9AA5-4E8E-88B3-5351D5B70D01}"/>
    <cellStyle name="40% - Accent5 5 3 3" xfId="14324" xr:uid="{B96E9FC9-8D75-476C-88B1-4D578AA58054}"/>
    <cellStyle name="40% - Accent5 5 4" xfId="9189" xr:uid="{AE9A155E-B06B-4FF1-8984-8F7810581B15}"/>
    <cellStyle name="40% - Accent5 5 4 2" xfId="18547" xr:uid="{F4DA188E-68AC-466A-94ED-7CAF84E5374F}"/>
    <cellStyle name="40% - Accent5 5 5" xfId="10107" xr:uid="{CE532F18-4A8A-4AF9-AEC6-C5EBDA1EC6E5}"/>
    <cellStyle name="40% - Accent5 6" xfId="1103" xr:uid="{00000000-0005-0000-0000-0000D2060000}"/>
    <cellStyle name="40% - Accent5 6 2" xfId="3334" xr:uid="{00000000-0005-0000-0000-0000D3060000}"/>
    <cellStyle name="40% - Accent5 6 2 2" xfId="7556" xr:uid="{00000000-0005-0000-0000-0000D4060000}"/>
    <cellStyle name="40% - Accent5 6 2 2 2" xfId="25322" xr:uid="{BAA68D96-809A-4DF3-9A99-F2176BEF8A57}"/>
    <cellStyle name="40% - Accent5 6 2 2 3" xfId="16882" xr:uid="{51BC03C0-DF06-4CE8-A342-D9AA77505863}"/>
    <cellStyle name="40% - Accent5 6 2 3" xfId="21105" xr:uid="{807CEA52-C2AC-492F-8F25-A5E0EC7C8316}"/>
    <cellStyle name="40% - Accent5 6 2 4" xfId="12665" xr:uid="{5497B42E-0439-4BE2-A85E-2402A4EF1660}"/>
    <cellStyle name="40% - Accent5 6 3" xfId="5411" xr:uid="{00000000-0005-0000-0000-0000D5060000}"/>
    <cellStyle name="40% - Accent5 6 3 2" xfId="23177" xr:uid="{92CC0C3D-1024-4970-AECF-3141DD384EB5}"/>
    <cellStyle name="40% - Accent5 6 3 3" xfId="14737" xr:uid="{E4CFCC8B-5CFB-49E4-B40C-12A2B2E0D44D}"/>
    <cellStyle name="40% - Accent5 6 4" xfId="18960" xr:uid="{DC919553-B904-4C11-B5CD-77A0F3833997}"/>
    <cellStyle name="40% - Accent5 6 5" xfId="10520" xr:uid="{A44EBEB3-13FE-4079-9AC2-37AB62285CEB}"/>
    <cellStyle name="40% - Accent5 7" xfId="1517" xr:uid="{00000000-0005-0000-0000-0000D6060000}"/>
    <cellStyle name="40% - Accent5 7 2" xfId="3747" xr:uid="{00000000-0005-0000-0000-0000D7060000}"/>
    <cellStyle name="40% - Accent5 7 2 2" xfId="7969" xr:uid="{00000000-0005-0000-0000-0000D8060000}"/>
    <cellStyle name="40% - Accent5 7 2 2 2" xfId="25735" xr:uid="{10D2BBCB-77D3-4A03-8ECC-4B8E434459DB}"/>
    <cellStyle name="40% - Accent5 7 2 2 3" xfId="17295" xr:uid="{9047CFBC-5B63-4338-85F0-B303D602796E}"/>
    <cellStyle name="40% - Accent5 7 2 3" xfId="21518" xr:uid="{297816ED-FCDA-44CF-97EA-520F3501F541}"/>
    <cellStyle name="40% - Accent5 7 2 4" xfId="13078" xr:uid="{6B33E387-8D37-4869-AAF8-17AC93222AAF}"/>
    <cellStyle name="40% - Accent5 7 3" xfId="5824" xr:uid="{00000000-0005-0000-0000-0000D9060000}"/>
    <cellStyle name="40% - Accent5 7 3 2" xfId="23590" xr:uid="{D0D2C453-9FF4-4620-9200-A258F611FF5E}"/>
    <cellStyle name="40% - Accent5 7 3 3" xfId="15150" xr:uid="{7F1566B8-33A8-4FB9-8502-EE10F8D740DE}"/>
    <cellStyle name="40% - Accent5 7 4" xfId="19373" xr:uid="{5FD0BD81-7B9F-4162-8D5E-EBCDF4C66499}"/>
    <cellStyle name="40% - Accent5 7 5" xfId="10933" xr:uid="{2DDB19D2-FA86-4216-A964-E37540D7936E}"/>
    <cellStyle name="40% - Accent5 8" xfId="1931" xr:uid="{00000000-0005-0000-0000-0000DA060000}"/>
    <cellStyle name="40% - Accent5 8 2" xfId="4160" xr:uid="{00000000-0005-0000-0000-0000DB060000}"/>
    <cellStyle name="40% - Accent5 8 2 2" xfId="8382" xr:uid="{00000000-0005-0000-0000-0000DC060000}"/>
    <cellStyle name="40% - Accent5 8 2 2 2" xfId="26148" xr:uid="{DE5DCBDF-278A-44F1-9160-E3087DADECAD}"/>
    <cellStyle name="40% - Accent5 8 2 2 3" xfId="17708" xr:uid="{92F4C77E-6D3B-4666-BE90-897EDED22BD8}"/>
    <cellStyle name="40% - Accent5 8 2 3" xfId="21931" xr:uid="{548DEC30-B899-4C9C-9F0E-C544D3640294}"/>
    <cellStyle name="40% - Accent5 8 2 4" xfId="13491" xr:uid="{58975093-4F22-4A92-85EF-AF55E49270E4}"/>
    <cellStyle name="40% - Accent5 8 3" xfId="6237" xr:uid="{00000000-0005-0000-0000-0000DD060000}"/>
    <cellStyle name="40% - Accent5 8 3 2" xfId="24003" xr:uid="{D1882284-8607-4AB6-AEAD-547D9C078C69}"/>
    <cellStyle name="40% - Accent5 8 3 3" xfId="15563" xr:uid="{914076F2-2E25-41B5-8CC6-BB38F71CC487}"/>
    <cellStyle name="40% - Accent5 8 4" xfId="19786" xr:uid="{76E5922F-4894-4FC0-A9F6-A335ADF081E8}"/>
    <cellStyle name="40% - Accent5 8 5" xfId="11346" xr:uid="{34349558-A9F6-4BFA-8425-E44066935BBC}"/>
    <cellStyle name="40% - Accent5 9" xfId="2344" xr:uid="{00000000-0005-0000-0000-0000DE060000}"/>
    <cellStyle name="40% - Accent5 9 2" xfId="6650" xr:uid="{00000000-0005-0000-0000-0000DF060000}"/>
    <cellStyle name="40% - Accent5 9 2 2" xfId="24416" xr:uid="{FC675D5E-D8A6-4397-8E00-29423CFA333B}"/>
    <cellStyle name="40% - Accent5 9 2 3" xfId="15976" xr:uid="{7993454D-5313-4C9F-AB9D-981CE2A56ED6}"/>
    <cellStyle name="40% - Accent5 9 3" xfId="20199" xr:uid="{B0A326E1-213B-4C42-A704-BDF062EAD40C}"/>
    <cellStyle name="40% - Accent5 9 4" xfId="11759" xr:uid="{EC094E8A-79CA-436C-885B-84961FC0F3A8}"/>
    <cellStyle name="40% - Accent6" xfId="89" builtinId="51" customBuiltin="1"/>
    <cellStyle name="40% - Accent6 10" xfId="4592" xr:uid="{00000000-0005-0000-0000-0000E1060000}"/>
    <cellStyle name="40% - Accent6 10 2" xfId="22358" xr:uid="{993052E4-76B5-42A5-9219-904A77D67E49}"/>
    <cellStyle name="40% - Accent6 10 3" xfId="13918" xr:uid="{EFE447AD-F1A6-49D2-95B8-F631F4CFD6F1}"/>
    <cellStyle name="40% - Accent6 11" xfId="8769" xr:uid="{8369FE49-3815-490F-BF3A-3BEB88E35DFA}"/>
    <cellStyle name="40% - Accent6 11 2" xfId="18141" xr:uid="{CA94732A-CF5A-42A2-B974-8911C186776D}"/>
    <cellStyle name="40% - Accent6 12" xfId="9701" xr:uid="{0AE0F013-1837-44F9-AE73-41C95646AD59}"/>
    <cellStyle name="40% - Accent6 2" xfId="90" xr:uid="{00000000-0005-0000-0000-0000E2060000}"/>
    <cellStyle name="40% - Accent6 2 10" xfId="8803" xr:uid="{3530B69D-EB1D-41EA-A6FB-440FE4FE29AB}"/>
    <cellStyle name="40% - Accent6 2 10 2" xfId="18142" xr:uid="{14D808FD-8FBB-4251-BD9D-6F504FB59C57}"/>
    <cellStyle name="40% - Accent6 2 11" xfId="9702" xr:uid="{2DFA845A-1B2B-4280-8CFA-0860C4927D65}"/>
    <cellStyle name="40% - Accent6 2 2" xfId="91" xr:uid="{00000000-0005-0000-0000-0000E3060000}"/>
    <cellStyle name="40% - Accent6 2 2 10" xfId="9703" xr:uid="{56627C7D-2345-442C-83BF-F108B93F8DFF}"/>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24920" xr:uid="{4F3F0ACD-0AC5-49BF-8527-ADEAA169AD8B}"/>
    <cellStyle name="40% - Accent6 2 2 2 2 2 2 3" xfId="16480" xr:uid="{8521927D-395E-4D27-B499-6341B0E87460}"/>
    <cellStyle name="40% - Accent6 2 2 2 2 2 3" xfId="20703" xr:uid="{4080BC91-4A09-48BB-BDF0-1E0F47BE363A}"/>
    <cellStyle name="40% - Accent6 2 2 2 2 2 4" xfId="12263" xr:uid="{BD44E14D-19E5-46FF-A16A-147A80331DAA}"/>
    <cellStyle name="40% - Accent6 2 2 2 2 3" xfId="5009" xr:uid="{00000000-0005-0000-0000-0000E8060000}"/>
    <cellStyle name="40% - Accent6 2 2 2 2 3 2" xfId="22775" xr:uid="{70219135-E0F6-4DCD-A5E7-C9974770AC9D}"/>
    <cellStyle name="40% - Accent6 2 2 2 2 3 3" xfId="14335" xr:uid="{BFAAD378-33A0-457C-8639-E647F2B90CBB}"/>
    <cellStyle name="40% - Accent6 2 2 2 2 4" xfId="9538" xr:uid="{D1801D0B-FDF1-4C59-8DE2-DEC53081BC5D}"/>
    <cellStyle name="40% - Accent6 2 2 2 2 4 2" xfId="18558" xr:uid="{4611FBD6-83FB-48F2-AFBA-3A6D0A87E01C}"/>
    <cellStyle name="40% - Accent6 2 2 2 2 5" xfId="10118" xr:uid="{F5CAD907-69F4-4B44-AAE6-9E55D0C32FE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25333" xr:uid="{F4F20DCF-838F-4783-AE2D-EB2F27DE270D}"/>
    <cellStyle name="40% - Accent6 2 2 2 3 2 2 3" xfId="16893" xr:uid="{DB342F03-BAB0-4B64-B19E-D2F29976455A}"/>
    <cellStyle name="40% - Accent6 2 2 2 3 2 3" xfId="21116" xr:uid="{69353E40-2C42-4089-B815-890BB6740862}"/>
    <cellStyle name="40% - Accent6 2 2 2 3 2 4" xfId="12676" xr:uid="{32043571-1034-4D2E-928C-1B8BC342770B}"/>
    <cellStyle name="40% - Accent6 2 2 2 3 3" xfId="5422" xr:uid="{00000000-0005-0000-0000-0000EC060000}"/>
    <cellStyle name="40% - Accent6 2 2 2 3 3 2" xfId="23188" xr:uid="{ABAC4781-2654-4ABD-BA45-FB636B0CC157}"/>
    <cellStyle name="40% - Accent6 2 2 2 3 3 3" xfId="14748" xr:uid="{066F7DAF-C094-4721-9E79-883BC01DCB7F}"/>
    <cellStyle name="40% - Accent6 2 2 2 3 4" xfId="18971" xr:uid="{3296C1B8-F4C1-4C7E-9C39-09482898E0CF}"/>
    <cellStyle name="40% - Accent6 2 2 2 3 5" xfId="10531" xr:uid="{07410D8D-F86D-46E9-9DB6-6F0D835E8F79}"/>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25746" xr:uid="{548E91AB-D233-41D0-A2A1-69EB96DA02B5}"/>
    <cellStyle name="40% - Accent6 2 2 2 4 2 2 3" xfId="17306" xr:uid="{7690F1F6-9445-4C2E-806A-F28336EE30F9}"/>
    <cellStyle name="40% - Accent6 2 2 2 4 2 3" xfId="21529" xr:uid="{3107429A-2E71-4AA7-8F73-B98467C3F0AF}"/>
    <cellStyle name="40% - Accent6 2 2 2 4 2 4" xfId="13089" xr:uid="{88D9D587-A123-4E1D-9565-4285A7B573C3}"/>
    <cellStyle name="40% - Accent6 2 2 2 4 3" xfId="5835" xr:uid="{00000000-0005-0000-0000-0000F0060000}"/>
    <cellStyle name="40% - Accent6 2 2 2 4 3 2" xfId="23601" xr:uid="{800F249A-6D6A-4B41-9ADE-7ACDD4D49AF7}"/>
    <cellStyle name="40% - Accent6 2 2 2 4 3 3" xfId="15161" xr:uid="{2950738D-4876-4CC5-A30E-A1AEE23C38C7}"/>
    <cellStyle name="40% - Accent6 2 2 2 4 4" xfId="19384" xr:uid="{D2E14F99-1941-48D3-A50B-DB75CBF5A786}"/>
    <cellStyle name="40% - Accent6 2 2 2 4 5" xfId="10944" xr:uid="{BB88035F-C620-4D8D-9249-3C0BC3E8089F}"/>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26159" xr:uid="{82126888-55A8-49D9-A07E-97F728A15A1F}"/>
    <cellStyle name="40% - Accent6 2 2 2 5 2 2 3" xfId="17719" xr:uid="{A7346DA2-CF8D-42D1-808F-63BD443B2B7A}"/>
    <cellStyle name="40% - Accent6 2 2 2 5 2 3" xfId="21942" xr:uid="{1C48A4B3-8279-407D-881D-8E384DCAB5F4}"/>
    <cellStyle name="40% - Accent6 2 2 2 5 2 4" xfId="13502" xr:uid="{166F6541-492A-4D3B-8CDA-E1FCD093005D}"/>
    <cellStyle name="40% - Accent6 2 2 2 5 3" xfId="6248" xr:uid="{00000000-0005-0000-0000-0000F4060000}"/>
    <cellStyle name="40% - Accent6 2 2 2 5 3 2" xfId="24014" xr:uid="{A56723C9-ABDD-49C5-B874-8697B0B42687}"/>
    <cellStyle name="40% - Accent6 2 2 2 5 3 3" xfId="15574" xr:uid="{3C7B36D9-BC65-4375-886E-F10899EE99A2}"/>
    <cellStyle name="40% - Accent6 2 2 2 5 4" xfId="19797" xr:uid="{6CAF3AEA-B071-48AD-A280-0B382F97C752}"/>
    <cellStyle name="40% - Accent6 2 2 2 5 5" xfId="11357" xr:uid="{027468C6-F5D0-4349-94BC-880D8DB032CD}"/>
    <cellStyle name="40% - Accent6 2 2 2 6" xfId="2355" xr:uid="{00000000-0005-0000-0000-0000F5060000}"/>
    <cellStyle name="40% - Accent6 2 2 2 6 2" xfId="6661" xr:uid="{00000000-0005-0000-0000-0000F6060000}"/>
    <cellStyle name="40% - Accent6 2 2 2 6 2 2" xfId="24427" xr:uid="{865E97EC-CEE5-4F99-9417-10E6BB1BB4EF}"/>
    <cellStyle name="40% - Accent6 2 2 2 6 2 3" xfId="15987" xr:uid="{956FF410-4E80-482F-BDF3-90011258B62C}"/>
    <cellStyle name="40% - Accent6 2 2 2 6 3" xfId="20210" xr:uid="{F5989ECE-E842-4B63-8384-1CE74764E143}"/>
    <cellStyle name="40% - Accent6 2 2 2 6 4" xfId="11770" xr:uid="{42DB1433-C896-4266-9FDC-7171E6198D10}"/>
    <cellStyle name="40% - Accent6 2 2 2 7" xfId="4595" xr:uid="{00000000-0005-0000-0000-0000F7060000}"/>
    <cellStyle name="40% - Accent6 2 2 2 7 2" xfId="22361" xr:uid="{E4262A27-4AFB-44F4-A3F2-FB1D3E96D856}"/>
    <cellStyle name="40% - Accent6 2 2 2 7 3" xfId="13921" xr:uid="{25B9A17A-E050-4DE3-93DE-572460A6A0E9}"/>
    <cellStyle name="40% - Accent6 2 2 2 8" xfId="9113" xr:uid="{D9373B4A-E1DA-437A-874A-FCE4D00708EB}"/>
    <cellStyle name="40% - Accent6 2 2 2 8 2" xfId="18144" xr:uid="{6DF09035-896A-46C6-A09C-63A61ACAB60B}"/>
    <cellStyle name="40% - Accent6 2 2 2 9" xfId="9704" xr:uid="{59CE0155-DD86-4A31-820D-6653FA98DDF1}"/>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24919" xr:uid="{116D18A9-45E5-42F0-B6C1-0F4F29931422}"/>
    <cellStyle name="40% - Accent6 2 2 3 2 2 3" xfId="16479" xr:uid="{A93EFC07-67E4-457A-A519-2C33DE131FEE}"/>
    <cellStyle name="40% - Accent6 2 2 3 2 3" xfId="20702" xr:uid="{AC5762DA-1558-47F0-8DA6-4DCC72D85BD6}"/>
    <cellStyle name="40% - Accent6 2 2 3 2 4" xfId="12262" xr:uid="{6818872B-A1E0-4A8A-A537-E74B40EFCF7F}"/>
    <cellStyle name="40% - Accent6 2 2 3 3" xfId="5008" xr:uid="{00000000-0005-0000-0000-0000FB060000}"/>
    <cellStyle name="40% - Accent6 2 2 3 3 2" xfId="22774" xr:uid="{FB9146BA-8A32-4D22-AF41-283BB3D428AA}"/>
    <cellStyle name="40% - Accent6 2 2 3 3 3" xfId="14334" xr:uid="{76E2D31B-8058-4DFB-9C53-72868CBCD077}"/>
    <cellStyle name="40% - Accent6 2 2 3 4" xfId="9331" xr:uid="{223B62DA-AA8A-4703-B6D5-D6AA8918B034}"/>
    <cellStyle name="40% - Accent6 2 2 3 4 2" xfId="18557" xr:uid="{4E744586-448C-42B5-8FB0-B9473254CDA9}"/>
    <cellStyle name="40% - Accent6 2 2 3 5" xfId="10117" xr:uid="{F5E86949-C628-46EC-ADD9-291AE0029C16}"/>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25332" xr:uid="{8373A445-D21D-4ECC-A4AE-913BC63B3ACC}"/>
    <cellStyle name="40% - Accent6 2 2 4 2 2 3" xfId="16892" xr:uid="{7AD586F1-1638-48AF-86D1-48AB6736F985}"/>
    <cellStyle name="40% - Accent6 2 2 4 2 3" xfId="21115" xr:uid="{7077D57E-F5DE-499F-8A74-B22F3A126760}"/>
    <cellStyle name="40% - Accent6 2 2 4 2 4" xfId="12675" xr:uid="{8DD1AFFD-1604-4FD4-9E84-0351569A7765}"/>
    <cellStyle name="40% - Accent6 2 2 4 3" xfId="5421" xr:uid="{00000000-0005-0000-0000-0000FF060000}"/>
    <cellStyle name="40% - Accent6 2 2 4 3 2" xfId="23187" xr:uid="{39EAFBFF-BEEF-4A1B-8D0B-6B015EB32B34}"/>
    <cellStyle name="40% - Accent6 2 2 4 3 3" xfId="14747" xr:uid="{8D2BB207-6E9C-43C9-A764-70F771E97D14}"/>
    <cellStyle name="40% - Accent6 2 2 4 4" xfId="18970" xr:uid="{BC9F54B0-1969-43C3-95D4-96796172DD4F}"/>
    <cellStyle name="40% - Accent6 2 2 4 5" xfId="10530" xr:uid="{983C693D-243F-4E59-AA54-EEAC48D6DDD1}"/>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25745" xr:uid="{59BBB4CF-2935-4B21-808F-E1906306C443}"/>
    <cellStyle name="40% - Accent6 2 2 5 2 2 3" xfId="17305" xr:uid="{1501A1EF-44C4-422C-B501-DA54EA4F178F}"/>
    <cellStyle name="40% - Accent6 2 2 5 2 3" xfId="21528" xr:uid="{6CE9C078-5506-40B2-9145-922D93E1497C}"/>
    <cellStyle name="40% - Accent6 2 2 5 2 4" xfId="13088" xr:uid="{3DA0579C-30AC-4E71-B3AC-FD238822C930}"/>
    <cellStyle name="40% - Accent6 2 2 5 3" xfId="5834" xr:uid="{00000000-0005-0000-0000-000003070000}"/>
    <cellStyle name="40% - Accent6 2 2 5 3 2" xfId="23600" xr:uid="{24B95B3F-19E7-42B7-B416-82770304BF4A}"/>
    <cellStyle name="40% - Accent6 2 2 5 3 3" xfId="15160" xr:uid="{07BD39A6-352B-4EF5-A4F7-CA4371D1AE7D}"/>
    <cellStyle name="40% - Accent6 2 2 5 4" xfId="19383" xr:uid="{804296F7-14E4-42EA-9B30-97A82576AD85}"/>
    <cellStyle name="40% - Accent6 2 2 5 5" xfId="10943" xr:uid="{F83564D0-9563-40FE-BA09-DA96D013E580}"/>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26158" xr:uid="{F6941BE1-C553-4B3F-857A-3AF3AB7FD1D9}"/>
    <cellStyle name="40% - Accent6 2 2 6 2 2 3" xfId="17718" xr:uid="{C4E1E816-B5A7-453A-8950-2DF37AC07463}"/>
    <cellStyle name="40% - Accent6 2 2 6 2 3" xfId="21941" xr:uid="{31A24658-4EF1-4F4D-8AA2-CEA45C4FA374}"/>
    <cellStyle name="40% - Accent6 2 2 6 2 4" xfId="13501" xr:uid="{CBFC93A6-7E8B-4B3B-8771-AAF7F025AB72}"/>
    <cellStyle name="40% - Accent6 2 2 6 3" xfId="6247" xr:uid="{00000000-0005-0000-0000-000007070000}"/>
    <cellStyle name="40% - Accent6 2 2 6 3 2" xfId="24013" xr:uid="{B604015F-42F5-4936-87B0-600776D7AD61}"/>
    <cellStyle name="40% - Accent6 2 2 6 3 3" xfId="15573" xr:uid="{59D1C14F-E02C-4047-A11D-7E420A3ABDDF}"/>
    <cellStyle name="40% - Accent6 2 2 6 4" xfId="19796" xr:uid="{A1B23BF2-0FE4-46CD-88B2-605D831CC203}"/>
    <cellStyle name="40% - Accent6 2 2 6 5" xfId="11356" xr:uid="{8B39DDFD-E537-4FE0-B910-A3C1AA3EB709}"/>
    <cellStyle name="40% - Accent6 2 2 7" xfId="2354" xr:uid="{00000000-0005-0000-0000-000008070000}"/>
    <cellStyle name="40% - Accent6 2 2 7 2" xfId="6660" xr:uid="{00000000-0005-0000-0000-000009070000}"/>
    <cellStyle name="40% - Accent6 2 2 7 2 2" xfId="24426" xr:uid="{209F77EA-7D25-46B0-8430-1BFC3E72C886}"/>
    <cellStyle name="40% - Accent6 2 2 7 2 3" xfId="15986" xr:uid="{C6C713D0-F587-434C-85AD-A6F7C73FF905}"/>
    <cellStyle name="40% - Accent6 2 2 7 3" xfId="20209" xr:uid="{E1966670-CE46-476B-9A53-324CEE86F598}"/>
    <cellStyle name="40% - Accent6 2 2 7 4" xfId="11769" xr:uid="{C4428437-C210-454E-8C02-51E7DCC4A172}"/>
    <cellStyle name="40% - Accent6 2 2 8" xfId="4594" xr:uid="{00000000-0005-0000-0000-00000A070000}"/>
    <cellStyle name="40% - Accent6 2 2 8 2" xfId="22360" xr:uid="{0297E080-EC13-4B92-BD8E-6CAB8B58FE9E}"/>
    <cellStyle name="40% - Accent6 2 2 8 3" xfId="13920" xr:uid="{121C4A37-28E9-4461-80DB-38F06AEF8D82}"/>
    <cellStyle name="40% - Accent6 2 2 9" xfId="8906" xr:uid="{C30FCA09-BA1A-4F54-9397-4FC676425C46}"/>
    <cellStyle name="40% - Accent6 2 2 9 2" xfId="18143" xr:uid="{A2D81127-4731-4145-B4B1-3750FB5CB72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24921" xr:uid="{21A43DE6-3611-4475-8930-820E2EDFE78E}"/>
    <cellStyle name="40% - Accent6 2 3 2 2 2 3" xfId="16481" xr:uid="{506C0280-C601-420B-8F2A-1D2ECBCA66C8}"/>
    <cellStyle name="40% - Accent6 2 3 2 2 3" xfId="20704" xr:uid="{478A7677-DF11-4295-A12A-13B55890EAD6}"/>
    <cellStyle name="40% - Accent6 2 3 2 2 4" xfId="12264" xr:uid="{44768A77-39E5-4D50-8619-B399777EB9A7}"/>
    <cellStyle name="40% - Accent6 2 3 2 3" xfId="5010" xr:uid="{00000000-0005-0000-0000-00000F070000}"/>
    <cellStyle name="40% - Accent6 2 3 2 3 2" xfId="22776" xr:uid="{1BC128C7-20C7-4F40-8959-5D7F52901D6F}"/>
    <cellStyle name="40% - Accent6 2 3 2 3 3" xfId="14336" xr:uid="{16EA7BCA-D6B7-465D-9D31-B485F3FB14B6}"/>
    <cellStyle name="40% - Accent6 2 3 2 4" xfId="9435" xr:uid="{36535681-1736-4584-8CB6-F8F38C9E0E5B}"/>
    <cellStyle name="40% - Accent6 2 3 2 4 2" xfId="18559" xr:uid="{4CDB1F5C-78BF-43F1-8083-67D1959DAAAE}"/>
    <cellStyle name="40% - Accent6 2 3 2 5" xfId="10119" xr:uid="{FBB7F52E-B773-45E9-968E-DE3581B6F85C}"/>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25334" xr:uid="{3B596C18-BA28-4C99-8716-83428016E774}"/>
    <cellStyle name="40% - Accent6 2 3 3 2 2 3" xfId="16894" xr:uid="{1C0819C6-1D07-407D-8ACF-1FD21F97DAA8}"/>
    <cellStyle name="40% - Accent6 2 3 3 2 3" xfId="21117" xr:uid="{4506635A-531D-4CDF-834F-443B11A39F49}"/>
    <cellStyle name="40% - Accent6 2 3 3 2 4" xfId="12677" xr:uid="{C12A30EC-0DD6-47B5-82F9-D38BD5231FB9}"/>
    <cellStyle name="40% - Accent6 2 3 3 3" xfId="5423" xr:uid="{00000000-0005-0000-0000-000013070000}"/>
    <cellStyle name="40% - Accent6 2 3 3 3 2" xfId="23189" xr:uid="{2E293CA3-E7C6-4C74-BB09-C544E0C6E28E}"/>
    <cellStyle name="40% - Accent6 2 3 3 3 3" xfId="14749" xr:uid="{7A2D6429-1D94-408B-9DE8-9F06CDBF30F4}"/>
    <cellStyle name="40% - Accent6 2 3 3 4" xfId="18972" xr:uid="{E4346CBC-0580-408C-AE1D-EAA34B8DE944}"/>
    <cellStyle name="40% - Accent6 2 3 3 5" xfId="10532" xr:uid="{A2FA8F87-641C-403D-B546-96259CC4F170}"/>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25747" xr:uid="{B921DF09-3D1D-4DA9-AC4A-581A416C4D3E}"/>
    <cellStyle name="40% - Accent6 2 3 4 2 2 3" xfId="17307" xr:uid="{25299546-A2F8-45C2-8805-F6583A0AE507}"/>
    <cellStyle name="40% - Accent6 2 3 4 2 3" xfId="21530" xr:uid="{3BD63F50-11F8-456C-8BC5-63C01381E4B5}"/>
    <cellStyle name="40% - Accent6 2 3 4 2 4" xfId="13090" xr:uid="{936142BC-C5C8-4556-AB5B-C2FCB70C1258}"/>
    <cellStyle name="40% - Accent6 2 3 4 3" xfId="5836" xr:uid="{00000000-0005-0000-0000-000017070000}"/>
    <cellStyle name="40% - Accent6 2 3 4 3 2" xfId="23602" xr:uid="{16D8B8FB-FD0F-47CE-B822-B872E54CD060}"/>
    <cellStyle name="40% - Accent6 2 3 4 3 3" xfId="15162" xr:uid="{A3742453-A9ED-47A6-926B-595B9CF10E42}"/>
    <cellStyle name="40% - Accent6 2 3 4 4" xfId="19385" xr:uid="{C1857266-6595-4747-8F25-AD5DB3F76FC1}"/>
    <cellStyle name="40% - Accent6 2 3 4 5" xfId="10945" xr:uid="{B529811C-AFC0-4B0A-9612-A1C27D98CFFE}"/>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26160" xr:uid="{3300F09A-B126-407C-90ED-E76785877CEE}"/>
    <cellStyle name="40% - Accent6 2 3 5 2 2 3" xfId="17720" xr:uid="{37581AB1-4227-44ED-9761-FF36E8BBEBE2}"/>
    <cellStyle name="40% - Accent6 2 3 5 2 3" xfId="21943" xr:uid="{077273F1-ABB2-46BA-B438-FD8E36F73003}"/>
    <cellStyle name="40% - Accent6 2 3 5 2 4" xfId="13503" xr:uid="{DD310A93-A4EB-4692-8E04-9D387ED45475}"/>
    <cellStyle name="40% - Accent6 2 3 5 3" xfId="6249" xr:uid="{00000000-0005-0000-0000-00001B070000}"/>
    <cellStyle name="40% - Accent6 2 3 5 3 2" xfId="24015" xr:uid="{49238A3C-DC97-4A14-B7D5-2781475487E5}"/>
    <cellStyle name="40% - Accent6 2 3 5 3 3" xfId="15575" xr:uid="{8AFCC4DC-031E-4F22-9948-82B5E36E7A1D}"/>
    <cellStyle name="40% - Accent6 2 3 5 4" xfId="19798" xr:uid="{B190557F-8321-4645-92AB-6324925C98A7}"/>
    <cellStyle name="40% - Accent6 2 3 5 5" xfId="11358" xr:uid="{33844E1C-EEC9-4F9D-902C-EC304B3819EB}"/>
    <cellStyle name="40% - Accent6 2 3 6" xfId="2356" xr:uid="{00000000-0005-0000-0000-00001C070000}"/>
    <cellStyle name="40% - Accent6 2 3 6 2" xfId="6662" xr:uid="{00000000-0005-0000-0000-00001D070000}"/>
    <cellStyle name="40% - Accent6 2 3 6 2 2" xfId="24428" xr:uid="{172A5D9C-ADA6-4D8A-919A-6DF0E98BB175}"/>
    <cellStyle name="40% - Accent6 2 3 6 2 3" xfId="15988" xr:uid="{7E33FF2D-ADCD-4762-8674-8885B9E415D3}"/>
    <cellStyle name="40% - Accent6 2 3 6 3" xfId="20211" xr:uid="{8CDD8BF5-83DF-4833-9FF1-24A47F214C1B}"/>
    <cellStyle name="40% - Accent6 2 3 6 4" xfId="11771" xr:uid="{1847AC76-3445-48C2-84AC-2A2E41D936BD}"/>
    <cellStyle name="40% - Accent6 2 3 7" xfId="4596" xr:uid="{00000000-0005-0000-0000-00001E070000}"/>
    <cellStyle name="40% - Accent6 2 3 7 2" xfId="22362" xr:uid="{9506B66F-537F-42F3-AD39-80893222C079}"/>
    <cellStyle name="40% - Accent6 2 3 7 3" xfId="13922" xr:uid="{63D39EA9-D877-45FE-A40E-E5CEB2286F3C}"/>
    <cellStyle name="40% - Accent6 2 3 8" xfId="9010" xr:uid="{63E1B5F8-FE5F-441F-B768-94B1D98CB2B1}"/>
    <cellStyle name="40% - Accent6 2 3 8 2" xfId="18145" xr:uid="{07C333F7-4D2C-457F-9AD9-C82F6D598020}"/>
    <cellStyle name="40% - Accent6 2 3 9" xfId="9705" xr:uid="{88B73A2A-FB28-4B2A-90F8-8C7E6F957C39}"/>
    <cellStyle name="40% - Accent6 2 4" xfId="659" xr:uid="{00000000-0005-0000-0000-00001F070000}"/>
    <cellStyle name="40% - Accent6 2 4 2" xfId="2930" xr:uid="{00000000-0005-0000-0000-000020070000}"/>
    <cellStyle name="40% - Accent6 2 4 2 2" xfId="7152" xr:uid="{00000000-0005-0000-0000-000021070000}"/>
    <cellStyle name="40% - Accent6 2 4 2 2 2" xfId="24918" xr:uid="{FA57F4E9-8A87-4C88-A1A0-8AFBB8A94112}"/>
    <cellStyle name="40% - Accent6 2 4 2 2 3" xfId="16478" xr:uid="{2837974B-BC22-480C-8058-604E571545D9}"/>
    <cellStyle name="40% - Accent6 2 4 2 3" xfId="20701" xr:uid="{B43B8AAA-80F9-47FC-B0DB-3EAC442009D9}"/>
    <cellStyle name="40% - Accent6 2 4 2 4" xfId="12261" xr:uid="{DAF9D4B0-213A-4A95-A570-A34112957AE0}"/>
    <cellStyle name="40% - Accent6 2 4 3" xfId="5007" xr:uid="{00000000-0005-0000-0000-000022070000}"/>
    <cellStyle name="40% - Accent6 2 4 3 2" xfId="22773" xr:uid="{48AB65A6-2FE4-443F-B08A-74E9591CD9CC}"/>
    <cellStyle name="40% - Accent6 2 4 3 3" xfId="14333" xr:uid="{29906AC0-E23F-49E8-98F0-73E54C45B98A}"/>
    <cellStyle name="40% - Accent6 2 4 4" xfId="9227" xr:uid="{61BC3AC1-FAE9-47DF-8143-7EECE05FF8D3}"/>
    <cellStyle name="40% - Accent6 2 4 4 2" xfId="18556" xr:uid="{755F80F2-EDF2-4454-8479-42549CA5395C}"/>
    <cellStyle name="40% - Accent6 2 4 5" xfId="10116" xr:uid="{CF483B4B-563B-42C1-8DDB-DC0F014FEFE1}"/>
    <cellStyle name="40% - Accent6 2 5" xfId="1112" xr:uid="{00000000-0005-0000-0000-000023070000}"/>
    <cellStyle name="40% - Accent6 2 5 2" xfId="3343" xr:uid="{00000000-0005-0000-0000-000024070000}"/>
    <cellStyle name="40% - Accent6 2 5 2 2" xfId="7565" xr:uid="{00000000-0005-0000-0000-000025070000}"/>
    <cellStyle name="40% - Accent6 2 5 2 2 2" xfId="25331" xr:uid="{9712F9E2-D34B-4919-928E-C698E8ECBC8F}"/>
    <cellStyle name="40% - Accent6 2 5 2 2 3" xfId="16891" xr:uid="{0D0174C4-9EE8-4FC7-B6D8-29A7AB8C0633}"/>
    <cellStyle name="40% - Accent6 2 5 2 3" xfId="21114" xr:uid="{AF2DA3F7-B617-47E2-B48C-DEA3AA2B598C}"/>
    <cellStyle name="40% - Accent6 2 5 2 4" xfId="12674" xr:uid="{934092BB-0FE5-4139-8D7A-7923D01F973A}"/>
    <cellStyle name="40% - Accent6 2 5 3" xfId="5420" xr:uid="{00000000-0005-0000-0000-000026070000}"/>
    <cellStyle name="40% - Accent6 2 5 3 2" xfId="23186" xr:uid="{9BAB0881-BD08-47DA-B8BB-80CEF6C7BD9A}"/>
    <cellStyle name="40% - Accent6 2 5 3 3" xfId="14746" xr:uid="{366D20DE-14C2-4662-917A-452E28D42090}"/>
    <cellStyle name="40% - Accent6 2 5 4" xfId="18969" xr:uid="{D7BE2E8F-9BB5-4C2A-A008-1C5328B3ECF1}"/>
    <cellStyle name="40% - Accent6 2 5 5" xfId="10529" xr:uid="{501F90EA-2CCF-4A19-B93A-448D05BC08FF}"/>
    <cellStyle name="40% - Accent6 2 6" xfId="1526" xr:uid="{00000000-0005-0000-0000-000027070000}"/>
    <cellStyle name="40% - Accent6 2 6 2" xfId="3756" xr:uid="{00000000-0005-0000-0000-000028070000}"/>
    <cellStyle name="40% - Accent6 2 6 2 2" xfId="7978" xr:uid="{00000000-0005-0000-0000-000029070000}"/>
    <cellStyle name="40% - Accent6 2 6 2 2 2" xfId="25744" xr:uid="{7BDD5AB6-3C0E-4E1E-82E1-31B4872D66F4}"/>
    <cellStyle name="40% - Accent6 2 6 2 2 3" xfId="17304" xr:uid="{5CF1567F-42E4-4EC3-879B-96947FA632A0}"/>
    <cellStyle name="40% - Accent6 2 6 2 3" xfId="21527" xr:uid="{24E2DDE9-A89E-4D94-A3BD-73D0C5CC72EC}"/>
    <cellStyle name="40% - Accent6 2 6 2 4" xfId="13087" xr:uid="{8DBE85A4-79C9-4FD5-8523-82D8E378C29C}"/>
    <cellStyle name="40% - Accent6 2 6 3" xfId="5833" xr:uid="{00000000-0005-0000-0000-00002A070000}"/>
    <cellStyle name="40% - Accent6 2 6 3 2" xfId="23599" xr:uid="{6738165B-7FCD-4A30-8681-0E611BDFA77B}"/>
    <cellStyle name="40% - Accent6 2 6 3 3" xfId="15159" xr:uid="{CF1D5FAE-1DC2-4C2A-B6DC-60A2539DBDDA}"/>
    <cellStyle name="40% - Accent6 2 6 4" xfId="19382" xr:uid="{AE2336FB-C7D2-409F-AA86-1F63DB65FB74}"/>
    <cellStyle name="40% - Accent6 2 6 5" xfId="10942" xr:uid="{AD07EF31-FFBE-435D-A73D-E1BAE542AC11}"/>
    <cellStyle name="40% - Accent6 2 7" xfId="1940" xr:uid="{00000000-0005-0000-0000-00002B070000}"/>
    <cellStyle name="40% - Accent6 2 7 2" xfId="4169" xr:uid="{00000000-0005-0000-0000-00002C070000}"/>
    <cellStyle name="40% - Accent6 2 7 2 2" xfId="8391" xr:uid="{00000000-0005-0000-0000-00002D070000}"/>
    <cellStyle name="40% - Accent6 2 7 2 2 2" xfId="26157" xr:uid="{E918027E-8349-4BCE-92CB-5DD764980E53}"/>
    <cellStyle name="40% - Accent6 2 7 2 2 3" xfId="17717" xr:uid="{EDF9ABDA-763D-446C-BE74-82DCCCA7EB31}"/>
    <cellStyle name="40% - Accent6 2 7 2 3" xfId="21940" xr:uid="{84C7939B-4D2F-4290-9A87-ABEA60380E19}"/>
    <cellStyle name="40% - Accent6 2 7 2 4" xfId="13500" xr:uid="{8DDF5D96-705A-4B32-9085-43938F6106A6}"/>
    <cellStyle name="40% - Accent6 2 7 3" xfId="6246" xr:uid="{00000000-0005-0000-0000-00002E070000}"/>
    <cellStyle name="40% - Accent6 2 7 3 2" xfId="24012" xr:uid="{7E0D59B7-D260-49FA-BB46-BB3C5290BC44}"/>
    <cellStyle name="40% - Accent6 2 7 3 3" xfId="15572" xr:uid="{DF3E68BD-7E0D-4D84-8D52-DE099DD825D9}"/>
    <cellStyle name="40% - Accent6 2 7 4" xfId="19795" xr:uid="{3B97F106-9FFD-480C-8782-33528F78AB6D}"/>
    <cellStyle name="40% - Accent6 2 7 5" xfId="11355" xr:uid="{D4051304-AE8D-4A99-927A-2C2077886045}"/>
    <cellStyle name="40% - Accent6 2 8" xfId="2353" xr:uid="{00000000-0005-0000-0000-00002F070000}"/>
    <cellStyle name="40% - Accent6 2 8 2" xfId="6659" xr:uid="{00000000-0005-0000-0000-000030070000}"/>
    <cellStyle name="40% - Accent6 2 8 2 2" xfId="24425" xr:uid="{F5E4A66E-0E4C-4567-8330-E7FFC0B8EB31}"/>
    <cellStyle name="40% - Accent6 2 8 2 3" xfId="15985" xr:uid="{0AD2B27C-644B-471A-80A0-4805FCF02044}"/>
    <cellStyle name="40% - Accent6 2 8 3" xfId="20208" xr:uid="{D42BA298-FE8D-41BA-99D2-4323C02DB546}"/>
    <cellStyle name="40% - Accent6 2 8 4" xfId="11768" xr:uid="{475D868E-0E8F-44EE-9080-6D627607C6D8}"/>
    <cellStyle name="40% - Accent6 2 9" xfId="4593" xr:uid="{00000000-0005-0000-0000-000031070000}"/>
    <cellStyle name="40% - Accent6 2 9 2" xfId="22359" xr:uid="{A1D59BF2-5026-4BA9-A196-653F755B0E4D}"/>
    <cellStyle name="40% - Accent6 2 9 3" xfId="13919" xr:uid="{A6298D14-023C-4357-A18D-F9E0E29B84CE}"/>
    <cellStyle name="40% - Accent6 3" xfId="94" xr:uid="{00000000-0005-0000-0000-000032070000}"/>
    <cellStyle name="40% - Accent6 3 10" xfId="9706" xr:uid="{7265591D-F264-48D3-9F43-ABC406545116}"/>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24923" xr:uid="{4A4B0B6B-9D6B-40AC-9C52-B282B43D8292}"/>
    <cellStyle name="40% - Accent6 3 2 2 2 2 3" xfId="16483" xr:uid="{27DD6F79-FE4C-489B-8F12-B518B4197952}"/>
    <cellStyle name="40% - Accent6 3 2 2 2 3" xfId="20706" xr:uid="{175E4DA1-FC6E-4751-B05A-81973BABEC97}"/>
    <cellStyle name="40% - Accent6 3 2 2 2 4" xfId="12266" xr:uid="{64417EEC-3588-4A2C-9E45-5FACD7D81FF5}"/>
    <cellStyle name="40% - Accent6 3 2 2 3" xfId="5012" xr:uid="{00000000-0005-0000-0000-000037070000}"/>
    <cellStyle name="40% - Accent6 3 2 2 3 2" xfId="22778" xr:uid="{04CC8326-D559-417D-AFDA-10ED8FE0F938}"/>
    <cellStyle name="40% - Accent6 3 2 2 3 3" xfId="14338" xr:uid="{611D9752-111E-421A-878F-639E80ADA4EC}"/>
    <cellStyle name="40% - Accent6 3 2 2 4" xfId="9504" xr:uid="{23E46585-FD8F-4BA3-8B65-284D6884E4FD}"/>
    <cellStyle name="40% - Accent6 3 2 2 4 2" xfId="18561" xr:uid="{C7ED6ED7-6589-40DF-81A1-80F25693C597}"/>
    <cellStyle name="40% - Accent6 3 2 2 5" xfId="10121" xr:uid="{7D93CAD0-3BB9-4DDA-92BD-F8A5DB0DA090}"/>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25336" xr:uid="{4A11DCC1-33C5-4A75-AEB4-DDA469D0197C}"/>
    <cellStyle name="40% - Accent6 3 2 3 2 2 3" xfId="16896" xr:uid="{CDC26A94-E026-4CDA-A81D-349FF5D3463C}"/>
    <cellStyle name="40% - Accent6 3 2 3 2 3" xfId="21119" xr:uid="{0E02866B-D4EE-4013-AB3E-79FE027F554A}"/>
    <cellStyle name="40% - Accent6 3 2 3 2 4" xfId="12679" xr:uid="{ADADA8C5-A48B-4B28-AC94-F0D06E6AE2AF}"/>
    <cellStyle name="40% - Accent6 3 2 3 3" xfId="5425" xr:uid="{00000000-0005-0000-0000-00003B070000}"/>
    <cellStyle name="40% - Accent6 3 2 3 3 2" xfId="23191" xr:uid="{FC415842-10B9-4F10-83E5-3EE0DE174F40}"/>
    <cellStyle name="40% - Accent6 3 2 3 3 3" xfId="14751" xr:uid="{348F8958-9439-41A3-8718-D9F8F7DAA3AB}"/>
    <cellStyle name="40% - Accent6 3 2 3 4" xfId="18974" xr:uid="{C262B9B5-155B-41FB-A2DC-0BED631BE418}"/>
    <cellStyle name="40% - Accent6 3 2 3 5" xfId="10534" xr:uid="{1586D556-BDD7-4821-876F-896E63BE532B}"/>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25749" xr:uid="{CA97FC40-E1F3-4A66-9D39-E81B7494BF13}"/>
    <cellStyle name="40% - Accent6 3 2 4 2 2 3" xfId="17309" xr:uid="{BE96369B-D151-4B9C-8680-3FC677781A1A}"/>
    <cellStyle name="40% - Accent6 3 2 4 2 3" xfId="21532" xr:uid="{B8276B6D-88FB-42A7-B3C3-AD5BE49E734E}"/>
    <cellStyle name="40% - Accent6 3 2 4 2 4" xfId="13092" xr:uid="{C2C9CEC9-2C1C-4A5D-82DC-4E8DFC264E20}"/>
    <cellStyle name="40% - Accent6 3 2 4 3" xfId="5838" xr:uid="{00000000-0005-0000-0000-00003F070000}"/>
    <cellStyle name="40% - Accent6 3 2 4 3 2" xfId="23604" xr:uid="{D48F8A45-6404-4E39-8D72-E6AC28719C1B}"/>
    <cellStyle name="40% - Accent6 3 2 4 3 3" xfId="15164" xr:uid="{77FD187D-7299-4BCC-8C52-ECD575BD64F1}"/>
    <cellStyle name="40% - Accent6 3 2 4 4" xfId="19387" xr:uid="{AE17A474-1FD5-4342-B4CF-25605B00A12F}"/>
    <cellStyle name="40% - Accent6 3 2 4 5" xfId="10947" xr:uid="{4DF372FE-C72C-470A-AA0C-B7B95A7ACE29}"/>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26162" xr:uid="{0F9D1096-28C9-4038-89EB-131DF6A2BE64}"/>
    <cellStyle name="40% - Accent6 3 2 5 2 2 3" xfId="17722" xr:uid="{E2D3A27A-3AC6-45FA-B6BF-909200846962}"/>
    <cellStyle name="40% - Accent6 3 2 5 2 3" xfId="21945" xr:uid="{AD1C6669-44F3-4478-839C-466C3F68925C}"/>
    <cellStyle name="40% - Accent6 3 2 5 2 4" xfId="13505" xr:uid="{CA16D4B7-D1DB-4F2E-9F30-69E1193372A8}"/>
    <cellStyle name="40% - Accent6 3 2 5 3" xfId="6251" xr:uid="{00000000-0005-0000-0000-000043070000}"/>
    <cellStyle name="40% - Accent6 3 2 5 3 2" xfId="24017" xr:uid="{AC403124-A4BF-47D7-AD52-19375F5CE4C6}"/>
    <cellStyle name="40% - Accent6 3 2 5 3 3" xfId="15577" xr:uid="{DD6D1094-E9E9-4F6D-AB9C-B8A9F101AA4A}"/>
    <cellStyle name="40% - Accent6 3 2 5 4" xfId="19800" xr:uid="{06D6DA9E-1C28-42DE-A0B0-825A3CFBFC39}"/>
    <cellStyle name="40% - Accent6 3 2 5 5" xfId="11360" xr:uid="{382835BC-68BC-4D83-A1AB-4A287DB7A68C}"/>
    <cellStyle name="40% - Accent6 3 2 6" xfId="2358" xr:uid="{00000000-0005-0000-0000-000044070000}"/>
    <cellStyle name="40% - Accent6 3 2 6 2" xfId="6664" xr:uid="{00000000-0005-0000-0000-000045070000}"/>
    <cellStyle name="40% - Accent6 3 2 6 2 2" xfId="24430" xr:uid="{8B4A4B01-1535-4C85-B282-166DABA3DA2E}"/>
    <cellStyle name="40% - Accent6 3 2 6 2 3" xfId="15990" xr:uid="{55C77876-07FC-4D4A-A0CC-67BB5453BCB7}"/>
    <cellStyle name="40% - Accent6 3 2 6 3" xfId="20213" xr:uid="{A21394EA-64CC-405F-8466-D2D514E51E63}"/>
    <cellStyle name="40% - Accent6 3 2 6 4" xfId="11773" xr:uid="{D95ED2B8-470C-4291-BE7E-DC99F7086D40}"/>
    <cellStyle name="40% - Accent6 3 2 7" xfId="4598" xr:uid="{00000000-0005-0000-0000-000046070000}"/>
    <cellStyle name="40% - Accent6 3 2 7 2" xfId="22364" xr:uid="{E23213D2-2736-4117-82A0-2F4D558283F3}"/>
    <cellStyle name="40% - Accent6 3 2 7 3" xfId="13924" xr:uid="{D1002694-8116-49AC-9289-0B1849B46577}"/>
    <cellStyle name="40% - Accent6 3 2 8" xfId="9079" xr:uid="{7FA93E2E-699F-4676-8533-A3CC5F80D807}"/>
    <cellStyle name="40% - Accent6 3 2 8 2" xfId="18147" xr:uid="{5F86272E-55C5-41DF-BE5E-8DE87C4B337A}"/>
    <cellStyle name="40% - Accent6 3 2 9" xfId="9707" xr:uid="{72BA3171-38C6-453A-B2BE-ED24DA03B667}"/>
    <cellStyle name="40% - Accent6 3 3" xfId="663" xr:uid="{00000000-0005-0000-0000-000047070000}"/>
    <cellStyle name="40% - Accent6 3 3 2" xfId="2934" xr:uid="{00000000-0005-0000-0000-000048070000}"/>
    <cellStyle name="40% - Accent6 3 3 2 2" xfId="7156" xr:uid="{00000000-0005-0000-0000-000049070000}"/>
    <cellStyle name="40% - Accent6 3 3 2 2 2" xfId="24922" xr:uid="{BB6F989D-66B4-4459-8BC3-E99290BE6BB8}"/>
    <cellStyle name="40% - Accent6 3 3 2 2 3" xfId="16482" xr:uid="{7A7A9BC8-EDAF-438A-BB7E-0068AED49D33}"/>
    <cellStyle name="40% - Accent6 3 3 2 3" xfId="20705" xr:uid="{77B3227D-0E23-4EF2-AD91-58589C36C059}"/>
    <cellStyle name="40% - Accent6 3 3 2 4" xfId="12265" xr:uid="{CFE4370D-DC78-4C65-AC5C-0AD68124C5B9}"/>
    <cellStyle name="40% - Accent6 3 3 3" xfId="5011" xr:uid="{00000000-0005-0000-0000-00004A070000}"/>
    <cellStyle name="40% - Accent6 3 3 3 2" xfId="22777" xr:uid="{A142011F-86D9-4DD9-A0BA-F06B064EC7DF}"/>
    <cellStyle name="40% - Accent6 3 3 3 3" xfId="14337" xr:uid="{2C4A25A4-1350-4970-8959-4A7EA4B0D9F5}"/>
    <cellStyle name="40% - Accent6 3 3 4" xfId="9297" xr:uid="{1226E28F-09E7-4580-8D19-7F14AC1CB4B3}"/>
    <cellStyle name="40% - Accent6 3 3 4 2" xfId="18560" xr:uid="{76DED71B-AC0D-4906-B5EC-299FED645FCB}"/>
    <cellStyle name="40% - Accent6 3 3 5" xfId="10120" xr:uid="{32419246-27A5-4FB0-88A5-E2C330B5B9CE}"/>
    <cellStyle name="40% - Accent6 3 4" xfId="1116" xr:uid="{00000000-0005-0000-0000-00004B070000}"/>
    <cellStyle name="40% - Accent6 3 4 2" xfId="3347" xr:uid="{00000000-0005-0000-0000-00004C070000}"/>
    <cellStyle name="40% - Accent6 3 4 2 2" xfId="7569" xr:uid="{00000000-0005-0000-0000-00004D070000}"/>
    <cellStyle name="40% - Accent6 3 4 2 2 2" xfId="25335" xr:uid="{C069E066-4B32-49B6-A71D-F937D8D47F17}"/>
    <cellStyle name="40% - Accent6 3 4 2 2 3" xfId="16895" xr:uid="{52E2DB17-9859-4387-80F9-B630D0CBC74B}"/>
    <cellStyle name="40% - Accent6 3 4 2 3" xfId="21118" xr:uid="{FEE4C5FB-732C-4F1D-A606-E01C65A0E23C}"/>
    <cellStyle name="40% - Accent6 3 4 2 4" xfId="12678" xr:uid="{29D7F995-71DC-4E49-8D23-1F2BBB508402}"/>
    <cellStyle name="40% - Accent6 3 4 3" xfId="5424" xr:uid="{00000000-0005-0000-0000-00004E070000}"/>
    <cellStyle name="40% - Accent6 3 4 3 2" xfId="23190" xr:uid="{986FFD5F-EA98-4BD6-ACF5-2BBF0757654F}"/>
    <cellStyle name="40% - Accent6 3 4 3 3" xfId="14750" xr:uid="{50F7DEF7-42FF-4B99-B8EE-3E0297973A49}"/>
    <cellStyle name="40% - Accent6 3 4 4" xfId="18973" xr:uid="{3D889C30-7FCD-407C-8652-A24B75D86003}"/>
    <cellStyle name="40% - Accent6 3 4 5" xfId="10533" xr:uid="{5F262B74-7ECA-4AE2-BC10-3E84F8860DF7}"/>
    <cellStyle name="40% - Accent6 3 5" xfId="1530" xr:uid="{00000000-0005-0000-0000-00004F070000}"/>
    <cellStyle name="40% - Accent6 3 5 2" xfId="3760" xr:uid="{00000000-0005-0000-0000-000050070000}"/>
    <cellStyle name="40% - Accent6 3 5 2 2" xfId="7982" xr:uid="{00000000-0005-0000-0000-000051070000}"/>
    <cellStyle name="40% - Accent6 3 5 2 2 2" xfId="25748" xr:uid="{C0DB2B73-6752-44A6-8E3F-FF3157F3DEEA}"/>
    <cellStyle name="40% - Accent6 3 5 2 2 3" xfId="17308" xr:uid="{3BBB6771-154E-4CD9-A4CE-4D38C7C8D745}"/>
    <cellStyle name="40% - Accent6 3 5 2 3" xfId="21531" xr:uid="{B8C5AE5E-7189-4AD7-A8E2-20DB53A56043}"/>
    <cellStyle name="40% - Accent6 3 5 2 4" xfId="13091" xr:uid="{0534FFE2-E529-4938-8005-AA6F5642CDA8}"/>
    <cellStyle name="40% - Accent6 3 5 3" xfId="5837" xr:uid="{00000000-0005-0000-0000-000052070000}"/>
    <cellStyle name="40% - Accent6 3 5 3 2" xfId="23603" xr:uid="{A4C4055D-566B-447B-8B54-ADF1F1F02776}"/>
    <cellStyle name="40% - Accent6 3 5 3 3" xfId="15163" xr:uid="{EA1D3DDF-0788-471C-80B9-CDBE6A326F61}"/>
    <cellStyle name="40% - Accent6 3 5 4" xfId="19386" xr:uid="{0A523DDB-FA57-48D0-9357-4DBC47D6ACD4}"/>
    <cellStyle name="40% - Accent6 3 5 5" xfId="10946" xr:uid="{FE85D215-CE07-4D31-ACA8-98505C189520}"/>
    <cellStyle name="40% - Accent6 3 6" xfId="1944" xr:uid="{00000000-0005-0000-0000-000053070000}"/>
    <cellStyle name="40% - Accent6 3 6 2" xfId="4173" xr:uid="{00000000-0005-0000-0000-000054070000}"/>
    <cellStyle name="40% - Accent6 3 6 2 2" xfId="8395" xr:uid="{00000000-0005-0000-0000-000055070000}"/>
    <cellStyle name="40% - Accent6 3 6 2 2 2" xfId="26161" xr:uid="{47FE57B7-0749-4207-B85E-14911D8C6999}"/>
    <cellStyle name="40% - Accent6 3 6 2 2 3" xfId="17721" xr:uid="{FCC6FDD5-5368-488F-9C26-6D187307EF04}"/>
    <cellStyle name="40% - Accent6 3 6 2 3" xfId="21944" xr:uid="{E7813C34-0661-4882-BDA3-959435FD75ED}"/>
    <cellStyle name="40% - Accent6 3 6 2 4" xfId="13504" xr:uid="{33CAE413-1392-4E44-8BE4-BBB9BC1293B2}"/>
    <cellStyle name="40% - Accent6 3 6 3" xfId="6250" xr:uid="{00000000-0005-0000-0000-000056070000}"/>
    <cellStyle name="40% - Accent6 3 6 3 2" xfId="24016" xr:uid="{25D12F6C-796B-42D6-B821-ECCFEAD735C1}"/>
    <cellStyle name="40% - Accent6 3 6 3 3" xfId="15576" xr:uid="{FDC1C0EA-A024-404D-95A9-7C111CD98955}"/>
    <cellStyle name="40% - Accent6 3 6 4" xfId="19799" xr:uid="{B8B6FD85-A327-477B-8D1D-AA7A27B204F3}"/>
    <cellStyle name="40% - Accent6 3 6 5" xfId="11359" xr:uid="{0CDE3F22-F6FB-470B-B141-415BC956C149}"/>
    <cellStyle name="40% - Accent6 3 7" xfId="2357" xr:uid="{00000000-0005-0000-0000-000057070000}"/>
    <cellStyle name="40% - Accent6 3 7 2" xfId="6663" xr:uid="{00000000-0005-0000-0000-000058070000}"/>
    <cellStyle name="40% - Accent6 3 7 2 2" xfId="24429" xr:uid="{28B8ED42-F831-4E2F-841F-1447261806E5}"/>
    <cellStyle name="40% - Accent6 3 7 2 3" xfId="15989" xr:uid="{AD35D441-5FCE-442F-B831-BFF907A0F699}"/>
    <cellStyle name="40% - Accent6 3 7 3" xfId="20212" xr:uid="{94FFD887-999E-4F72-8E60-743D17A16EE4}"/>
    <cellStyle name="40% - Accent6 3 7 4" xfId="11772" xr:uid="{7C0889C1-05F0-49BC-88BE-727B33E4BF5D}"/>
    <cellStyle name="40% - Accent6 3 8" xfId="4597" xr:uid="{00000000-0005-0000-0000-000059070000}"/>
    <cellStyle name="40% - Accent6 3 8 2" xfId="22363" xr:uid="{BEE157B2-7163-44F7-A0A7-38D8A159D8A4}"/>
    <cellStyle name="40% - Accent6 3 8 3" xfId="13923" xr:uid="{2F00D31F-6778-4F7A-845D-32274DC31F04}"/>
    <cellStyle name="40% - Accent6 3 9" xfId="8872" xr:uid="{E018AF0F-504E-4DED-BF70-CC97997D74E9}"/>
    <cellStyle name="40% - Accent6 3 9 2" xfId="18146" xr:uid="{E3E39593-B9E1-4FC4-91AD-2BED3BCC1A3A}"/>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24924" xr:uid="{48D6A1BB-D05D-4EBC-8793-98D86E069B59}"/>
    <cellStyle name="40% - Accent6 4 2 2 2 3" xfId="16484" xr:uid="{EE0D4FB2-B42B-4317-BF81-CA78425BF4D2}"/>
    <cellStyle name="40% - Accent6 4 2 2 3" xfId="20707" xr:uid="{BA8498F6-281F-4095-B90C-337F624ED44D}"/>
    <cellStyle name="40% - Accent6 4 2 2 4" xfId="12267" xr:uid="{F49E470A-7FAE-4091-A730-5E1FC5AE40A6}"/>
    <cellStyle name="40% - Accent6 4 2 3" xfId="5013" xr:uid="{00000000-0005-0000-0000-00005E070000}"/>
    <cellStyle name="40% - Accent6 4 2 3 2" xfId="22779" xr:uid="{4AA9B2EF-5AD2-4768-9A7F-DDD748401DB5}"/>
    <cellStyle name="40% - Accent6 4 2 3 3" xfId="14339" xr:uid="{48083559-B6B8-451E-995A-D457D4699EF4}"/>
    <cellStyle name="40% - Accent6 4 2 4" xfId="9383" xr:uid="{07C7426F-B517-4815-A0BF-2BAE02B26B53}"/>
    <cellStyle name="40% - Accent6 4 2 4 2" xfId="18562" xr:uid="{C7904DC4-A903-4936-9E59-6CEADD59ACD9}"/>
    <cellStyle name="40% - Accent6 4 2 5" xfId="10122" xr:uid="{15D87FD5-C920-483A-84F8-899840425919}"/>
    <cellStyle name="40% - Accent6 4 3" xfId="1118" xr:uid="{00000000-0005-0000-0000-00005F070000}"/>
    <cellStyle name="40% - Accent6 4 3 2" xfId="3349" xr:uid="{00000000-0005-0000-0000-000060070000}"/>
    <cellStyle name="40% - Accent6 4 3 2 2" xfId="7571" xr:uid="{00000000-0005-0000-0000-000061070000}"/>
    <cellStyle name="40% - Accent6 4 3 2 2 2" xfId="25337" xr:uid="{8578A1AB-6595-4FBA-AC47-B793D2B396E5}"/>
    <cellStyle name="40% - Accent6 4 3 2 2 3" xfId="16897" xr:uid="{629CCFE2-BCC0-45B2-9F0F-BF8210CF18FD}"/>
    <cellStyle name="40% - Accent6 4 3 2 3" xfId="21120" xr:uid="{CEC60F9E-4EA3-4249-B49C-7320ED689112}"/>
    <cellStyle name="40% - Accent6 4 3 2 4" xfId="12680" xr:uid="{0C137656-4E34-4015-BC20-40FD5B055DA8}"/>
    <cellStyle name="40% - Accent6 4 3 3" xfId="5426" xr:uid="{00000000-0005-0000-0000-000062070000}"/>
    <cellStyle name="40% - Accent6 4 3 3 2" xfId="23192" xr:uid="{D7F45C51-62AE-42B6-8BB9-76C19EE0DE00}"/>
    <cellStyle name="40% - Accent6 4 3 3 3" xfId="14752" xr:uid="{E97BE04E-4983-413B-B8B9-3E2C8728E210}"/>
    <cellStyle name="40% - Accent6 4 3 4" xfId="18975" xr:uid="{0EF83442-312F-4F7D-92CC-9169BF2D4067}"/>
    <cellStyle name="40% - Accent6 4 3 5" xfId="10535" xr:uid="{824300F2-3A64-4A00-B1F5-8EDA85E2B28A}"/>
    <cellStyle name="40% - Accent6 4 4" xfId="1532" xr:uid="{00000000-0005-0000-0000-000063070000}"/>
    <cellStyle name="40% - Accent6 4 4 2" xfId="3762" xr:uid="{00000000-0005-0000-0000-000064070000}"/>
    <cellStyle name="40% - Accent6 4 4 2 2" xfId="7984" xr:uid="{00000000-0005-0000-0000-000065070000}"/>
    <cellStyle name="40% - Accent6 4 4 2 2 2" xfId="25750" xr:uid="{1D0B9130-17FC-42B9-A10D-8814EF764361}"/>
    <cellStyle name="40% - Accent6 4 4 2 2 3" xfId="17310" xr:uid="{E2C1B64C-FA3B-4D9C-BACD-CCF1152C0FE0}"/>
    <cellStyle name="40% - Accent6 4 4 2 3" xfId="21533" xr:uid="{BF622381-1C0A-47F7-884D-24FC42DC067E}"/>
    <cellStyle name="40% - Accent6 4 4 2 4" xfId="13093" xr:uid="{2C328725-E59F-46F5-A692-D2282E636E29}"/>
    <cellStyle name="40% - Accent6 4 4 3" xfId="5839" xr:uid="{00000000-0005-0000-0000-000066070000}"/>
    <cellStyle name="40% - Accent6 4 4 3 2" xfId="23605" xr:uid="{FE711502-BC6E-41E3-A039-2E3B920B876D}"/>
    <cellStyle name="40% - Accent6 4 4 3 3" xfId="15165" xr:uid="{EDC263F2-C17D-417E-BC44-24359923E8BD}"/>
    <cellStyle name="40% - Accent6 4 4 4" xfId="19388" xr:uid="{CF48D067-D29A-4EE3-A996-76C5713C2061}"/>
    <cellStyle name="40% - Accent6 4 4 5" xfId="10948" xr:uid="{BB9F2F6E-82A4-404A-A218-45952A4C9B80}"/>
    <cellStyle name="40% - Accent6 4 5" xfId="1946" xr:uid="{00000000-0005-0000-0000-000067070000}"/>
    <cellStyle name="40% - Accent6 4 5 2" xfId="4175" xr:uid="{00000000-0005-0000-0000-000068070000}"/>
    <cellStyle name="40% - Accent6 4 5 2 2" xfId="8397" xr:uid="{00000000-0005-0000-0000-000069070000}"/>
    <cellStyle name="40% - Accent6 4 5 2 2 2" xfId="26163" xr:uid="{3BFAA085-EC80-4765-A3EF-AD05966D8C74}"/>
    <cellStyle name="40% - Accent6 4 5 2 2 3" xfId="17723" xr:uid="{469A63F8-2600-4D2B-9F1F-B0180CFB39EE}"/>
    <cellStyle name="40% - Accent6 4 5 2 3" xfId="21946" xr:uid="{F8C10C17-1265-4216-AEAB-8A9154ECF979}"/>
    <cellStyle name="40% - Accent6 4 5 2 4" xfId="13506" xr:uid="{BE1760D4-9555-41E9-81E7-AE2FE349AA10}"/>
    <cellStyle name="40% - Accent6 4 5 3" xfId="6252" xr:uid="{00000000-0005-0000-0000-00006A070000}"/>
    <cellStyle name="40% - Accent6 4 5 3 2" xfId="24018" xr:uid="{3D0870E3-3DC4-4D9E-B0ED-B8DF97DA0BDC}"/>
    <cellStyle name="40% - Accent6 4 5 3 3" xfId="15578" xr:uid="{401E99BD-BADA-4646-BEA4-76DCB68A9C58}"/>
    <cellStyle name="40% - Accent6 4 5 4" xfId="19801" xr:uid="{69E28AA9-D523-4B58-B13B-D40C69FC96E8}"/>
    <cellStyle name="40% - Accent6 4 5 5" xfId="11361" xr:uid="{31807BC0-A791-4F41-A6BD-42393B45C637}"/>
    <cellStyle name="40% - Accent6 4 6" xfId="2359" xr:uid="{00000000-0005-0000-0000-00006B070000}"/>
    <cellStyle name="40% - Accent6 4 6 2" xfId="6665" xr:uid="{00000000-0005-0000-0000-00006C070000}"/>
    <cellStyle name="40% - Accent6 4 6 2 2" xfId="24431" xr:uid="{59C72180-BF0A-4EE3-A227-E6C3E1AF842D}"/>
    <cellStyle name="40% - Accent6 4 6 2 3" xfId="15991" xr:uid="{F0E0922B-E217-44AB-91FC-2D65851C7F8E}"/>
    <cellStyle name="40% - Accent6 4 6 3" xfId="20214" xr:uid="{88F78BAB-CEA7-4D8F-83A6-AC7BE7AA8FB8}"/>
    <cellStyle name="40% - Accent6 4 6 4" xfId="11774" xr:uid="{DF0881BC-1229-4E54-AAA8-A1EFA00D3392}"/>
    <cellStyle name="40% - Accent6 4 7" xfId="4599" xr:uid="{00000000-0005-0000-0000-00006D070000}"/>
    <cellStyle name="40% - Accent6 4 7 2" xfId="22365" xr:uid="{7D9D77EB-A22E-4FAA-BAD1-5E9FA1098310}"/>
    <cellStyle name="40% - Accent6 4 7 3" xfId="13925" xr:uid="{80610387-DFB3-4E44-90E6-E27CDEAD9390}"/>
    <cellStyle name="40% - Accent6 4 8" xfId="8958" xr:uid="{058203D5-6D6D-4106-8D68-93F66B236239}"/>
    <cellStyle name="40% - Accent6 4 8 2" xfId="18148" xr:uid="{8A898AE8-9590-49B6-A097-2097C5E84DA3}"/>
    <cellStyle name="40% - Accent6 4 9" xfId="9708" xr:uid="{05B1E1F3-13FF-430E-81DE-3999A21276A1}"/>
    <cellStyle name="40% - Accent6 5" xfId="658" xr:uid="{00000000-0005-0000-0000-00006E070000}"/>
    <cellStyle name="40% - Accent6 5 2" xfId="2929" xr:uid="{00000000-0005-0000-0000-00006F070000}"/>
    <cellStyle name="40% - Accent6 5 2 2" xfId="7151" xr:uid="{00000000-0005-0000-0000-000070070000}"/>
    <cellStyle name="40% - Accent6 5 2 2 2" xfId="24917" xr:uid="{2556CB2A-7390-4B37-B1C2-65DAA837DE8C}"/>
    <cellStyle name="40% - Accent6 5 2 2 3" xfId="16477" xr:uid="{F332DA3B-42B0-493F-8405-2808616B658D}"/>
    <cellStyle name="40% - Accent6 5 2 3" xfId="20700" xr:uid="{E21E13DA-9C00-40B6-BADD-5BD90F465212}"/>
    <cellStyle name="40% - Accent6 5 2 4" xfId="12260" xr:uid="{34A6FA29-EE38-4E2C-8931-8118E81114AF}"/>
    <cellStyle name="40% - Accent6 5 3" xfId="5006" xr:uid="{00000000-0005-0000-0000-000071070000}"/>
    <cellStyle name="40% - Accent6 5 3 2" xfId="22772" xr:uid="{B1FD8E64-01C5-439F-8EF8-C3BB6C8AF473}"/>
    <cellStyle name="40% - Accent6 5 3 3" xfId="14332" xr:uid="{44C533DA-B3BE-456C-857F-C76598FAA14B}"/>
    <cellStyle name="40% - Accent6 5 4" xfId="9192" xr:uid="{19661A88-B46A-4EF9-A9F3-4BCF8E242108}"/>
    <cellStyle name="40% - Accent6 5 4 2" xfId="18555" xr:uid="{4E55EA11-ED75-4B40-A93C-28F6F6D34A0E}"/>
    <cellStyle name="40% - Accent6 5 5" xfId="10115" xr:uid="{C510E8A5-9D7A-45C8-A5DB-766D606F750F}"/>
    <cellStyle name="40% - Accent6 6" xfId="1111" xr:uid="{00000000-0005-0000-0000-000072070000}"/>
    <cellStyle name="40% - Accent6 6 2" xfId="3342" xr:uid="{00000000-0005-0000-0000-000073070000}"/>
    <cellStyle name="40% - Accent6 6 2 2" xfId="7564" xr:uid="{00000000-0005-0000-0000-000074070000}"/>
    <cellStyle name="40% - Accent6 6 2 2 2" xfId="25330" xr:uid="{237AB0DA-F200-4AB8-90C8-55E66006CAEB}"/>
    <cellStyle name="40% - Accent6 6 2 2 3" xfId="16890" xr:uid="{E5218AC6-3819-487C-B1A3-B7DA3CE24EF2}"/>
    <cellStyle name="40% - Accent6 6 2 3" xfId="21113" xr:uid="{84E3986B-A1E4-4678-949B-122B6393D087}"/>
    <cellStyle name="40% - Accent6 6 2 4" xfId="12673" xr:uid="{15249B82-43A8-429A-92B5-0A47932B40DD}"/>
    <cellStyle name="40% - Accent6 6 3" xfId="5419" xr:uid="{00000000-0005-0000-0000-000075070000}"/>
    <cellStyle name="40% - Accent6 6 3 2" xfId="23185" xr:uid="{EA9A070F-DC16-487C-AC6A-07A16BE76006}"/>
    <cellStyle name="40% - Accent6 6 3 3" xfId="14745" xr:uid="{4EAADF96-369E-4BF5-B16F-DD5E9A830CB8}"/>
    <cellStyle name="40% - Accent6 6 4" xfId="18968" xr:uid="{44E13598-B681-4BCF-AAA1-F4D20ED21E39}"/>
    <cellStyle name="40% - Accent6 6 5" xfId="10528" xr:uid="{D77AD364-C555-4D34-8CE1-C33721B13C7B}"/>
    <cellStyle name="40% - Accent6 7" xfId="1525" xr:uid="{00000000-0005-0000-0000-000076070000}"/>
    <cellStyle name="40% - Accent6 7 2" xfId="3755" xr:uid="{00000000-0005-0000-0000-000077070000}"/>
    <cellStyle name="40% - Accent6 7 2 2" xfId="7977" xr:uid="{00000000-0005-0000-0000-000078070000}"/>
    <cellStyle name="40% - Accent6 7 2 2 2" xfId="25743" xr:uid="{47CFF353-D196-4611-8A2E-B017D07B015B}"/>
    <cellStyle name="40% - Accent6 7 2 2 3" xfId="17303" xr:uid="{DD39A973-3FE6-40AC-8008-DDB6A62E49A8}"/>
    <cellStyle name="40% - Accent6 7 2 3" xfId="21526" xr:uid="{3FDFD228-6259-4686-AF01-F89853F822C0}"/>
    <cellStyle name="40% - Accent6 7 2 4" xfId="13086" xr:uid="{DCCB786E-8190-48F6-B89B-09B54C7C042C}"/>
    <cellStyle name="40% - Accent6 7 3" xfId="5832" xr:uid="{00000000-0005-0000-0000-000079070000}"/>
    <cellStyle name="40% - Accent6 7 3 2" xfId="23598" xr:uid="{17407D5A-398E-4F68-B95F-20C00F59A5AA}"/>
    <cellStyle name="40% - Accent6 7 3 3" xfId="15158" xr:uid="{FDD90266-1C6A-49F7-97C8-F8C342BB6A0F}"/>
    <cellStyle name="40% - Accent6 7 4" xfId="19381" xr:uid="{4B0040C4-688C-4ECE-9623-295A9C1FE528}"/>
    <cellStyle name="40% - Accent6 7 5" xfId="10941" xr:uid="{6D50FF41-3C6A-40B2-8774-01D955815AF5}"/>
    <cellStyle name="40% - Accent6 8" xfId="1939" xr:uid="{00000000-0005-0000-0000-00007A070000}"/>
    <cellStyle name="40% - Accent6 8 2" xfId="4168" xr:uid="{00000000-0005-0000-0000-00007B070000}"/>
    <cellStyle name="40% - Accent6 8 2 2" xfId="8390" xr:uid="{00000000-0005-0000-0000-00007C070000}"/>
    <cellStyle name="40% - Accent6 8 2 2 2" xfId="26156" xr:uid="{8E091F53-F8AC-4292-8A69-B8F571E0092F}"/>
    <cellStyle name="40% - Accent6 8 2 2 3" xfId="17716" xr:uid="{065F67FC-A6E1-4E50-AC08-C62435B7C355}"/>
    <cellStyle name="40% - Accent6 8 2 3" xfId="21939" xr:uid="{DBFE6791-99DF-40AC-ABBD-4AA01450AABC}"/>
    <cellStyle name="40% - Accent6 8 2 4" xfId="13499" xr:uid="{04564943-D078-4D87-B0CA-A83B0FF8D7A7}"/>
    <cellStyle name="40% - Accent6 8 3" xfId="6245" xr:uid="{00000000-0005-0000-0000-00007D070000}"/>
    <cellStyle name="40% - Accent6 8 3 2" xfId="24011" xr:uid="{19D3D745-08E1-47CF-A727-76BC5DCE1665}"/>
    <cellStyle name="40% - Accent6 8 3 3" xfId="15571" xr:uid="{354DDFF1-749F-4234-892D-BBD0EDA37A48}"/>
    <cellStyle name="40% - Accent6 8 4" xfId="19794" xr:uid="{3161E121-D452-4EFA-98A3-F9FBC9E67D2A}"/>
    <cellStyle name="40% - Accent6 8 5" xfId="11354" xr:uid="{B9B0F539-33E3-4578-8495-19E6075EE225}"/>
    <cellStyle name="40% - Accent6 9" xfId="2352" xr:uid="{00000000-0005-0000-0000-00007E070000}"/>
    <cellStyle name="40% - Accent6 9 2" xfId="6658" xr:uid="{00000000-0005-0000-0000-00007F070000}"/>
    <cellStyle name="40% - Accent6 9 2 2" xfId="24424" xr:uid="{D64D5580-E75B-4524-AED5-653F4C10E9D3}"/>
    <cellStyle name="40% - Accent6 9 2 3" xfId="15984" xr:uid="{D7B4761D-072A-425E-93F3-0D0AE1F6F0C4}"/>
    <cellStyle name="40% - Accent6 9 3" xfId="20207" xr:uid="{685316FC-B25A-4A4A-8055-AB8BB48713FA}"/>
    <cellStyle name="40% - Accent6 9 4" xfId="11767" xr:uid="{06C50506-9FF8-48AE-858C-74F3319A20C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24749" xr:uid="{11D3333F-4A33-4FF7-899E-4BCA12B99906}"/>
    <cellStyle name="Comma 4 2 2 2 10 2 3" xfId="16309" xr:uid="{CD183C33-0D65-48C6-9A49-DD49CDD188B2}"/>
    <cellStyle name="Comma 4 2 2 2 10 3" xfId="20532" xr:uid="{21EA95DA-2459-457A-A6CB-451EFC9D6E40}"/>
    <cellStyle name="Comma 4 2 2 2 10 4" xfId="12092" xr:uid="{EFB7040A-CE31-4010-BBC1-3C481F69C9E3}"/>
    <cellStyle name="Comma 4 2 2 2 11" xfId="4600" xr:uid="{00000000-0005-0000-0000-0000A3070000}"/>
    <cellStyle name="Comma 4 2 2 2 11 2" xfId="22366" xr:uid="{1576FBCB-1283-44A0-AA14-01DB348DAD7B}"/>
    <cellStyle name="Comma 4 2 2 2 11 3" xfId="13926" xr:uid="{B19BFCDA-8A9D-47E3-8D0F-BFF3A79F9E90}"/>
    <cellStyle name="Comma 4 2 2 2 12" xfId="8806" xr:uid="{6C773D0B-D2E3-4A8C-B041-8DA2843B9E25}"/>
    <cellStyle name="Comma 4 2 2 2 12 2" xfId="18149" xr:uid="{941FF3E5-0485-4DDB-B572-DAA8F04EC82A}"/>
    <cellStyle name="Comma 4 2 2 2 13" xfId="9709" xr:uid="{09A4CC6D-947D-4EBE-8608-FF2CF8ECDC1C}"/>
    <cellStyle name="Comma 4 2 2 2 2" xfId="129" xr:uid="{00000000-0005-0000-0000-0000A4070000}"/>
    <cellStyle name="Comma 4 2 2 2 2 10" xfId="4601" xr:uid="{00000000-0005-0000-0000-0000A5070000}"/>
    <cellStyle name="Comma 4 2 2 2 2 10 2" xfId="22367" xr:uid="{7821928D-1794-4886-BCAD-D66D6BFFDF39}"/>
    <cellStyle name="Comma 4 2 2 2 2 10 3" xfId="13927" xr:uid="{9D85F3F3-4B76-49DA-BFBF-C9B766DFB28F}"/>
    <cellStyle name="Comma 4 2 2 2 2 11" xfId="8909" xr:uid="{477FCE05-1F49-4658-A03C-A8A5E7983C47}"/>
    <cellStyle name="Comma 4 2 2 2 2 11 2" xfId="18150" xr:uid="{D8D7B286-4FFA-415D-B5DD-65F1F70838EA}"/>
    <cellStyle name="Comma 4 2 2 2 2 12" xfId="9710" xr:uid="{703E776C-0CE8-400D-9BA9-E9FB96494FD7}"/>
    <cellStyle name="Comma 4 2 2 2 2 2" xfId="130" xr:uid="{00000000-0005-0000-0000-0000A6070000}"/>
    <cellStyle name="Comma 4 2 2 2 2 2 10" xfId="9116" xr:uid="{7A07505D-6B4C-4086-90B5-B5D345FB7611}"/>
    <cellStyle name="Comma 4 2 2 2 2 2 10 2" xfId="18151" xr:uid="{9DD4A202-D00C-4D36-ACAA-13AFB4488832}"/>
    <cellStyle name="Comma 4 2 2 2 2 2 11" xfId="9711" xr:uid="{C418A3BD-3AE0-41B1-8054-76B2BA6639C4}"/>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24927" xr:uid="{0AB8D2B6-6B37-41FB-9D84-A2BD60F16B24}"/>
    <cellStyle name="Comma 4 2 2 2 2 2 2 2 2 3" xfId="16487" xr:uid="{F1EFEBB1-B2E8-4E3E-A6E7-F5F891347506}"/>
    <cellStyle name="Comma 4 2 2 2 2 2 2 2 3" xfId="20710" xr:uid="{59C1F821-A7F0-4E0D-A94F-722643604589}"/>
    <cellStyle name="Comma 4 2 2 2 2 2 2 2 4" xfId="12270" xr:uid="{0C54001B-3DF6-4C44-8064-A08E5067E70E}"/>
    <cellStyle name="Comma 4 2 2 2 2 2 2 3" xfId="5016" xr:uid="{00000000-0005-0000-0000-0000AA070000}"/>
    <cellStyle name="Comma 4 2 2 2 2 2 2 3 2" xfId="22782" xr:uid="{095E8539-2073-469C-B2D3-75256F2B7F4F}"/>
    <cellStyle name="Comma 4 2 2 2 2 2 2 3 3" xfId="14342" xr:uid="{4B46A282-D9EB-44F6-B4D5-FE02AC74A685}"/>
    <cellStyle name="Comma 4 2 2 2 2 2 2 4" xfId="9541" xr:uid="{21DC771E-83A2-48BA-BE40-3E9E8454DE28}"/>
    <cellStyle name="Comma 4 2 2 2 2 2 2 4 2" xfId="18565" xr:uid="{A3F2097D-B241-4EAF-843D-ACE27FF1A013}"/>
    <cellStyle name="Comma 4 2 2 2 2 2 2 5" xfId="10125" xr:uid="{94274A46-9E2D-46F9-B2A0-1139D0FDE584}"/>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25340" xr:uid="{9CEA4033-70D0-4460-8055-37AFB7886C46}"/>
    <cellStyle name="Comma 4 2 2 2 2 2 3 2 2 3" xfId="16900" xr:uid="{00DADF89-8BA2-49FD-98EF-189AE5F2B42E}"/>
    <cellStyle name="Comma 4 2 2 2 2 2 3 2 3" xfId="21123" xr:uid="{4698112F-346C-45F4-A743-FABD28F55B56}"/>
    <cellStyle name="Comma 4 2 2 2 2 2 3 2 4" xfId="12683" xr:uid="{2F495F0B-4B56-4A17-A2A5-7D2972E6045E}"/>
    <cellStyle name="Comma 4 2 2 2 2 2 3 3" xfId="5429" xr:uid="{00000000-0005-0000-0000-0000AE070000}"/>
    <cellStyle name="Comma 4 2 2 2 2 2 3 3 2" xfId="23195" xr:uid="{25356271-2129-471B-A29C-1BE6B4767827}"/>
    <cellStyle name="Comma 4 2 2 2 2 2 3 3 3" xfId="14755" xr:uid="{BE8F5176-7730-4043-BF17-223F7B5BA701}"/>
    <cellStyle name="Comma 4 2 2 2 2 2 3 4" xfId="18978" xr:uid="{5BB87596-ED6C-4C2A-95C5-3C3AA6416B21}"/>
    <cellStyle name="Comma 4 2 2 2 2 2 3 5" xfId="10538" xr:uid="{61462394-9E81-4A6C-A222-89FC21CF458F}"/>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25753" xr:uid="{A9BF1B07-56FA-4E6F-BFD1-511DF879EA76}"/>
    <cellStyle name="Comma 4 2 2 2 2 2 4 2 2 3" xfId="17313" xr:uid="{3A87FF61-E108-4166-AE8D-EBEFCA3FC6EC}"/>
    <cellStyle name="Comma 4 2 2 2 2 2 4 2 3" xfId="21536" xr:uid="{68BBE3D4-FE8F-424E-B3B2-A27AD2446FE2}"/>
    <cellStyle name="Comma 4 2 2 2 2 2 4 2 4" xfId="13096" xr:uid="{C3895F81-B6F0-4AA8-B691-94558CC84E8C}"/>
    <cellStyle name="Comma 4 2 2 2 2 2 4 3" xfId="5842" xr:uid="{00000000-0005-0000-0000-0000B2070000}"/>
    <cellStyle name="Comma 4 2 2 2 2 2 4 3 2" xfId="23608" xr:uid="{8CDC018C-8410-4983-835F-43D7D9010319}"/>
    <cellStyle name="Comma 4 2 2 2 2 2 4 3 3" xfId="15168" xr:uid="{A5649AD6-9E58-4CEA-960E-3E2EF5724111}"/>
    <cellStyle name="Comma 4 2 2 2 2 2 4 4" xfId="19391" xr:uid="{1CC89FF4-5D9E-4493-964A-CC914B26DF10}"/>
    <cellStyle name="Comma 4 2 2 2 2 2 4 5" xfId="10951" xr:uid="{8E19CA7E-499F-42D9-9D3D-12EF2EB22279}"/>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26166" xr:uid="{26005830-9129-4CF7-9A7B-092D8955C7F8}"/>
    <cellStyle name="Comma 4 2 2 2 2 2 5 2 2 3" xfId="17726" xr:uid="{B3A07020-EE8F-4017-AEF2-B458234EBD50}"/>
    <cellStyle name="Comma 4 2 2 2 2 2 5 2 3" xfId="21949" xr:uid="{B0A31289-CDD1-40CB-97FF-4435858300C0}"/>
    <cellStyle name="Comma 4 2 2 2 2 2 5 2 4" xfId="13509" xr:uid="{D88C96DB-4C21-46F7-8ADC-EF3170ED1326}"/>
    <cellStyle name="Comma 4 2 2 2 2 2 5 3" xfId="6255" xr:uid="{00000000-0005-0000-0000-0000B6070000}"/>
    <cellStyle name="Comma 4 2 2 2 2 2 5 3 2" xfId="24021" xr:uid="{4F846CE8-08C7-44A2-BFE1-870CE2F9D393}"/>
    <cellStyle name="Comma 4 2 2 2 2 2 5 3 3" xfId="15581" xr:uid="{538E4D68-36B4-45EE-9115-9697CF2D0BD1}"/>
    <cellStyle name="Comma 4 2 2 2 2 2 5 4" xfId="19804" xr:uid="{0AFB9A0B-0888-49BA-B792-951125837853}"/>
    <cellStyle name="Comma 4 2 2 2 2 2 5 5" xfId="11364" xr:uid="{AE5C5CAD-A36D-4A51-8F55-397A4B6F378E}"/>
    <cellStyle name="Comma 4 2 2 2 2 2 6" xfId="2384" xr:uid="{00000000-0005-0000-0000-0000B7070000}"/>
    <cellStyle name="Comma 4 2 2 2 2 2 6 2" xfId="6668" xr:uid="{00000000-0005-0000-0000-0000B8070000}"/>
    <cellStyle name="Comma 4 2 2 2 2 2 6 2 2" xfId="24434" xr:uid="{441FE505-BD34-471E-BD3D-A4F7650F732E}"/>
    <cellStyle name="Comma 4 2 2 2 2 2 6 2 3" xfId="15994" xr:uid="{48642C45-F99A-4EC6-BF59-7227D17988CD}"/>
    <cellStyle name="Comma 4 2 2 2 2 2 6 3" xfId="20217" xr:uid="{33877C3A-02E3-40C2-8BEA-0E87906ABF35}"/>
    <cellStyle name="Comma 4 2 2 2 2 2 6 4" xfId="11777" xr:uid="{899C9D49-C20E-4BE4-8AF4-2CD5E4E1D212}"/>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24751" xr:uid="{6F6F2BCD-A73C-47D6-860D-62D5D4962EE2}"/>
    <cellStyle name="Comma 4 2 2 2 2 2 8 2 3" xfId="16311" xr:uid="{7EB3D7BB-C289-4AD8-A1E8-AA82BCAD3545}"/>
    <cellStyle name="Comma 4 2 2 2 2 2 8 3" xfId="20534" xr:uid="{5728E7CE-2129-431A-825A-79DD466F2B11}"/>
    <cellStyle name="Comma 4 2 2 2 2 2 8 4" xfId="12094" xr:uid="{9BEE3BA7-A64F-4005-8542-751DB88E6065}"/>
    <cellStyle name="Comma 4 2 2 2 2 2 9" xfId="4602" xr:uid="{00000000-0005-0000-0000-0000BC070000}"/>
    <cellStyle name="Comma 4 2 2 2 2 2 9 2" xfId="22368" xr:uid="{20D299A4-BBD8-4FD8-B4DB-FE846C0E3FC6}"/>
    <cellStyle name="Comma 4 2 2 2 2 2 9 3" xfId="13928" xr:uid="{28578A48-06FA-4213-BC7A-6582543AC906}"/>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24926" xr:uid="{B3FDA16C-FD7E-4D6E-8FFA-B97D9C689A27}"/>
    <cellStyle name="Comma 4 2 2 2 2 3 2 2 3" xfId="16486" xr:uid="{DC7DEA15-A509-4F5F-812A-88388CADAD6B}"/>
    <cellStyle name="Comma 4 2 2 2 2 3 2 3" xfId="20709" xr:uid="{73274003-BA8A-4F3D-83CC-F7DB4BE1AAFF}"/>
    <cellStyle name="Comma 4 2 2 2 2 3 2 4" xfId="12269" xr:uid="{1BAB1D64-9FDF-4450-A6A0-F2B1E669CBC3}"/>
    <cellStyle name="Comma 4 2 2 2 2 3 3" xfId="5015" xr:uid="{00000000-0005-0000-0000-0000C0070000}"/>
    <cellStyle name="Comma 4 2 2 2 2 3 3 2" xfId="22781" xr:uid="{6BCADD14-BA74-44EB-8C95-B5581D478EF7}"/>
    <cellStyle name="Comma 4 2 2 2 2 3 3 3" xfId="14341" xr:uid="{9F6BB690-AB61-4A7E-B283-0DB296903C90}"/>
    <cellStyle name="Comma 4 2 2 2 2 3 4" xfId="9334" xr:uid="{50E8807F-6450-4082-BD30-0A86C2E78D0E}"/>
    <cellStyle name="Comma 4 2 2 2 2 3 4 2" xfId="18564" xr:uid="{92BA247A-2EC0-4E7A-8A2B-3DFCE8A3A426}"/>
    <cellStyle name="Comma 4 2 2 2 2 3 5" xfId="10124" xr:uid="{2A6C71F0-72D5-40EC-9D94-EE1B05617CAD}"/>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25339" xr:uid="{1FCB5BB9-B850-4148-9F49-5EFB26FAA8BE}"/>
    <cellStyle name="Comma 4 2 2 2 2 4 2 2 3" xfId="16899" xr:uid="{AFED18B5-AE5E-4E70-9DF9-10B9E37652FC}"/>
    <cellStyle name="Comma 4 2 2 2 2 4 2 3" xfId="21122" xr:uid="{7EF405A9-53C6-40D6-98E0-090A43EA09B8}"/>
    <cellStyle name="Comma 4 2 2 2 2 4 2 4" xfId="12682" xr:uid="{85F35385-68E7-4CD3-83F1-151EA0D2DA87}"/>
    <cellStyle name="Comma 4 2 2 2 2 4 3" xfId="5428" xr:uid="{00000000-0005-0000-0000-0000C4070000}"/>
    <cellStyle name="Comma 4 2 2 2 2 4 3 2" xfId="23194" xr:uid="{2A276AD3-39CB-48D1-A088-D6068F3D3942}"/>
    <cellStyle name="Comma 4 2 2 2 2 4 3 3" xfId="14754" xr:uid="{1F8AE812-1EC1-43D3-BA0B-34BBA8240EF8}"/>
    <cellStyle name="Comma 4 2 2 2 2 4 4" xfId="18977" xr:uid="{2652063E-0155-4AF9-844E-3B3171CD814C}"/>
    <cellStyle name="Comma 4 2 2 2 2 4 5" xfId="10537" xr:uid="{BC84AC36-6A71-4B5C-AF97-D3272AD35C8A}"/>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25752" xr:uid="{6C3B7BEB-BE21-4C2D-B8E2-6B8741A3BB92}"/>
    <cellStyle name="Comma 4 2 2 2 2 5 2 2 3" xfId="17312" xr:uid="{729C3A57-7163-41B5-8803-42ED725D4A37}"/>
    <cellStyle name="Comma 4 2 2 2 2 5 2 3" xfId="21535" xr:uid="{33783B91-ED5A-47A2-9DF8-2E2663EEFEB8}"/>
    <cellStyle name="Comma 4 2 2 2 2 5 2 4" xfId="13095" xr:uid="{809C6C74-F5DB-485A-9DBB-08F11C833AE3}"/>
    <cellStyle name="Comma 4 2 2 2 2 5 3" xfId="5841" xr:uid="{00000000-0005-0000-0000-0000C8070000}"/>
    <cellStyle name="Comma 4 2 2 2 2 5 3 2" xfId="23607" xr:uid="{948DD86C-8EE9-45E7-A9A4-FE1346290F5E}"/>
    <cellStyle name="Comma 4 2 2 2 2 5 3 3" xfId="15167" xr:uid="{8FB115E7-6E68-4D37-BDA2-1F0C07AD0843}"/>
    <cellStyle name="Comma 4 2 2 2 2 5 4" xfId="19390" xr:uid="{CBDAF90C-0E00-4617-BD10-CFB5FE907624}"/>
    <cellStyle name="Comma 4 2 2 2 2 5 5" xfId="10950" xr:uid="{303C9294-FDD3-4DF3-A46E-D90BA6C6189D}"/>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26165" xr:uid="{F3B0923A-DB95-472C-823D-36116DB1AF07}"/>
    <cellStyle name="Comma 4 2 2 2 2 6 2 2 3" xfId="17725" xr:uid="{2299B2DD-106F-4746-932E-E28E2CA28FAB}"/>
    <cellStyle name="Comma 4 2 2 2 2 6 2 3" xfId="21948" xr:uid="{E77B3640-3FFB-494D-8F93-6E50E56CADED}"/>
    <cellStyle name="Comma 4 2 2 2 2 6 2 4" xfId="13508" xr:uid="{C4E665D4-98E7-43E1-B27C-178C590EF8FD}"/>
    <cellStyle name="Comma 4 2 2 2 2 6 3" xfId="6254" xr:uid="{00000000-0005-0000-0000-0000CC070000}"/>
    <cellStyle name="Comma 4 2 2 2 2 6 3 2" xfId="24020" xr:uid="{EB939A69-4D57-49E1-A444-ACC0B411950F}"/>
    <cellStyle name="Comma 4 2 2 2 2 6 3 3" xfId="15580" xr:uid="{442E4B92-10F1-4182-B29D-DAE157DF9BC3}"/>
    <cellStyle name="Comma 4 2 2 2 2 6 4" xfId="19803" xr:uid="{9E7D638B-2095-4202-9CC5-A1DB4F520679}"/>
    <cellStyle name="Comma 4 2 2 2 2 6 5" xfId="11363" xr:uid="{A5F21F3E-7FAA-4646-AFF2-57471B5E8355}"/>
    <cellStyle name="Comma 4 2 2 2 2 7" xfId="2383" xr:uid="{00000000-0005-0000-0000-0000CD070000}"/>
    <cellStyle name="Comma 4 2 2 2 2 7 2" xfId="6667" xr:uid="{00000000-0005-0000-0000-0000CE070000}"/>
    <cellStyle name="Comma 4 2 2 2 2 7 2 2" xfId="24433" xr:uid="{B7373E5F-2456-4410-B176-4AC8995AA1B5}"/>
    <cellStyle name="Comma 4 2 2 2 2 7 2 3" xfId="15993" xr:uid="{F6926B10-6E26-4FB9-9B07-D54E06CB72F4}"/>
    <cellStyle name="Comma 4 2 2 2 2 7 3" xfId="20216" xr:uid="{D5F3C094-6E06-4DA1-AA91-009C4031C69F}"/>
    <cellStyle name="Comma 4 2 2 2 2 7 4" xfId="11776" xr:uid="{81DE89DC-235B-4E91-A9F8-13FDCEF8C7DC}"/>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24750" xr:uid="{E8931AE3-FF51-4C44-B6AB-199B1CE8763C}"/>
    <cellStyle name="Comma 4 2 2 2 2 9 2 3" xfId="16310" xr:uid="{CA52D35D-E063-4702-8EF5-3C6D8F8BF3FA}"/>
    <cellStyle name="Comma 4 2 2 2 2 9 3" xfId="20533" xr:uid="{9357FC75-685C-4B34-8764-CB2CAEA7B07B}"/>
    <cellStyle name="Comma 4 2 2 2 2 9 4" xfId="12093" xr:uid="{F6D40273-DE27-4D9D-B2C6-EED62316683E}"/>
    <cellStyle name="Comma 4 2 2 2 3" xfId="131" xr:uid="{00000000-0005-0000-0000-0000D2070000}"/>
    <cellStyle name="Comma 4 2 2 2 3 10" xfId="9013" xr:uid="{D7491CA1-A7A0-4099-A659-9FB418CDDACA}"/>
    <cellStyle name="Comma 4 2 2 2 3 10 2" xfId="18152" xr:uid="{DB1F0A02-02E8-486F-9CB9-3733F0DAEE6B}"/>
    <cellStyle name="Comma 4 2 2 2 3 11" xfId="9712" xr:uid="{68FE05B7-EC5E-4BA5-8D5A-321C2EB8D247}"/>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24928" xr:uid="{FB9AB3BF-4781-418B-8F09-A56A54064B47}"/>
    <cellStyle name="Comma 4 2 2 2 3 2 2 2 3" xfId="16488" xr:uid="{ADBA5489-FFF5-49DC-8F37-CAFCC2136BB7}"/>
    <cellStyle name="Comma 4 2 2 2 3 2 2 3" xfId="20711" xr:uid="{5387D1B8-9FC8-424B-AB03-974C7A5B90DA}"/>
    <cellStyle name="Comma 4 2 2 2 3 2 2 4" xfId="12271" xr:uid="{4D4FE28D-F3D2-47B1-960E-995ED17D70EC}"/>
    <cellStyle name="Comma 4 2 2 2 3 2 3" xfId="5017" xr:uid="{00000000-0005-0000-0000-0000D6070000}"/>
    <cellStyle name="Comma 4 2 2 2 3 2 3 2" xfId="22783" xr:uid="{C2E6443D-1C95-4FA0-9D6B-3473DE6D6574}"/>
    <cellStyle name="Comma 4 2 2 2 3 2 3 3" xfId="14343" xr:uid="{62E84C28-BF99-4B40-808B-EB20FC615707}"/>
    <cellStyle name="Comma 4 2 2 2 3 2 4" xfId="9438" xr:uid="{8E9C4341-814A-43D1-8D35-8CCC512A2E32}"/>
    <cellStyle name="Comma 4 2 2 2 3 2 4 2" xfId="18566" xr:uid="{C272066B-47DD-4D2D-9859-A5E7864ECCAC}"/>
    <cellStyle name="Comma 4 2 2 2 3 2 5" xfId="10126" xr:uid="{C3D032D4-CC59-4EE6-83BC-95C057EA482C}"/>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25341" xr:uid="{06CA2402-DE09-4879-A6D2-71247EF13EA6}"/>
    <cellStyle name="Comma 4 2 2 2 3 3 2 2 3" xfId="16901" xr:uid="{CC907203-6EFE-4FD2-9652-72B975BE6011}"/>
    <cellStyle name="Comma 4 2 2 2 3 3 2 3" xfId="21124" xr:uid="{90761634-2FC2-486A-A27B-D15083C807F4}"/>
    <cellStyle name="Comma 4 2 2 2 3 3 2 4" xfId="12684" xr:uid="{0865A24C-C8DC-4920-AB84-495E3FF27509}"/>
    <cellStyle name="Comma 4 2 2 2 3 3 3" xfId="5430" xr:uid="{00000000-0005-0000-0000-0000DA070000}"/>
    <cellStyle name="Comma 4 2 2 2 3 3 3 2" xfId="23196" xr:uid="{8475A3D3-FA37-49E2-9F88-20C5AAF183D0}"/>
    <cellStyle name="Comma 4 2 2 2 3 3 3 3" xfId="14756" xr:uid="{1E283459-91F4-4919-ABEC-B61830120C17}"/>
    <cellStyle name="Comma 4 2 2 2 3 3 4" xfId="18979" xr:uid="{9A2084BB-6BC8-4998-965C-62DE5530C5DE}"/>
    <cellStyle name="Comma 4 2 2 2 3 3 5" xfId="10539" xr:uid="{CCF930F5-63BF-4081-B92B-85069F1E2B1E}"/>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25754" xr:uid="{50FC4830-35FA-4027-8702-FD249E58313B}"/>
    <cellStyle name="Comma 4 2 2 2 3 4 2 2 3" xfId="17314" xr:uid="{AC41896C-3873-4560-B947-A5C7F7E3183F}"/>
    <cellStyle name="Comma 4 2 2 2 3 4 2 3" xfId="21537" xr:uid="{51AE7A08-4612-431A-9024-3B8F85CDA17C}"/>
    <cellStyle name="Comma 4 2 2 2 3 4 2 4" xfId="13097" xr:uid="{A04CEC62-0EB6-48D9-A408-E0D2B6AA87CA}"/>
    <cellStyle name="Comma 4 2 2 2 3 4 3" xfId="5843" xr:uid="{00000000-0005-0000-0000-0000DE070000}"/>
    <cellStyle name="Comma 4 2 2 2 3 4 3 2" xfId="23609" xr:uid="{DAF105D5-1E6B-4AC3-92F8-E224374A1A39}"/>
    <cellStyle name="Comma 4 2 2 2 3 4 3 3" xfId="15169" xr:uid="{3EE8D2E2-2F5C-42BB-8950-99339859B90A}"/>
    <cellStyle name="Comma 4 2 2 2 3 4 4" xfId="19392" xr:uid="{0BA5AA78-2642-40E2-A54C-2F03DCE73F60}"/>
    <cellStyle name="Comma 4 2 2 2 3 4 5" xfId="10952" xr:uid="{325EC442-6C97-4B92-843A-CA7856A9F1C2}"/>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26167" xr:uid="{B3B3EE2B-AADB-4575-8732-F31E0C5DA054}"/>
    <cellStyle name="Comma 4 2 2 2 3 5 2 2 3" xfId="17727" xr:uid="{1F836C89-9145-4EFB-A564-E5B6A3182720}"/>
    <cellStyle name="Comma 4 2 2 2 3 5 2 3" xfId="21950" xr:uid="{CC33EAAB-C759-4C0E-A4AB-64E5869FBCF6}"/>
    <cellStyle name="Comma 4 2 2 2 3 5 2 4" xfId="13510" xr:uid="{CDD16ECB-8639-482B-896F-3C77513B9611}"/>
    <cellStyle name="Comma 4 2 2 2 3 5 3" xfId="6256" xr:uid="{00000000-0005-0000-0000-0000E2070000}"/>
    <cellStyle name="Comma 4 2 2 2 3 5 3 2" xfId="24022" xr:uid="{0F61ED47-B775-46E3-B351-E9E803743EE5}"/>
    <cellStyle name="Comma 4 2 2 2 3 5 3 3" xfId="15582" xr:uid="{CAF64DA2-0F4C-449A-8F5B-94092D986D88}"/>
    <cellStyle name="Comma 4 2 2 2 3 5 4" xfId="19805" xr:uid="{41604684-E3C6-44F4-B078-6FA80125F19F}"/>
    <cellStyle name="Comma 4 2 2 2 3 5 5" xfId="11365" xr:uid="{4883C57A-7AB7-4B6D-8EE1-A901CD00CA0A}"/>
    <cellStyle name="Comma 4 2 2 2 3 6" xfId="2385" xr:uid="{00000000-0005-0000-0000-0000E3070000}"/>
    <cellStyle name="Comma 4 2 2 2 3 6 2" xfId="6669" xr:uid="{00000000-0005-0000-0000-0000E4070000}"/>
    <cellStyle name="Comma 4 2 2 2 3 6 2 2" xfId="24435" xr:uid="{7833BD8B-5407-461D-9140-2A6A90DF036D}"/>
    <cellStyle name="Comma 4 2 2 2 3 6 2 3" xfId="15995" xr:uid="{8E1D5B36-FDB4-491B-9D73-C87B0DA2047B}"/>
    <cellStyle name="Comma 4 2 2 2 3 6 3" xfId="20218" xr:uid="{16DFADD1-4266-4895-96E7-E8A4F93567E5}"/>
    <cellStyle name="Comma 4 2 2 2 3 6 4" xfId="11778" xr:uid="{23C35C36-23E2-43D4-BF9D-95A5AB0B767D}"/>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24752" xr:uid="{0E6A31A5-0150-473E-94B3-B06EB30BFA85}"/>
    <cellStyle name="Comma 4 2 2 2 3 8 2 3" xfId="16312" xr:uid="{B7772015-21F9-428D-8F6D-6158C4955CEF}"/>
    <cellStyle name="Comma 4 2 2 2 3 8 3" xfId="20535" xr:uid="{B21581A7-1AEA-4957-88BC-0BE44E055D57}"/>
    <cellStyle name="Comma 4 2 2 2 3 8 4" xfId="12095" xr:uid="{C3ECB0B1-5948-44C5-80D7-DB294831B2DB}"/>
    <cellStyle name="Comma 4 2 2 2 3 9" xfId="4603" xr:uid="{00000000-0005-0000-0000-0000E8070000}"/>
    <cellStyle name="Comma 4 2 2 2 3 9 2" xfId="22369" xr:uid="{4CA1CF01-9A12-40A2-BB9B-0229569A8A2B}"/>
    <cellStyle name="Comma 4 2 2 2 3 9 3" xfId="13929" xr:uid="{AFA1F646-9D62-44B2-B321-F7E1D2129AD2}"/>
    <cellStyle name="Comma 4 2 2 2 4" xfId="666" xr:uid="{00000000-0005-0000-0000-0000E9070000}"/>
    <cellStyle name="Comma 4 2 2 2 4 2" xfId="2937" xr:uid="{00000000-0005-0000-0000-0000EA070000}"/>
    <cellStyle name="Comma 4 2 2 2 4 2 2" xfId="7159" xr:uid="{00000000-0005-0000-0000-0000EB070000}"/>
    <cellStyle name="Comma 4 2 2 2 4 2 2 2" xfId="24925" xr:uid="{B67D6B89-1D2A-4A59-87AD-FE5C12F7E16E}"/>
    <cellStyle name="Comma 4 2 2 2 4 2 2 3" xfId="16485" xr:uid="{23CEAE29-0C8A-4166-8D66-17B4C8800014}"/>
    <cellStyle name="Comma 4 2 2 2 4 2 3" xfId="20708" xr:uid="{4B56C424-3AED-4B65-93E3-96FDFAA77EC0}"/>
    <cellStyle name="Comma 4 2 2 2 4 2 4" xfId="12268" xr:uid="{2202511F-B55B-41EE-9361-4D4F926015C2}"/>
    <cellStyle name="Comma 4 2 2 2 4 3" xfId="5014" xr:uid="{00000000-0005-0000-0000-0000EC070000}"/>
    <cellStyle name="Comma 4 2 2 2 4 3 2" xfId="22780" xr:uid="{3F6B6B48-F236-41C2-86C4-F4C34C0B11CC}"/>
    <cellStyle name="Comma 4 2 2 2 4 3 3" xfId="14340" xr:uid="{19CF2118-C96C-4939-8733-5547643611DE}"/>
    <cellStyle name="Comma 4 2 2 2 4 4" xfId="9231" xr:uid="{31DAC97A-9492-467B-9850-183797A56FBE}"/>
    <cellStyle name="Comma 4 2 2 2 4 4 2" xfId="18563" xr:uid="{3600599D-BE6C-4703-B420-B7537273937C}"/>
    <cellStyle name="Comma 4 2 2 2 4 5" xfId="10123" xr:uid="{0EE2985A-5313-4DDC-B6B4-307B80BBD074}"/>
    <cellStyle name="Comma 4 2 2 2 5" xfId="1119" xr:uid="{00000000-0005-0000-0000-0000ED070000}"/>
    <cellStyle name="Comma 4 2 2 2 5 2" xfId="3350" xr:uid="{00000000-0005-0000-0000-0000EE070000}"/>
    <cellStyle name="Comma 4 2 2 2 5 2 2" xfId="7572" xr:uid="{00000000-0005-0000-0000-0000EF070000}"/>
    <cellStyle name="Comma 4 2 2 2 5 2 2 2" xfId="25338" xr:uid="{05439472-DF6D-415F-8749-9D635DF80E9F}"/>
    <cellStyle name="Comma 4 2 2 2 5 2 2 3" xfId="16898" xr:uid="{C0B0E360-8C31-4152-8C3B-E42F8EE06971}"/>
    <cellStyle name="Comma 4 2 2 2 5 2 3" xfId="21121" xr:uid="{04321604-9C9C-43E0-A35D-5432D46139D1}"/>
    <cellStyle name="Comma 4 2 2 2 5 2 4" xfId="12681" xr:uid="{21E51012-26EF-4A13-B865-FB6B37D70B9B}"/>
    <cellStyle name="Comma 4 2 2 2 5 3" xfId="5427" xr:uid="{00000000-0005-0000-0000-0000F0070000}"/>
    <cellStyle name="Comma 4 2 2 2 5 3 2" xfId="23193" xr:uid="{340E9ED5-CCD4-48FA-8BE7-D442AA92BE64}"/>
    <cellStyle name="Comma 4 2 2 2 5 3 3" xfId="14753" xr:uid="{BA78B44B-2A20-4FFF-A244-F2F4E454A879}"/>
    <cellStyle name="Comma 4 2 2 2 5 4" xfId="18976" xr:uid="{D233C0FA-120B-40F3-9A73-046239EBFC67}"/>
    <cellStyle name="Comma 4 2 2 2 5 5" xfId="10536" xr:uid="{B8A1C1F0-43DB-4E29-865C-2AA0A87CA80D}"/>
    <cellStyle name="Comma 4 2 2 2 6" xfId="1533" xr:uid="{00000000-0005-0000-0000-0000F1070000}"/>
    <cellStyle name="Comma 4 2 2 2 6 2" xfId="3763" xr:uid="{00000000-0005-0000-0000-0000F2070000}"/>
    <cellStyle name="Comma 4 2 2 2 6 2 2" xfId="7985" xr:uid="{00000000-0005-0000-0000-0000F3070000}"/>
    <cellStyle name="Comma 4 2 2 2 6 2 2 2" xfId="25751" xr:uid="{CF096021-091E-4C06-A94F-89EED0DBB579}"/>
    <cellStyle name="Comma 4 2 2 2 6 2 2 3" xfId="17311" xr:uid="{E76ACCCF-DC9C-45F5-A695-FDC0A69EB41E}"/>
    <cellStyle name="Comma 4 2 2 2 6 2 3" xfId="21534" xr:uid="{142BD99E-6B48-4063-A8FE-3440341AA4D7}"/>
    <cellStyle name="Comma 4 2 2 2 6 2 4" xfId="13094" xr:uid="{F716446F-89BA-452F-8EDF-1D21F708C8BA}"/>
    <cellStyle name="Comma 4 2 2 2 6 3" xfId="5840" xr:uid="{00000000-0005-0000-0000-0000F4070000}"/>
    <cellStyle name="Comma 4 2 2 2 6 3 2" xfId="23606" xr:uid="{696AD428-0FFB-4305-9D9A-BA15D424B23F}"/>
    <cellStyle name="Comma 4 2 2 2 6 3 3" xfId="15166" xr:uid="{15A4BD58-A6D6-4AE7-BEDC-8F0D510A4FD8}"/>
    <cellStyle name="Comma 4 2 2 2 6 4" xfId="19389" xr:uid="{45A75786-12E6-46C9-92AA-5593D68E8A3A}"/>
    <cellStyle name="Comma 4 2 2 2 6 5" xfId="10949" xr:uid="{9E30917D-B644-4816-809F-E661882DBD27}"/>
    <cellStyle name="Comma 4 2 2 2 7" xfId="1947" xr:uid="{00000000-0005-0000-0000-0000F5070000}"/>
    <cellStyle name="Comma 4 2 2 2 7 2" xfId="4176" xr:uid="{00000000-0005-0000-0000-0000F6070000}"/>
    <cellStyle name="Comma 4 2 2 2 7 2 2" xfId="8398" xr:uid="{00000000-0005-0000-0000-0000F7070000}"/>
    <cellStyle name="Comma 4 2 2 2 7 2 2 2" xfId="26164" xr:uid="{2EF715BB-ACDF-4DC3-AD74-97FD4CCEC2C8}"/>
    <cellStyle name="Comma 4 2 2 2 7 2 2 3" xfId="17724" xr:uid="{871B35E7-A67D-4445-B1A7-361F9A870D35}"/>
    <cellStyle name="Comma 4 2 2 2 7 2 3" xfId="21947" xr:uid="{2D346848-46F2-44CC-9CFC-3C6222406B9E}"/>
    <cellStyle name="Comma 4 2 2 2 7 2 4" xfId="13507" xr:uid="{AB701EE0-4274-48AA-8BF6-2216D6271288}"/>
    <cellStyle name="Comma 4 2 2 2 7 3" xfId="6253" xr:uid="{00000000-0005-0000-0000-0000F8070000}"/>
    <cellStyle name="Comma 4 2 2 2 7 3 2" xfId="24019" xr:uid="{30AA53D1-5E91-404D-A59F-E609F1187859}"/>
    <cellStyle name="Comma 4 2 2 2 7 3 3" xfId="15579" xr:uid="{6C86511C-AD8A-4AE5-8ED0-7F95D7BF423F}"/>
    <cellStyle name="Comma 4 2 2 2 7 4" xfId="19802" xr:uid="{40EA3516-2A3E-41E7-AED8-C88D0C3F566D}"/>
    <cellStyle name="Comma 4 2 2 2 7 5" xfId="11362" xr:uid="{712C7EE4-E875-4976-B8BB-86284CA9BD5C}"/>
    <cellStyle name="Comma 4 2 2 2 8" xfId="2382" xr:uid="{00000000-0005-0000-0000-0000F9070000}"/>
    <cellStyle name="Comma 4 2 2 2 8 2" xfId="6666" xr:uid="{00000000-0005-0000-0000-0000FA070000}"/>
    <cellStyle name="Comma 4 2 2 2 8 2 2" xfId="24432" xr:uid="{E09B6DB5-A303-47E2-AA06-4956FC5E094D}"/>
    <cellStyle name="Comma 4 2 2 2 8 2 3" xfId="15992" xr:uid="{E7F70C06-3551-4328-BB4B-07D84554B0B7}"/>
    <cellStyle name="Comma 4 2 2 2 8 3" xfId="20215" xr:uid="{BC9629E6-FBE2-414E-A25D-2D212DE84EE1}"/>
    <cellStyle name="Comma 4 2 2 2 8 4" xfId="11775" xr:uid="{00C2974E-9A01-463A-B12B-00F7475222FC}"/>
    <cellStyle name="Comma 4 2 2 2 9" xfId="2381" xr:uid="{00000000-0005-0000-0000-0000FB070000}"/>
    <cellStyle name="Comma 4 2 2 3" xfId="132" xr:uid="{00000000-0005-0000-0000-0000FC070000}"/>
    <cellStyle name="Comma 4 2 2 3 10" xfId="4604" xr:uid="{00000000-0005-0000-0000-0000FD070000}"/>
    <cellStyle name="Comma 4 2 2 3 10 2" xfId="22370" xr:uid="{0B8FC6F5-AD5F-4F30-BB73-8824141CDC75}"/>
    <cellStyle name="Comma 4 2 2 3 10 3" xfId="13930" xr:uid="{93E11182-627D-4B50-A13B-34E441666B19}"/>
    <cellStyle name="Comma 4 2 2 3 11" xfId="8889" xr:uid="{93813409-C042-4436-8561-B0237A135E7D}"/>
    <cellStyle name="Comma 4 2 2 3 11 2" xfId="18153" xr:uid="{646C1C3B-F1C7-4DFF-884D-078F19DCEF60}"/>
    <cellStyle name="Comma 4 2 2 3 12" xfId="9713" xr:uid="{707C65FF-59E0-4500-991B-D80EF4D2891E}"/>
    <cellStyle name="Comma 4 2 2 3 2" xfId="133" xr:uid="{00000000-0005-0000-0000-0000FE070000}"/>
    <cellStyle name="Comma 4 2 2 3 2 10" xfId="9096" xr:uid="{C395B6CC-7E3E-452B-B5AB-BBF992A45CEB}"/>
    <cellStyle name="Comma 4 2 2 3 2 10 2" xfId="18154" xr:uid="{8EE5E86D-55B7-41CB-8333-6FB9EE3435F7}"/>
    <cellStyle name="Comma 4 2 2 3 2 11" xfId="9714" xr:uid="{6FA8B419-3FB8-40DB-B7C9-3A17C4CDAEA1}"/>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24930" xr:uid="{B8B4DB2A-FCA4-4AFF-AC27-F22D82AAA7BA}"/>
    <cellStyle name="Comma 4 2 2 3 2 2 2 2 3" xfId="16490" xr:uid="{63D4E03B-58EB-48CC-999F-28FF19AA165E}"/>
    <cellStyle name="Comma 4 2 2 3 2 2 2 3" xfId="20713" xr:uid="{6F5A30AE-A1B6-406B-BAE6-0246F9E162D0}"/>
    <cellStyle name="Comma 4 2 2 3 2 2 2 4" xfId="12273" xr:uid="{33DDAA0E-2EA4-44B3-82E8-1AEE5A818FBA}"/>
    <cellStyle name="Comma 4 2 2 3 2 2 3" xfId="5019" xr:uid="{00000000-0005-0000-0000-000002080000}"/>
    <cellStyle name="Comma 4 2 2 3 2 2 3 2" xfId="22785" xr:uid="{A7E9E73D-595C-4776-99CF-E3C9C8DD2E0B}"/>
    <cellStyle name="Comma 4 2 2 3 2 2 3 3" xfId="14345" xr:uid="{A0AED3CA-2910-458B-8693-4F0D3480D1F3}"/>
    <cellStyle name="Comma 4 2 2 3 2 2 4" xfId="9521" xr:uid="{8F14F654-C711-4E70-8A06-71F68E70E2E0}"/>
    <cellStyle name="Comma 4 2 2 3 2 2 4 2" xfId="18568" xr:uid="{2907E9FC-5450-4023-8504-6680D1E47C87}"/>
    <cellStyle name="Comma 4 2 2 3 2 2 5" xfId="10128" xr:uid="{16F2D77D-33EF-4E9B-9CCC-F62FB472F3F9}"/>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25343" xr:uid="{7B9957FE-FEF3-4D90-969A-98C35568B754}"/>
    <cellStyle name="Comma 4 2 2 3 2 3 2 2 3" xfId="16903" xr:uid="{82F9193C-95CF-4BE8-82A0-597199CB89F5}"/>
    <cellStyle name="Comma 4 2 2 3 2 3 2 3" xfId="21126" xr:uid="{7AC0A3E6-D9FD-4C1F-B5AD-A095DA7A3E28}"/>
    <cellStyle name="Comma 4 2 2 3 2 3 2 4" xfId="12686" xr:uid="{F190C4C0-B407-448E-8F3D-192691014A30}"/>
    <cellStyle name="Comma 4 2 2 3 2 3 3" xfId="5432" xr:uid="{00000000-0005-0000-0000-000006080000}"/>
    <cellStyle name="Comma 4 2 2 3 2 3 3 2" xfId="23198" xr:uid="{20750B96-44CE-4C6B-84F1-922B0F6692AA}"/>
    <cellStyle name="Comma 4 2 2 3 2 3 3 3" xfId="14758" xr:uid="{3CD0847D-60C4-48E7-9882-A5E45D92F3CB}"/>
    <cellStyle name="Comma 4 2 2 3 2 3 4" xfId="18981" xr:uid="{FEF03202-60F5-424F-A211-4EDBC61D7833}"/>
    <cellStyle name="Comma 4 2 2 3 2 3 5" xfId="10541" xr:uid="{FE7A8198-492D-410C-ADBC-3A7D3F1BCBE7}"/>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25756" xr:uid="{9F438402-952D-4647-8D8D-CE6C6DAE7273}"/>
    <cellStyle name="Comma 4 2 2 3 2 4 2 2 3" xfId="17316" xr:uid="{A4018145-B570-464C-B2B0-97D27BB5CAB1}"/>
    <cellStyle name="Comma 4 2 2 3 2 4 2 3" xfId="21539" xr:uid="{560C608E-D958-4004-92FA-799040E1F334}"/>
    <cellStyle name="Comma 4 2 2 3 2 4 2 4" xfId="13099" xr:uid="{EE71A464-5780-42B9-970D-158362902224}"/>
    <cellStyle name="Comma 4 2 2 3 2 4 3" xfId="5845" xr:uid="{00000000-0005-0000-0000-00000A080000}"/>
    <cellStyle name="Comma 4 2 2 3 2 4 3 2" xfId="23611" xr:uid="{5B67810D-75F1-4037-8683-E4D2425A6DC5}"/>
    <cellStyle name="Comma 4 2 2 3 2 4 3 3" xfId="15171" xr:uid="{CC0E4277-8891-46DF-B0BE-B6CB6B0485AF}"/>
    <cellStyle name="Comma 4 2 2 3 2 4 4" xfId="19394" xr:uid="{622D9A42-C35C-4196-92BE-F1C4FF74B86A}"/>
    <cellStyle name="Comma 4 2 2 3 2 4 5" xfId="10954" xr:uid="{84C3F232-7A60-4C64-860C-7D9AD821C462}"/>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26169" xr:uid="{3DB132DA-79FA-46A9-9D66-D3402F88A209}"/>
    <cellStyle name="Comma 4 2 2 3 2 5 2 2 3" xfId="17729" xr:uid="{6D533B30-AC3D-4378-B1FE-CDE652302136}"/>
    <cellStyle name="Comma 4 2 2 3 2 5 2 3" xfId="21952" xr:uid="{CC1152DD-1E30-4E6C-B9DB-7D4B5F388963}"/>
    <cellStyle name="Comma 4 2 2 3 2 5 2 4" xfId="13512" xr:uid="{B3239B3A-CA44-4430-92A7-E29F7DA96CFB}"/>
    <cellStyle name="Comma 4 2 2 3 2 5 3" xfId="6258" xr:uid="{00000000-0005-0000-0000-00000E080000}"/>
    <cellStyle name="Comma 4 2 2 3 2 5 3 2" xfId="24024" xr:uid="{EE5F38AE-645C-458B-8DFF-8373B1D2373A}"/>
    <cellStyle name="Comma 4 2 2 3 2 5 3 3" xfId="15584" xr:uid="{E3AE0A53-6E80-4D0B-A60C-FA58D60B87C5}"/>
    <cellStyle name="Comma 4 2 2 3 2 5 4" xfId="19807" xr:uid="{E681FFD1-553D-49B5-93EA-85959E197264}"/>
    <cellStyle name="Comma 4 2 2 3 2 5 5" xfId="11367" xr:uid="{C994FABF-4119-4B8F-92D7-EAED46DC320D}"/>
    <cellStyle name="Comma 4 2 2 3 2 6" xfId="2387" xr:uid="{00000000-0005-0000-0000-00000F080000}"/>
    <cellStyle name="Comma 4 2 2 3 2 6 2" xfId="6671" xr:uid="{00000000-0005-0000-0000-000010080000}"/>
    <cellStyle name="Comma 4 2 2 3 2 6 2 2" xfId="24437" xr:uid="{95E97BF1-DBEF-4C31-9937-827A4769E3E9}"/>
    <cellStyle name="Comma 4 2 2 3 2 6 2 3" xfId="15997" xr:uid="{6057708F-B095-4279-854F-DBF4EE3FD622}"/>
    <cellStyle name="Comma 4 2 2 3 2 6 3" xfId="20220" xr:uid="{6E431FCA-8D34-4B61-BF26-531B31DF8302}"/>
    <cellStyle name="Comma 4 2 2 3 2 6 4" xfId="11780" xr:uid="{244D3698-E1AD-4CAE-A435-BC3D1C81E7C2}"/>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24754" xr:uid="{3AF294D2-2266-4E64-AA1D-3DB7C1FC4280}"/>
    <cellStyle name="Comma 4 2 2 3 2 8 2 3" xfId="16314" xr:uid="{DCDF1D75-C5F8-4BA6-919C-4BBAD99540F2}"/>
    <cellStyle name="Comma 4 2 2 3 2 8 3" xfId="20537" xr:uid="{65E070A2-E001-406B-8DBD-DB606437D6C7}"/>
    <cellStyle name="Comma 4 2 2 3 2 8 4" xfId="12097" xr:uid="{6C1C3FF4-29CF-464A-9372-44F7E29D52F1}"/>
    <cellStyle name="Comma 4 2 2 3 2 9" xfId="4605" xr:uid="{00000000-0005-0000-0000-000014080000}"/>
    <cellStyle name="Comma 4 2 2 3 2 9 2" xfId="22371" xr:uid="{C401D9DB-80BF-4B24-935A-F9B987867D97}"/>
    <cellStyle name="Comma 4 2 2 3 2 9 3" xfId="13931" xr:uid="{DF8A438F-C74F-4CEE-9A27-F861BF6012E3}"/>
    <cellStyle name="Comma 4 2 2 3 3" xfId="670" xr:uid="{00000000-0005-0000-0000-000015080000}"/>
    <cellStyle name="Comma 4 2 2 3 3 2" xfId="2941" xr:uid="{00000000-0005-0000-0000-000016080000}"/>
    <cellStyle name="Comma 4 2 2 3 3 2 2" xfId="7163" xr:uid="{00000000-0005-0000-0000-000017080000}"/>
    <cellStyle name="Comma 4 2 2 3 3 2 2 2" xfId="24929" xr:uid="{E13E2AB5-C0D6-47D2-9E07-25583BAD1C00}"/>
    <cellStyle name="Comma 4 2 2 3 3 2 2 3" xfId="16489" xr:uid="{150C02EF-B240-411D-A15E-8D2D41E782A9}"/>
    <cellStyle name="Comma 4 2 2 3 3 2 3" xfId="20712" xr:uid="{706E1919-56C5-428A-8682-245429DD9680}"/>
    <cellStyle name="Comma 4 2 2 3 3 2 4" xfId="12272" xr:uid="{18B6EC46-2158-462F-AA58-0D9257908DCF}"/>
    <cellStyle name="Comma 4 2 2 3 3 3" xfId="5018" xr:uid="{00000000-0005-0000-0000-000018080000}"/>
    <cellStyle name="Comma 4 2 2 3 3 3 2" xfId="22784" xr:uid="{B8C84436-C6FC-47F3-B6E9-FE118383331A}"/>
    <cellStyle name="Comma 4 2 2 3 3 3 3" xfId="14344" xr:uid="{8D0C7CD7-5DE8-472E-BDBF-06D78DC17C97}"/>
    <cellStyle name="Comma 4 2 2 3 3 4" xfId="9314" xr:uid="{A74197AE-1229-40FC-8212-8FB289D74FF6}"/>
    <cellStyle name="Comma 4 2 2 3 3 4 2" xfId="18567" xr:uid="{B9B64C69-4B73-4F35-9CE6-E186DFB6B332}"/>
    <cellStyle name="Comma 4 2 2 3 3 5" xfId="10127" xr:uid="{A366518F-A83B-4919-9841-D1F75706C1C9}"/>
    <cellStyle name="Comma 4 2 2 3 4" xfId="1123" xr:uid="{00000000-0005-0000-0000-000019080000}"/>
    <cellStyle name="Comma 4 2 2 3 4 2" xfId="3354" xr:uid="{00000000-0005-0000-0000-00001A080000}"/>
    <cellStyle name="Comma 4 2 2 3 4 2 2" xfId="7576" xr:uid="{00000000-0005-0000-0000-00001B080000}"/>
    <cellStyle name="Comma 4 2 2 3 4 2 2 2" xfId="25342" xr:uid="{4EAD1A43-02EC-4CC0-A077-409242C05718}"/>
    <cellStyle name="Comma 4 2 2 3 4 2 2 3" xfId="16902" xr:uid="{126025D8-2CCF-48C2-AEEB-8859FB98BFC1}"/>
    <cellStyle name="Comma 4 2 2 3 4 2 3" xfId="21125" xr:uid="{8DA82924-FFFF-40C4-8D63-BCB92EAC289C}"/>
    <cellStyle name="Comma 4 2 2 3 4 2 4" xfId="12685" xr:uid="{56C79250-7BF0-4431-964B-5E566B40554A}"/>
    <cellStyle name="Comma 4 2 2 3 4 3" xfId="5431" xr:uid="{00000000-0005-0000-0000-00001C080000}"/>
    <cellStyle name="Comma 4 2 2 3 4 3 2" xfId="23197" xr:uid="{3F4CF5EC-C8E9-4FB5-9666-79E452B74875}"/>
    <cellStyle name="Comma 4 2 2 3 4 3 3" xfId="14757" xr:uid="{1B6E7AD1-DB38-484B-8319-54D512EF7EF9}"/>
    <cellStyle name="Comma 4 2 2 3 4 4" xfId="18980" xr:uid="{D672CDFB-D157-4CBF-9206-55C21C6B2631}"/>
    <cellStyle name="Comma 4 2 2 3 4 5" xfId="10540" xr:uid="{7E15110E-AAC6-4F43-8D4A-EEB30AA6A0D1}"/>
    <cellStyle name="Comma 4 2 2 3 5" xfId="1537" xr:uid="{00000000-0005-0000-0000-00001D080000}"/>
    <cellStyle name="Comma 4 2 2 3 5 2" xfId="3767" xr:uid="{00000000-0005-0000-0000-00001E080000}"/>
    <cellStyle name="Comma 4 2 2 3 5 2 2" xfId="7989" xr:uid="{00000000-0005-0000-0000-00001F080000}"/>
    <cellStyle name="Comma 4 2 2 3 5 2 2 2" xfId="25755" xr:uid="{7E10FDF9-C84C-406A-8554-7D845C139C95}"/>
    <cellStyle name="Comma 4 2 2 3 5 2 2 3" xfId="17315" xr:uid="{0CE4EB2A-2314-46BC-B3B8-BEB9AD01E38A}"/>
    <cellStyle name="Comma 4 2 2 3 5 2 3" xfId="21538" xr:uid="{BF21F889-FB3E-4B0C-B389-A271129B43B9}"/>
    <cellStyle name="Comma 4 2 2 3 5 2 4" xfId="13098" xr:uid="{A1A667C4-C375-48FC-8F6A-79B1CA789691}"/>
    <cellStyle name="Comma 4 2 2 3 5 3" xfId="5844" xr:uid="{00000000-0005-0000-0000-000020080000}"/>
    <cellStyle name="Comma 4 2 2 3 5 3 2" xfId="23610" xr:uid="{04C8FA4B-4859-4DFF-8106-3371F30BD75E}"/>
    <cellStyle name="Comma 4 2 2 3 5 3 3" xfId="15170" xr:uid="{1FE2AEDF-B75A-4B17-B23C-612E026B8101}"/>
    <cellStyle name="Comma 4 2 2 3 5 4" xfId="19393" xr:uid="{4E5F0574-0919-4A1B-B81A-B3782EAE9471}"/>
    <cellStyle name="Comma 4 2 2 3 5 5" xfId="10953" xr:uid="{6B6F74EA-3A23-43BA-972F-977ACA958465}"/>
    <cellStyle name="Comma 4 2 2 3 6" xfId="1951" xr:uid="{00000000-0005-0000-0000-000021080000}"/>
    <cellStyle name="Comma 4 2 2 3 6 2" xfId="4180" xr:uid="{00000000-0005-0000-0000-000022080000}"/>
    <cellStyle name="Comma 4 2 2 3 6 2 2" xfId="8402" xr:uid="{00000000-0005-0000-0000-000023080000}"/>
    <cellStyle name="Comma 4 2 2 3 6 2 2 2" xfId="26168" xr:uid="{3B27D162-E9C2-408B-B265-783D41F5772A}"/>
    <cellStyle name="Comma 4 2 2 3 6 2 2 3" xfId="17728" xr:uid="{0C007768-9140-4EE0-A5B8-482C71ACDBEA}"/>
    <cellStyle name="Comma 4 2 2 3 6 2 3" xfId="21951" xr:uid="{2C51CF99-1C1A-4D73-8428-7F95CC55CA3F}"/>
    <cellStyle name="Comma 4 2 2 3 6 2 4" xfId="13511" xr:uid="{FB27D5B6-1DFF-4437-8785-2C69DC400B1E}"/>
    <cellStyle name="Comma 4 2 2 3 6 3" xfId="6257" xr:uid="{00000000-0005-0000-0000-000024080000}"/>
    <cellStyle name="Comma 4 2 2 3 6 3 2" xfId="24023" xr:uid="{4FF9F461-FF65-48E2-9B52-BF6B3385FCF7}"/>
    <cellStyle name="Comma 4 2 2 3 6 3 3" xfId="15583" xr:uid="{5CC66012-5D75-4FDE-88B6-0CC5D771C7C9}"/>
    <cellStyle name="Comma 4 2 2 3 6 4" xfId="19806" xr:uid="{1A114B74-E5F6-4D64-B9DA-8CCB7972FB6C}"/>
    <cellStyle name="Comma 4 2 2 3 6 5" xfId="11366" xr:uid="{F80A3DB2-9F1E-4C73-989D-25A8B777D180}"/>
    <cellStyle name="Comma 4 2 2 3 7" xfId="2386" xr:uid="{00000000-0005-0000-0000-000025080000}"/>
    <cellStyle name="Comma 4 2 2 3 7 2" xfId="6670" xr:uid="{00000000-0005-0000-0000-000026080000}"/>
    <cellStyle name="Comma 4 2 2 3 7 2 2" xfId="24436" xr:uid="{80025B8B-1CB7-4A8D-980C-0B6F4962F8F7}"/>
    <cellStyle name="Comma 4 2 2 3 7 2 3" xfId="15996" xr:uid="{D383E02C-8FA2-4155-9307-779FBDD31450}"/>
    <cellStyle name="Comma 4 2 2 3 7 3" xfId="20219" xr:uid="{02E7A387-7880-4122-8645-C122B0D47D9A}"/>
    <cellStyle name="Comma 4 2 2 3 7 4" xfId="11779" xr:uid="{237A4201-28E1-4A2C-8E05-3515BBD75F12}"/>
    <cellStyle name="Comma 4 2 2 3 8" xfId="2377" xr:uid="{00000000-0005-0000-0000-000027080000}"/>
    <cellStyle name="Comma 4 2 2 3 9" xfId="2764" xr:uid="{00000000-0005-0000-0000-000028080000}"/>
    <cellStyle name="Comma 4 2 2 3 9 2" xfId="6987" xr:uid="{00000000-0005-0000-0000-000029080000}"/>
    <cellStyle name="Comma 4 2 2 3 9 2 2" xfId="24753" xr:uid="{72A8C715-CDAB-45F8-ADE1-34D0B537E043}"/>
    <cellStyle name="Comma 4 2 2 3 9 2 3" xfId="16313" xr:uid="{EB1B5E0C-A16B-4397-B8E3-77DA743AA303}"/>
    <cellStyle name="Comma 4 2 2 3 9 3" xfId="20536" xr:uid="{D5D2E7F1-2CBA-4ECE-BD8C-565E8B8BF2C0}"/>
    <cellStyle name="Comma 4 2 2 3 9 4" xfId="12096" xr:uid="{77391FA8-02E7-4EC8-8F5F-18D271126DC4}"/>
    <cellStyle name="Comma 4 2 2 4" xfId="134" xr:uid="{00000000-0005-0000-0000-00002A080000}"/>
    <cellStyle name="Comma 4 2 2 4 10" xfId="8993" xr:uid="{2969CB69-37C4-4C43-BC9D-87F92556F829}"/>
    <cellStyle name="Comma 4 2 2 4 10 2" xfId="18155" xr:uid="{BE07D7A3-A832-4169-AAA1-99E953686677}"/>
    <cellStyle name="Comma 4 2 2 4 11" xfId="9715" xr:uid="{3F4CDFA6-4EE6-4FA1-888A-F0E32A418080}"/>
    <cellStyle name="Comma 4 2 2 4 2" xfId="672" xr:uid="{00000000-0005-0000-0000-00002B080000}"/>
    <cellStyle name="Comma 4 2 2 4 2 2" xfId="2943" xr:uid="{00000000-0005-0000-0000-00002C080000}"/>
    <cellStyle name="Comma 4 2 2 4 2 2 2" xfId="7165" xr:uid="{00000000-0005-0000-0000-00002D080000}"/>
    <cellStyle name="Comma 4 2 2 4 2 2 2 2" xfId="24931" xr:uid="{E51660C5-C611-46D7-BD6B-3F674F653594}"/>
    <cellStyle name="Comma 4 2 2 4 2 2 2 3" xfId="16491" xr:uid="{212F8FE5-3CAB-441C-8187-7B2C8372071D}"/>
    <cellStyle name="Comma 4 2 2 4 2 2 3" xfId="20714" xr:uid="{C7E7C5E6-14CA-4CD6-87A2-7402C44A21BC}"/>
    <cellStyle name="Comma 4 2 2 4 2 2 4" xfId="12274" xr:uid="{7A9F817A-2314-45DC-A4B2-97CF151566C6}"/>
    <cellStyle name="Comma 4 2 2 4 2 3" xfId="5020" xr:uid="{00000000-0005-0000-0000-00002E080000}"/>
    <cellStyle name="Comma 4 2 2 4 2 3 2" xfId="22786" xr:uid="{D6EA96B7-00AE-4FD4-8198-16345191A2E3}"/>
    <cellStyle name="Comma 4 2 2 4 2 3 3" xfId="14346" xr:uid="{4D48A3E4-F194-47FF-B980-3280FF4624AC}"/>
    <cellStyle name="Comma 4 2 2 4 2 4" xfId="9418" xr:uid="{F2EB07B7-2227-485D-9411-A8F75EC2F9DA}"/>
    <cellStyle name="Comma 4 2 2 4 2 4 2" xfId="18569" xr:uid="{25B90868-C08A-4FFF-B705-F614ADC2FA3F}"/>
    <cellStyle name="Comma 4 2 2 4 2 5" xfId="10129" xr:uid="{30C3749C-2C9B-4A56-B08D-85CF932CB696}"/>
    <cellStyle name="Comma 4 2 2 4 3" xfId="1125" xr:uid="{00000000-0005-0000-0000-00002F080000}"/>
    <cellStyle name="Comma 4 2 2 4 3 2" xfId="3356" xr:uid="{00000000-0005-0000-0000-000030080000}"/>
    <cellStyle name="Comma 4 2 2 4 3 2 2" xfId="7578" xr:uid="{00000000-0005-0000-0000-000031080000}"/>
    <cellStyle name="Comma 4 2 2 4 3 2 2 2" xfId="25344" xr:uid="{2FAD761D-44D3-4E87-B764-C0B05D7AFDAE}"/>
    <cellStyle name="Comma 4 2 2 4 3 2 2 3" xfId="16904" xr:uid="{CBDAA4D8-339E-48F0-869E-8CB33E9A4567}"/>
    <cellStyle name="Comma 4 2 2 4 3 2 3" xfId="21127" xr:uid="{6413E1B5-B093-4B77-A51F-E6116BAB0C42}"/>
    <cellStyle name="Comma 4 2 2 4 3 2 4" xfId="12687" xr:uid="{CA708347-22C6-450F-951A-75B5E3527457}"/>
    <cellStyle name="Comma 4 2 2 4 3 3" xfId="5433" xr:uid="{00000000-0005-0000-0000-000032080000}"/>
    <cellStyle name="Comma 4 2 2 4 3 3 2" xfId="23199" xr:uid="{E1D30E8D-AC26-49C3-AF32-CC02A4DB0873}"/>
    <cellStyle name="Comma 4 2 2 4 3 3 3" xfId="14759" xr:uid="{AB553207-885E-4EA6-88EF-06DB42F2DCC3}"/>
    <cellStyle name="Comma 4 2 2 4 3 4" xfId="18982" xr:uid="{CFFE85C0-BB79-48EC-8D78-5DFE89FFB33A}"/>
    <cellStyle name="Comma 4 2 2 4 3 5" xfId="10542" xr:uid="{E941A2CE-02C2-4CD8-99AD-4DB4748F5AD5}"/>
    <cellStyle name="Comma 4 2 2 4 4" xfId="1539" xr:uid="{00000000-0005-0000-0000-000033080000}"/>
    <cellStyle name="Comma 4 2 2 4 4 2" xfId="3769" xr:uid="{00000000-0005-0000-0000-000034080000}"/>
    <cellStyle name="Comma 4 2 2 4 4 2 2" xfId="7991" xr:uid="{00000000-0005-0000-0000-000035080000}"/>
    <cellStyle name="Comma 4 2 2 4 4 2 2 2" xfId="25757" xr:uid="{7FCDD29F-2B5E-41F0-B3C8-BF2CEEAFE482}"/>
    <cellStyle name="Comma 4 2 2 4 4 2 2 3" xfId="17317" xr:uid="{E1D4F167-5028-4DA2-80EC-4C938BEB6948}"/>
    <cellStyle name="Comma 4 2 2 4 4 2 3" xfId="21540" xr:uid="{E95E32E2-C0B9-4184-8962-E309B5AF58E6}"/>
    <cellStyle name="Comma 4 2 2 4 4 2 4" xfId="13100" xr:uid="{8D4F3DD5-ABF6-44FA-BA98-942B6C821C74}"/>
    <cellStyle name="Comma 4 2 2 4 4 3" xfId="5846" xr:uid="{00000000-0005-0000-0000-000036080000}"/>
    <cellStyle name="Comma 4 2 2 4 4 3 2" xfId="23612" xr:uid="{9DC170A2-71C2-477C-A653-A97676CEFC0E}"/>
    <cellStyle name="Comma 4 2 2 4 4 3 3" xfId="15172" xr:uid="{E73F67DE-3174-4AFE-A6E3-0A60D4160141}"/>
    <cellStyle name="Comma 4 2 2 4 4 4" xfId="19395" xr:uid="{CE677721-EAA0-4D2B-A82C-8827BD509DAF}"/>
    <cellStyle name="Comma 4 2 2 4 4 5" xfId="10955" xr:uid="{59B5114E-B04A-470A-B958-73F105F7085B}"/>
    <cellStyle name="Comma 4 2 2 4 5" xfId="1953" xr:uid="{00000000-0005-0000-0000-000037080000}"/>
    <cellStyle name="Comma 4 2 2 4 5 2" xfId="4182" xr:uid="{00000000-0005-0000-0000-000038080000}"/>
    <cellStyle name="Comma 4 2 2 4 5 2 2" xfId="8404" xr:uid="{00000000-0005-0000-0000-000039080000}"/>
    <cellStyle name="Comma 4 2 2 4 5 2 2 2" xfId="26170" xr:uid="{5B6DCE9A-4965-4838-8F7E-3CE35B89B7CD}"/>
    <cellStyle name="Comma 4 2 2 4 5 2 2 3" xfId="17730" xr:uid="{2A102013-2966-43C2-8B13-19E68C07A222}"/>
    <cellStyle name="Comma 4 2 2 4 5 2 3" xfId="21953" xr:uid="{631217E8-AC76-46DD-9734-8E65B06B97B9}"/>
    <cellStyle name="Comma 4 2 2 4 5 2 4" xfId="13513" xr:uid="{8F5688CB-284E-47C2-8B97-3F0DE9BD88DD}"/>
    <cellStyle name="Comma 4 2 2 4 5 3" xfId="6259" xr:uid="{00000000-0005-0000-0000-00003A080000}"/>
    <cellStyle name="Comma 4 2 2 4 5 3 2" xfId="24025" xr:uid="{E7ABDFBE-18D1-41A9-89C8-7BF613B57947}"/>
    <cellStyle name="Comma 4 2 2 4 5 3 3" xfId="15585" xr:uid="{530AED3B-E8D8-467D-B462-0F7362286B4F}"/>
    <cellStyle name="Comma 4 2 2 4 5 4" xfId="19808" xr:uid="{77C3DC44-85DB-49FB-985B-4AE0CF342508}"/>
    <cellStyle name="Comma 4 2 2 4 5 5" xfId="11368" xr:uid="{9E64C62D-A9F1-475A-A50D-7BE5A4F58462}"/>
    <cellStyle name="Comma 4 2 2 4 6" xfId="2388" xr:uid="{00000000-0005-0000-0000-00003B080000}"/>
    <cellStyle name="Comma 4 2 2 4 6 2" xfId="6672" xr:uid="{00000000-0005-0000-0000-00003C080000}"/>
    <cellStyle name="Comma 4 2 2 4 6 2 2" xfId="24438" xr:uid="{7E7116C8-62A0-43E5-820C-DAA0B58FED2C}"/>
    <cellStyle name="Comma 4 2 2 4 6 2 3" xfId="15998" xr:uid="{5BD32E70-A1A8-4F0D-974A-E1F07611E38D}"/>
    <cellStyle name="Comma 4 2 2 4 6 3" xfId="20221" xr:uid="{6F5F86EB-21B6-4241-8732-9213937B5D34}"/>
    <cellStyle name="Comma 4 2 2 4 6 4" xfId="11781" xr:uid="{C4E7F44A-DEE5-4E4E-B1FA-5E142E12B012}"/>
    <cellStyle name="Comma 4 2 2 4 7" xfId="2375" xr:uid="{00000000-0005-0000-0000-00003D080000}"/>
    <cellStyle name="Comma 4 2 2 4 8" xfId="2766" xr:uid="{00000000-0005-0000-0000-00003E080000}"/>
    <cellStyle name="Comma 4 2 2 4 8 2" xfId="6989" xr:uid="{00000000-0005-0000-0000-00003F080000}"/>
    <cellStyle name="Comma 4 2 2 4 8 2 2" xfId="24755" xr:uid="{7A6FC006-8B53-4B42-9B78-6A07DEE039D9}"/>
    <cellStyle name="Comma 4 2 2 4 8 2 3" xfId="16315" xr:uid="{BF5C2C80-5428-4E4D-85F0-C8D877665541}"/>
    <cellStyle name="Comma 4 2 2 4 8 3" xfId="20538" xr:uid="{D8274C63-9136-422F-B33E-0C2E1278405B}"/>
    <cellStyle name="Comma 4 2 2 4 8 4" xfId="12098" xr:uid="{ECDA8225-E1BF-4F5A-8BD3-81C003445FF9}"/>
    <cellStyle name="Comma 4 2 2 4 9" xfId="4606" xr:uid="{00000000-0005-0000-0000-000040080000}"/>
    <cellStyle name="Comma 4 2 2 4 9 2" xfId="22372" xr:uid="{14FCA533-2270-4E38-B222-EE3AE12F1B06}"/>
    <cellStyle name="Comma 4 2 2 4 9 3" xfId="13932" xr:uid="{33362FF2-F6F6-4991-B8F3-1C8BA3DE2561}"/>
    <cellStyle name="Comma 4 2 2 5" xfId="135" xr:uid="{00000000-0005-0000-0000-000041080000}"/>
    <cellStyle name="Comma 4 2 2 5 10" xfId="9210" xr:uid="{C1F9418B-EF96-4063-883D-A983E131C6A4}"/>
    <cellStyle name="Comma 4 2 2 5 10 2" xfId="18156" xr:uid="{9D1C6C46-429B-45C2-AF0B-8CBC69802973}"/>
    <cellStyle name="Comma 4 2 2 5 11" xfId="9716" xr:uid="{B5A2C87E-15FA-4ABF-B2A4-3AFDBC95C124}"/>
    <cellStyle name="Comma 4 2 2 5 2" xfId="673" xr:uid="{00000000-0005-0000-0000-000042080000}"/>
    <cellStyle name="Comma 4 2 2 5 2 2" xfId="2944" xr:uid="{00000000-0005-0000-0000-000043080000}"/>
    <cellStyle name="Comma 4 2 2 5 2 2 2" xfId="7166" xr:uid="{00000000-0005-0000-0000-000044080000}"/>
    <cellStyle name="Comma 4 2 2 5 2 2 2 2" xfId="24932" xr:uid="{FAB9106C-1A50-400E-8052-6E57E58EA718}"/>
    <cellStyle name="Comma 4 2 2 5 2 2 2 3" xfId="16492" xr:uid="{F6A7830A-672B-4531-9A42-49F5D38D65F2}"/>
    <cellStyle name="Comma 4 2 2 5 2 2 3" xfId="20715" xr:uid="{7E2BBFCE-983A-4A0A-B10A-7CBE2B986DB0}"/>
    <cellStyle name="Comma 4 2 2 5 2 2 4" xfId="12275" xr:uid="{83E87726-AA99-4BCB-8C28-945FDB9D8416}"/>
    <cellStyle name="Comma 4 2 2 5 2 3" xfId="5021" xr:uid="{00000000-0005-0000-0000-000045080000}"/>
    <cellStyle name="Comma 4 2 2 5 2 3 2" xfId="22787" xr:uid="{B6C71B0A-FACE-4A6F-A3B8-A7278233764D}"/>
    <cellStyle name="Comma 4 2 2 5 2 3 3" xfId="14347" xr:uid="{0CB36E90-28CE-4B2D-934A-AEC539B30E72}"/>
    <cellStyle name="Comma 4 2 2 5 2 4" xfId="9593" xr:uid="{3B41C66E-2108-4CBE-9776-211459781E55}"/>
    <cellStyle name="Comma 4 2 2 5 2 4 2" xfId="18570" xr:uid="{612B2D58-6EFB-40A8-9C85-FD53246FAECE}"/>
    <cellStyle name="Comma 4 2 2 5 2 5" xfId="10130" xr:uid="{96BA7CCC-4258-47A4-A589-BAD341D38143}"/>
    <cellStyle name="Comma 4 2 2 5 3" xfId="1126" xr:uid="{00000000-0005-0000-0000-000046080000}"/>
    <cellStyle name="Comma 4 2 2 5 3 2" xfId="3357" xr:uid="{00000000-0005-0000-0000-000047080000}"/>
    <cellStyle name="Comma 4 2 2 5 3 2 2" xfId="7579" xr:uid="{00000000-0005-0000-0000-000048080000}"/>
    <cellStyle name="Comma 4 2 2 5 3 2 2 2" xfId="25345" xr:uid="{D843D64A-63A6-471D-A0DE-A639D23B0415}"/>
    <cellStyle name="Comma 4 2 2 5 3 2 2 3" xfId="16905" xr:uid="{089A5244-A370-4AAE-8804-14343E6F7047}"/>
    <cellStyle name="Comma 4 2 2 5 3 2 3" xfId="21128" xr:uid="{A7DDD6EE-EC0B-472A-B4D3-161898EA1EC4}"/>
    <cellStyle name="Comma 4 2 2 5 3 2 4" xfId="12688" xr:uid="{F5CC101E-3FB1-4166-A7F4-FDEF489F64DC}"/>
    <cellStyle name="Comma 4 2 2 5 3 3" xfId="5434" xr:uid="{00000000-0005-0000-0000-000049080000}"/>
    <cellStyle name="Comma 4 2 2 5 3 3 2" xfId="23200" xr:uid="{89E5517F-E6C6-45E8-9B19-E1FB97B0829A}"/>
    <cellStyle name="Comma 4 2 2 5 3 3 3" xfId="14760" xr:uid="{5E59CF9A-91F4-49E6-A0F2-DB584125D22D}"/>
    <cellStyle name="Comma 4 2 2 5 3 4" xfId="18983" xr:uid="{6E934DDE-A23A-43DB-A3C9-3B38CE69ED00}"/>
    <cellStyle name="Comma 4 2 2 5 3 5" xfId="10543" xr:uid="{2A93642B-A0DD-42FF-955F-E82821C1849F}"/>
    <cellStyle name="Comma 4 2 2 5 4" xfId="1540" xr:uid="{00000000-0005-0000-0000-00004A080000}"/>
    <cellStyle name="Comma 4 2 2 5 4 2" xfId="3770" xr:uid="{00000000-0005-0000-0000-00004B080000}"/>
    <cellStyle name="Comma 4 2 2 5 4 2 2" xfId="7992" xr:uid="{00000000-0005-0000-0000-00004C080000}"/>
    <cellStyle name="Comma 4 2 2 5 4 2 2 2" xfId="25758" xr:uid="{FCDBF6AC-23DE-4156-9AEA-87D491FB1D45}"/>
    <cellStyle name="Comma 4 2 2 5 4 2 2 3" xfId="17318" xr:uid="{EA405F03-9156-4F53-8EE7-8662F9F4E1D1}"/>
    <cellStyle name="Comma 4 2 2 5 4 2 3" xfId="21541" xr:uid="{FFE3BABE-CAE8-45AB-83A3-0E5A9F2D36CF}"/>
    <cellStyle name="Comma 4 2 2 5 4 2 4" xfId="13101" xr:uid="{8A8C7EC2-2B03-413F-8B05-15FEE5A39A0A}"/>
    <cellStyle name="Comma 4 2 2 5 4 3" xfId="5847" xr:uid="{00000000-0005-0000-0000-00004D080000}"/>
    <cellStyle name="Comma 4 2 2 5 4 3 2" xfId="23613" xr:uid="{E0F8DE28-E4DA-4FB1-93D8-3BD44E280395}"/>
    <cellStyle name="Comma 4 2 2 5 4 3 3" xfId="15173" xr:uid="{E29F0A7A-FC46-4E20-83AC-C6B624E8489F}"/>
    <cellStyle name="Comma 4 2 2 5 4 4" xfId="19396" xr:uid="{BAA70E1E-5CB1-4D9C-9E45-C9DBEEE55C7F}"/>
    <cellStyle name="Comma 4 2 2 5 4 5" xfId="10956" xr:uid="{B32CE202-D684-40B7-A949-DCF569F6A2BB}"/>
    <cellStyle name="Comma 4 2 2 5 5" xfId="1954" xr:uid="{00000000-0005-0000-0000-00004E080000}"/>
    <cellStyle name="Comma 4 2 2 5 5 2" xfId="4183" xr:uid="{00000000-0005-0000-0000-00004F080000}"/>
    <cellStyle name="Comma 4 2 2 5 5 2 2" xfId="8405" xr:uid="{00000000-0005-0000-0000-000050080000}"/>
    <cellStyle name="Comma 4 2 2 5 5 2 2 2" xfId="26171" xr:uid="{7FF66515-300F-4831-8EF5-562F1BC222DE}"/>
    <cellStyle name="Comma 4 2 2 5 5 2 2 3" xfId="17731" xr:uid="{F38781F1-53C7-4F48-B369-E9E5B5D48379}"/>
    <cellStyle name="Comma 4 2 2 5 5 2 3" xfId="21954" xr:uid="{8C0E4435-1302-4173-A5BA-C7C2882D90D3}"/>
    <cellStyle name="Comma 4 2 2 5 5 2 4" xfId="13514" xr:uid="{2A7A863D-6247-4B20-9A8D-587ABE7E3B08}"/>
    <cellStyle name="Comma 4 2 2 5 5 3" xfId="6260" xr:uid="{00000000-0005-0000-0000-000051080000}"/>
    <cellStyle name="Comma 4 2 2 5 5 3 2" xfId="24026" xr:uid="{E49AF49C-DF55-4881-9A72-A95AA88BFB98}"/>
    <cellStyle name="Comma 4 2 2 5 5 3 3" xfId="15586" xr:uid="{60A6AA6A-7365-4E9A-A424-4FFDC5C53330}"/>
    <cellStyle name="Comma 4 2 2 5 5 4" xfId="19809" xr:uid="{341FD8E0-A90B-4225-8AFC-BCC92B76128F}"/>
    <cellStyle name="Comma 4 2 2 5 5 5" xfId="11369" xr:uid="{8A10C8CF-9ED0-4F93-863C-F2263C7773F6}"/>
    <cellStyle name="Comma 4 2 2 5 6" xfId="2389" xr:uid="{00000000-0005-0000-0000-000052080000}"/>
    <cellStyle name="Comma 4 2 2 5 6 2" xfId="6673" xr:uid="{00000000-0005-0000-0000-000053080000}"/>
    <cellStyle name="Comma 4 2 2 5 6 2 2" xfId="24439" xr:uid="{AB773569-1927-4710-838C-C58CCDB96739}"/>
    <cellStyle name="Comma 4 2 2 5 6 2 3" xfId="15999" xr:uid="{6678BE2D-0C90-4D0E-AA90-0A4B55147950}"/>
    <cellStyle name="Comma 4 2 2 5 6 3" xfId="20222" xr:uid="{155EE497-276B-40E2-933D-2D7C419E79EC}"/>
    <cellStyle name="Comma 4 2 2 5 6 4" xfId="11782" xr:uid="{2765F450-4EAB-47BF-97BD-97EFBD16E577}"/>
    <cellStyle name="Comma 4 2 2 5 7" xfId="2374" xr:uid="{00000000-0005-0000-0000-000054080000}"/>
    <cellStyle name="Comma 4 2 2 5 8" xfId="2767" xr:uid="{00000000-0005-0000-0000-000055080000}"/>
    <cellStyle name="Comma 4 2 2 5 8 2" xfId="6990" xr:uid="{00000000-0005-0000-0000-000056080000}"/>
    <cellStyle name="Comma 4 2 2 5 8 2 2" xfId="24756" xr:uid="{341A720C-E15F-4370-85A6-BB5F012E11E8}"/>
    <cellStyle name="Comma 4 2 2 5 8 2 3" xfId="16316" xr:uid="{0F305AE8-21BA-4F3D-BEEA-B89AF6353753}"/>
    <cellStyle name="Comma 4 2 2 5 8 3" xfId="20539" xr:uid="{CE7A5123-385C-490D-87CA-1F86588D5832}"/>
    <cellStyle name="Comma 4 2 2 5 8 4" xfId="12099" xr:uid="{5EAF3483-6B42-481D-985A-5FE44F3E2D03}"/>
    <cellStyle name="Comma 4 2 2 5 9" xfId="4607" xr:uid="{00000000-0005-0000-0000-000057080000}"/>
    <cellStyle name="Comma 4 2 2 5 9 2" xfId="22373" xr:uid="{6751D382-5F2A-48DD-AD26-0E673E836107}"/>
    <cellStyle name="Comma 4 2 2 5 9 3" xfId="13933" xr:uid="{0C26D058-F3B4-4F2C-A52E-DD871502A2CA}"/>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24757" xr:uid="{237ED4A7-905E-40F6-B9DD-8166E328E404}"/>
    <cellStyle name="Comma 4 2 3 10 2 3" xfId="16317" xr:uid="{379568F5-CF42-4FCF-99BC-7AE532D30B77}"/>
    <cellStyle name="Comma 4 2 3 10 3" xfId="20540" xr:uid="{C5B40EE8-EC81-4B57-B8B9-2DCB403400B8}"/>
    <cellStyle name="Comma 4 2 3 10 4" xfId="12100" xr:uid="{D88A36C6-8179-4A9E-9DA7-7B2199EAFB2C}"/>
    <cellStyle name="Comma 4 2 3 11" xfId="4608" xr:uid="{00000000-0005-0000-0000-00005B080000}"/>
    <cellStyle name="Comma 4 2 3 11 2" xfId="22374" xr:uid="{B741D744-32E9-415B-A943-CFE900191B2A}"/>
    <cellStyle name="Comma 4 2 3 11 3" xfId="13934" xr:uid="{B231BAFA-5831-4D6B-AD27-2620DFFAD4F9}"/>
    <cellStyle name="Comma 4 2 3 12" xfId="8805" xr:uid="{C45527F6-07B7-4887-BAF3-A6424444BA3B}"/>
    <cellStyle name="Comma 4 2 3 12 2" xfId="18157" xr:uid="{6284A08A-BACB-42D4-AFEF-1917671A9D9E}"/>
    <cellStyle name="Comma 4 2 3 13" xfId="9717" xr:uid="{B898E21F-29C4-4250-87E5-BE4EC32EACDA}"/>
    <cellStyle name="Comma 4 2 3 2" xfId="137" xr:uid="{00000000-0005-0000-0000-00005C080000}"/>
    <cellStyle name="Comma 4 2 3 2 10" xfId="4609" xr:uid="{00000000-0005-0000-0000-00005D080000}"/>
    <cellStyle name="Comma 4 2 3 2 10 2" xfId="22375" xr:uid="{A862AB1C-D1C9-467C-833D-5FEDB745EDE2}"/>
    <cellStyle name="Comma 4 2 3 2 10 3" xfId="13935" xr:uid="{2ECE865B-B7C1-497B-BB01-EDEE5EB106A0}"/>
    <cellStyle name="Comma 4 2 3 2 11" xfId="8908" xr:uid="{E7021C11-E6EB-4392-A0AD-2A78F42B4BB7}"/>
    <cellStyle name="Comma 4 2 3 2 11 2" xfId="18158" xr:uid="{8A5D10E9-A8CD-4710-AC7D-420E320CBCDF}"/>
    <cellStyle name="Comma 4 2 3 2 12" xfId="9718" xr:uid="{321F2103-20BA-4891-811D-96A685C73D19}"/>
    <cellStyle name="Comma 4 2 3 2 2" xfId="138" xr:uid="{00000000-0005-0000-0000-00005E080000}"/>
    <cellStyle name="Comma 4 2 3 2 2 10" xfId="9115" xr:uid="{1A31CCC4-B2C0-4E0C-B714-855521500FE8}"/>
    <cellStyle name="Comma 4 2 3 2 2 10 2" xfId="18159" xr:uid="{75F4262E-F9AC-48A2-875E-8147618C4EAE}"/>
    <cellStyle name="Comma 4 2 3 2 2 11" xfId="9719" xr:uid="{0EB8E548-4722-4AD7-826E-99D2786F0461}"/>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24935" xr:uid="{F01F3AB7-3544-405C-895B-0448FF762CF4}"/>
    <cellStyle name="Comma 4 2 3 2 2 2 2 2 3" xfId="16495" xr:uid="{B9CBDFF8-5635-49CB-855E-E7E881615895}"/>
    <cellStyle name="Comma 4 2 3 2 2 2 2 3" xfId="20718" xr:uid="{15E24A8B-CD4E-4BFA-8825-12BDF45CD228}"/>
    <cellStyle name="Comma 4 2 3 2 2 2 2 4" xfId="12278" xr:uid="{7858632F-AF92-4B2B-8D9D-A15D36A27663}"/>
    <cellStyle name="Comma 4 2 3 2 2 2 3" xfId="5024" xr:uid="{00000000-0005-0000-0000-000062080000}"/>
    <cellStyle name="Comma 4 2 3 2 2 2 3 2" xfId="22790" xr:uid="{C0395EE0-FB8C-4289-BC7B-EE4ACA1A91A5}"/>
    <cellStyle name="Comma 4 2 3 2 2 2 3 3" xfId="14350" xr:uid="{9AFF3C84-8CAB-4063-BB86-393BD6A84C51}"/>
    <cellStyle name="Comma 4 2 3 2 2 2 4" xfId="9540" xr:uid="{F922DD27-FEAE-4DB6-894F-26CD58815668}"/>
    <cellStyle name="Comma 4 2 3 2 2 2 4 2" xfId="18573" xr:uid="{D484BCF8-34A1-4985-AAC8-6AEB027136FD}"/>
    <cellStyle name="Comma 4 2 3 2 2 2 5" xfId="10133" xr:uid="{A5E80139-596F-4250-82A0-30B8819C00D5}"/>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25348" xr:uid="{2B994B63-8FDA-4AB0-BBA2-1FAC79BBD7C7}"/>
    <cellStyle name="Comma 4 2 3 2 2 3 2 2 3" xfId="16908" xr:uid="{751A5593-88C3-42B3-B254-F97E67838E94}"/>
    <cellStyle name="Comma 4 2 3 2 2 3 2 3" xfId="21131" xr:uid="{F50C5FED-F9B1-451A-BD85-B64574CC6F7D}"/>
    <cellStyle name="Comma 4 2 3 2 2 3 2 4" xfId="12691" xr:uid="{6AA38EE9-854B-45FE-8F1E-5734851E81DB}"/>
    <cellStyle name="Comma 4 2 3 2 2 3 3" xfId="5437" xr:uid="{00000000-0005-0000-0000-000066080000}"/>
    <cellStyle name="Comma 4 2 3 2 2 3 3 2" xfId="23203" xr:uid="{5DEB78B9-E8DC-455B-A7B1-BA31869B9A29}"/>
    <cellStyle name="Comma 4 2 3 2 2 3 3 3" xfId="14763" xr:uid="{18CA0491-88B9-47E5-9282-EFF7758E38EB}"/>
    <cellStyle name="Comma 4 2 3 2 2 3 4" xfId="18986" xr:uid="{B863349B-4618-4F4E-A812-F9888B7E3565}"/>
    <cellStyle name="Comma 4 2 3 2 2 3 5" xfId="10546" xr:uid="{0A51CB6F-0A9D-4A84-BB08-3D53BAFCFF30}"/>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25761" xr:uid="{FE1F80D2-E0D6-43C7-94D6-94F9F22135F9}"/>
    <cellStyle name="Comma 4 2 3 2 2 4 2 2 3" xfId="17321" xr:uid="{CE7136CB-0B59-4D5D-B079-E48FE11D534E}"/>
    <cellStyle name="Comma 4 2 3 2 2 4 2 3" xfId="21544" xr:uid="{3D0BA91E-FFA8-4A98-92F0-0C65D7F64BA4}"/>
    <cellStyle name="Comma 4 2 3 2 2 4 2 4" xfId="13104" xr:uid="{D4DD25EB-282E-4A36-B7EC-2270ED90F2D8}"/>
    <cellStyle name="Comma 4 2 3 2 2 4 3" xfId="5850" xr:uid="{00000000-0005-0000-0000-00006A080000}"/>
    <cellStyle name="Comma 4 2 3 2 2 4 3 2" xfId="23616" xr:uid="{DEA5A0F8-FDD8-4BDD-858D-35320C7949A1}"/>
    <cellStyle name="Comma 4 2 3 2 2 4 3 3" xfId="15176" xr:uid="{DC37F156-FC53-45E1-B642-FEB5C07EED41}"/>
    <cellStyle name="Comma 4 2 3 2 2 4 4" xfId="19399" xr:uid="{4C0782E8-C99F-4354-9B71-41166AA077F0}"/>
    <cellStyle name="Comma 4 2 3 2 2 4 5" xfId="10959" xr:uid="{1E9265CF-DAD4-4B19-973A-0E0AF8BB6E61}"/>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26174" xr:uid="{E1B2E6E7-3272-4434-879F-F06A26EF218A}"/>
    <cellStyle name="Comma 4 2 3 2 2 5 2 2 3" xfId="17734" xr:uid="{E296C930-6709-4586-9D85-92505B5196A7}"/>
    <cellStyle name="Comma 4 2 3 2 2 5 2 3" xfId="21957" xr:uid="{A5B9BA17-33AE-402B-9181-0E610D335A41}"/>
    <cellStyle name="Comma 4 2 3 2 2 5 2 4" xfId="13517" xr:uid="{0CA57CA2-03DB-4281-9D27-E88DF7558C05}"/>
    <cellStyle name="Comma 4 2 3 2 2 5 3" xfId="6263" xr:uid="{00000000-0005-0000-0000-00006E080000}"/>
    <cellStyle name="Comma 4 2 3 2 2 5 3 2" xfId="24029" xr:uid="{E1815F32-0B53-4F5B-B47F-89B4F59BA9C9}"/>
    <cellStyle name="Comma 4 2 3 2 2 5 3 3" xfId="15589" xr:uid="{D561EC0E-85AA-4574-9032-D0CD15052C29}"/>
    <cellStyle name="Comma 4 2 3 2 2 5 4" xfId="19812" xr:uid="{DE659EE1-63BB-4577-AEEC-B120FF6E9EA5}"/>
    <cellStyle name="Comma 4 2 3 2 2 5 5" xfId="11372" xr:uid="{18068600-7C5C-4A92-98B4-0C62302CEDDC}"/>
    <cellStyle name="Comma 4 2 3 2 2 6" xfId="2392" xr:uid="{00000000-0005-0000-0000-00006F080000}"/>
    <cellStyle name="Comma 4 2 3 2 2 6 2" xfId="6676" xr:uid="{00000000-0005-0000-0000-000070080000}"/>
    <cellStyle name="Comma 4 2 3 2 2 6 2 2" xfId="24442" xr:uid="{54F53CB5-A5D6-4273-9DD8-9F63004AD476}"/>
    <cellStyle name="Comma 4 2 3 2 2 6 2 3" xfId="16002" xr:uid="{D7EE031A-47E5-452E-B43A-6A8694FFAC65}"/>
    <cellStyle name="Comma 4 2 3 2 2 6 3" xfId="20225" xr:uid="{50B6D7E3-2704-48D3-B76F-3D71080D6FE5}"/>
    <cellStyle name="Comma 4 2 3 2 2 6 4" xfId="11785" xr:uid="{3A45EF0F-4A95-446E-AD73-550858ED6A87}"/>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24759" xr:uid="{5E6B4E41-B46F-4361-B32F-BA05D5CB0956}"/>
    <cellStyle name="Comma 4 2 3 2 2 8 2 3" xfId="16319" xr:uid="{18DF6F45-6831-4888-B896-EB16F0E95D13}"/>
    <cellStyle name="Comma 4 2 3 2 2 8 3" xfId="20542" xr:uid="{77410B17-26E2-491D-AE56-98158F829D3A}"/>
    <cellStyle name="Comma 4 2 3 2 2 8 4" xfId="12102" xr:uid="{EF52DD68-C4E9-4503-BD86-BA88E8D5E8F7}"/>
    <cellStyle name="Comma 4 2 3 2 2 9" xfId="4610" xr:uid="{00000000-0005-0000-0000-000074080000}"/>
    <cellStyle name="Comma 4 2 3 2 2 9 2" xfId="22376" xr:uid="{EB87B79B-A7C5-4F5F-80F4-73CA8EC19DFB}"/>
    <cellStyle name="Comma 4 2 3 2 2 9 3" xfId="13936" xr:uid="{325C3C98-CB8F-44B3-98BC-8854CECADD42}"/>
    <cellStyle name="Comma 4 2 3 2 3" xfId="675" xr:uid="{00000000-0005-0000-0000-000075080000}"/>
    <cellStyle name="Comma 4 2 3 2 3 2" xfId="2946" xr:uid="{00000000-0005-0000-0000-000076080000}"/>
    <cellStyle name="Comma 4 2 3 2 3 2 2" xfId="7168" xr:uid="{00000000-0005-0000-0000-000077080000}"/>
    <cellStyle name="Comma 4 2 3 2 3 2 2 2" xfId="24934" xr:uid="{06D0434F-AD16-49E3-818C-C95612C167E9}"/>
    <cellStyle name="Comma 4 2 3 2 3 2 2 3" xfId="16494" xr:uid="{07F37807-6BB2-42D6-8D69-958CDB6A76C6}"/>
    <cellStyle name="Comma 4 2 3 2 3 2 3" xfId="20717" xr:uid="{C611039C-567E-41B5-B42C-49A569FB1B69}"/>
    <cellStyle name="Comma 4 2 3 2 3 2 4" xfId="12277" xr:uid="{DEBA38AE-3A2F-4AC2-A401-4C479EA04861}"/>
    <cellStyle name="Comma 4 2 3 2 3 3" xfId="5023" xr:uid="{00000000-0005-0000-0000-000078080000}"/>
    <cellStyle name="Comma 4 2 3 2 3 3 2" xfId="22789" xr:uid="{1C9330B8-9D94-440E-B6D7-6AA3F6E7902D}"/>
    <cellStyle name="Comma 4 2 3 2 3 3 3" xfId="14349" xr:uid="{F1BA37BF-9FD6-462B-8DB9-3351CA6C92FA}"/>
    <cellStyle name="Comma 4 2 3 2 3 4" xfId="9333" xr:uid="{5C974796-1B06-4FA8-AB2A-F6B34628ACD4}"/>
    <cellStyle name="Comma 4 2 3 2 3 4 2" xfId="18572" xr:uid="{4303E06F-9951-4A4B-8EE7-05951A38E6CB}"/>
    <cellStyle name="Comma 4 2 3 2 3 5" xfId="10132" xr:uid="{3E6E380C-A1C5-43DF-9E56-AE9C58435B25}"/>
    <cellStyle name="Comma 4 2 3 2 4" xfId="1128" xr:uid="{00000000-0005-0000-0000-000079080000}"/>
    <cellStyle name="Comma 4 2 3 2 4 2" xfId="3359" xr:uid="{00000000-0005-0000-0000-00007A080000}"/>
    <cellStyle name="Comma 4 2 3 2 4 2 2" xfId="7581" xr:uid="{00000000-0005-0000-0000-00007B080000}"/>
    <cellStyle name="Comma 4 2 3 2 4 2 2 2" xfId="25347" xr:uid="{2DDA5FB7-C55C-4A54-A472-26C546376310}"/>
    <cellStyle name="Comma 4 2 3 2 4 2 2 3" xfId="16907" xr:uid="{FCEA14ED-C50E-400F-B147-94A64AA83C95}"/>
    <cellStyle name="Comma 4 2 3 2 4 2 3" xfId="21130" xr:uid="{BF08F3D5-48E7-4F88-A53B-6E8B5A171116}"/>
    <cellStyle name="Comma 4 2 3 2 4 2 4" xfId="12690" xr:uid="{5D536397-C1A4-45CD-9829-4748443F356C}"/>
    <cellStyle name="Comma 4 2 3 2 4 3" xfId="5436" xr:uid="{00000000-0005-0000-0000-00007C080000}"/>
    <cellStyle name="Comma 4 2 3 2 4 3 2" xfId="23202" xr:uid="{FDE3917C-85CF-4793-9FF3-5525E89ED040}"/>
    <cellStyle name="Comma 4 2 3 2 4 3 3" xfId="14762" xr:uid="{EB631605-65FA-4846-BD57-37FA0E72AD0D}"/>
    <cellStyle name="Comma 4 2 3 2 4 4" xfId="18985" xr:uid="{1DF76424-3D15-48DE-B28E-A2BD25DDDE15}"/>
    <cellStyle name="Comma 4 2 3 2 4 5" xfId="10545" xr:uid="{BE219E7C-88DA-42EC-BE74-DC5DFE669227}"/>
    <cellStyle name="Comma 4 2 3 2 5" xfId="1542" xr:uid="{00000000-0005-0000-0000-00007D080000}"/>
    <cellStyle name="Comma 4 2 3 2 5 2" xfId="3772" xr:uid="{00000000-0005-0000-0000-00007E080000}"/>
    <cellStyle name="Comma 4 2 3 2 5 2 2" xfId="7994" xr:uid="{00000000-0005-0000-0000-00007F080000}"/>
    <cellStyle name="Comma 4 2 3 2 5 2 2 2" xfId="25760" xr:uid="{14319A55-63DF-469F-85F0-6A3FCF465D04}"/>
    <cellStyle name="Comma 4 2 3 2 5 2 2 3" xfId="17320" xr:uid="{71B1DFC6-DAA8-482D-A547-0767FE7F7270}"/>
    <cellStyle name="Comma 4 2 3 2 5 2 3" xfId="21543" xr:uid="{AF804DE9-14AA-4516-B69B-1E52F9B43047}"/>
    <cellStyle name="Comma 4 2 3 2 5 2 4" xfId="13103" xr:uid="{E0B1D493-5570-4B1D-9786-11B10EA76D36}"/>
    <cellStyle name="Comma 4 2 3 2 5 3" xfId="5849" xr:uid="{00000000-0005-0000-0000-000080080000}"/>
    <cellStyle name="Comma 4 2 3 2 5 3 2" xfId="23615" xr:uid="{6B6B9E62-8D63-49B6-B514-998A56C7112B}"/>
    <cellStyle name="Comma 4 2 3 2 5 3 3" xfId="15175" xr:uid="{85B2AC51-9642-4C50-B8E2-A3D8A50BA77F}"/>
    <cellStyle name="Comma 4 2 3 2 5 4" xfId="19398" xr:uid="{6BC0B663-CA02-4FF2-8E3C-7F93A50551BB}"/>
    <cellStyle name="Comma 4 2 3 2 5 5" xfId="10958" xr:uid="{B1EC236E-483A-4BAC-954C-F3B83CF9232A}"/>
    <cellStyle name="Comma 4 2 3 2 6" xfId="1956" xr:uid="{00000000-0005-0000-0000-000081080000}"/>
    <cellStyle name="Comma 4 2 3 2 6 2" xfId="4185" xr:uid="{00000000-0005-0000-0000-000082080000}"/>
    <cellStyle name="Comma 4 2 3 2 6 2 2" xfId="8407" xr:uid="{00000000-0005-0000-0000-000083080000}"/>
    <cellStyle name="Comma 4 2 3 2 6 2 2 2" xfId="26173" xr:uid="{2F595821-1E6E-4B48-B341-1C90C4191437}"/>
    <cellStyle name="Comma 4 2 3 2 6 2 2 3" xfId="17733" xr:uid="{00339316-208C-4827-9BC9-2662545B4870}"/>
    <cellStyle name="Comma 4 2 3 2 6 2 3" xfId="21956" xr:uid="{7E722BFF-E2AE-4688-87E1-EB9430170624}"/>
    <cellStyle name="Comma 4 2 3 2 6 2 4" xfId="13516" xr:uid="{B5A907CA-29FD-4685-B453-1B100827C4CD}"/>
    <cellStyle name="Comma 4 2 3 2 6 3" xfId="6262" xr:uid="{00000000-0005-0000-0000-000084080000}"/>
    <cellStyle name="Comma 4 2 3 2 6 3 2" xfId="24028" xr:uid="{D40DAA97-BD0C-47A2-9AAF-4213B121D15B}"/>
    <cellStyle name="Comma 4 2 3 2 6 3 3" xfId="15588" xr:uid="{5082E181-0582-4826-BB99-C1FDD3113B3A}"/>
    <cellStyle name="Comma 4 2 3 2 6 4" xfId="19811" xr:uid="{15C20F21-93B9-4374-943E-5F7CE6648CEC}"/>
    <cellStyle name="Comma 4 2 3 2 6 5" xfId="11371" xr:uid="{350608C5-009C-4B34-9168-4487D53CC0DB}"/>
    <cellStyle name="Comma 4 2 3 2 7" xfId="2391" xr:uid="{00000000-0005-0000-0000-000085080000}"/>
    <cellStyle name="Comma 4 2 3 2 7 2" xfId="6675" xr:uid="{00000000-0005-0000-0000-000086080000}"/>
    <cellStyle name="Comma 4 2 3 2 7 2 2" xfId="24441" xr:uid="{B65FA2F9-29F1-4D82-8F01-0C99AEC56605}"/>
    <cellStyle name="Comma 4 2 3 2 7 2 3" xfId="16001" xr:uid="{A7B80F65-F341-4A75-BF08-EDE4A7E502E2}"/>
    <cellStyle name="Comma 4 2 3 2 7 3" xfId="20224" xr:uid="{130BFE1D-1C99-46A3-9B3D-A5ABE842F610}"/>
    <cellStyle name="Comma 4 2 3 2 7 4" xfId="11784" xr:uid="{D4E2613E-264C-49FA-A624-3C346C766CE8}"/>
    <cellStyle name="Comma 4 2 3 2 8" xfId="2372" xr:uid="{00000000-0005-0000-0000-000087080000}"/>
    <cellStyle name="Comma 4 2 3 2 9" xfId="2769" xr:uid="{00000000-0005-0000-0000-000088080000}"/>
    <cellStyle name="Comma 4 2 3 2 9 2" xfId="6992" xr:uid="{00000000-0005-0000-0000-000089080000}"/>
    <cellStyle name="Comma 4 2 3 2 9 2 2" xfId="24758" xr:uid="{77E2655F-89BB-4580-A70B-895FE06D3CF3}"/>
    <cellStyle name="Comma 4 2 3 2 9 2 3" xfId="16318" xr:uid="{4AF95770-5A4F-49AC-B8A7-7C555D9980BE}"/>
    <cellStyle name="Comma 4 2 3 2 9 3" xfId="20541" xr:uid="{071E4FB3-0D4A-4B04-95D8-582D2F359DB5}"/>
    <cellStyle name="Comma 4 2 3 2 9 4" xfId="12101" xr:uid="{53C5488B-D88E-4E91-9801-FCB3C33880A3}"/>
    <cellStyle name="Comma 4 2 3 3" xfId="139" xr:uid="{00000000-0005-0000-0000-00008A080000}"/>
    <cellStyle name="Comma 4 2 3 3 10" xfId="9012" xr:uid="{61C0F117-76A9-43CA-B381-88B2CFF6294C}"/>
    <cellStyle name="Comma 4 2 3 3 10 2" xfId="18160" xr:uid="{8E54CD72-4BC7-4A76-87E6-EEB9AE4671D0}"/>
    <cellStyle name="Comma 4 2 3 3 11" xfId="9720" xr:uid="{3DBEC7B7-51B5-4C4E-AEB2-9714CC346AB3}"/>
    <cellStyle name="Comma 4 2 3 3 2" xfId="677" xr:uid="{00000000-0005-0000-0000-00008B080000}"/>
    <cellStyle name="Comma 4 2 3 3 2 2" xfId="2948" xr:uid="{00000000-0005-0000-0000-00008C080000}"/>
    <cellStyle name="Comma 4 2 3 3 2 2 2" xfId="7170" xr:uid="{00000000-0005-0000-0000-00008D080000}"/>
    <cellStyle name="Comma 4 2 3 3 2 2 2 2" xfId="24936" xr:uid="{1D741459-EBFB-409D-8594-CAE9E4A4E40B}"/>
    <cellStyle name="Comma 4 2 3 3 2 2 2 3" xfId="16496" xr:uid="{347B8044-4896-428E-B0F1-7567C08A9E55}"/>
    <cellStyle name="Comma 4 2 3 3 2 2 3" xfId="20719" xr:uid="{3B991ECB-1C47-4201-A631-822D214BF4A7}"/>
    <cellStyle name="Comma 4 2 3 3 2 2 4" xfId="12279" xr:uid="{CCC62C81-5985-445D-A9D9-C66B98CB7387}"/>
    <cellStyle name="Comma 4 2 3 3 2 3" xfId="5025" xr:uid="{00000000-0005-0000-0000-00008E080000}"/>
    <cellStyle name="Comma 4 2 3 3 2 3 2" xfId="22791" xr:uid="{B0575DD9-1377-4DEF-BBED-9212E371F3D4}"/>
    <cellStyle name="Comma 4 2 3 3 2 3 3" xfId="14351" xr:uid="{02045FE8-DB2C-463A-B256-09A9E9FD7C4B}"/>
    <cellStyle name="Comma 4 2 3 3 2 4" xfId="9437" xr:uid="{35C6809B-E49F-4A7F-8CB1-650474E72B0A}"/>
    <cellStyle name="Comma 4 2 3 3 2 4 2" xfId="18574" xr:uid="{43FFA310-E3A1-42BE-A3AA-D8C4CFDD7901}"/>
    <cellStyle name="Comma 4 2 3 3 2 5" xfId="10134" xr:uid="{377D5C52-A640-4ECD-856C-E22F7E2D196E}"/>
    <cellStyle name="Comma 4 2 3 3 3" xfId="1130" xr:uid="{00000000-0005-0000-0000-00008F080000}"/>
    <cellStyle name="Comma 4 2 3 3 3 2" xfId="3361" xr:uid="{00000000-0005-0000-0000-000090080000}"/>
    <cellStyle name="Comma 4 2 3 3 3 2 2" xfId="7583" xr:uid="{00000000-0005-0000-0000-000091080000}"/>
    <cellStyle name="Comma 4 2 3 3 3 2 2 2" xfId="25349" xr:uid="{93F313C0-6FF3-46C5-91A9-0EC8D44ABDAB}"/>
    <cellStyle name="Comma 4 2 3 3 3 2 2 3" xfId="16909" xr:uid="{D386F14A-8749-4ABF-B2E6-95FFC6C14D33}"/>
    <cellStyle name="Comma 4 2 3 3 3 2 3" xfId="21132" xr:uid="{725866E2-5F7E-4E5E-A7F5-1AD0B0C24194}"/>
    <cellStyle name="Comma 4 2 3 3 3 2 4" xfId="12692" xr:uid="{66231398-488D-47BD-ACD9-735C20DFD30E}"/>
    <cellStyle name="Comma 4 2 3 3 3 3" xfId="5438" xr:uid="{00000000-0005-0000-0000-000092080000}"/>
    <cellStyle name="Comma 4 2 3 3 3 3 2" xfId="23204" xr:uid="{3F272BE0-0C6C-43C2-A863-4894B68B6BA5}"/>
    <cellStyle name="Comma 4 2 3 3 3 3 3" xfId="14764" xr:uid="{E375A65B-33C9-4FDA-8BA6-B47147826DEE}"/>
    <cellStyle name="Comma 4 2 3 3 3 4" xfId="18987" xr:uid="{5D04E0A7-8345-4B07-9AA6-D3B1D3E7F7B1}"/>
    <cellStyle name="Comma 4 2 3 3 3 5" xfId="10547" xr:uid="{4D3DCA9F-6AA1-4A34-8836-9F135035C480}"/>
    <cellStyle name="Comma 4 2 3 3 4" xfId="1544" xr:uid="{00000000-0005-0000-0000-000093080000}"/>
    <cellStyle name="Comma 4 2 3 3 4 2" xfId="3774" xr:uid="{00000000-0005-0000-0000-000094080000}"/>
    <cellStyle name="Comma 4 2 3 3 4 2 2" xfId="7996" xr:uid="{00000000-0005-0000-0000-000095080000}"/>
    <cellStyle name="Comma 4 2 3 3 4 2 2 2" xfId="25762" xr:uid="{5DA9F8D5-1764-4233-A202-73A956614C78}"/>
    <cellStyle name="Comma 4 2 3 3 4 2 2 3" xfId="17322" xr:uid="{A128AC79-60CD-4B07-810C-3F4C45419BD4}"/>
    <cellStyle name="Comma 4 2 3 3 4 2 3" xfId="21545" xr:uid="{A014EDF8-0849-4FC9-84ED-E76867BBE744}"/>
    <cellStyle name="Comma 4 2 3 3 4 2 4" xfId="13105" xr:uid="{220C4B6F-110A-4445-AA20-099D6BFFCD4A}"/>
    <cellStyle name="Comma 4 2 3 3 4 3" xfId="5851" xr:uid="{00000000-0005-0000-0000-000096080000}"/>
    <cellStyle name="Comma 4 2 3 3 4 3 2" xfId="23617" xr:uid="{238A29CB-5C51-4522-B3A9-22F2D8310C6E}"/>
    <cellStyle name="Comma 4 2 3 3 4 3 3" xfId="15177" xr:uid="{775AA44C-49A4-4961-A3D5-49FA519EF360}"/>
    <cellStyle name="Comma 4 2 3 3 4 4" xfId="19400" xr:uid="{339A9DA9-6B5C-43B8-B688-3D2691986EA9}"/>
    <cellStyle name="Comma 4 2 3 3 4 5" xfId="10960" xr:uid="{13940C64-A82B-4A4D-9A94-5D76EA22A58F}"/>
    <cellStyle name="Comma 4 2 3 3 5" xfId="1958" xr:uid="{00000000-0005-0000-0000-000097080000}"/>
    <cellStyle name="Comma 4 2 3 3 5 2" xfId="4187" xr:uid="{00000000-0005-0000-0000-000098080000}"/>
    <cellStyle name="Comma 4 2 3 3 5 2 2" xfId="8409" xr:uid="{00000000-0005-0000-0000-000099080000}"/>
    <cellStyle name="Comma 4 2 3 3 5 2 2 2" xfId="26175" xr:uid="{59F35E98-D2A3-416A-87C2-3EB044289645}"/>
    <cellStyle name="Comma 4 2 3 3 5 2 2 3" xfId="17735" xr:uid="{11A2592E-8A99-4106-BED2-899BA3947651}"/>
    <cellStyle name="Comma 4 2 3 3 5 2 3" xfId="21958" xr:uid="{8D2CBF47-9D3D-4067-AF78-6501B467E9FF}"/>
    <cellStyle name="Comma 4 2 3 3 5 2 4" xfId="13518" xr:uid="{47A97B4B-3111-4F36-AE80-96F8C94440CC}"/>
    <cellStyle name="Comma 4 2 3 3 5 3" xfId="6264" xr:uid="{00000000-0005-0000-0000-00009A080000}"/>
    <cellStyle name="Comma 4 2 3 3 5 3 2" xfId="24030" xr:uid="{9EED7D04-95CB-4E8D-B6FE-2BB4BA589520}"/>
    <cellStyle name="Comma 4 2 3 3 5 3 3" xfId="15590" xr:uid="{4462BEF0-A99C-4E74-AD78-2EB952451194}"/>
    <cellStyle name="Comma 4 2 3 3 5 4" xfId="19813" xr:uid="{7CB4E59B-F7E1-4F5B-9DDC-547B617D5794}"/>
    <cellStyle name="Comma 4 2 3 3 5 5" xfId="11373" xr:uid="{256B1529-09A6-467F-BE0F-3E08A63EC635}"/>
    <cellStyle name="Comma 4 2 3 3 6" xfId="2393" xr:uid="{00000000-0005-0000-0000-00009B080000}"/>
    <cellStyle name="Comma 4 2 3 3 6 2" xfId="6677" xr:uid="{00000000-0005-0000-0000-00009C080000}"/>
    <cellStyle name="Comma 4 2 3 3 6 2 2" xfId="24443" xr:uid="{A5EE30CE-E99D-4707-B4C0-42C115231AFA}"/>
    <cellStyle name="Comma 4 2 3 3 6 2 3" xfId="16003" xr:uid="{912245B1-4071-4C01-A45E-9D9E51163962}"/>
    <cellStyle name="Comma 4 2 3 3 6 3" xfId="20226" xr:uid="{6BC3BFB1-F8FD-4DC7-8F3E-12D767657B05}"/>
    <cellStyle name="Comma 4 2 3 3 6 4" xfId="11786" xr:uid="{9A49483E-1E17-4D16-A396-55B88D00094D}"/>
    <cellStyle name="Comma 4 2 3 3 7" xfId="2370" xr:uid="{00000000-0005-0000-0000-00009D080000}"/>
    <cellStyle name="Comma 4 2 3 3 8" xfId="2771" xr:uid="{00000000-0005-0000-0000-00009E080000}"/>
    <cellStyle name="Comma 4 2 3 3 8 2" xfId="6994" xr:uid="{00000000-0005-0000-0000-00009F080000}"/>
    <cellStyle name="Comma 4 2 3 3 8 2 2" xfId="24760" xr:uid="{0DC51490-EE73-4BF2-B611-24E2B435189E}"/>
    <cellStyle name="Comma 4 2 3 3 8 2 3" xfId="16320" xr:uid="{1D7B9585-E053-4D68-BF9D-C102338EEC0F}"/>
    <cellStyle name="Comma 4 2 3 3 8 3" xfId="20543" xr:uid="{4189BBD3-954B-4059-A1DA-5B2212625110}"/>
    <cellStyle name="Comma 4 2 3 3 8 4" xfId="12103" xr:uid="{854E30ED-4644-4886-AB5B-ACE316E30281}"/>
    <cellStyle name="Comma 4 2 3 3 9" xfId="4611" xr:uid="{00000000-0005-0000-0000-0000A0080000}"/>
    <cellStyle name="Comma 4 2 3 3 9 2" xfId="22377" xr:uid="{34B67901-710E-4EF2-A630-5F0491E4DA41}"/>
    <cellStyle name="Comma 4 2 3 3 9 3" xfId="13937" xr:uid="{FC5CC89E-A220-43CA-BB4C-965E565AA1BA}"/>
    <cellStyle name="Comma 4 2 3 4" xfId="674" xr:uid="{00000000-0005-0000-0000-0000A1080000}"/>
    <cellStyle name="Comma 4 2 3 4 2" xfId="2945" xr:uid="{00000000-0005-0000-0000-0000A2080000}"/>
    <cellStyle name="Comma 4 2 3 4 2 2" xfId="7167" xr:uid="{00000000-0005-0000-0000-0000A3080000}"/>
    <cellStyle name="Comma 4 2 3 4 2 2 2" xfId="24933" xr:uid="{AF0739B2-C6ED-4927-91AB-569947692B02}"/>
    <cellStyle name="Comma 4 2 3 4 2 2 3" xfId="16493" xr:uid="{801F73A1-7636-447F-96A2-9CB04EF64E91}"/>
    <cellStyle name="Comma 4 2 3 4 2 3" xfId="20716" xr:uid="{52831D39-7C65-4020-85D9-69B922013A7E}"/>
    <cellStyle name="Comma 4 2 3 4 2 4" xfId="12276" xr:uid="{EED07401-C89D-4334-94EB-951A38F06D4B}"/>
    <cellStyle name="Comma 4 2 3 4 3" xfId="5022" xr:uid="{00000000-0005-0000-0000-0000A4080000}"/>
    <cellStyle name="Comma 4 2 3 4 3 2" xfId="22788" xr:uid="{C98110BB-C14C-4B27-BD27-7B095E80A2AD}"/>
    <cellStyle name="Comma 4 2 3 4 3 3" xfId="14348" xr:uid="{AF734EBC-5C5C-4EDB-888F-91335C216E28}"/>
    <cellStyle name="Comma 4 2 3 4 4" xfId="9230" xr:uid="{24B6B749-023F-4009-8785-C6CFE1098E24}"/>
    <cellStyle name="Comma 4 2 3 4 4 2" xfId="18571" xr:uid="{7A6320B5-1879-4CF2-BC91-C54296DA4E37}"/>
    <cellStyle name="Comma 4 2 3 4 5" xfId="10131" xr:uid="{02FA7702-559E-4270-B450-D4B5A64BBC42}"/>
    <cellStyle name="Comma 4 2 3 5" xfId="1127" xr:uid="{00000000-0005-0000-0000-0000A5080000}"/>
    <cellStyle name="Comma 4 2 3 5 2" xfId="3358" xr:uid="{00000000-0005-0000-0000-0000A6080000}"/>
    <cellStyle name="Comma 4 2 3 5 2 2" xfId="7580" xr:uid="{00000000-0005-0000-0000-0000A7080000}"/>
    <cellStyle name="Comma 4 2 3 5 2 2 2" xfId="25346" xr:uid="{C7E06DA0-AE0E-4E71-8820-73E8B5767AB9}"/>
    <cellStyle name="Comma 4 2 3 5 2 2 3" xfId="16906" xr:uid="{D7EDAA90-11D3-4236-BC69-9726BEF418D9}"/>
    <cellStyle name="Comma 4 2 3 5 2 3" xfId="21129" xr:uid="{D4DC7E5E-F664-44F8-B875-541EEEB133F2}"/>
    <cellStyle name="Comma 4 2 3 5 2 4" xfId="12689" xr:uid="{B96237D5-FA96-4AB1-82DC-9AC38F04049B}"/>
    <cellStyle name="Comma 4 2 3 5 3" xfId="5435" xr:uid="{00000000-0005-0000-0000-0000A8080000}"/>
    <cellStyle name="Comma 4 2 3 5 3 2" xfId="23201" xr:uid="{003CE2F3-441E-4A64-BEE7-B48CEA5A7240}"/>
    <cellStyle name="Comma 4 2 3 5 3 3" xfId="14761" xr:uid="{0E52361A-1C4B-4517-B161-D1562C94E4C8}"/>
    <cellStyle name="Comma 4 2 3 5 4" xfId="18984" xr:uid="{A38CEA26-BE01-4DCF-9142-A39D9F4F9B39}"/>
    <cellStyle name="Comma 4 2 3 5 5" xfId="10544" xr:uid="{63F06053-D6D5-46A2-9B55-9F7F9F6752D1}"/>
    <cellStyle name="Comma 4 2 3 6" xfId="1541" xr:uid="{00000000-0005-0000-0000-0000A9080000}"/>
    <cellStyle name="Comma 4 2 3 6 2" xfId="3771" xr:uid="{00000000-0005-0000-0000-0000AA080000}"/>
    <cellStyle name="Comma 4 2 3 6 2 2" xfId="7993" xr:uid="{00000000-0005-0000-0000-0000AB080000}"/>
    <cellStyle name="Comma 4 2 3 6 2 2 2" xfId="25759" xr:uid="{480895E1-1E27-43B0-B92F-CE1EC2F9F1ED}"/>
    <cellStyle name="Comma 4 2 3 6 2 2 3" xfId="17319" xr:uid="{EC2FBC58-891C-4CD9-A180-D543BD38669D}"/>
    <cellStyle name="Comma 4 2 3 6 2 3" xfId="21542" xr:uid="{14747E18-E77D-44B2-8FAC-547DC565DA35}"/>
    <cellStyle name="Comma 4 2 3 6 2 4" xfId="13102" xr:uid="{3CC93ACA-A75D-4331-915E-B7749BF04DF6}"/>
    <cellStyle name="Comma 4 2 3 6 3" xfId="5848" xr:uid="{00000000-0005-0000-0000-0000AC080000}"/>
    <cellStyle name="Comma 4 2 3 6 3 2" xfId="23614" xr:uid="{20FCA5EA-5D58-4391-A067-B7B90B1998AF}"/>
    <cellStyle name="Comma 4 2 3 6 3 3" xfId="15174" xr:uid="{841AD747-CF03-4550-B860-C4970629A727}"/>
    <cellStyle name="Comma 4 2 3 6 4" xfId="19397" xr:uid="{D81B910D-0766-4264-BD25-241C96D001F0}"/>
    <cellStyle name="Comma 4 2 3 6 5" xfId="10957" xr:uid="{7080FD7D-F0DD-4EFD-A50B-2A344C95BF01}"/>
    <cellStyle name="Comma 4 2 3 7" xfId="1955" xr:uid="{00000000-0005-0000-0000-0000AD080000}"/>
    <cellStyle name="Comma 4 2 3 7 2" xfId="4184" xr:uid="{00000000-0005-0000-0000-0000AE080000}"/>
    <cellStyle name="Comma 4 2 3 7 2 2" xfId="8406" xr:uid="{00000000-0005-0000-0000-0000AF080000}"/>
    <cellStyle name="Comma 4 2 3 7 2 2 2" xfId="26172" xr:uid="{9F737274-85D4-464E-9551-2AC2690D2F14}"/>
    <cellStyle name="Comma 4 2 3 7 2 2 3" xfId="17732" xr:uid="{B5C54CDC-D7F2-4C9A-B324-3E315302D758}"/>
    <cellStyle name="Comma 4 2 3 7 2 3" xfId="21955" xr:uid="{4A26A2CF-8723-4F66-B041-9AB0EF8EC85F}"/>
    <cellStyle name="Comma 4 2 3 7 2 4" xfId="13515" xr:uid="{574F346B-8463-4F02-BCDA-A923E0F32729}"/>
    <cellStyle name="Comma 4 2 3 7 3" xfId="6261" xr:uid="{00000000-0005-0000-0000-0000B0080000}"/>
    <cellStyle name="Comma 4 2 3 7 3 2" xfId="24027" xr:uid="{06A4F3A6-22D4-4C1A-964A-7064F54CCFE0}"/>
    <cellStyle name="Comma 4 2 3 7 3 3" xfId="15587" xr:uid="{03F2B665-9F49-4694-8028-F46C313CD8D0}"/>
    <cellStyle name="Comma 4 2 3 7 4" xfId="19810" xr:uid="{FD82E9AE-8D5D-4734-8C38-A89BA056348D}"/>
    <cellStyle name="Comma 4 2 3 7 5" xfId="11370" xr:uid="{047CD3BD-348A-4D54-A55D-7E8B6F4A184C}"/>
    <cellStyle name="Comma 4 2 3 8" xfId="2390" xr:uid="{00000000-0005-0000-0000-0000B1080000}"/>
    <cellStyle name="Comma 4 2 3 8 2" xfId="6674" xr:uid="{00000000-0005-0000-0000-0000B2080000}"/>
    <cellStyle name="Comma 4 2 3 8 2 2" xfId="24440" xr:uid="{8C6B2D0D-2C44-41F7-8703-F826BF4BDA6D}"/>
    <cellStyle name="Comma 4 2 3 8 2 3" xfId="16000" xr:uid="{A263533F-FBA6-4060-820F-19D2BB58D554}"/>
    <cellStyle name="Comma 4 2 3 8 3" xfId="20223" xr:uid="{2F1D7EA7-88FD-4307-9E54-7890E6CD9CF7}"/>
    <cellStyle name="Comma 4 2 3 8 4" xfId="11783" xr:uid="{BA472E03-2A42-4141-8D08-B9C56FC985F0}"/>
    <cellStyle name="Comma 4 2 3 9" xfId="2373" xr:uid="{00000000-0005-0000-0000-0000B3080000}"/>
    <cellStyle name="Comma 4 2 4" xfId="140" xr:uid="{00000000-0005-0000-0000-0000B4080000}"/>
    <cellStyle name="Comma 4 2 4 10" xfId="4612" xr:uid="{00000000-0005-0000-0000-0000B5080000}"/>
    <cellStyle name="Comma 4 2 4 10 2" xfId="22378" xr:uid="{EC4A58B5-98E0-40E4-B276-C3EAA0D36AFE}"/>
    <cellStyle name="Comma 4 2 4 10 3" xfId="13938" xr:uid="{3403FE89-CDE7-4F9A-8584-799470D8047E}"/>
    <cellStyle name="Comma 4 2 4 11" xfId="8858" xr:uid="{B6A00C95-D04C-44B2-B8AF-67540882256C}"/>
    <cellStyle name="Comma 4 2 4 11 2" xfId="18161" xr:uid="{61A2F30D-252D-4355-AF6D-47CD073FFBD3}"/>
    <cellStyle name="Comma 4 2 4 12" xfId="9721" xr:uid="{B59EB587-483A-43DB-8AEB-04582BDC1422}"/>
    <cellStyle name="Comma 4 2 4 2" xfId="141" xr:uid="{00000000-0005-0000-0000-0000B6080000}"/>
    <cellStyle name="Comma 4 2 4 2 10" xfId="9065" xr:uid="{961AA06A-D943-447E-AADB-49B440E7E7CE}"/>
    <cellStyle name="Comma 4 2 4 2 10 2" xfId="18162" xr:uid="{3F715110-35B9-4280-8F6B-3CF9F9B67A28}"/>
    <cellStyle name="Comma 4 2 4 2 11" xfId="9722" xr:uid="{BC476D99-E404-4BD4-B108-CD63D73722C5}"/>
    <cellStyle name="Comma 4 2 4 2 2" xfId="679" xr:uid="{00000000-0005-0000-0000-0000B7080000}"/>
    <cellStyle name="Comma 4 2 4 2 2 2" xfId="2950" xr:uid="{00000000-0005-0000-0000-0000B8080000}"/>
    <cellStyle name="Comma 4 2 4 2 2 2 2" xfId="7172" xr:uid="{00000000-0005-0000-0000-0000B9080000}"/>
    <cellStyle name="Comma 4 2 4 2 2 2 2 2" xfId="24938" xr:uid="{25352431-DDD9-4A59-97C3-46FE8A931911}"/>
    <cellStyle name="Comma 4 2 4 2 2 2 2 3" xfId="16498" xr:uid="{A1D4B772-A021-4B4B-AE84-274EB6CA028C}"/>
    <cellStyle name="Comma 4 2 4 2 2 2 3" xfId="20721" xr:uid="{A58546EC-F4F5-42DF-9929-F725373A51B8}"/>
    <cellStyle name="Comma 4 2 4 2 2 2 4" xfId="12281" xr:uid="{0D937307-195A-452B-AE5A-4FCC8DFD195F}"/>
    <cellStyle name="Comma 4 2 4 2 2 3" xfId="5027" xr:uid="{00000000-0005-0000-0000-0000BA080000}"/>
    <cellStyle name="Comma 4 2 4 2 2 3 2" xfId="22793" xr:uid="{8962A52D-4452-4AE5-B00D-B2FA30A18569}"/>
    <cellStyle name="Comma 4 2 4 2 2 3 3" xfId="14353" xr:uid="{AACFB84E-AB56-4758-AB82-FEEA3B586D99}"/>
    <cellStyle name="Comma 4 2 4 2 2 4" xfId="9490" xr:uid="{2FAEB1E6-7B41-437B-B2A9-4352AB4F4B98}"/>
    <cellStyle name="Comma 4 2 4 2 2 4 2" xfId="18576" xr:uid="{B7E07230-9888-4A1E-A1F4-4452E2B6C2A6}"/>
    <cellStyle name="Comma 4 2 4 2 2 5" xfId="10136" xr:uid="{65AF1EF1-3056-444C-A94F-BD292CC69A65}"/>
    <cellStyle name="Comma 4 2 4 2 3" xfId="1132" xr:uid="{00000000-0005-0000-0000-0000BB080000}"/>
    <cellStyle name="Comma 4 2 4 2 3 2" xfId="3363" xr:uid="{00000000-0005-0000-0000-0000BC080000}"/>
    <cellStyle name="Comma 4 2 4 2 3 2 2" xfId="7585" xr:uid="{00000000-0005-0000-0000-0000BD080000}"/>
    <cellStyle name="Comma 4 2 4 2 3 2 2 2" xfId="25351" xr:uid="{D2EA17A9-894F-4638-8889-386059F19289}"/>
    <cellStyle name="Comma 4 2 4 2 3 2 2 3" xfId="16911" xr:uid="{DA58FC4C-CF3A-4436-949B-6DCBB1A8DB66}"/>
    <cellStyle name="Comma 4 2 4 2 3 2 3" xfId="21134" xr:uid="{E9F544C8-1C5D-484D-9244-609D1DFFE67D}"/>
    <cellStyle name="Comma 4 2 4 2 3 2 4" xfId="12694" xr:uid="{B3F5B680-D0CD-456E-ADD4-16B8EA2B7735}"/>
    <cellStyle name="Comma 4 2 4 2 3 3" xfId="5440" xr:uid="{00000000-0005-0000-0000-0000BE080000}"/>
    <cellStyle name="Comma 4 2 4 2 3 3 2" xfId="23206" xr:uid="{71B66283-2A28-46B6-B3CF-C53925A24367}"/>
    <cellStyle name="Comma 4 2 4 2 3 3 3" xfId="14766" xr:uid="{DF6D72E3-1F04-4549-81BC-2F59B0EDB7F7}"/>
    <cellStyle name="Comma 4 2 4 2 3 4" xfId="18989" xr:uid="{C9CE2787-4541-435A-BD43-2612BF6BD75A}"/>
    <cellStyle name="Comma 4 2 4 2 3 5" xfId="10549" xr:uid="{32D7B7D6-2D81-4092-BD62-C8EB8271E11E}"/>
    <cellStyle name="Comma 4 2 4 2 4" xfId="1546" xr:uid="{00000000-0005-0000-0000-0000BF080000}"/>
    <cellStyle name="Comma 4 2 4 2 4 2" xfId="3776" xr:uid="{00000000-0005-0000-0000-0000C0080000}"/>
    <cellStyle name="Comma 4 2 4 2 4 2 2" xfId="7998" xr:uid="{00000000-0005-0000-0000-0000C1080000}"/>
    <cellStyle name="Comma 4 2 4 2 4 2 2 2" xfId="25764" xr:uid="{A3FE21BC-A278-48D8-AAB3-1ADD3F8797F5}"/>
    <cellStyle name="Comma 4 2 4 2 4 2 2 3" xfId="17324" xr:uid="{E539BAFA-F585-4576-BAF9-ECC4090CDFFB}"/>
    <cellStyle name="Comma 4 2 4 2 4 2 3" xfId="21547" xr:uid="{E0A489D8-74BE-4B98-A3A7-E54981B567A2}"/>
    <cellStyle name="Comma 4 2 4 2 4 2 4" xfId="13107" xr:uid="{E4D39F76-C90D-416A-8D64-C71BB1067ADC}"/>
    <cellStyle name="Comma 4 2 4 2 4 3" xfId="5853" xr:uid="{00000000-0005-0000-0000-0000C2080000}"/>
    <cellStyle name="Comma 4 2 4 2 4 3 2" xfId="23619" xr:uid="{B70EA875-05D7-4083-8916-A39DC0397E62}"/>
    <cellStyle name="Comma 4 2 4 2 4 3 3" xfId="15179" xr:uid="{603BF1AF-6B8B-4334-B006-10312EB336FC}"/>
    <cellStyle name="Comma 4 2 4 2 4 4" xfId="19402" xr:uid="{565D4FA8-8B9F-42AE-B595-472A889E932C}"/>
    <cellStyle name="Comma 4 2 4 2 4 5" xfId="10962" xr:uid="{BB13557A-944E-44C8-802F-052030FF8867}"/>
    <cellStyle name="Comma 4 2 4 2 5" xfId="1960" xr:uid="{00000000-0005-0000-0000-0000C3080000}"/>
    <cellStyle name="Comma 4 2 4 2 5 2" xfId="4189" xr:uid="{00000000-0005-0000-0000-0000C4080000}"/>
    <cellStyle name="Comma 4 2 4 2 5 2 2" xfId="8411" xr:uid="{00000000-0005-0000-0000-0000C5080000}"/>
    <cellStyle name="Comma 4 2 4 2 5 2 2 2" xfId="26177" xr:uid="{24CF4091-99AD-49FF-AB3E-AB54EBD209F6}"/>
    <cellStyle name="Comma 4 2 4 2 5 2 2 3" xfId="17737" xr:uid="{4E895E93-9136-400E-A8D0-86FA1FA3C3DA}"/>
    <cellStyle name="Comma 4 2 4 2 5 2 3" xfId="21960" xr:uid="{A3D60397-472B-4FF4-9B55-4BAA4465EB29}"/>
    <cellStyle name="Comma 4 2 4 2 5 2 4" xfId="13520" xr:uid="{4F0FAC12-7072-4D46-9F2D-0A1B109646F6}"/>
    <cellStyle name="Comma 4 2 4 2 5 3" xfId="6266" xr:uid="{00000000-0005-0000-0000-0000C6080000}"/>
    <cellStyle name="Comma 4 2 4 2 5 3 2" xfId="24032" xr:uid="{FA133D74-0A35-4B2F-AF3D-0A0094E433B9}"/>
    <cellStyle name="Comma 4 2 4 2 5 3 3" xfId="15592" xr:uid="{01281135-54C1-4530-8BC0-639710971BEA}"/>
    <cellStyle name="Comma 4 2 4 2 5 4" xfId="19815" xr:uid="{C0D260B4-A5D2-42BC-ADF5-D7AC79A19183}"/>
    <cellStyle name="Comma 4 2 4 2 5 5" xfId="11375" xr:uid="{55A54708-3C4D-4177-9A4E-1A8D764E60DC}"/>
    <cellStyle name="Comma 4 2 4 2 6" xfId="2395" xr:uid="{00000000-0005-0000-0000-0000C7080000}"/>
    <cellStyle name="Comma 4 2 4 2 6 2" xfId="6679" xr:uid="{00000000-0005-0000-0000-0000C8080000}"/>
    <cellStyle name="Comma 4 2 4 2 6 2 2" xfId="24445" xr:uid="{9DC829B1-4D90-4EB6-BA2F-F129998835EC}"/>
    <cellStyle name="Comma 4 2 4 2 6 2 3" xfId="16005" xr:uid="{38D934BD-6B76-4A09-9CA6-74853D0376FF}"/>
    <cellStyle name="Comma 4 2 4 2 6 3" xfId="20228" xr:uid="{DED27F95-90C8-4E59-BF78-D40B63D91123}"/>
    <cellStyle name="Comma 4 2 4 2 6 4" xfId="11788" xr:uid="{166306A2-0E3D-4359-B563-FB98B7B62BB3}"/>
    <cellStyle name="Comma 4 2 4 2 7" xfId="2368" xr:uid="{00000000-0005-0000-0000-0000C9080000}"/>
    <cellStyle name="Comma 4 2 4 2 8" xfId="2773" xr:uid="{00000000-0005-0000-0000-0000CA080000}"/>
    <cellStyle name="Comma 4 2 4 2 8 2" xfId="6996" xr:uid="{00000000-0005-0000-0000-0000CB080000}"/>
    <cellStyle name="Comma 4 2 4 2 8 2 2" xfId="24762" xr:uid="{90759A5F-34C1-4B8D-A5A2-C6B0B58B00F1}"/>
    <cellStyle name="Comma 4 2 4 2 8 2 3" xfId="16322" xr:uid="{9B98D78A-7E4C-40C4-B680-A0F0A9A3A419}"/>
    <cellStyle name="Comma 4 2 4 2 8 3" xfId="20545" xr:uid="{9BF64514-1629-47E2-BCF9-1646A4766EEC}"/>
    <cellStyle name="Comma 4 2 4 2 8 4" xfId="12105" xr:uid="{CB6FF92A-49A7-46F0-9749-509DF9846FCC}"/>
    <cellStyle name="Comma 4 2 4 2 9" xfId="4613" xr:uid="{00000000-0005-0000-0000-0000CC080000}"/>
    <cellStyle name="Comma 4 2 4 2 9 2" xfId="22379" xr:uid="{6989C361-4A8B-4224-9920-28EB1B6CAC39}"/>
    <cellStyle name="Comma 4 2 4 2 9 3" xfId="13939" xr:uid="{7CDD9358-B4EE-429D-828C-7FC8D4651EDB}"/>
    <cellStyle name="Comma 4 2 4 3" xfId="678" xr:uid="{00000000-0005-0000-0000-0000CD080000}"/>
    <cellStyle name="Comma 4 2 4 3 2" xfId="2949" xr:uid="{00000000-0005-0000-0000-0000CE080000}"/>
    <cellStyle name="Comma 4 2 4 3 2 2" xfId="7171" xr:uid="{00000000-0005-0000-0000-0000CF080000}"/>
    <cellStyle name="Comma 4 2 4 3 2 2 2" xfId="24937" xr:uid="{EF561F05-BFA9-4002-8B28-097760833314}"/>
    <cellStyle name="Comma 4 2 4 3 2 2 3" xfId="16497" xr:uid="{F658FFEE-ECFA-47E0-A9EC-70F531A5E672}"/>
    <cellStyle name="Comma 4 2 4 3 2 3" xfId="20720" xr:uid="{0D0C0B89-8B46-4075-804D-CCEA5E05DE72}"/>
    <cellStyle name="Comma 4 2 4 3 2 4" xfId="12280" xr:uid="{49841534-5E03-4CA3-8B6F-E84496D44709}"/>
    <cellStyle name="Comma 4 2 4 3 3" xfId="5026" xr:uid="{00000000-0005-0000-0000-0000D0080000}"/>
    <cellStyle name="Comma 4 2 4 3 3 2" xfId="22792" xr:uid="{85BC78B9-8CC3-4BB6-89D6-C797A4BF98AB}"/>
    <cellStyle name="Comma 4 2 4 3 3 3" xfId="14352" xr:uid="{08AEF076-A75C-4F4F-A02D-E404BB04F4E5}"/>
    <cellStyle name="Comma 4 2 4 3 4" xfId="9283" xr:uid="{7E46ED3C-A8F4-4512-93D9-5F41F1AC397C}"/>
    <cellStyle name="Comma 4 2 4 3 4 2" xfId="18575" xr:uid="{0F2B0CC8-B298-49E6-81A5-80E88DE40FB3}"/>
    <cellStyle name="Comma 4 2 4 3 5" xfId="10135" xr:uid="{16B46091-495F-4FD2-AD1A-DB40D2C8BE50}"/>
    <cellStyle name="Comma 4 2 4 4" xfId="1131" xr:uid="{00000000-0005-0000-0000-0000D1080000}"/>
    <cellStyle name="Comma 4 2 4 4 2" xfId="3362" xr:uid="{00000000-0005-0000-0000-0000D2080000}"/>
    <cellStyle name="Comma 4 2 4 4 2 2" xfId="7584" xr:uid="{00000000-0005-0000-0000-0000D3080000}"/>
    <cellStyle name="Comma 4 2 4 4 2 2 2" xfId="25350" xr:uid="{88439160-21D5-40B9-909B-168A9B99C0D3}"/>
    <cellStyle name="Comma 4 2 4 4 2 2 3" xfId="16910" xr:uid="{B8A09C50-8D52-48AA-AAE1-F23EA576F3BA}"/>
    <cellStyle name="Comma 4 2 4 4 2 3" xfId="21133" xr:uid="{4AB5F721-67B2-4068-AF7E-0F927A472FEC}"/>
    <cellStyle name="Comma 4 2 4 4 2 4" xfId="12693" xr:uid="{14951C50-0B28-49BA-AC7E-D86FFD6987AD}"/>
    <cellStyle name="Comma 4 2 4 4 3" xfId="5439" xr:uid="{00000000-0005-0000-0000-0000D4080000}"/>
    <cellStyle name="Comma 4 2 4 4 3 2" xfId="23205" xr:uid="{945AAE83-06B7-46A9-A4A6-32138894C253}"/>
    <cellStyle name="Comma 4 2 4 4 3 3" xfId="14765" xr:uid="{A150AB9E-BC31-4129-B510-0A737800D2FF}"/>
    <cellStyle name="Comma 4 2 4 4 4" xfId="18988" xr:uid="{4363936D-4BC3-43D0-92E7-25159C5DD369}"/>
    <cellStyle name="Comma 4 2 4 4 5" xfId="10548" xr:uid="{91F8B7C6-2D59-4428-8A19-E073C0DA81A0}"/>
    <cellStyle name="Comma 4 2 4 5" xfId="1545" xr:uid="{00000000-0005-0000-0000-0000D5080000}"/>
    <cellStyle name="Comma 4 2 4 5 2" xfId="3775" xr:uid="{00000000-0005-0000-0000-0000D6080000}"/>
    <cellStyle name="Comma 4 2 4 5 2 2" xfId="7997" xr:uid="{00000000-0005-0000-0000-0000D7080000}"/>
    <cellStyle name="Comma 4 2 4 5 2 2 2" xfId="25763" xr:uid="{FFE81C97-3EB0-4B00-8F3A-9D3A9162C297}"/>
    <cellStyle name="Comma 4 2 4 5 2 2 3" xfId="17323" xr:uid="{34BD19E2-68E0-4C23-B785-354A8FEB7DCA}"/>
    <cellStyle name="Comma 4 2 4 5 2 3" xfId="21546" xr:uid="{547BEB4B-9D4D-4A7A-9498-6DD212C2DCA8}"/>
    <cellStyle name="Comma 4 2 4 5 2 4" xfId="13106" xr:uid="{8AFA23D8-BD6E-4562-BCBA-41D3C1E67E08}"/>
    <cellStyle name="Comma 4 2 4 5 3" xfId="5852" xr:uid="{00000000-0005-0000-0000-0000D8080000}"/>
    <cellStyle name="Comma 4 2 4 5 3 2" xfId="23618" xr:uid="{1DF2C7A7-0BAD-4198-BA30-54C20A51AE70}"/>
    <cellStyle name="Comma 4 2 4 5 3 3" xfId="15178" xr:uid="{80D7CE03-64DE-4138-84FA-3A40B7F35C15}"/>
    <cellStyle name="Comma 4 2 4 5 4" xfId="19401" xr:uid="{30488A5E-F16C-43D9-826E-4544EF7DEF74}"/>
    <cellStyle name="Comma 4 2 4 5 5" xfId="10961" xr:uid="{8ABD5869-1781-4EAD-93F0-81F9BCB61086}"/>
    <cellStyle name="Comma 4 2 4 6" xfId="1959" xr:uid="{00000000-0005-0000-0000-0000D9080000}"/>
    <cellStyle name="Comma 4 2 4 6 2" xfId="4188" xr:uid="{00000000-0005-0000-0000-0000DA080000}"/>
    <cellStyle name="Comma 4 2 4 6 2 2" xfId="8410" xr:uid="{00000000-0005-0000-0000-0000DB080000}"/>
    <cellStyle name="Comma 4 2 4 6 2 2 2" xfId="26176" xr:uid="{CBCAAAEE-A5A8-4123-9655-EA2E023DFF0A}"/>
    <cellStyle name="Comma 4 2 4 6 2 2 3" xfId="17736" xr:uid="{5E21FCD8-29E0-491A-9698-A2F2F0AB3EFF}"/>
    <cellStyle name="Comma 4 2 4 6 2 3" xfId="21959" xr:uid="{1929A116-84D3-4293-91DE-648C54C936F4}"/>
    <cellStyle name="Comma 4 2 4 6 2 4" xfId="13519" xr:uid="{B0777D82-701F-4924-A024-7409CBF29302}"/>
    <cellStyle name="Comma 4 2 4 6 3" xfId="6265" xr:uid="{00000000-0005-0000-0000-0000DC080000}"/>
    <cellStyle name="Comma 4 2 4 6 3 2" xfId="24031" xr:uid="{6E19345B-E2CE-49CE-92C6-FFAB4A67B411}"/>
    <cellStyle name="Comma 4 2 4 6 3 3" xfId="15591" xr:uid="{D9E0BA96-5694-4D2E-AB3C-C5A6D32E2BD8}"/>
    <cellStyle name="Comma 4 2 4 6 4" xfId="19814" xr:uid="{8C4BE732-3096-4236-AE31-29F22227AE51}"/>
    <cellStyle name="Comma 4 2 4 6 5" xfId="11374" xr:uid="{D9F9F42F-FF35-46D4-A532-29ACF098B782}"/>
    <cellStyle name="Comma 4 2 4 7" xfId="2394" xr:uid="{00000000-0005-0000-0000-0000DD080000}"/>
    <cellStyle name="Comma 4 2 4 7 2" xfId="6678" xr:uid="{00000000-0005-0000-0000-0000DE080000}"/>
    <cellStyle name="Comma 4 2 4 7 2 2" xfId="24444" xr:uid="{CDC35F6C-6FD5-47B6-A734-1941442C015D}"/>
    <cellStyle name="Comma 4 2 4 7 2 3" xfId="16004" xr:uid="{D4512BCB-CF94-412E-8F3A-5028E82C97E0}"/>
    <cellStyle name="Comma 4 2 4 7 3" xfId="20227" xr:uid="{740C6929-812B-45A1-A1BB-E72010B09170}"/>
    <cellStyle name="Comma 4 2 4 7 4" xfId="11787" xr:uid="{0190D6F0-4B1A-4CE2-9F97-4EAC6FC24311}"/>
    <cellStyle name="Comma 4 2 4 8" xfId="2369" xr:uid="{00000000-0005-0000-0000-0000DF080000}"/>
    <cellStyle name="Comma 4 2 4 9" xfId="2772" xr:uid="{00000000-0005-0000-0000-0000E0080000}"/>
    <cellStyle name="Comma 4 2 4 9 2" xfId="6995" xr:uid="{00000000-0005-0000-0000-0000E1080000}"/>
    <cellStyle name="Comma 4 2 4 9 2 2" xfId="24761" xr:uid="{B06A8B5A-A755-4287-9ACE-4CF3A775ECD8}"/>
    <cellStyle name="Comma 4 2 4 9 2 3" xfId="16321" xr:uid="{0378BE09-BFE0-4860-8AE9-EA635D8F024B}"/>
    <cellStyle name="Comma 4 2 4 9 3" xfId="20544" xr:uid="{BFE922AE-27D7-401F-8076-1FDE9250837C}"/>
    <cellStyle name="Comma 4 2 4 9 4" xfId="12104" xr:uid="{0A67F653-A01D-48D1-A77F-DFECD5E47209}"/>
    <cellStyle name="Comma 4 2 5" xfId="142" xr:uid="{00000000-0005-0000-0000-0000E2080000}"/>
    <cellStyle name="Comma 4 2 5 10" xfId="8974" xr:uid="{86B0C89A-8A2D-4755-B15D-84E412E1D380}"/>
    <cellStyle name="Comma 4 2 5 10 2" xfId="18163" xr:uid="{FEE43082-7AC8-4E7E-8928-1FF990C17B48}"/>
    <cellStyle name="Comma 4 2 5 11" xfId="9723" xr:uid="{EAB6F5DC-0FC5-430E-8549-1574B6F0F57F}"/>
    <cellStyle name="Comma 4 2 5 2" xfId="680" xr:uid="{00000000-0005-0000-0000-0000E3080000}"/>
    <cellStyle name="Comma 4 2 5 2 2" xfId="2951" xr:uid="{00000000-0005-0000-0000-0000E4080000}"/>
    <cellStyle name="Comma 4 2 5 2 2 2" xfId="7173" xr:uid="{00000000-0005-0000-0000-0000E5080000}"/>
    <cellStyle name="Comma 4 2 5 2 2 2 2" xfId="24939" xr:uid="{27AD2F26-208C-4CCF-9FDB-CB781EEBDF36}"/>
    <cellStyle name="Comma 4 2 5 2 2 2 3" xfId="16499" xr:uid="{B8AAB99E-4096-4E58-A26B-AE848565EF37}"/>
    <cellStyle name="Comma 4 2 5 2 2 3" xfId="20722" xr:uid="{0690263F-0570-4662-8F5E-DFBE6B94A864}"/>
    <cellStyle name="Comma 4 2 5 2 2 4" xfId="12282" xr:uid="{94A8A946-A023-4809-B67B-96A8BAF5095E}"/>
    <cellStyle name="Comma 4 2 5 2 3" xfId="5028" xr:uid="{00000000-0005-0000-0000-0000E6080000}"/>
    <cellStyle name="Comma 4 2 5 2 3 2" xfId="22794" xr:uid="{1DA4FEFF-63BB-4D3D-B12B-33D0B2B32207}"/>
    <cellStyle name="Comma 4 2 5 2 3 3" xfId="14354" xr:uid="{BE42AAF7-189B-408F-BDEA-A546DE2D8656}"/>
    <cellStyle name="Comma 4 2 5 2 4" xfId="9399" xr:uid="{1B388BC7-1FC6-4DC3-B345-755F61B57864}"/>
    <cellStyle name="Comma 4 2 5 2 4 2" xfId="18577" xr:uid="{730D00CC-4C4F-46EE-9B35-535E83016133}"/>
    <cellStyle name="Comma 4 2 5 2 5" xfId="10137" xr:uid="{B4BA66EC-3EA6-4FC7-ADBE-83F94CD68B7C}"/>
    <cellStyle name="Comma 4 2 5 3" xfId="1133" xr:uid="{00000000-0005-0000-0000-0000E7080000}"/>
    <cellStyle name="Comma 4 2 5 3 2" xfId="3364" xr:uid="{00000000-0005-0000-0000-0000E8080000}"/>
    <cellStyle name="Comma 4 2 5 3 2 2" xfId="7586" xr:uid="{00000000-0005-0000-0000-0000E9080000}"/>
    <cellStyle name="Comma 4 2 5 3 2 2 2" xfId="25352" xr:uid="{0D3090C0-E8B9-42D1-A7D8-71AF74DE9637}"/>
    <cellStyle name="Comma 4 2 5 3 2 2 3" xfId="16912" xr:uid="{187D3961-523B-4E62-A8BF-FEF105EAE855}"/>
    <cellStyle name="Comma 4 2 5 3 2 3" xfId="21135" xr:uid="{98EBC6DB-7F6E-4551-879A-230C86EA7A6F}"/>
    <cellStyle name="Comma 4 2 5 3 2 4" xfId="12695" xr:uid="{74A84D26-1397-4179-9A0F-F57F3EEDE273}"/>
    <cellStyle name="Comma 4 2 5 3 3" xfId="5441" xr:uid="{00000000-0005-0000-0000-0000EA080000}"/>
    <cellStyle name="Comma 4 2 5 3 3 2" xfId="23207" xr:uid="{F552F6F2-2D6A-412D-96EF-30D03E60A0A0}"/>
    <cellStyle name="Comma 4 2 5 3 3 3" xfId="14767" xr:uid="{FF157D39-9781-4860-B105-BB99D49C5BB2}"/>
    <cellStyle name="Comma 4 2 5 3 4" xfId="18990" xr:uid="{B73AED6B-52B0-47F8-9E1A-3F180C39C2A1}"/>
    <cellStyle name="Comma 4 2 5 3 5" xfId="10550" xr:uid="{5C9A8868-060D-4205-AEEE-028B88503095}"/>
    <cellStyle name="Comma 4 2 5 4" xfId="1547" xr:uid="{00000000-0005-0000-0000-0000EB080000}"/>
    <cellStyle name="Comma 4 2 5 4 2" xfId="3777" xr:uid="{00000000-0005-0000-0000-0000EC080000}"/>
    <cellStyle name="Comma 4 2 5 4 2 2" xfId="7999" xr:uid="{00000000-0005-0000-0000-0000ED080000}"/>
    <cellStyle name="Comma 4 2 5 4 2 2 2" xfId="25765" xr:uid="{C9E7E2D0-0083-4F56-BED3-1B6EB37D3E25}"/>
    <cellStyle name="Comma 4 2 5 4 2 2 3" xfId="17325" xr:uid="{163A70CA-E79D-4AB1-9B90-AC6DF8F2A8E9}"/>
    <cellStyle name="Comma 4 2 5 4 2 3" xfId="21548" xr:uid="{03DEAB63-0547-46F3-8FE2-82E057A367C8}"/>
    <cellStyle name="Comma 4 2 5 4 2 4" xfId="13108" xr:uid="{82D59C37-42B5-4F10-B364-21BB9288A744}"/>
    <cellStyle name="Comma 4 2 5 4 3" xfId="5854" xr:uid="{00000000-0005-0000-0000-0000EE080000}"/>
    <cellStyle name="Comma 4 2 5 4 3 2" xfId="23620" xr:uid="{B060F46D-35C3-405E-A76B-7A0D0BE90CFA}"/>
    <cellStyle name="Comma 4 2 5 4 3 3" xfId="15180" xr:uid="{CB7A4B54-7DF5-4057-AD45-A46E5A17A396}"/>
    <cellStyle name="Comma 4 2 5 4 4" xfId="19403" xr:uid="{9D17714C-BCD8-48FF-AD45-558BD6E554DF}"/>
    <cellStyle name="Comma 4 2 5 4 5" xfId="10963" xr:uid="{1A816F2B-F928-443C-8E92-7BC68AC79C1F}"/>
    <cellStyle name="Comma 4 2 5 5" xfId="1961" xr:uid="{00000000-0005-0000-0000-0000EF080000}"/>
    <cellStyle name="Comma 4 2 5 5 2" xfId="4190" xr:uid="{00000000-0005-0000-0000-0000F0080000}"/>
    <cellStyle name="Comma 4 2 5 5 2 2" xfId="8412" xr:uid="{00000000-0005-0000-0000-0000F1080000}"/>
    <cellStyle name="Comma 4 2 5 5 2 2 2" xfId="26178" xr:uid="{43B98D68-D396-4011-B81B-7BA610F1D6C9}"/>
    <cellStyle name="Comma 4 2 5 5 2 2 3" xfId="17738" xr:uid="{50FC3BED-740A-41D9-9A73-4112D239FD42}"/>
    <cellStyle name="Comma 4 2 5 5 2 3" xfId="21961" xr:uid="{2A15F8FE-0B75-474E-8FFA-5C8FC7781CAE}"/>
    <cellStyle name="Comma 4 2 5 5 2 4" xfId="13521" xr:uid="{18426978-390A-48E6-9FC4-80F68CCC635F}"/>
    <cellStyle name="Comma 4 2 5 5 3" xfId="6267" xr:uid="{00000000-0005-0000-0000-0000F2080000}"/>
    <cellStyle name="Comma 4 2 5 5 3 2" xfId="24033" xr:uid="{6D3D7F96-88AD-4231-870E-0BD2CEF30065}"/>
    <cellStyle name="Comma 4 2 5 5 3 3" xfId="15593" xr:uid="{C9F6693A-DFE9-467D-92CF-E1819BBCB9E2}"/>
    <cellStyle name="Comma 4 2 5 5 4" xfId="19816" xr:uid="{A255AC35-8149-43D7-A45C-C75670020226}"/>
    <cellStyle name="Comma 4 2 5 5 5" xfId="11376" xr:uid="{1538B912-32FA-48BC-9FE7-4A8B209A6E9F}"/>
    <cellStyle name="Comma 4 2 5 6" xfId="2396" xr:uid="{00000000-0005-0000-0000-0000F3080000}"/>
    <cellStyle name="Comma 4 2 5 6 2" xfId="6680" xr:uid="{00000000-0005-0000-0000-0000F4080000}"/>
    <cellStyle name="Comma 4 2 5 6 2 2" xfId="24446" xr:uid="{3E39C50E-A256-44EF-85A9-F1C395B36AEA}"/>
    <cellStyle name="Comma 4 2 5 6 2 3" xfId="16006" xr:uid="{7C235DDE-8210-4AE3-81E7-C6B8F152D6E7}"/>
    <cellStyle name="Comma 4 2 5 6 3" xfId="20229" xr:uid="{81E24427-7A4D-457A-979A-EDC5B9953E6E}"/>
    <cellStyle name="Comma 4 2 5 6 4" xfId="11789" xr:uid="{3F9A3C81-644B-47BC-8858-89D4080178C1}"/>
    <cellStyle name="Comma 4 2 5 7" xfId="2367" xr:uid="{00000000-0005-0000-0000-0000F5080000}"/>
    <cellStyle name="Comma 4 2 5 8" xfId="2774" xr:uid="{00000000-0005-0000-0000-0000F6080000}"/>
    <cellStyle name="Comma 4 2 5 8 2" xfId="6997" xr:uid="{00000000-0005-0000-0000-0000F7080000}"/>
    <cellStyle name="Comma 4 2 5 8 2 2" xfId="24763" xr:uid="{158ACB94-941B-4D06-BAA0-123862ECE89D}"/>
    <cellStyle name="Comma 4 2 5 8 2 3" xfId="16323" xr:uid="{4C784C8C-99E0-47E1-9673-F2305B361B4C}"/>
    <cellStyle name="Comma 4 2 5 8 3" xfId="20546" xr:uid="{A62BF8AB-B277-423E-8A2B-3A683B6E88F9}"/>
    <cellStyle name="Comma 4 2 5 8 4" xfId="12106" xr:uid="{6EAB8610-D378-4C2C-8EB1-5B6E2B6C6F4C}"/>
    <cellStyle name="Comma 4 2 5 9" xfId="4614" xr:uid="{00000000-0005-0000-0000-0000F8080000}"/>
    <cellStyle name="Comma 4 2 5 9 2" xfId="22380" xr:uid="{867A1963-66DD-4941-972A-6BD6BB14EA18}"/>
    <cellStyle name="Comma 4 2 5 9 3" xfId="13940" xr:uid="{3E84EFD0-C036-46CA-A736-BCC1AA51E6EA}"/>
    <cellStyle name="Comma 4 2 6" xfId="143" xr:uid="{00000000-0005-0000-0000-0000F9080000}"/>
    <cellStyle name="Comma 4 2 6 10" xfId="9177" xr:uid="{A20A3B72-7630-464F-8E57-DA2B9D6E44FB}"/>
    <cellStyle name="Comma 4 2 6 10 2" xfId="18164" xr:uid="{18079AF1-9147-46E5-ACA2-B3F7BCE6E1BA}"/>
    <cellStyle name="Comma 4 2 6 11" xfId="9724" xr:uid="{AF6D34B9-6135-4D0C-A970-DF44EEE2A11E}"/>
    <cellStyle name="Comma 4 2 6 2" xfId="681" xr:uid="{00000000-0005-0000-0000-0000FA080000}"/>
    <cellStyle name="Comma 4 2 6 2 2" xfId="2952" xr:uid="{00000000-0005-0000-0000-0000FB080000}"/>
    <cellStyle name="Comma 4 2 6 2 2 2" xfId="7174" xr:uid="{00000000-0005-0000-0000-0000FC080000}"/>
    <cellStyle name="Comma 4 2 6 2 2 2 2" xfId="24940" xr:uid="{CBB0D7EF-2579-4491-BBED-8B63956F0BC2}"/>
    <cellStyle name="Comma 4 2 6 2 2 2 3" xfId="16500" xr:uid="{F43D560A-FF15-4B3E-A881-AA66D79BE6C8}"/>
    <cellStyle name="Comma 4 2 6 2 2 3" xfId="20723" xr:uid="{25473364-F636-4215-81B6-AB565DF6A09F}"/>
    <cellStyle name="Comma 4 2 6 2 2 4" xfId="12283" xr:uid="{F6F23896-6E24-4525-8702-818C6FACC530}"/>
    <cellStyle name="Comma 4 2 6 2 3" xfId="5029" xr:uid="{00000000-0005-0000-0000-0000FD080000}"/>
    <cellStyle name="Comma 4 2 6 2 3 2" xfId="22795" xr:uid="{348D3CD9-934E-48E3-8750-F210A08B3297}"/>
    <cellStyle name="Comma 4 2 6 2 3 3" xfId="14355" xr:uid="{76F658DE-8BC6-4685-9B2E-C54C995A098D}"/>
    <cellStyle name="Comma 4 2 6 2 4" xfId="9594" xr:uid="{CCB8D3FE-19FC-4F7F-9966-44FD23A1A32A}"/>
    <cellStyle name="Comma 4 2 6 2 4 2" xfId="18578" xr:uid="{8C3C3107-54B0-438E-BD15-D352A44E4170}"/>
    <cellStyle name="Comma 4 2 6 2 5" xfId="10138" xr:uid="{878EB0F8-60FA-4A63-B205-B02D82A987AA}"/>
    <cellStyle name="Comma 4 2 6 3" xfId="1134" xr:uid="{00000000-0005-0000-0000-0000FE080000}"/>
    <cellStyle name="Comma 4 2 6 3 2" xfId="3365" xr:uid="{00000000-0005-0000-0000-0000FF080000}"/>
    <cellStyle name="Comma 4 2 6 3 2 2" xfId="7587" xr:uid="{00000000-0005-0000-0000-000000090000}"/>
    <cellStyle name="Comma 4 2 6 3 2 2 2" xfId="25353" xr:uid="{95A1F287-AE76-402D-A654-2C715333BC2B}"/>
    <cellStyle name="Comma 4 2 6 3 2 2 3" xfId="16913" xr:uid="{04BBE8B3-2EBD-400D-B8FB-D9A3A9141A13}"/>
    <cellStyle name="Comma 4 2 6 3 2 3" xfId="21136" xr:uid="{E0794AE9-8ED6-4D42-835F-ADF94D701514}"/>
    <cellStyle name="Comma 4 2 6 3 2 4" xfId="12696" xr:uid="{23A7C167-2995-463D-80F0-96C849006D4F}"/>
    <cellStyle name="Comma 4 2 6 3 3" xfId="5442" xr:uid="{00000000-0005-0000-0000-000001090000}"/>
    <cellStyle name="Comma 4 2 6 3 3 2" xfId="23208" xr:uid="{99BAD920-3845-48E0-A43A-785BB564B6A1}"/>
    <cellStyle name="Comma 4 2 6 3 3 3" xfId="14768" xr:uid="{3300218A-4F01-42C8-B381-8EB2F6E8A05E}"/>
    <cellStyle name="Comma 4 2 6 3 4" xfId="18991" xr:uid="{F1F2B819-508F-4F74-BF69-3B36949396FC}"/>
    <cellStyle name="Comma 4 2 6 3 5" xfId="10551" xr:uid="{B6D067F7-164F-4928-9229-9C02639E3FAB}"/>
    <cellStyle name="Comma 4 2 6 4" xfId="1548" xr:uid="{00000000-0005-0000-0000-000002090000}"/>
    <cellStyle name="Comma 4 2 6 4 2" xfId="3778" xr:uid="{00000000-0005-0000-0000-000003090000}"/>
    <cellStyle name="Comma 4 2 6 4 2 2" xfId="8000" xr:uid="{00000000-0005-0000-0000-000004090000}"/>
    <cellStyle name="Comma 4 2 6 4 2 2 2" xfId="25766" xr:uid="{7FC8D856-3F78-4118-8113-E5D9A9B5CD78}"/>
    <cellStyle name="Comma 4 2 6 4 2 2 3" xfId="17326" xr:uid="{7078F673-D639-45FD-A999-ABA8499ACB38}"/>
    <cellStyle name="Comma 4 2 6 4 2 3" xfId="21549" xr:uid="{E4884207-737E-4731-A9D8-FEDE8EB69D00}"/>
    <cellStyle name="Comma 4 2 6 4 2 4" xfId="13109" xr:uid="{7AD0C677-A281-483A-B33A-2DED2EE2BBCA}"/>
    <cellStyle name="Comma 4 2 6 4 3" xfId="5855" xr:uid="{00000000-0005-0000-0000-000005090000}"/>
    <cellStyle name="Comma 4 2 6 4 3 2" xfId="23621" xr:uid="{60B9AE87-2546-4DBB-B750-64F38D907AB7}"/>
    <cellStyle name="Comma 4 2 6 4 3 3" xfId="15181" xr:uid="{92C97AF3-45C5-4676-9F44-9DF0A96B2D2F}"/>
    <cellStyle name="Comma 4 2 6 4 4" xfId="19404" xr:uid="{9A48DD34-BF3B-46B6-A95E-7A0FB8FA1CD6}"/>
    <cellStyle name="Comma 4 2 6 4 5" xfId="10964" xr:uid="{8B872485-4C58-4F77-854F-50375FC407FB}"/>
    <cellStyle name="Comma 4 2 6 5" xfId="1962" xr:uid="{00000000-0005-0000-0000-000006090000}"/>
    <cellStyle name="Comma 4 2 6 5 2" xfId="4191" xr:uid="{00000000-0005-0000-0000-000007090000}"/>
    <cellStyle name="Comma 4 2 6 5 2 2" xfId="8413" xr:uid="{00000000-0005-0000-0000-000008090000}"/>
    <cellStyle name="Comma 4 2 6 5 2 2 2" xfId="26179" xr:uid="{BC8BBD29-39D5-46B7-97BF-DD3B11349FCD}"/>
    <cellStyle name="Comma 4 2 6 5 2 2 3" xfId="17739" xr:uid="{74E71CA2-ADAF-43B8-813B-0008B15BED6D}"/>
    <cellStyle name="Comma 4 2 6 5 2 3" xfId="21962" xr:uid="{8F20F100-68D3-49FB-953C-2740755CDBCC}"/>
    <cellStyle name="Comma 4 2 6 5 2 4" xfId="13522" xr:uid="{6F46CFD4-77E2-41FA-9884-D712998C92D9}"/>
    <cellStyle name="Comma 4 2 6 5 3" xfId="6268" xr:uid="{00000000-0005-0000-0000-000009090000}"/>
    <cellStyle name="Comma 4 2 6 5 3 2" xfId="24034" xr:uid="{219F3CBF-978D-4913-B524-302DDF531949}"/>
    <cellStyle name="Comma 4 2 6 5 3 3" xfId="15594" xr:uid="{F7738A76-6898-446D-A993-890C3844F27C}"/>
    <cellStyle name="Comma 4 2 6 5 4" xfId="19817" xr:uid="{1BD0F350-CC27-4DAC-8E0C-2EED520A77BA}"/>
    <cellStyle name="Comma 4 2 6 5 5" xfId="11377" xr:uid="{0D577DBF-9046-42A7-9B46-46E6C7D1A05F}"/>
    <cellStyle name="Comma 4 2 6 6" xfId="2397" xr:uid="{00000000-0005-0000-0000-00000A090000}"/>
    <cellStyle name="Comma 4 2 6 6 2" xfId="6681" xr:uid="{00000000-0005-0000-0000-00000B090000}"/>
    <cellStyle name="Comma 4 2 6 6 2 2" xfId="24447" xr:uid="{E8F96D57-CB85-4991-90D7-E5FF6F6ACDEF}"/>
    <cellStyle name="Comma 4 2 6 6 2 3" xfId="16007" xr:uid="{E3F1DD5E-6F42-4824-8BE2-69C6A2BCDBFF}"/>
    <cellStyle name="Comma 4 2 6 6 3" xfId="20230" xr:uid="{D60DAA85-3E65-4A91-AF02-6C5D7C2C205A}"/>
    <cellStyle name="Comma 4 2 6 6 4" xfId="11790" xr:uid="{49F7A874-B766-4CB8-B397-495B82B3CC6C}"/>
    <cellStyle name="Comma 4 2 6 7" xfId="2366" xr:uid="{00000000-0005-0000-0000-00000C090000}"/>
    <cellStyle name="Comma 4 2 6 8" xfId="2775" xr:uid="{00000000-0005-0000-0000-00000D090000}"/>
    <cellStyle name="Comma 4 2 6 8 2" xfId="6998" xr:uid="{00000000-0005-0000-0000-00000E090000}"/>
    <cellStyle name="Comma 4 2 6 8 2 2" xfId="24764" xr:uid="{99AB82CC-44EF-4C5E-97D8-179D2570BC61}"/>
    <cellStyle name="Comma 4 2 6 8 2 3" xfId="16324" xr:uid="{90B32687-54E3-4B1D-BDCC-92BB03602AF3}"/>
    <cellStyle name="Comma 4 2 6 8 3" xfId="20547" xr:uid="{E822357E-4772-45C3-B34E-0B8C8F3ED754}"/>
    <cellStyle name="Comma 4 2 6 8 4" xfId="12107" xr:uid="{42304964-C26F-4EE0-8BE7-8A58D97EAA52}"/>
    <cellStyle name="Comma 4 2 6 9" xfId="4615" xr:uid="{00000000-0005-0000-0000-00000F090000}"/>
    <cellStyle name="Comma 4 2 6 9 2" xfId="22381" xr:uid="{BCDD2B36-CC1A-43AD-B959-A802FB76E914}"/>
    <cellStyle name="Comma 4 2 6 9 3" xfId="13941" xr:uid="{B327AB5F-9549-43CA-ACFC-436D77ABCB8C}"/>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24765" xr:uid="{0BC31E1F-5EBE-43A4-895B-E0346972CD5E}"/>
    <cellStyle name="Comma 4 3 2 10 2 3" xfId="16325" xr:uid="{59DD1112-22C9-4EBA-9544-B7E4CA9E655A}"/>
    <cellStyle name="Comma 4 3 2 10 3" xfId="20548" xr:uid="{07942B7A-37AD-4790-A057-E8BB1FBFD569}"/>
    <cellStyle name="Comma 4 3 2 10 4" xfId="12108" xr:uid="{7D4F6C3F-33A3-4235-9957-5499754524A7}"/>
    <cellStyle name="Comma 4 3 2 11" xfId="4616" xr:uid="{00000000-0005-0000-0000-000014090000}"/>
    <cellStyle name="Comma 4 3 2 11 2" xfId="22382" xr:uid="{79EC2952-F501-42C7-B1CB-F083DDD05378}"/>
    <cellStyle name="Comma 4 3 2 11 3" xfId="13942" xr:uid="{9384BB95-603F-4365-9941-6ECA612EB86B}"/>
    <cellStyle name="Comma 4 3 2 12" xfId="8807" xr:uid="{5C5EF314-D0DB-425B-AE7D-D52FEEE90EC1}"/>
    <cellStyle name="Comma 4 3 2 12 2" xfId="18165" xr:uid="{29C493EB-230E-465B-A5D0-6C7F20DB5B1F}"/>
    <cellStyle name="Comma 4 3 2 13" xfId="9725" xr:uid="{9A3F5C69-2922-4549-87D5-FF76D17D2C47}"/>
    <cellStyle name="Comma 4 3 2 2" xfId="146" xr:uid="{00000000-0005-0000-0000-000015090000}"/>
    <cellStyle name="Comma 4 3 2 2 10" xfId="4617" xr:uid="{00000000-0005-0000-0000-000016090000}"/>
    <cellStyle name="Comma 4 3 2 2 10 2" xfId="22383" xr:uid="{54430780-653C-457D-A510-D79C43CABEC5}"/>
    <cellStyle name="Comma 4 3 2 2 10 3" xfId="13943" xr:uid="{ECA82690-92CE-4026-AD34-5F38CE568CA1}"/>
    <cellStyle name="Comma 4 3 2 2 11" xfId="8910" xr:uid="{15019DD0-71A0-438D-B796-68DE42B22692}"/>
    <cellStyle name="Comma 4 3 2 2 11 2" xfId="18166" xr:uid="{2C518E6C-70F8-4BDE-B8F4-BD1D9D63705D}"/>
    <cellStyle name="Comma 4 3 2 2 12" xfId="9726" xr:uid="{437D32AD-907D-46FF-BB62-4A1B389B3C13}"/>
    <cellStyle name="Comma 4 3 2 2 2" xfId="147" xr:uid="{00000000-0005-0000-0000-000017090000}"/>
    <cellStyle name="Comma 4 3 2 2 2 10" xfId="9117" xr:uid="{1409F531-DBF2-41E0-9C74-F9317358BA15}"/>
    <cellStyle name="Comma 4 3 2 2 2 10 2" xfId="18167" xr:uid="{887ECAF3-00D5-4BC2-88B1-FFCE39ABCB6C}"/>
    <cellStyle name="Comma 4 3 2 2 2 11" xfId="9727" xr:uid="{9FA6DDBF-7BB9-4429-84E8-7EB616CF4D40}"/>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24943" xr:uid="{0E63237E-04C5-41F2-9AAA-AD5AFEA6D8AA}"/>
    <cellStyle name="Comma 4 3 2 2 2 2 2 2 3" xfId="16503" xr:uid="{505595C9-E447-4B42-94A0-1AD368F7D484}"/>
    <cellStyle name="Comma 4 3 2 2 2 2 2 3" xfId="20726" xr:uid="{6CCF9BE5-5D6A-4A44-B20A-378A9A8356FC}"/>
    <cellStyle name="Comma 4 3 2 2 2 2 2 4" xfId="12286" xr:uid="{F2D06E51-23A4-412C-86F0-3C3FB7588EAA}"/>
    <cellStyle name="Comma 4 3 2 2 2 2 3" xfId="5032" xr:uid="{00000000-0005-0000-0000-00001B090000}"/>
    <cellStyle name="Comma 4 3 2 2 2 2 3 2" xfId="22798" xr:uid="{69E8B42D-F06B-404D-8E83-FE69CA326807}"/>
    <cellStyle name="Comma 4 3 2 2 2 2 3 3" xfId="14358" xr:uid="{91A5D187-E791-4C5D-8D43-EE2679270FF3}"/>
    <cellStyle name="Comma 4 3 2 2 2 2 4" xfId="9542" xr:uid="{26CD77CC-F017-4839-8245-BBF245D45E53}"/>
    <cellStyle name="Comma 4 3 2 2 2 2 4 2" xfId="18581" xr:uid="{7619C745-5CFF-4247-AD13-5EF178630197}"/>
    <cellStyle name="Comma 4 3 2 2 2 2 5" xfId="10141" xr:uid="{B4834474-1644-4925-A501-6C2C185A70BB}"/>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25356" xr:uid="{CB8D9CAF-71C7-4CD2-8E9C-681EA7655A6E}"/>
    <cellStyle name="Comma 4 3 2 2 2 3 2 2 3" xfId="16916" xr:uid="{D33B0FFB-0F0F-420C-976C-C6EDA2C8FBAA}"/>
    <cellStyle name="Comma 4 3 2 2 2 3 2 3" xfId="21139" xr:uid="{E694AE48-7B4D-42C7-A22F-6042A5B1CCF3}"/>
    <cellStyle name="Comma 4 3 2 2 2 3 2 4" xfId="12699" xr:uid="{5F18BED2-7E64-4488-B3E1-E0F1B22AB8BC}"/>
    <cellStyle name="Comma 4 3 2 2 2 3 3" xfId="5445" xr:uid="{00000000-0005-0000-0000-00001F090000}"/>
    <cellStyle name="Comma 4 3 2 2 2 3 3 2" xfId="23211" xr:uid="{AF7658EB-D266-407C-80BC-19494DD4D977}"/>
    <cellStyle name="Comma 4 3 2 2 2 3 3 3" xfId="14771" xr:uid="{032629D4-0412-4330-8AB5-95F84FA3D349}"/>
    <cellStyle name="Comma 4 3 2 2 2 3 4" xfId="18994" xr:uid="{78F9C039-B95B-4A5C-9FBE-23A7C964F542}"/>
    <cellStyle name="Comma 4 3 2 2 2 3 5" xfId="10554" xr:uid="{508E966F-6CFA-4199-863E-029043638C21}"/>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25769" xr:uid="{038A5FD2-2092-4066-A8C5-F51F198DBB25}"/>
    <cellStyle name="Comma 4 3 2 2 2 4 2 2 3" xfId="17329" xr:uid="{36A4AC56-4D68-44E3-83F5-2BB21D471482}"/>
    <cellStyle name="Comma 4 3 2 2 2 4 2 3" xfId="21552" xr:uid="{328309A0-AB56-4E00-B70E-91CBB6C51DCE}"/>
    <cellStyle name="Comma 4 3 2 2 2 4 2 4" xfId="13112" xr:uid="{72AC3AE3-5255-494C-8E66-AF333AB10719}"/>
    <cellStyle name="Comma 4 3 2 2 2 4 3" xfId="5858" xr:uid="{00000000-0005-0000-0000-000023090000}"/>
    <cellStyle name="Comma 4 3 2 2 2 4 3 2" xfId="23624" xr:uid="{C7C71ED8-D9ED-431C-90B6-9C0DC793525E}"/>
    <cellStyle name="Comma 4 3 2 2 2 4 3 3" xfId="15184" xr:uid="{08079D41-4F6C-4A1C-B61A-44865235E47D}"/>
    <cellStyle name="Comma 4 3 2 2 2 4 4" xfId="19407" xr:uid="{06DEAA80-F24E-4CAD-B01A-84EE9420169C}"/>
    <cellStyle name="Comma 4 3 2 2 2 4 5" xfId="10967" xr:uid="{8671DE04-2930-400C-BEFA-10DE0B142BB6}"/>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26182" xr:uid="{64BFEB7F-0FC8-4F2E-877B-D31E340B42AB}"/>
    <cellStyle name="Comma 4 3 2 2 2 5 2 2 3" xfId="17742" xr:uid="{FAB74438-8D87-454D-A3C2-D3216006A9E3}"/>
    <cellStyle name="Comma 4 3 2 2 2 5 2 3" xfId="21965" xr:uid="{F455498B-FD79-4037-8CCB-66F08CFC3FDC}"/>
    <cellStyle name="Comma 4 3 2 2 2 5 2 4" xfId="13525" xr:uid="{5B6015B1-EF0E-4D7E-B652-D9BFB78471AE}"/>
    <cellStyle name="Comma 4 3 2 2 2 5 3" xfId="6271" xr:uid="{00000000-0005-0000-0000-000027090000}"/>
    <cellStyle name="Comma 4 3 2 2 2 5 3 2" xfId="24037" xr:uid="{DF5AAAA6-863D-4F78-A627-EBE194C9DE3C}"/>
    <cellStyle name="Comma 4 3 2 2 2 5 3 3" xfId="15597" xr:uid="{1C1F34AF-36CC-4BC5-877C-C65BB75A73AE}"/>
    <cellStyle name="Comma 4 3 2 2 2 5 4" xfId="19820" xr:uid="{C8444207-D086-41FA-8378-EB1038F890C0}"/>
    <cellStyle name="Comma 4 3 2 2 2 5 5" xfId="11380" xr:uid="{FD5D96CD-EF8A-4CC7-8EF9-EB71DECCD7B0}"/>
    <cellStyle name="Comma 4 3 2 2 2 6" xfId="2400" xr:uid="{00000000-0005-0000-0000-000028090000}"/>
    <cellStyle name="Comma 4 3 2 2 2 6 2" xfId="6684" xr:uid="{00000000-0005-0000-0000-000029090000}"/>
    <cellStyle name="Comma 4 3 2 2 2 6 2 2" xfId="24450" xr:uid="{2A1A0424-DE59-47FF-BBF3-94D601852817}"/>
    <cellStyle name="Comma 4 3 2 2 2 6 2 3" xfId="16010" xr:uid="{F57731DC-AE1F-4DEB-AF16-25E8F36D3B15}"/>
    <cellStyle name="Comma 4 3 2 2 2 6 3" xfId="20233" xr:uid="{E536D217-88CD-4A4E-BA5C-0F99F8389B28}"/>
    <cellStyle name="Comma 4 3 2 2 2 6 4" xfId="11793" xr:uid="{F36A105E-2D8F-4C29-A32D-D9CF80E1448E}"/>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24767" xr:uid="{CC8E024D-4637-47D7-AB87-05D9782CEABF}"/>
    <cellStyle name="Comma 4 3 2 2 2 8 2 3" xfId="16327" xr:uid="{C08D3A46-5E2C-4C84-ADCA-ACFEA8565D36}"/>
    <cellStyle name="Comma 4 3 2 2 2 8 3" xfId="20550" xr:uid="{D9C1DC99-2B19-48D2-B50E-732CFB52F212}"/>
    <cellStyle name="Comma 4 3 2 2 2 8 4" xfId="12110" xr:uid="{26BE3BF0-B4D6-4AFC-8C59-BD916A648215}"/>
    <cellStyle name="Comma 4 3 2 2 2 9" xfId="4618" xr:uid="{00000000-0005-0000-0000-00002D090000}"/>
    <cellStyle name="Comma 4 3 2 2 2 9 2" xfId="22384" xr:uid="{8939BF19-ECE0-4D23-9DEA-0863D85920AA}"/>
    <cellStyle name="Comma 4 3 2 2 2 9 3" xfId="13944" xr:uid="{661F1907-57E6-49EF-9AF0-36378AE8E4AE}"/>
    <cellStyle name="Comma 4 3 2 2 3" xfId="683" xr:uid="{00000000-0005-0000-0000-00002E090000}"/>
    <cellStyle name="Comma 4 3 2 2 3 2" xfId="2954" xr:uid="{00000000-0005-0000-0000-00002F090000}"/>
    <cellStyle name="Comma 4 3 2 2 3 2 2" xfId="7176" xr:uid="{00000000-0005-0000-0000-000030090000}"/>
    <cellStyle name="Comma 4 3 2 2 3 2 2 2" xfId="24942" xr:uid="{0FECFF38-E683-4505-946A-66BD050EE35E}"/>
    <cellStyle name="Comma 4 3 2 2 3 2 2 3" xfId="16502" xr:uid="{FC2721DE-D0E1-4142-A598-A305F472EDEC}"/>
    <cellStyle name="Comma 4 3 2 2 3 2 3" xfId="20725" xr:uid="{066D1F41-1057-4F0A-A95E-25C84D510D17}"/>
    <cellStyle name="Comma 4 3 2 2 3 2 4" xfId="12285" xr:uid="{BA4F7332-78D2-441D-AB1C-910E309038A2}"/>
    <cellStyle name="Comma 4 3 2 2 3 3" xfId="5031" xr:uid="{00000000-0005-0000-0000-000031090000}"/>
    <cellStyle name="Comma 4 3 2 2 3 3 2" xfId="22797" xr:uid="{8EF4359E-B9F8-4388-B196-E6BBDBE72654}"/>
    <cellStyle name="Comma 4 3 2 2 3 3 3" xfId="14357" xr:uid="{9BE5C3F8-C0FC-4D41-BFC3-F4F318FC27F3}"/>
    <cellStyle name="Comma 4 3 2 2 3 4" xfId="9335" xr:uid="{BACD532B-C811-4076-B107-03E74D1B7113}"/>
    <cellStyle name="Comma 4 3 2 2 3 4 2" xfId="18580" xr:uid="{A83843DE-A49A-4A15-9870-D9F8B475D2F4}"/>
    <cellStyle name="Comma 4 3 2 2 3 5" xfId="10140" xr:uid="{9D9DBD6C-8A1D-4256-97FB-77874DCEAFCB}"/>
    <cellStyle name="Comma 4 3 2 2 4" xfId="1136" xr:uid="{00000000-0005-0000-0000-000032090000}"/>
    <cellStyle name="Comma 4 3 2 2 4 2" xfId="3367" xr:uid="{00000000-0005-0000-0000-000033090000}"/>
    <cellStyle name="Comma 4 3 2 2 4 2 2" xfId="7589" xr:uid="{00000000-0005-0000-0000-000034090000}"/>
    <cellStyle name="Comma 4 3 2 2 4 2 2 2" xfId="25355" xr:uid="{994231F0-B123-4506-A2C6-6E66A5A3B325}"/>
    <cellStyle name="Comma 4 3 2 2 4 2 2 3" xfId="16915" xr:uid="{F45C0B28-3EDA-49D3-BFAB-6A71B9778BB2}"/>
    <cellStyle name="Comma 4 3 2 2 4 2 3" xfId="21138" xr:uid="{6C7BCAE1-D503-4E43-963C-6E6456BA980C}"/>
    <cellStyle name="Comma 4 3 2 2 4 2 4" xfId="12698" xr:uid="{662F5ECA-205C-43F5-8A31-D1846832EB9B}"/>
    <cellStyle name="Comma 4 3 2 2 4 3" xfId="5444" xr:uid="{00000000-0005-0000-0000-000035090000}"/>
    <cellStyle name="Comma 4 3 2 2 4 3 2" xfId="23210" xr:uid="{E405E636-F184-4B39-B42F-713E4C5FC8E0}"/>
    <cellStyle name="Comma 4 3 2 2 4 3 3" xfId="14770" xr:uid="{D08DD1F2-37F9-4991-AD3E-D15DD55B57AC}"/>
    <cellStyle name="Comma 4 3 2 2 4 4" xfId="18993" xr:uid="{79343CB8-F296-44CC-939B-D4308F8C55F6}"/>
    <cellStyle name="Comma 4 3 2 2 4 5" xfId="10553" xr:uid="{E0587D19-13DE-4EAD-A604-37D0678A0BB8}"/>
    <cellStyle name="Comma 4 3 2 2 5" xfId="1550" xr:uid="{00000000-0005-0000-0000-000036090000}"/>
    <cellStyle name="Comma 4 3 2 2 5 2" xfId="3780" xr:uid="{00000000-0005-0000-0000-000037090000}"/>
    <cellStyle name="Comma 4 3 2 2 5 2 2" xfId="8002" xr:uid="{00000000-0005-0000-0000-000038090000}"/>
    <cellStyle name="Comma 4 3 2 2 5 2 2 2" xfId="25768" xr:uid="{39B8687E-C950-4B29-866E-F3540219B7E4}"/>
    <cellStyle name="Comma 4 3 2 2 5 2 2 3" xfId="17328" xr:uid="{6BCCA538-9C2B-4A4D-BE03-8C1D255752D0}"/>
    <cellStyle name="Comma 4 3 2 2 5 2 3" xfId="21551" xr:uid="{B208B0B9-80EB-40C4-8018-1DA32B186BE3}"/>
    <cellStyle name="Comma 4 3 2 2 5 2 4" xfId="13111" xr:uid="{DF36EC9F-5803-40A5-962C-A560BC45C907}"/>
    <cellStyle name="Comma 4 3 2 2 5 3" xfId="5857" xr:uid="{00000000-0005-0000-0000-000039090000}"/>
    <cellStyle name="Comma 4 3 2 2 5 3 2" xfId="23623" xr:uid="{45F92FAA-1159-4BFF-9255-4A1DC1DF9F9B}"/>
    <cellStyle name="Comma 4 3 2 2 5 3 3" xfId="15183" xr:uid="{AC0488C8-1CF8-42CA-B7EA-0E7AE7AE11D2}"/>
    <cellStyle name="Comma 4 3 2 2 5 4" xfId="19406" xr:uid="{303C6686-15E1-4692-B493-2952FE4EB592}"/>
    <cellStyle name="Comma 4 3 2 2 5 5" xfId="10966" xr:uid="{7FE0EE29-A780-4633-B555-98877A3E9BCA}"/>
    <cellStyle name="Comma 4 3 2 2 6" xfId="1964" xr:uid="{00000000-0005-0000-0000-00003A090000}"/>
    <cellStyle name="Comma 4 3 2 2 6 2" xfId="4193" xr:uid="{00000000-0005-0000-0000-00003B090000}"/>
    <cellStyle name="Comma 4 3 2 2 6 2 2" xfId="8415" xr:uid="{00000000-0005-0000-0000-00003C090000}"/>
    <cellStyle name="Comma 4 3 2 2 6 2 2 2" xfId="26181" xr:uid="{B8D5F6E1-49F3-43AF-97E7-2DAEA8F51E3F}"/>
    <cellStyle name="Comma 4 3 2 2 6 2 2 3" xfId="17741" xr:uid="{8ED31E98-4834-4345-8EAB-7C48CFE6E7E7}"/>
    <cellStyle name="Comma 4 3 2 2 6 2 3" xfId="21964" xr:uid="{C316D020-E337-4B71-BE54-BA4CC8F8C407}"/>
    <cellStyle name="Comma 4 3 2 2 6 2 4" xfId="13524" xr:uid="{B6F7D5CE-9A71-418A-AE77-9ED66A759DA2}"/>
    <cellStyle name="Comma 4 3 2 2 6 3" xfId="6270" xr:uid="{00000000-0005-0000-0000-00003D090000}"/>
    <cellStyle name="Comma 4 3 2 2 6 3 2" xfId="24036" xr:uid="{AB477844-2DD7-43F9-8B95-F89C2CD87FED}"/>
    <cellStyle name="Comma 4 3 2 2 6 3 3" xfId="15596" xr:uid="{59098B01-770A-4C3F-883A-E527D18DF426}"/>
    <cellStyle name="Comma 4 3 2 2 6 4" xfId="19819" xr:uid="{BDB57E11-06F3-440E-B3F0-853A92F17C25}"/>
    <cellStyle name="Comma 4 3 2 2 6 5" xfId="11379" xr:uid="{6948B310-81A6-40A8-B9E1-AE03D8E17923}"/>
    <cellStyle name="Comma 4 3 2 2 7" xfId="2399" xr:uid="{00000000-0005-0000-0000-00003E090000}"/>
    <cellStyle name="Comma 4 3 2 2 7 2" xfId="6683" xr:uid="{00000000-0005-0000-0000-00003F090000}"/>
    <cellStyle name="Comma 4 3 2 2 7 2 2" xfId="24449" xr:uid="{612743CB-DE09-4758-92CB-BB1AF7DD04AB}"/>
    <cellStyle name="Comma 4 3 2 2 7 2 3" xfId="16009" xr:uid="{5A422533-D40F-4CFB-9929-2FFF4E0523E3}"/>
    <cellStyle name="Comma 4 3 2 2 7 3" xfId="20232" xr:uid="{56ECF5BE-E6E2-4FD0-AA26-D234E0596E56}"/>
    <cellStyle name="Comma 4 3 2 2 7 4" xfId="11792" xr:uid="{9122D1C4-F888-47D7-8AA1-595B10B0FDCF}"/>
    <cellStyle name="Comma 4 3 2 2 8" xfId="2364" xr:uid="{00000000-0005-0000-0000-000040090000}"/>
    <cellStyle name="Comma 4 3 2 2 9" xfId="2777" xr:uid="{00000000-0005-0000-0000-000041090000}"/>
    <cellStyle name="Comma 4 3 2 2 9 2" xfId="7000" xr:uid="{00000000-0005-0000-0000-000042090000}"/>
    <cellStyle name="Comma 4 3 2 2 9 2 2" xfId="24766" xr:uid="{093D733A-8E80-48F3-AA5C-08BD00E86890}"/>
    <cellStyle name="Comma 4 3 2 2 9 2 3" xfId="16326" xr:uid="{C0D51A2B-CAD7-44EB-8EB1-9D7BDCB63015}"/>
    <cellStyle name="Comma 4 3 2 2 9 3" xfId="20549" xr:uid="{36309B6D-98E0-46D1-BE1E-800C42A9AFCE}"/>
    <cellStyle name="Comma 4 3 2 2 9 4" xfId="12109" xr:uid="{80A29866-F63E-46D0-9490-AAAE01310A31}"/>
    <cellStyle name="Comma 4 3 2 3" xfId="148" xr:uid="{00000000-0005-0000-0000-000043090000}"/>
    <cellStyle name="Comma 4 3 2 3 10" xfId="9014" xr:uid="{46568903-2C47-4BC3-8E78-5A47F62B319C}"/>
    <cellStyle name="Comma 4 3 2 3 10 2" xfId="18168" xr:uid="{AAE9FCA7-FADB-4C56-A086-1BCB808DE9AD}"/>
    <cellStyle name="Comma 4 3 2 3 11" xfId="9728" xr:uid="{5E919528-CCB1-48D4-8584-A69ABB4CD70B}"/>
    <cellStyle name="Comma 4 3 2 3 2" xfId="685" xr:uid="{00000000-0005-0000-0000-000044090000}"/>
    <cellStyle name="Comma 4 3 2 3 2 2" xfId="2956" xr:uid="{00000000-0005-0000-0000-000045090000}"/>
    <cellStyle name="Comma 4 3 2 3 2 2 2" xfId="7178" xr:uid="{00000000-0005-0000-0000-000046090000}"/>
    <cellStyle name="Comma 4 3 2 3 2 2 2 2" xfId="24944" xr:uid="{10B2137F-6FAF-4BDD-B017-85F681EDE94B}"/>
    <cellStyle name="Comma 4 3 2 3 2 2 2 3" xfId="16504" xr:uid="{A7AE5701-5BF0-4B4C-BFF8-F927A40CCCA4}"/>
    <cellStyle name="Comma 4 3 2 3 2 2 3" xfId="20727" xr:uid="{B2DF12EC-8A9F-4DDC-A97A-5B4EF24604A0}"/>
    <cellStyle name="Comma 4 3 2 3 2 2 4" xfId="12287" xr:uid="{C0AB1D70-46AB-4700-BC07-3597FD66362D}"/>
    <cellStyle name="Comma 4 3 2 3 2 3" xfId="5033" xr:uid="{00000000-0005-0000-0000-000047090000}"/>
    <cellStyle name="Comma 4 3 2 3 2 3 2" xfId="22799" xr:uid="{041E40A5-7CE2-4155-BF75-C38E46F15BAF}"/>
    <cellStyle name="Comma 4 3 2 3 2 3 3" xfId="14359" xr:uid="{EECEBA03-693A-41C5-8B82-09479C485E33}"/>
    <cellStyle name="Comma 4 3 2 3 2 4" xfId="9439" xr:uid="{2FD116B5-6902-4630-AFC5-CC8B06C5F457}"/>
    <cellStyle name="Comma 4 3 2 3 2 4 2" xfId="18582" xr:uid="{CB595018-B80E-4085-B056-C929383E3C4C}"/>
    <cellStyle name="Comma 4 3 2 3 2 5" xfId="10142" xr:uid="{9B628536-8A83-4B35-99E8-EA91FD8024C0}"/>
    <cellStyle name="Comma 4 3 2 3 3" xfId="1138" xr:uid="{00000000-0005-0000-0000-000048090000}"/>
    <cellStyle name="Comma 4 3 2 3 3 2" xfId="3369" xr:uid="{00000000-0005-0000-0000-000049090000}"/>
    <cellStyle name="Comma 4 3 2 3 3 2 2" xfId="7591" xr:uid="{00000000-0005-0000-0000-00004A090000}"/>
    <cellStyle name="Comma 4 3 2 3 3 2 2 2" xfId="25357" xr:uid="{69C4B9D5-4FBD-45D2-965F-F65CA1E5C4ED}"/>
    <cellStyle name="Comma 4 3 2 3 3 2 2 3" xfId="16917" xr:uid="{25482BAE-5A8A-4F3C-8254-232B2FF6A670}"/>
    <cellStyle name="Comma 4 3 2 3 3 2 3" xfId="21140" xr:uid="{D68C1AB5-C069-418B-8F83-066B49818044}"/>
    <cellStyle name="Comma 4 3 2 3 3 2 4" xfId="12700" xr:uid="{0D118895-F502-4813-A2E6-2F956A516281}"/>
    <cellStyle name="Comma 4 3 2 3 3 3" xfId="5446" xr:uid="{00000000-0005-0000-0000-00004B090000}"/>
    <cellStyle name="Comma 4 3 2 3 3 3 2" xfId="23212" xr:uid="{473F0460-E186-4CAA-8C87-2A82F25D1FC6}"/>
    <cellStyle name="Comma 4 3 2 3 3 3 3" xfId="14772" xr:uid="{69490B31-9C18-48E2-BD65-A67FEB3D9437}"/>
    <cellStyle name="Comma 4 3 2 3 3 4" xfId="18995" xr:uid="{BF5CE6FE-3872-4301-BDB4-AFE576621A10}"/>
    <cellStyle name="Comma 4 3 2 3 3 5" xfId="10555" xr:uid="{572552EE-DA0A-47A3-9537-DDF0904D262C}"/>
    <cellStyle name="Comma 4 3 2 3 4" xfId="1552" xr:uid="{00000000-0005-0000-0000-00004C090000}"/>
    <cellStyle name="Comma 4 3 2 3 4 2" xfId="3782" xr:uid="{00000000-0005-0000-0000-00004D090000}"/>
    <cellStyle name="Comma 4 3 2 3 4 2 2" xfId="8004" xr:uid="{00000000-0005-0000-0000-00004E090000}"/>
    <cellStyle name="Comma 4 3 2 3 4 2 2 2" xfId="25770" xr:uid="{AB41AACD-AD5C-4B7A-9886-0BD33F7442FB}"/>
    <cellStyle name="Comma 4 3 2 3 4 2 2 3" xfId="17330" xr:uid="{66177CEA-61B2-442F-B1E2-0C13658ED313}"/>
    <cellStyle name="Comma 4 3 2 3 4 2 3" xfId="21553" xr:uid="{CDE71B2B-9A73-4958-B0C7-69B15FEE7240}"/>
    <cellStyle name="Comma 4 3 2 3 4 2 4" xfId="13113" xr:uid="{D6C01662-A0AA-446C-8B93-BADBBAD63C73}"/>
    <cellStyle name="Comma 4 3 2 3 4 3" xfId="5859" xr:uid="{00000000-0005-0000-0000-00004F090000}"/>
    <cellStyle name="Comma 4 3 2 3 4 3 2" xfId="23625" xr:uid="{2596DDE6-5C10-4F42-A698-7DE843929F8A}"/>
    <cellStyle name="Comma 4 3 2 3 4 3 3" xfId="15185" xr:uid="{C38D149D-135F-4A9B-A402-58C11A1D6414}"/>
    <cellStyle name="Comma 4 3 2 3 4 4" xfId="19408" xr:uid="{54A56939-00ED-4E00-BA38-86546537E812}"/>
    <cellStyle name="Comma 4 3 2 3 4 5" xfId="10968" xr:uid="{44B9B417-0C7E-4580-97B4-7ADFD41A023A}"/>
    <cellStyle name="Comma 4 3 2 3 5" xfId="1966" xr:uid="{00000000-0005-0000-0000-000050090000}"/>
    <cellStyle name="Comma 4 3 2 3 5 2" xfId="4195" xr:uid="{00000000-0005-0000-0000-000051090000}"/>
    <cellStyle name="Comma 4 3 2 3 5 2 2" xfId="8417" xr:uid="{00000000-0005-0000-0000-000052090000}"/>
    <cellStyle name="Comma 4 3 2 3 5 2 2 2" xfId="26183" xr:uid="{BA4C44F0-2634-4C38-9608-846B0B4F1370}"/>
    <cellStyle name="Comma 4 3 2 3 5 2 2 3" xfId="17743" xr:uid="{2250C823-8C1B-4996-AE52-BE6B58042C0B}"/>
    <cellStyle name="Comma 4 3 2 3 5 2 3" xfId="21966" xr:uid="{8C77F723-A094-4472-B0EF-ADC03D5A2045}"/>
    <cellStyle name="Comma 4 3 2 3 5 2 4" xfId="13526" xr:uid="{34E9C701-7C69-4B83-91E4-BBC643748882}"/>
    <cellStyle name="Comma 4 3 2 3 5 3" xfId="6272" xr:uid="{00000000-0005-0000-0000-000053090000}"/>
    <cellStyle name="Comma 4 3 2 3 5 3 2" xfId="24038" xr:uid="{EE001544-1341-4BB8-91E2-1F4BA99BCEAC}"/>
    <cellStyle name="Comma 4 3 2 3 5 3 3" xfId="15598" xr:uid="{6AE0E1C7-D447-4D2A-B07B-15BE004E84E0}"/>
    <cellStyle name="Comma 4 3 2 3 5 4" xfId="19821" xr:uid="{79E92E95-7147-4E71-A337-C37B7F62D90B}"/>
    <cellStyle name="Comma 4 3 2 3 5 5" xfId="11381" xr:uid="{66BD902E-138C-474E-81C5-BE0EA706CA76}"/>
    <cellStyle name="Comma 4 3 2 3 6" xfId="2401" xr:uid="{00000000-0005-0000-0000-000054090000}"/>
    <cellStyle name="Comma 4 3 2 3 6 2" xfId="6685" xr:uid="{00000000-0005-0000-0000-000055090000}"/>
    <cellStyle name="Comma 4 3 2 3 6 2 2" xfId="24451" xr:uid="{DC12CD52-E2F6-451F-96F8-308F3977C9D3}"/>
    <cellStyle name="Comma 4 3 2 3 6 2 3" xfId="16011" xr:uid="{A45E2DCA-1005-4CC9-83B9-02B4EF44C6F1}"/>
    <cellStyle name="Comma 4 3 2 3 6 3" xfId="20234" xr:uid="{F7685686-5C3E-4762-8941-FE0DBEE64AFC}"/>
    <cellStyle name="Comma 4 3 2 3 6 4" xfId="11794" xr:uid="{B7029FFC-5037-4A41-97EA-97CEE239A3FC}"/>
    <cellStyle name="Comma 4 3 2 3 7" xfId="2362" xr:uid="{00000000-0005-0000-0000-000056090000}"/>
    <cellStyle name="Comma 4 3 2 3 8" xfId="2779" xr:uid="{00000000-0005-0000-0000-000057090000}"/>
    <cellStyle name="Comma 4 3 2 3 8 2" xfId="7002" xr:uid="{00000000-0005-0000-0000-000058090000}"/>
    <cellStyle name="Comma 4 3 2 3 8 2 2" xfId="24768" xr:uid="{1D2E4A2A-E7D0-404D-B48D-2D1C2DD471B0}"/>
    <cellStyle name="Comma 4 3 2 3 8 2 3" xfId="16328" xr:uid="{947C2D4C-370B-490D-8710-F3A4079DD214}"/>
    <cellStyle name="Comma 4 3 2 3 8 3" xfId="20551" xr:uid="{1B5EC5A0-D068-4BED-BC09-D0F60AB02D26}"/>
    <cellStyle name="Comma 4 3 2 3 8 4" xfId="12111" xr:uid="{69761D08-C8D3-4315-87D5-66C395EDBE81}"/>
    <cellStyle name="Comma 4 3 2 3 9" xfId="4619" xr:uid="{00000000-0005-0000-0000-000059090000}"/>
    <cellStyle name="Comma 4 3 2 3 9 2" xfId="22385" xr:uid="{571B8A6D-1BA9-4D44-9C75-1B7FA4271A0D}"/>
    <cellStyle name="Comma 4 3 2 3 9 3" xfId="13945" xr:uid="{AF8FC922-119D-4A77-9A86-E74D7B94E243}"/>
    <cellStyle name="Comma 4 3 2 4" xfId="682" xr:uid="{00000000-0005-0000-0000-00005A090000}"/>
    <cellStyle name="Comma 4 3 2 4 2" xfId="2953" xr:uid="{00000000-0005-0000-0000-00005B090000}"/>
    <cellStyle name="Comma 4 3 2 4 2 2" xfId="7175" xr:uid="{00000000-0005-0000-0000-00005C090000}"/>
    <cellStyle name="Comma 4 3 2 4 2 2 2" xfId="24941" xr:uid="{AEE88D81-F4C2-47A5-BC93-37AB02B83316}"/>
    <cellStyle name="Comma 4 3 2 4 2 2 3" xfId="16501" xr:uid="{D0FFC29E-6CA8-40C9-ABF7-96284E7A1D8C}"/>
    <cellStyle name="Comma 4 3 2 4 2 3" xfId="20724" xr:uid="{29DBE753-9B03-401F-A2D8-6AB62A958857}"/>
    <cellStyle name="Comma 4 3 2 4 2 4" xfId="12284" xr:uid="{2BC2A316-56B9-4024-A763-05FE85D55676}"/>
    <cellStyle name="Comma 4 3 2 4 3" xfId="5030" xr:uid="{00000000-0005-0000-0000-00005D090000}"/>
    <cellStyle name="Comma 4 3 2 4 3 2" xfId="22796" xr:uid="{F2EB4414-1372-44D0-AB1A-B969D39F1F14}"/>
    <cellStyle name="Comma 4 3 2 4 3 3" xfId="14356" xr:uid="{3F0BAB80-6139-4F4A-ACF4-2DCC96A740C7}"/>
    <cellStyle name="Comma 4 3 2 4 4" xfId="9232" xr:uid="{8193451B-D8F0-40BD-91ED-34E7041117F6}"/>
    <cellStyle name="Comma 4 3 2 4 4 2" xfId="18579" xr:uid="{ADD60E8C-75BE-4716-A4F2-7AAEDA4E5EB1}"/>
    <cellStyle name="Comma 4 3 2 4 5" xfId="10139" xr:uid="{68C479A4-4B96-41C4-A29B-9E60218B65BC}"/>
    <cellStyle name="Comma 4 3 2 5" xfId="1135" xr:uid="{00000000-0005-0000-0000-00005E090000}"/>
    <cellStyle name="Comma 4 3 2 5 2" xfId="3366" xr:uid="{00000000-0005-0000-0000-00005F090000}"/>
    <cellStyle name="Comma 4 3 2 5 2 2" xfId="7588" xr:uid="{00000000-0005-0000-0000-000060090000}"/>
    <cellStyle name="Comma 4 3 2 5 2 2 2" xfId="25354" xr:uid="{E81B7C8A-5B59-4CD0-BAD7-1EF747EF7C45}"/>
    <cellStyle name="Comma 4 3 2 5 2 2 3" xfId="16914" xr:uid="{553E5E6F-E665-4AA0-ABD8-6FCA39972564}"/>
    <cellStyle name="Comma 4 3 2 5 2 3" xfId="21137" xr:uid="{88FDA8DA-8513-4690-B685-752404193C85}"/>
    <cellStyle name="Comma 4 3 2 5 2 4" xfId="12697" xr:uid="{C69C425B-C745-40FF-BA41-7C68AFD04231}"/>
    <cellStyle name="Comma 4 3 2 5 3" xfId="5443" xr:uid="{00000000-0005-0000-0000-000061090000}"/>
    <cellStyle name="Comma 4 3 2 5 3 2" xfId="23209" xr:uid="{D144C67C-7785-400D-BEC0-51A25413E7B3}"/>
    <cellStyle name="Comma 4 3 2 5 3 3" xfId="14769" xr:uid="{5FC997E5-A00D-42B1-8A22-D1FAC2794D5E}"/>
    <cellStyle name="Comma 4 3 2 5 4" xfId="18992" xr:uid="{4995A8F3-89DA-4946-A9D4-B54FCC4A609D}"/>
    <cellStyle name="Comma 4 3 2 5 5" xfId="10552" xr:uid="{2C5D7470-856C-48F8-87E0-6753BA8B37F0}"/>
    <cellStyle name="Comma 4 3 2 6" xfId="1549" xr:uid="{00000000-0005-0000-0000-000062090000}"/>
    <cellStyle name="Comma 4 3 2 6 2" xfId="3779" xr:uid="{00000000-0005-0000-0000-000063090000}"/>
    <cellStyle name="Comma 4 3 2 6 2 2" xfId="8001" xr:uid="{00000000-0005-0000-0000-000064090000}"/>
    <cellStyle name="Comma 4 3 2 6 2 2 2" xfId="25767" xr:uid="{746D6E5D-FB6F-4D03-897C-69DD454BC8C0}"/>
    <cellStyle name="Comma 4 3 2 6 2 2 3" xfId="17327" xr:uid="{3A1FF974-D092-4842-9A0A-35BFCCF04F8E}"/>
    <cellStyle name="Comma 4 3 2 6 2 3" xfId="21550" xr:uid="{CE751247-ED6C-45DD-ADBF-5CB0101327DF}"/>
    <cellStyle name="Comma 4 3 2 6 2 4" xfId="13110" xr:uid="{15535B79-CDA8-4C62-8275-E1995A94E5BF}"/>
    <cellStyle name="Comma 4 3 2 6 3" xfId="5856" xr:uid="{00000000-0005-0000-0000-000065090000}"/>
    <cellStyle name="Comma 4 3 2 6 3 2" xfId="23622" xr:uid="{5202BC5A-228F-4389-9639-EF3F3FB4831C}"/>
    <cellStyle name="Comma 4 3 2 6 3 3" xfId="15182" xr:uid="{003C575F-D78A-41B6-8A7A-B0E9AF96DF9E}"/>
    <cellStyle name="Comma 4 3 2 6 4" xfId="19405" xr:uid="{79C06EDC-F09B-4E70-BE1B-BA7581A53F22}"/>
    <cellStyle name="Comma 4 3 2 6 5" xfId="10965" xr:uid="{BCD4797D-EE6D-4CAA-90F0-E49BD57DE314}"/>
    <cellStyle name="Comma 4 3 2 7" xfId="1963" xr:uid="{00000000-0005-0000-0000-000066090000}"/>
    <cellStyle name="Comma 4 3 2 7 2" xfId="4192" xr:uid="{00000000-0005-0000-0000-000067090000}"/>
    <cellStyle name="Comma 4 3 2 7 2 2" xfId="8414" xr:uid="{00000000-0005-0000-0000-000068090000}"/>
    <cellStyle name="Comma 4 3 2 7 2 2 2" xfId="26180" xr:uid="{BC89F211-D0E1-46D8-9606-F16C043E3902}"/>
    <cellStyle name="Comma 4 3 2 7 2 2 3" xfId="17740" xr:uid="{94DDB0F3-9A7B-45DF-8ABD-E7CC12E3AE61}"/>
    <cellStyle name="Comma 4 3 2 7 2 3" xfId="21963" xr:uid="{6C2DFA57-A08F-4484-8C35-B86E6F26EADF}"/>
    <cellStyle name="Comma 4 3 2 7 2 4" xfId="13523" xr:uid="{6DB5983D-5D16-4521-88DF-4984B14E3E21}"/>
    <cellStyle name="Comma 4 3 2 7 3" xfId="6269" xr:uid="{00000000-0005-0000-0000-000069090000}"/>
    <cellStyle name="Comma 4 3 2 7 3 2" xfId="24035" xr:uid="{8B073CD4-53E5-4AB1-940A-97540CC0AE1C}"/>
    <cellStyle name="Comma 4 3 2 7 3 3" xfId="15595" xr:uid="{A9B082FF-C75A-4FB0-829D-503DCDE0D828}"/>
    <cellStyle name="Comma 4 3 2 7 4" xfId="19818" xr:uid="{1ABD755D-F7F7-4706-AED6-37D415CCD1EB}"/>
    <cellStyle name="Comma 4 3 2 7 5" xfId="11378" xr:uid="{0534AAC0-DFFA-442C-A525-11035B2EDDC0}"/>
    <cellStyle name="Comma 4 3 2 8" xfId="2398" xr:uid="{00000000-0005-0000-0000-00006A090000}"/>
    <cellStyle name="Comma 4 3 2 8 2" xfId="6682" xr:uid="{00000000-0005-0000-0000-00006B090000}"/>
    <cellStyle name="Comma 4 3 2 8 2 2" xfId="24448" xr:uid="{5694930B-20EC-4EB3-B898-D12CB1064BA7}"/>
    <cellStyle name="Comma 4 3 2 8 2 3" xfId="16008" xr:uid="{A9159C2D-D4D4-4FE3-A9BB-E4F3C4288AEF}"/>
    <cellStyle name="Comma 4 3 2 8 3" xfId="20231" xr:uid="{3A69F7ED-8A05-47FF-A2E6-AEF4B5A49172}"/>
    <cellStyle name="Comma 4 3 2 8 4" xfId="11791" xr:uid="{C085DD2F-C11C-4FC4-8143-15D52ED97725}"/>
    <cellStyle name="Comma 4 3 2 9" xfId="2365" xr:uid="{00000000-0005-0000-0000-00006C090000}"/>
    <cellStyle name="Comma 4 3 3" xfId="149" xr:uid="{00000000-0005-0000-0000-00006D090000}"/>
    <cellStyle name="Comma 4 3 3 10" xfId="4620" xr:uid="{00000000-0005-0000-0000-00006E090000}"/>
    <cellStyle name="Comma 4 3 3 10 2" xfId="22386" xr:uid="{BED77935-2C7C-42DF-8099-B482CE6FACAB}"/>
    <cellStyle name="Comma 4 3 3 10 3" xfId="13946" xr:uid="{A50F5569-95EA-4696-95AB-46D6F40A7BB2}"/>
    <cellStyle name="Comma 4 3 3 11" xfId="8881" xr:uid="{ACA3BC7C-CED7-49C2-9DC3-E2A3989962E9}"/>
    <cellStyle name="Comma 4 3 3 11 2" xfId="18169" xr:uid="{47C56A6A-3C58-4272-AA41-B5FEF596FE65}"/>
    <cellStyle name="Comma 4 3 3 12" xfId="9729" xr:uid="{E7718DF5-ECD0-4C57-B332-844333827ABB}"/>
    <cellStyle name="Comma 4 3 3 2" xfId="150" xr:uid="{00000000-0005-0000-0000-00006F090000}"/>
    <cellStyle name="Comma 4 3 3 2 10" xfId="9088" xr:uid="{D40CFC42-DEA3-4A4C-8532-2B6CFC29229D}"/>
    <cellStyle name="Comma 4 3 3 2 10 2" xfId="18170" xr:uid="{ECB72F6E-1D14-414A-9930-AED8573065F6}"/>
    <cellStyle name="Comma 4 3 3 2 11" xfId="9730" xr:uid="{58751E8C-2CF7-43E2-BA36-42065E589F5F}"/>
    <cellStyle name="Comma 4 3 3 2 2" xfId="687" xr:uid="{00000000-0005-0000-0000-000070090000}"/>
    <cellStyle name="Comma 4 3 3 2 2 2" xfId="2958" xr:uid="{00000000-0005-0000-0000-000071090000}"/>
    <cellStyle name="Comma 4 3 3 2 2 2 2" xfId="7180" xr:uid="{00000000-0005-0000-0000-000072090000}"/>
    <cellStyle name="Comma 4 3 3 2 2 2 2 2" xfId="24946" xr:uid="{AA937D4F-F193-470F-AD9A-7153A538B6D6}"/>
    <cellStyle name="Comma 4 3 3 2 2 2 2 3" xfId="16506" xr:uid="{4B805B21-ECF2-4687-8AE7-59F74C2BB47E}"/>
    <cellStyle name="Comma 4 3 3 2 2 2 3" xfId="20729" xr:uid="{1879EFF0-238E-47CF-B8C4-57976651FF9E}"/>
    <cellStyle name="Comma 4 3 3 2 2 2 4" xfId="12289" xr:uid="{C26704AF-94AF-43C5-80ED-60592DA69973}"/>
    <cellStyle name="Comma 4 3 3 2 2 3" xfId="5035" xr:uid="{00000000-0005-0000-0000-000073090000}"/>
    <cellStyle name="Comma 4 3 3 2 2 3 2" xfId="22801" xr:uid="{58519046-E16B-4A6C-AA2D-087205C6CB14}"/>
    <cellStyle name="Comma 4 3 3 2 2 3 3" xfId="14361" xr:uid="{1DAE3053-A21B-4B88-8032-5CB04FB9915F}"/>
    <cellStyle name="Comma 4 3 3 2 2 4" xfId="9513" xr:uid="{986E0DAD-8ABC-4DAC-9C56-EF87B6B3B829}"/>
    <cellStyle name="Comma 4 3 3 2 2 4 2" xfId="18584" xr:uid="{B2849248-699E-4E8F-8D67-06E30B73602A}"/>
    <cellStyle name="Comma 4 3 3 2 2 5" xfId="10144" xr:uid="{DEAB4062-D330-417A-B6A5-5F75F225D25D}"/>
    <cellStyle name="Comma 4 3 3 2 3" xfId="1140" xr:uid="{00000000-0005-0000-0000-000074090000}"/>
    <cellStyle name="Comma 4 3 3 2 3 2" xfId="3371" xr:uid="{00000000-0005-0000-0000-000075090000}"/>
    <cellStyle name="Comma 4 3 3 2 3 2 2" xfId="7593" xr:uid="{00000000-0005-0000-0000-000076090000}"/>
    <cellStyle name="Comma 4 3 3 2 3 2 2 2" xfId="25359" xr:uid="{F25DDA8F-4D9C-474E-BBC4-21BFA93171C8}"/>
    <cellStyle name="Comma 4 3 3 2 3 2 2 3" xfId="16919" xr:uid="{75A47E18-8F62-4ADD-A551-4B47E082C4D6}"/>
    <cellStyle name="Comma 4 3 3 2 3 2 3" xfId="21142" xr:uid="{40AD5BEC-9B48-4E94-981B-9E5390D9E47A}"/>
    <cellStyle name="Comma 4 3 3 2 3 2 4" xfId="12702" xr:uid="{2852FAC6-F1C1-4FDC-A22B-E4EB514070B0}"/>
    <cellStyle name="Comma 4 3 3 2 3 3" xfId="5448" xr:uid="{00000000-0005-0000-0000-000077090000}"/>
    <cellStyle name="Comma 4 3 3 2 3 3 2" xfId="23214" xr:uid="{D30C8DA3-1632-44D6-B71D-746703C5EC99}"/>
    <cellStyle name="Comma 4 3 3 2 3 3 3" xfId="14774" xr:uid="{142C9240-22C6-4A11-ACEF-44B36191267D}"/>
    <cellStyle name="Comma 4 3 3 2 3 4" xfId="18997" xr:uid="{F56840BE-08C6-4C9C-8F9E-995104966503}"/>
    <cellStyle name="Comma 4 3 3 2 3 5" xfId="10557" xr:uid="{737D56C2-D5C6-44DC-A872-B0CEA332BE55}"/>
    <cellStyle name="Comma 4 3 3 2 4" xfId="1554" xr:uid="{00000000-0005-0000-0000-000078090000}"/>
    <cellStyle name="Comma 4 3 3 2 4 2" xfId="3784" xr:uid="{00000000-0005-0000-0000-000079090000}"/>
    <cellStyle name="Comma 4 3 3 2 4 2 2" xfId="8006" xr:uid="{00000000-0005-0000-0000-00007A090000}"/>
    <cellStyle name="Comma 4 3 3 2 4 2 2 2" xfId="25772" xr:uid="{1FFED443-6BB3-4F31-B623-7DC643AEE226}"/>
    <cellStyle name="Comma 4 3 3 2 4 2 2 3" xfId="17332" xr:uid="{41446D79-A49B-4EBC-B5E6-5D74DF289227}"/>
    <cellStyle name="Comma 4 3 3 2 4 2 3" xfId="21555" xr:uid="{82FB2B40-4E42-4E71-A42F-D81A6F0435FF}"/>
    <cellStyle name="Comma 4 3 3 2 4 2 4" xfId="13115" xr:uid="{D348928A-7FC9-4243-B89A-28B2F8FAC460}"/>
    <cellStyle name="Comma 4 3 3 2 4 3" xfId="5861" xr:uid="{00000000-0005-0000-0000-00007B090000}"/>
    <cellStyle name="Comma 4 3 3 2 4 3 2" xfId="23627" xr:uid="{D54A44F2-F90B-4D5B-AC38-69139F09DDC8}"/>
    <cellStyle name="Comma 4 3 3 2 4 3 3" xfId="15187" xr:uid="{3B195317-A10E-43D3-8AB0-B69023027235}"/>
    <cellStyle name="Comma 4 3 3 2 4 4" xfId="19410" xr:uid="{063A80B1-3463-4A84-896E-600447CAB918}"/>
    <cellStyle name="Comma 4 3 3 2 4 5" xfId="10970" xr:uid="{02CBB69C-782E-4469-85AF-263F5CC4E198}"/>
    <cellStyle name="Comma 4 3 3 2 5" xfId="1968" xr:uid="{00000000-0005-0000-0000-00007C090000}"/>
    <cellStyle name="Comma 4 3 3 2 5 2" xfId="4197" xr:uid="{00000000-0005-0000-0000-00007D090000}"/>
    <cellStyle name="Comma 4 3 3 2 5 2 2" xfId="8419" xr:uid="{00000000-0005-0000-0000-00007E090000}"/>
    <cellStyle name="Comma 4 3 3 2 5 2 2 2" xfId="26185" xr:uid="{CAB9D011-31C3-4EE9-A211-6DE6B32E509A}"/>
    <cellStyle name="Comma 4 3 3 2 5 2 2 3" xfId="17745" xr:uid="{F53947B8-3B71-43A9-8D09-D8219E37F47D}"/>
    <cellStyle name="Comma 4 3 3 2 5 2 3" xfId="21968" xr:uid="{56596462-819D-4D4C-997D-27587C5129A6}"/>
    <cellStyle name="Comma 4 3 3 2 5 2 4" xfId="13528" xr:uid="{45D32901-5DE0-4D20-BD4A-0BC991E07220}"/>
    <cellStyle name="Comma 4 3 3 2 5 3" xfId="6274" xr:uid="{00000000-0005-0000-0000-00007F090000}"/>
    <cellStyle name="Comma 4 3 3 2 5 3 2" xfId="24040" xr:uid="{56218005-7FDF-47E3-B1A4-A36CAFE07C77}"/>
    <cellStyle name="Comma 4 3 3 2 5 3 3" xfId="15600" xr:uid="{C99428CD-9E4B-48EC-8EED-BB0F3BFBFD23}"/>
    <cellStyle name="Comma 4 3 3 2 5 4" xfId="19823" xr:uid="{6FD99C73-C096-4AD0-895F-244121195CF5}"/>
    <cellStyle name="Comma 4 3 3 2 5 5" xfId="11383" xr:uid="{6A996F76-68AA-4D83-9771-74208EA6B734}"/>
    <cellStyle name="Comma 4 3 3 2 6" xfId="2403" xr:uid="{00000000-0005-0000-0000-000080090000}"/>
    <cellStyle name="Comma 4 3 3 2 6 2" xfId="6687" xr:uid="{00000000-0005-0000-0000-000081090000}"/>
    <cellStyle name="Comma 4 3 3 2 6 2 2" xfId="24453" xr:uid="{4B90F8F0-0E64-49DC-8C7E-F02855AAFB00}"/>
    <cellStyle name="Comma 4 3 3 2 6 2 3" xfId="16013" xr:uid="{257B6BCE-5D85-4A24-8D4A-4E9F470BE539}"/>
    <cellStyle name="Comma 4 3 3 2 6 3" xfId="20236" xr:uid="{E635ADF0-C46F-41E7-83B2-3964D36736A1}"/>
    <cellStyle name="Comma 4 3 3 2 6 4" xfId="11796" xr:uid="{21C64ADA-31D3-4A14-97AA-FC031EDE1729}"/>
    <cellStyle name="Comma 4 3 3 2 7" xfId="2360" xr:uid="{00000000-0005-0000-0000-000082090000}"/>
    <cellStyle name="Comma 4 3 3 2 8" xfId="2781" xr:uid="{00000000-0005-0000-0000-000083090000}"/>
    <cellStyle name="Comma 4 3 3 2 8 2" xfId="7004" xr:uid="{00000000-0005-0000-0000-000084090000}"/>
    <cellStyle name="Comma 4 3 3 2 8 2 2" xfId="24770" xr:uid="{A108DAAD-9FEE-4C49-8A0D-75E22EB31DD7}"/>
    <cellStyle name="Comma 4 3 3 2 8 2 3" xfId="16330" xr:uid="{067A304B-1487-4FA3-BB57-44EAFF7FC940}"/>
    <cellStyle name="Comma 4 3 3 2 8 3" xfId="20553" xr:uid="{48B67096-38E6-4036-A2D1-94D96D13C9DB}"/>
    <cellStyle name="Comma 4 3 3 2 8 4" xfId="12113" xr:uid="{2F5F3EE4-3C95-4418-A283-C77C7C44B895}"/>
    <cellStyle name="Comma 4 3 3 2 9" xfId="4621" xr:uid="{00000000-0005-0000-0000-000085090000}"/>
    <cellStyle name="Comma 4 3 3 2 9 2" xfId="22387" xr:uid="{3BD4C616-7F34-4E41-B543-9707AC9CE6C9}"/>
    <cellStyle name="Comma 4 3 3 2 9 3" xfId="13947" xr:uid="{7B332D20-EC9E-454D-918A-5F4F2D4C7C1D}"/>
    <cellStyle name="Comma 4 3 3 3" xfId="686" xr:uid="{00000000-0005-0000-0000-000086090000}"/>
    <cellStyle name="Comma 4 3 3 3 2" xfId="2957" xr:uid="{00000000-0005-0000-0000-000087090000}"/>
    <cellStyle name="Comma 4 3 3 3 2 2" xfId="7179" xr:uid="{00000000-0005-0000-0000-000088090000}"/>
    <cellStyle name="Comma 4 3 3 3 2 2 2" xfId="24945" xr:uid="{D72B81A3-697A-4070-A187-A80612D74828}"/>
    <cellStyle name="Comma 4 3 3 3 2 2 3" xfId="16505" xr:uid="{FD16EE0E-39F0-46E1-94FD-E6CA94AD8EFD}"/>
    <cellStyle name="Comma 4 3 3 3 2 3" xfId="20728" xr:uid="{743C2F05-7D3D-4D97-8759-DCB8DBB89790}"/>
    <cellStyle name="Comma 4 3 3 3 2 4" xfId="12288" xr:uid="{4D57FDDA-4CF0-4088-8BD5-ADB3C84CAE34}"/>
    <cellStyle name="Comma 4 3 3 3 3" xfId="5034" xr:uid="{00000000-0005-0000-0000-000089090000}"/>
    <cellStyle name="Comma 4 3 3 3 3 2" xfId="22800" xr:uid="{BBD80129-C97E-468E-8478-E6FC0FA01872}"/>
    <cellStyle name="Comma 4 3 3 3 3 3" xfId="14360" xr:uid="{D3AF3BBA-88CD-4B17-8EB1-D724A514A634}"/>
    <cellStyle name="Comma 4 3 3 3 4" xfId="9306" xr:uid="{6AC2749B-EC1D-4760-AD4B-F36381A669B6}"/>
    <cellStyle name="Comma 4 3 3 3 4 2" xfId="18583" xr:uid="{DEDC1EF4-AFBB-410B-BACA-C7EC41057CD4}"/>
    <cellStyle name="Comma 4 3 3 3 5" xfId="10143" xr:uid="{9E582977-B5F5-4916-8F76-85B8944D422A}"/>
    <cellStyle name="Comma 4 3 3 4" xfId="1139" xr:uid="{00000000-0005-0000-0000-00008A090000}"/>
    <cellStyle name="Comma 4 3 3 4 2" xfId="3370" xr:uid="{00000000-0005-0000-0000-00008B090000}"/>
    <cellStyle name="Comma 4 3 3 4 2 2" xfId="7592" xr:uid="{00000000-0005-0000-0000-00008C090000}"/>
    <cellStyle name="Comma 4 3 3 4 2 2 2" xfId="25358" xr:uid="{852D49DA-E51C-4018-B8E7-E3B434F067B5}"/>
    <cellStyle name="Comma 4 3 3 4 2 2 3" xfId="16918" xr:uid="{F555C8FE-C7F2-44C6-B304-56A0704DEB8F}"/>
    <cellStyle name="Comma 4 3 3 4 2 3" xfId="21141" xr:uid="{A1929D48-6A9C-408A-8B70-E5D5E4DE858C}"/>
    <cellStyle name="Comma 4 3 3 4 2 4" xfId="12701" xr:uid="{4891D171-6A80-4B6D-A58A-B893E61B2B86}"/>
    <cellStyle name="Comma 4 3 3 4 3" xfId="5447" xr:uid="{00000000-0005-0000-0000-00008D090000}"/>
    <cellStyle name="Comma 4 3 3 4 3 2" xfId="23213" xr:uid="{00488C53-25A4-4224-B824-4D6E634BD3F8}"/>
    <cellStyle name="Comma 4 3 3 4 3 3" xfId="14773" xr:uid="{7BB72498-7BCB-4918-BF19-3326D37F35F2}"/>
    <cellStyle name="Comma 4 3 3 4 4" xfId="18996" xr:uid="{5FFB808F-8DE0-4961-A33C-C56AAECCEB72}"/>
    <cellStyle name="Comma 4 3 3 4 5" xfId="10556" xr:uid="{AE6BF3D6-CAA4-4DBE-B7D4-60C5CC2C7ED2}"/>
    <cellStyle name="Comma 4 3 3 5" xfId="1553" xr:uid="{00000000-0005-0000-0000-00008E090000}"/>
    <cellStyle name="Comma 4 3 3 5 2" xfId="3783" xr:uid="{00000000-0005-0000-0000-00008F090000}"/>
    <cellStyle name="Comma 4 3 3 5 2 2" xfId="8005" xr:uid="{00000000-0005-0000-0000-000090090000}"/>
    <cellStyle name="Comma 4 3 3 5 2 2 2" xfId="25771" xr:uid="{636E922C-0794-4E83-8076-0D1AEFB874DA}"/>
    <cellStyle name="Comma 4 3 3 5 2 2 3" xfId="17331" xr:uid="{DC7C2012-EEEE-4638-886F-EE62DFBE443A}"/>
    <cellStyle name="Comma 4 3 3 5 2 3" xfId="21554" xr:uid="{CE9AB6D2-73FE-4244-8C1E-7B5B6E9DCE37}"/>
    <cellStyle name="Comma 4 3 3 5 2 4" xfId="13114" xr:uid="{8B1CD32F-A743-476C-A176-EF2A54117C64}"/>
    <cellStyle name="Comma 4 3 3 5 3" xfId="5860" xr:uid="{00000000-0005-0000-0000-000091090000}"/>
    <cellStyle name="Comma 4 3 3 5 3 2" xfId="23626" xr:uid="{DC8D7082-C314-4BA3-A9C8-E31CC2DDEBA0}"/>
    <cellStyle name="Comma 4 3 3 5 3 3" xfId="15186" xr:uid="{04F4D7F7-C8BC-48A0-8200-6CBB617BB9BD}"/>
    <cellStyle name="Comma 4 3 3 5 4" xfId="19409" xr:uid="{DE5FEE9E-1B22-4FD9-9AC4-32D41078FF75}"/>
    <cellStyle name="Comma 4 3 3 5 5" xfId="10969" xr:uid="{15FDD7C7-59D0-409D-A6C4-62F7B80D7AF1}"/>
    <cellStyle name="Comma 4 3 3 6" xfId="1967" xr:uid="{00000000-0005-0000-0000-000092090000}"/>
    <cellStyle name="Comma 4 3 3 6 2" xfId="4196" xr:uid="{00000000-0005-0000-0000-000093090000}"/>
    <cellStyle name="Comma 4 3 3 6 2 2" xfId="8418" xr:uid="{00000000-0005-0000-0000-000094090000}"/>
    <cellStyle name="Comma 4 3 3 6 2 2 2" xfId="26184" xr:uid="{A3577469-4F5E-402D-9C70-F20E43FD5A62}"/>
    <cellStyle name="Comma 4 3 3 6 2 2 3" xfId="17744" xr:uid="{EBCEF326-DC63-41A3-9DD1-63F8E4371C44}"/>
    <cellStyle name="Comma 4 3 3 6 2 3" xfId="21967" xr:uid="{C24D62E9-A62C-41CE-85B3-36FB4351AD89}"/>
    <cellStyle name="Comma 4 3 3 6 2 4" xfId="13527" xr:uid="{0B6A0032-4632-4522-A7A4-01A7320BA33C}"/>
    <cellStyle name="Comma 4 3 3 6 3" xfId="6273" xr:uid="{00000000-0005-0000-0000-000095090000}"/>
    <cellStyle name="Comma 4 3 3 6 3 2" xfId="24039" xr:uid="{DE58509B-EE3E-4DA0-BF17-36031E0C95AE}"/>
    <cellStyle name="Comma 4 3 3 6 3 3" xfId="15599" xr:uid="{5D1CEB68-5CD3-413B-98AC-30BFD6ADFA44}"/>
    <cellStyle name="Comma 4 3 3 6 4" xfId="19822" xr:uid="{158BBBDE-A13C-4DBA-B433-E856BFBCFB9D}"/>
    <cellStyle name="Comma 4 3 3 6 5" xfId="11382" xr:uid="{7F33E05B-E787-4303-97BD-71AB9686A84B}"/>
    <cellStyle name="Comma 4 3 3 7" xfId="2402" xr:uid="{00000000-0005-0000-0000-000096090000}"/>
    <cellStyle name="Comma 4 3 3 7 2" xfId="6686" xr:uid="{00000000-0005-0000-0000-000097090000}"/>
    <cellStyle name="Comma 4 3 3 7 2 2" xfId="24452" xr:uid="{FFE3FF18-9485-4CEF-8164-22F89D56E6C9}"/>
    <cellStyle name="Comma 4 3 3 7 2 3" xfId="16012" xr:uid="{12994DAB-D128-4AC9-BCC1-21BEFBCAEA1E}"/>
    <cellStyle name="Comma 4 3 3 7 3" xfId="20235" xr:uid="{84C6927F-F83B-47AB-A961-A575830A17B5}"/>
    <cellStyle name="Comma 4 3 3 7 4" xfId="11795" xr:uid="{EC9CADAA-9472-445E-A9E7-C9F106057055}"/>
    <cellStyle name="Comma 4 3 3 8" xfId="2361" xr:uid="{00000000-0005-0000-0000-000098090000}"/>
    <cellStyle name="Comma 4 3 3 9" xfId="2780" xr:uid="{00000000-0005-0000-0000-000099090000}"/>
    <cellStyle name="Comma 4 3 3 9 2" xfId="7003" xr:uid="{00000000-0005-0000-0000-00009A090000}"/>
    <cellStyle name="Comma 4 3 3 9 2 2" xfId="24769" xr:uid="{A6EA1AD1-370E-4550-B1F6-FF9CD21FDB44}"/>
    <cellStyle name="Comma 4 3 3 9 2 3" xfId="16329" xr:uid="{C34C3108-D434-4F92-BA1E-86602EA12B1A}"/>
    <cellStyle name="Comma 4 3 3 9 3" xfId="20552" xr:uid="{91AFDE5D-277D-4A11-83B7-24E359BBF947}"/>
    <cellStyle name="Comma 4 3 3 9 4" xfId="12112" xr:uid="{C8D5F679-F144-4AA9-AC88-5B4C9430ED92}"/>
    <cellStyle name="Comma 4 3 4" xfId="151" xr:uid="{00000000-0005-0000-0000-00009B090000}"/>
    <cellStyle name="Comma 4 3 4 10" xfId="8985" xr:uid="{E965CEC1-A932-4F91-9E18-794CBF7DC7FC}"/>
    <cellStyle name="Comma 4 3 4 10 2" xfId="18171" xr:uid="{3A8FC837-2DE9-4DC4-AEE4-A76AD40C3A76}"/>
    <cellStyle name="Comma 4 3 4 11" xfId="9731" xr:uid="{63352B88-123B-47F6-ACA0-97E8E8DB02E2}"/>
    <cellStyle name="Comma 4 3 4 2" xfId="688" xr:uid="{00000000-0005-0000-0000-00009C090000}"/>
    <cellStyle name="Comma 4 3 4 2 2" xfId="2959" xr:uid="{00000000-0005-0000-0000-00009D090000}"/>
    <cellStyle name="Comma 4 3 4 2 2 2" xfId="7181" xr:uid="{00000000-0005-0000-0000-00009E090000}"/>
    <cellStyle name="Comma 4 3 4 2 2 2 2" xfId="24947" xr:uid="{91B605FB-C84B-44DE-906F-E662794D9021}"/>
    <cellStyle name="Comma 4 3 4 2 2 2 3" xfId="16507" xr:uid="{556BA32A-A21A-408E-BFD9-A0E7DBCF9822}"/>
    <cellStyle name="Comma 4 3 4 2 2 3" xfId="20730" xr:uid="{3EA53495-F165-42EB-A19C-006CF5E483D3}"/>
    <cellStyle name="Comma 4 3 4 2 2 4" xfId="12290" xr:uid="{64C901A9-8E39-4332-B49D-AC834076AD43}"/>
    <cellStyle name="Comma 4 3 4 2 3" xfId="5036" xr:uid="{00000000-0005-0000-0000-00009F090000}"/>
    <cellStyle name="Comma 4 3 4 2 3 2" xfId="22802" xr:uid="{A08671AB-54CC-4D3B-AC3B-02E9DEA4F62C}"/>
    <cellStyle name="Comma 4 3 4 2 3 3" xfId="14362" xr:uid="{F63C066B-A0F1-47D8-875A-AE7E077B2DA6}"/>
    <cellStyle name="Comma 4 3 4 2 4" xfId="9410" xr:uid="{54DEC146-6204-4AAF-A15F-BAC0A12B5984}"/>
    <cellStyle name="Comma 4 3 4 2 4 2" xfId="18585" xr:uid="{38AAA245-04F8-42A8-B016-60F2449B106A}"/>
    <cellStyle name="Comma 4 3 4 2 5" xfId="10145" xr:uid="{CB61710B-BC85-4A39-A9C3-EB49EDFED3E8}"/>
    <cellStyle name="Comma 4 3 4 3" xfId="1141" xr:uid="{00000000-0005-0000-0000-0000A0090000}"/>
    <cellStyle name="Comma 4 3 4 3 2" xfId="3372" xr:uid="{00000000-0005-0000-0000-0000A1090000}"/>
    <cellStyle name="Comma 4 3 4 3 2 2" xfId="7594" xr:uid="{00000000-0005-0000-0000-0000A2090000}"/>
    <cellStyle name="Comma 4 3 4 3 2 2 2" xfId="25360" xr:uid="{2715703A-C2E1-4297-A785-047AD4315601}"/>
    <cellStyle name="Comma 4 3 4 3 2 2 3" xfId="16920" xr:uid="{0D2F1DDF-52C2-4AF7-90AE-1C1BBCC39ED1}"/>
    <cellStyle name="Comma 4 3 4 3 2 3" xfId="21143" xr:uid="{743D1369-17D1-4B66-A013-6110C2822502}"/>
    <cellStyle name="Comma 4 3 4 3 2 4" xfId="12703" xr:uid="{B1598A15-06FC-4D79-84E7-FA5AFC760F8C}"/>
    <cellStyle name="Comma 4 3 4 3 3" xfId="5449" xr:uid="{00000000-0005-0000-0000-0000A3090000}"/>
    <cellStyle name="Comma 4 3 4 3 3 2" xfId="23215" xr:uid="{BB2BF0CB-26C8-4A87-8556-EFC0B4E42BDE}"/>
    <cellStyle name="Comma 4 3 4 3 3 3" xfId="14775" xr:uid="{DB968E5C-1090-4100-9CE5-246175716535}"/>
    <cellStyle name="Comma 4 3 4 3 4" xfId="18998" xr:uid="{8FE0BB4B-F209-4903-A3AD-EF978C9F30F4}"/>
    <cellStyle name="Comma 4 3 4 3 5" xfId="10558" xr:uid="{75306841-7CBD-4299-AFE4-A922BE8B7A71}"/>
    <cellStyle name="Comma 4 3 4 4" xfId="1555" xr:uid="{00000000-0005-0000-0000-0000A4090000}"/>
    <cellStyle name="Comma 4 3 4 4 2" xfId="3785" xr:uid="{00000000-0005-0000-0000-0000A5090000}"/>
    <cellStyle name="Comma 4 3 4 4 2 2" xfId="8007" xr:uid="{00000000-0005-0000-0000-0000A6090000}"/>
    <cellStyle name="Comma 4 3 4 4 2 2 2" xfId="25773" xr:uid="{02F2F9DD-3BBD-4F9B-9FE2-6A8125D6CAEF}"/>
    <cellStyle name="Comma 4 3 4 4 2 2 3" xfId="17333" xr:uid="{B00E7ADE-535B-4217-9A4B-8B13D59F4138}"/>
    <cellStyle name="Comma 4 3 4 4 2 3" xfId="21556" xr:uid="{2460401B-0587-48C2-83AF-3C1EFFF8EAC2}"/>
    <cellStyle name="Comma 4 3 4 4 2 4" xfId="13116" xr:uid="{6FA6C8C8-F506-4346-AE9F-036DB3BB2CE3}"/>
    <cellStyle name="Comma 4 3 4 4 3" xfId="5862" xr:uid="{00000000-0005-0000-0000-0000A7090000}"/>
    <cellStyle name="Comma 4 3 4 4 3 2" xfId="23628" xr:uid="{0D641E58-41B4-4044-B2AB-EDCD010D8EC3}"/>
    <cellStyle name="Comma 4 3 4 4 3 3" xfId="15188" xr:uid="{3C2C17E1-5C09-461B-AB0D-85549B687E8D}"/>
    <cellStyle name="Comma 4 3 4 4 4" xfId="19411" xr:uid="{1A8190A1-F2B4-4BF5-97B5-9BD1AB1358DA}"/>
    <cellStyle name="Comma 4 3 4 4 5" xfId="10971" xr:uid="{D19F99EC-4A5D-48BA-AFE6-F3CAFC7CC8F7}"/>
    <cellStyle name="Comma 4 3 4 5" xfId="1969" xr:uid="{00000000-0005-0000-0000-0000A8090000}"/>
    <cellStyle name="Comma 4 3 4 5 2" xfId="4198" xr:uid="{00000000-0005-0000-0000-0000A9090000}"/>
    <cellStyle name="Comma 4 3 4 5 2 2" xfId="8420" xr:uid="{00000000-0005-0000-0000-0000AA090000}"/>
    <cellStyle name="Comma 4 3 4 5 2 2 2" xfId="26186" xr:uid="{73208590-562B-4ED1-A8DD-2D68EA45CEFA}"/>
    <cellStyle name="Comma 4 3 4 5 2 2 3" xfId="17746" xr:uid="{421B8C2E-E384-469E-AC7A-4DB1B4938097}"/>
    <cellStyle name="Comma 4 3 4 5 2 3" xfId="21969" xr:uid="{BF21679E-149F-459A-B4B0-1CFFF4A9CF6E}"/>
    <cellStyle name="Comma 4 3 4 5 2 4" xfId="13529" xr:uid="{BB4B18CA-7C76-4835-9037-D01F54BEAE5A}"/>
    <cellStyle name="Comma 4 3 4 5 3" xfId="6275" xr:uid="{00000000-0005-0000-0000-0000AB090000}"/>
    <cellStyle name="Comma 4 3 4 5 3 2" xfId="24041" xr:uid="{F9A5A821-7656-4B75-961B-F6489A6F60B2}"/>
    <cellStyle name="Comma 4 3 4 5 3 3" xfId="15601" xr:uid="{D03CA64A-1A42-4F70-940A-AAA456B56BDB}"/>
    <cellStyle name="Comma 4 3 4 5 4" xfId="19824" xr:uid="{67ABB2F2-88A7-49CE-91E5-2BEF5BBB90C5}"/>
    <cellStyle name="Comma 4 3 4 5 5" xfId="11384" xr:uid="{665382C8-B983-4977-96AA-F0DED4FD674A}"/>
    <cellStyle name="Comma 4 3 4 6" xfId="2404" xr:uid="{00000000-0005-0000-0000-0000AC090000}"/>
    <cellStyle name="Comma 4 3 4 6 2" xfId="6688" xr:uid="{00000000-0005-0000-0000-0000AD090000}"/>
    <cellStyle name="Comma 4 3 4 6 2 2" xfId="24454" xr:uid="{6CCE8324-CDF2-45D9-A69D-D955E0770865}"/>
    <cellStyle name="Comma 4 3 4 6 2 3" xfId="16014" xr:uid="{F687D6FB-0793-4C99-9187-C6B2DBB271C1}"/>
    <cellStyle name="Comma 4 3 4 6 3" xfId="20237" xr:uid="{4A056A73-C8F3-41A3-882E-D466E95A77D2}"/>
    <cellStyle name="Comma 4 3 4 6 4" xfId="11797" xr:uid="{2AEEC0EE-4A5C-4920-9D95-9DA546E6A699}"/>
    <cellStyle name="Comma 4 3 4 7" xfId="2700" xr:uid="{00000000-0005-0000-0000-0000AE090000}"/>
    <cellStyle name="Comma 4 3 4 8" xfId="2782" xr:uid="{00000000-0005-0000-0000-0000AF090000}"/>
    <cellStyle name="Comma 4 3 4 8 2" xfId="7005" xr:uid="{00000000-0005-0000-0000-0000B0090000}"/>
    <cellStyle name="Comma 4 3 4 8 2 2" xfId="24771" xr:uid="{891AE3DD-E814-4BBF-A1EF-64D13A4142B1}"/>
    <cellStyle name="Comma 4 3 4 8 2 3" xfId="16331" xr:uid="{F9B92C0B-E669-49B3-91C3-F7BFC9A84B21}"/>
    <cellStyle name="Comma 4 3 4 8 3" xfId="20554" xr:uid="{A335C1EE-AFDF-4852-9071-8BD7ABF54871}"/>
    <cellStyle name="Comma 4 3 4 8 4" xfId="12114" xr:uid="{33706A11-D7AC-4C19-A9B1-331D9D4D325B}"/>
    <cellStyle name="Comma 4 3 4 9" xfId="4622" xr:uid="{00000000-0005-0000-0000-0000B1090000}"/>
    <cellStyle name="Comma 4 3 4 9 2" xfId="22388" xr:uid="{054E0FF6-E4CB-4628-B93E-8AE309A3A5A9}"/>
    <cellStyle name="Comma 4 3 4 9 3" xfId="13948" xr:uid="{FBDA1334-19F5-4298-8FC7-854E689698B5}"/>
    <cellStyle name="Comma 4 3 5" xfId="152" xr:uid="{00000000-0005-0000-0000-0000B2090000}"/>
    <cellStyle name="Comma 4 3 5 10" xfId="9202" xr:uid="{BF5456DA-E11C-47BD-8210-21F45D9E5F79}"/>
    <cellStyle name="Comma 4 3 5 10 2" xfId="18172" xr:uid="{B9890046-D6CC-4F7B-AAD1-17E240C7BD35}"/>
    <cellStyle name="Comma 4 3 5 11" xfId="9732" xr:uid="{C4649A58-2005-4C2E-9524-020CBE5BFD56}"/>
    <cellStyle name="Comma 4 3 5 2" xfId="689" xr:uid="{00000000-0005-0000-0000-0000B3090000}"/>
    <cellStyle name="Comma 4 3 5 2 2" xfId="2960" xr:uid="{00000000-0005-0000-0000-0000B4090000}"/>
    <cellStyle name="Comma 4 3 5 2 2 2" xfId="7182" xr:uid="{00000000-0005-0000-0000-0000B5090000}"/>
    <cellStyle name="Comma 4 3 5 2 2 2 2" xfId="24948" xr:uid="{2F478879-12B1-4EC1-A303-418E6271D875}"/>
    <cellStyle name="Comma 4 3 5 2 2 2 3" xfId="16508" xr:uid="{96A09A27-1512-4120-9F57-CD47AAEA2C18}"/>
    <cellStyle name="Comma 4 3 5 2 2 3" xfId="20731" xr:uid="{15A9E30F-5C4C-49F5-9518-AC112515AFD2}"/>
    <cellStyle name="Comma 4 3 5 2 2 4" xfId="12291" xr:uid="{9BB4F58D-4D9D-41EB-BD35-7E5746757291}"/>
    <cellStyle name="Comma 4 3 5 2 3" xfId="5037" xr:uid="{00000000-0005-0000-0000-0000B6090000}"/>
    <cellStyle name="Comma 4 3 5 2 3 2" xfId="22803" xr:uid="{134A0294-3BF3-40A1-91B7-2875EEFD52F1}"/>
    <cellStyle name="Comma 4 3 5 2 3 3" xfId="14363" xr:uid="{1E80A0E1-D90D-4C8B-98D2-FFD7565F1A53}"/>
    <cellStyle name="Comma 4 3 5 2 4" xfId="9595" xr:uid="{3E6BF710-D2EA-4AFB-83F1-C6BF1C2192FF}"/>
    <cellStyle name="Comma 4 3 5 2 4 2" xfId="18586" xr:uid="{DB3BED0D-AB13-4658-8B74-987E1CC0ADBC}"/>
    <cellStyle name="Comma 4 3 5 2 5" xfId="10146" xr:uid="{9549760C-32BE-48B5-ABEC-C911E1B004E2}"/>
    <cellStyle name="Comma 4 3 5 3" xfId="1142" xr:uid="{00000000-0005-0000-0000-0000B7090000}"/>
    <cellStyle name="Comma 4 3 5 3 2" xfId="3373" xr:uid="{00000000-0005-0000-0000-0000B8090000}"/>
    <cellStyle name="Comma 4 3 5 3 2 2" xfId="7595" xr:uid="{00000000-0005-0000-0000-0000B9090000}"/>
    <cellStyle name="Comma 4 3 5 3 2 2 2" xfId="25361" xr:uid="{F028D89E-41D1-4231-A219-45F3FA16904D}"/>
    <cellStyle name="Comma 4 3 5 3 2 2 3" xfId="16921" xr:uid="{29289906-78B2-4E59-8BA5-84F234F6F3F6}"/>
    <cellStyle name="Comma 4 3 5 3 2 3" xfId="21144" xr:uid="{18A3E3BA-9B17-4054-9C38-D9A7441CA51C}"/>
    <cellStyle name="Comma 4 3 5 3 2 4" xfId="12704" xr:uid="{1EE91CD6-6CAA-4C51-BE16-95BA394E0F03}"/>
    <cellStyle name="Comma 4 3 5 3 3" xfId="5450" xr:uid="{00000000-0005-0000-0000-0000BA090000}"/>
    <cellStyle name="Comma 4 3 5 3 3 2" xfId="23216" xr:uid="{3D8CD073-7B47-4E89-A7AA-132C221BEE03}"/>
    <cellStyle name="Comma 4 3 5 3 3 3" xfId="14776" xr:uid="{139862CD-ACE6-4F71-8BDF-C6357F2DABB4}"/>
    <cellStyle name="Comma 4 3 5 3 4" xfId="18999" xr:uid="{13DC01DF-88B4-43E7-849B-3C4A9697FCA7}"/>
    <cellStyle name="Comma 4 3 5 3 5" xfId="10559" xr:uid="{D8E4FCB0-F7A3-4A4D-83DD-0F4E7B095634}"/>
    <cellStyle name="Comma 4 3 5 4" xfId="1556" xr:uid="{00000000-0005-0000-0000-0000BB090000}"/>
    <cellStyle name="Comma 4 3 5 4 2" xfId="3786" xr:uid="{00000000-0005-0000-0000-0000BC090000}"/>
    <cellStyle name="Comma 4 3 5 4 2 2" xfId="8008" xr:uid="{00000000-0005-0000-0000-0000BD090000}"/>
    <cellStyle name="Comma 4 3 5 4 2 2 2" xfId="25774" xr:uid="{14A7A90A-3F50-4E03-84D2-5861903C2851}"/>
    <cellStyle name="Comma 4 3 5 4 2 2 3" xfId="17334" xr:uid="{C3E2D3C6-C249-4EB0-8CA7-66D828F137FF}"/>
    <cellStyle name="Comma 4 3 5 4 2 3" xfId="21557" xr:uid="{E0EF42BE-EF23-4F61-8CDE-A62F740AE900}"/>
    <cellStyle name="Comma 4 3 5 4 2 4" xfId="13117" xr:uid="{2997A6B4-EE64-49C0-921E-70D4A20D0039}"/>
    <cellStyle name="Comma 4 3 5 4 3" xfId="5863" xr:uid="{00000000-0005-0000-0000-0000BE090000}"/>
    <cellStyle name="Comma 4 3 5 4 3 2" xfId="23629" xr:uid="{668C6923-4173-4F10-AEA5-E3B29E37D4DE}"/>
    <cellStyle name="Comma 4 3 5 4 3 3" xfId="15189" xr:uid="{D2279CA4-222E-48F3-9AF1-D474B40C8EE9}"/>
    <cellStyle name="Comma 4 3 5 4 4" xfId="19412" xr:uid="{901C0451-331A-4345-AE19-E15E95311274}"/>
    <cellStyle name="Comma 4 3 5 4 5" xfId="10972" xr:uid="{EC7112FA-9642-49D9-A522-4A6B63C80B27}"/>
    <cellStyle name="Comma 4 3 5 5" xfId="1970" xr:uid="{00000000-0005-0000-0000-0000BF090000}"/>
    <cellStyle name="Comma 4 3 5 5 2" xfId="4199" xr:uid="{00000000-0005-0000-0000-0000C0090000}"/>
    <cellStyle name="Comma 4 3 5 5 2 2" xfId="8421" xr:uid="{00000000-0005-0000-0000-0000C1090000}"/>
    <cellStyle name="Comma 4 3 5 5 2 2 2" xfId="26187" xr:uid="{D23F54FA-7B11-4D10-ADB2-1CBB25B1D958}"/>
    <cellStyle name="Comma 4 3 5 5 2 2 3" xfId="17747" xr:uid="{C4F960D1-7911-4815-B7E6-82C8520BCDB7}"/>
    <cellStyle name="Comma 4 3 5 5 2 3" xfId="21970" xr:uid="{54ED0CF1-18B8-4E38-B277-A635CBD890C3}"/>
    <cellStyle name="Comma 4 3 5 5 2 4" xfId="13530" xr:uid="{90982BC9-6A2D-4179-AAFA-111F111E6943}"/>
    <cellStyle name="Comma 4 3 5 5 3" xfId="6276" xr:uid="{00000000-0005-0000-0000-0000C2090000}"/>
    <cellStyle name="Comma 4 3 5 5 3 2" xfId="24042" xr:uid="{E98CBE46-C767-496D-8CE8-0626C4651EAD}"/>
    <cellStyle name="Comma 4 3 5 5 3 3" xfId="15602" xr:uid="{1CA66BE0-5257-4B7D-A40D-AB6E4D7927F5}"/>
    <cellStyle name="Comma 4 3 5 5 4" xfId="19825" xr:uid="{EA249ABC-4D44-4F88-A3E2-AF320C33A12E}"/>
    <cellStyle name="Comma 4 3 5 5 5" xfId="11385" xr:uid="{E4B0E3A7-3E1B-406E-8F55-F5B945FFC41D}"/>
    <cellStyle name="Comma 4 3 5 6" xfId="2405" xr:uid="{00000000-0005-0000-0000-0000C3090000}"/>
    <cellStyle name="Comma 4 3 5 6 2" xfId="6689" xr:uid="{00000000-0005-0000-0000-0000C4090000}"/>
    <cellStyle name="Comma 4 3 5 6 2 2" xfId="24455" xr:uid="{B2769814-5956-4FE5-938F-FADAAC824C34}"/>
    <cellStyle name="Comma 4 3 5 6 2 3" xfId="16015" xr:uid="{E643C0AD-3857-4C91-BCDA-71602542847D}"/>
    <cellStyle name="Comma 4 3 5 6 3" xfId="20238" xr:uid="{62BF2736-77EE-477D-B2F7-91CA957C3621}"/>
    <cellStyle name="Comma 4 3 5 6 4" xfId="11798" xr:uid="{438A057A-DEA3-4502-BA2C-0442F8DF4A62}"/>
    <cellStyle name="Comma 4 3 5 7" xfId="2701" xr:uid="{00000000-0005-0000-0000-0000C5090000}"/>
    <cellStyle name="Comma 4 3 5 8" xfId="2783" xr:uid="{00000000-0005-0000-0000-0000C6090000}"/>
    <cellStyle name="Comma 4 3 5 8 2" xfId="7006" xr:uid="{00000000-0005-0000-0000-0000C7090000}"/>
    <cellStyle name="Comma 4 3 5 8 2 2" xfId="24772" xr:uid="{DAD71E5F-642C-4D2F-95AD-91A240C73076}"/>
    <cellStyle name="Comma 4 3 5 8 2 3" xfId="16332" xr:uid="{42AFA97F-00D8-49E4-B2D6-199B267292AD}"/>
    <cellStyle name="Comma 4 3 5 8 3" xfId="20555" xr:uid="{FBBF224A-1F63-42CA-A7B6-4E4E23D7A561}"/>
    <cellStyle name="Comma 4 3 5 8 4" xfId="12115" xr:uid="{54DDAE96-094A-4E62-AC98-181E187A2E09}"/>
    <cellStyle name="Comma 4 3 5 9" xfId="4623" xr:uid="{00000000-0005-0000-0000-0000C8090000}"/>
    <cellStyle name="Comma 4 3 5 9 2" xfId="22389" xr:uid="{524055B1-FBA6-4E59-9B39-836AE8E52415}"/>
    <cellStyle name="Comma 4 3 5 9 3" xfId="13949" xr:uid="{4CCB36C1-EA92-4D66-A1C5-EC098E3A610E}"/>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24773" xr:uid="{1FB751A6-D276-476A-AEBF-7E54220036F2}"/>
    <cellStyle name="Comma 4 4 10 2 3" xfId="16333" xr:uid="{08B7C467-F734-46B3-9553-42EE5AED3DF5}"/>
    <cellStyle name="Comma 4 4 10 3" xfId="20556" xr:uid="{BAE86ED9-B996-4F00-AFE4-2E52261A4CDF}"/>
    <cellStyle name="Comma 4 4 10 4" xfId="12116" xr:uid="{43CC5BF4-2C4E-4DD2-8F7C-3415D6A9A2F7}"/>
    <cellStyle name="Comma 4 4 11" xfId="4624" xr:uid="{00000000-0005-0000-0000-0000CC090000}"/>
    <cellStyle name="Comma 4 4 11 2" xfId="22390" xr:uid="{62C5A162-1078-4A69-A469-8E1CE236770A}"/>
    <cellStyle name="Comma 4 4 11 3" xfId="13950" xr:uid="{40B36694-3349-47E5-AE97-1C7503424516}"/>
    <cellStyle name="Comma 4 4 12" xfId="8804" xr:uid="{A2BB6322-7771-45CD-845C-77E2FE03AC7A}"/>
    <cellStyle name="Comma 4 4 12 2" xfId="18173" xr:uid="{5A9422E1-86C6-4042-9044-49DBBF241B31}"/>
    <cellStyle name="Comma 4 4 13" xfId="9733" xr:uid="{3A6B5951-7BD6-46A3-98BA-96A9130717CF}"/>
    <cellStyle name="Comma 4 4 2" xfId="154" xr:uid="{00000000-0005-0000-0000-0000CD090000}"/>
    <cellStyle name="Comma 4 4 2 10" xfId="4625" xr:uid="{00000000-0005-0000-0000-0000CE090000}"/>
    <cellStyle name="Comma 4 4 2 10 2" xfId="22391" xr:uid="{DF911626-F971-4275-BCFA-7851D490BFA3}"/>
    <cellStyle name="Comma 4 4 2 10 3" xfId="13951" xr:uid="{5B5D2FC4-E3E2-4E05-BF53-8908E84B6A4D}"/>
    <cellStyle name="Comma 4 4 2 11" xfId="8907" xr:uid="{F9F87618-3BA1-4211-A686-62CF5BBA5770}"/>
    <cellStyle name="Comma 4 4 2 11 2" xfId="18174" xr:uid="{F38615AC-A1DE-4E63-8D9A-2B5E78D9506D}"/>
    <cellStyle name="Comma 4 4 2 12" xfId="9734" xr:uid="{64031BB6-1A19-4B4A-969B-759118521689}"/>
    <cellStyle name="Comma 4 4 2 2" xfId="155" xr:uid="{00000000-0005-0000-0000-0000CF090000}"/>
    <cellStyle name="Comma 4 4 2 2 10" xfId="9114" xr:uid="{871FAC03-A44E-4C24-806C-3CC0605FD124}"/>
    <cellStyle name="Comma 4 4 2 2 10 2" xfId="18175" xr:uid="{64A72D02-EBBB-4F64-9F3D-622B5C3AD94C}"/>
    <cellStyle name="Comma 4 4 2 2 11" xfId="9735" xr:uid="{7E2E6487-A466-428C-934B-6F6D6028C460}"/>
    <cellStyle name="Comma 4 4 2 2 2" xfId="692" xr:uid="{00000000-0005-0000-0000-0000D0090000}"/>
    <cellStyle name="Comma 4 4 2 2 2 2" xfId="2963" xr:uid="{00000000-0005-0000-0000-0000D1090000}"/>
    <cellStyle name="Comma 4 4 2 2 2 2 2" xfId="7185" xr:uid="{00000000-0005-0000-0000-0000D2090000}"/>
    <cellStyle name="Comma 4 4 2 2 2 2 2 2" xfId="24951" xr:uid="{75292BAB-2085-4E4A-935E-AADC6E071424}"/>
    <cellStyle name="Comma 4 4 2 2 2 2 2 3" xfId="16511" xr:uid="{73E60BCA-681A-4521-8047-E0493AC1E57F}"/>
    <cellStyle name="Comma 4 4 2 2 2 2 3" xfId="20734" xr:uid="{5740C441-CD4F-426D-9C79-C12131965A9E}"/>
    <cellStyle name="Comma 4 4 2 2 2 2 4" xfId="12294" xr:uid="{946760F5-46DA-479E-8506-411EACBF416C}"/>
    <cellStyle name="Comma 4 4 2 2 2 3" xfId="5040" xr:uid="{00000000-0005-0000-0000-0000D3090000}"/>
    <cellStyle name="Comma 4 4 2 2 2 3 2" xfId="22806" xr:uid="{BB5E295B-B0AA-43FC-8EB3-0E7442C97819}"/>
    <cellStyle name="Comma 4 4 2 2 2 3 3" xfId="14366" xr:uid="{9C4BCDAD-E00F-477B-8D5C-BAB7BC9F8DD2}"/>
    <cellStyle name="Comma 4 4 2 2 2 4" xfId="9539" xr:uid="{6209A471-8158-46C6-9ADA-C828BB6621B2}"/>
    <cellStyle name="Comma 4 4 2 2 2 4 2" xfId="18589" xr:uid="{7C7403F9-C219-41DF-81DB-4D4B0E25633A}"/>
    <cellStyle name="Comma 4 4 2 2 2 5" xfId="10149" xr:uid="{9D873ADB-742A-48D3-BF24-CBB7482DCE61}"/>
    <cellStyle name="Comma 4 4 2 2 3" xfId="1145" xr:uid="{00000000-0005-0000-0000-0000D4090000}"/>
    <cellStyle name="Comma 4 4 2 2 3 2" xfId="3376" xr:uid="{00000000-0005-0000-0000-0000D5090000}"/>
    <cellStyle name="Comma 4 4 2 2 3 2 2" xfId="7598" xr:uid="{00000000-0005-0000-0000-0000D6090000}"/>
    <cellStyle name="Comma 4 4 2 2 3 2 2 2" xfId="25364" xr:uid="{D389E14E-E07D-4510-B49A-D067AE254342}"/>
    <cellStyle name="Comma 4 4 2 2 3 2 2 3" xfId="16924" xr:uid="{9F1005F1-8D5D-46DD-985E-F4EC06014104}"/>
    <cellStyle name="Comma 4 4 2 2 3 2 3" xfId="21147" xr:uid="{51B70198-0361-4594-A5C6-4398CE869367}"/>
    <cellStyle name="Comma 4 4 2 2 3 2 4" xfId="12707" xr:uid="{1AE56776-EDF1-4760-BA5A-92E4AF37A0DD}"/>
    <cellStyle name="Comma 4 4 2 2 3 3" xfId="5453" xr:uid="{00000000-0005-0000-0000-0000D7090000}"/>
    <cellStyle name="Comma 4 4 2 2 3 3 2" xfId="23219" xr:uid="{388AD167-4833-445E-AC03-B482ECD13170}"/>
    <cellStyle name="Comma 4 4 2 2 3 3 3" xfId="14779" xr:uid="{027CFCA1-4FF0-47A6-BCAD-D8096BA512A4}"/>
    <cellStyle name="Comma 4 4 2 2 3 4" xfId="19002" xr:uid="{AFF78FB2-8784-4717-8F02-5BEC33210567}"/>
    <cellStyle name="Comma 4 4 2 2 3 5" xfId="10562" xr:uid="{9A1E3921-72A8-4273-9B2A-D8D9EF38F3A1}"/>
    <cellStyle name="Comma 4 4 2 2 4" xfId="1559" xr:uid="{00000000-0005-0000-0000-0000D8090000}"/>
    <cellStyle name="Comma 4 4 2 2 4 2" xfId="3789" xr:uid="{00000000-0005-0000-0000-0000D9090000}"/>
    <cellStyle name="Comma 4 4 2 2 4 2 2" xfId="8011" xr:uid="{00000000-0005-0000-0000-0000DA090000}"/>
    <cellStyle name="Comma 4 4 2 2 4 2 2 2" xfId="25777" xr:uid="{633368DD-B0CB-48D5-A045-A1E99899AB84}"/>
    <cellStyle name="Comma 4 4 2 2 4 2 2 3" xfId="17337" xr:uid="{2C45688A-50F2-4BF1-82C0-BC4D35251756}"/>
    <cellStyle name="Comma 4 4 2 2 4 2 3" xfId="21560" xr:uid="{CEDC02C0-0CFE-4159-A7AA-8EBAF90E234E}"/>
    <cellStyle name="Comma 4 4 2 2 4 2 4" xfId="13120" xr:uid="{A97847A6-5ED3-4954-9636-5FC677DB4049}"/>
    <cellStyle name="Comma 4 4 2 2 4 3" xfId="5866" xr:uid="{00000000-0005-0000-0000-0000DB090000}"/>
    <cellStyle name="Comma 4 4 2 2 4 3 2" xfId="23632" xr:uid="{CD09385B-AC02-452B-A6B3-878514E3F8FC}"/>
    <cellStyle name="Comma 4 4 2 2 4 3 3" xfId="15192" xr:uid="{3589D881-C79E-4ECC-9B88-4AD6C017D46E}"/>
    <cellStyle name="Comma 4 4 2 2 4 4" xfId="19415" xr:uid="{66FD76EC-06FC-4871-9207-9DEF203F28FA}"/>
    <cellStyle name="Comma 4 4 2 2 4 5" xfId="10975" xr:uid="{18B7EC10-0539-43D0-ABA3-EB1EEA047E12}"/>
    <cellStyle name="Comma 4 4 2 2 5" xfId="1973" xr:uid="{00000000-0005-0000-0000-0000DC090000}"/>
    <cellStyle name="Comma 4 4 2 2 5 2" xfId="4202" xr:uid="{00000000-0005-0000-0000-0000DD090000}"/>
    <cellStyle name="Comma 4 4 2 2 5 2 2" xfId="8424" xr:uid="{00000000-0005-0000-0000-0000DE090000}"/>
    <cellStyle name="Comma 4 4 2 2 5 2 2 2" xfId="26190" xr:uid="{EE43AD89-87C6-4026-BB3B-54E224017B6A}"/>
    <cellStyle name="Comma 4 4 2 2 5 2 2 3" xfId="17750" xr:uid="{7BFCE94C-101F-476F-9924-C12D17F84F42}"/>
    <cellStyle name="Comma 4 4 2 2 5 2 3" xfId="21973" xr:uid="{7B65B5A7-6ADF-43DF-BDE5-5F4F3261044E}"/>
    <cellStyle name="Comma 4 4 2 2 5 2 4" xfId="13533" xr:uid="{CCDC7462-9D7B-47E8-94AF-FB190EFB8183}"/>
    <cellStyle name="Comma 4 4 2 2 5 3" xfId="6279" xr:uid="{00000000-0005-0000-0000-0000DF090000}"/>
    <cellStyle name="Comma 4 4 2 2 5 3 2" xfId="24045" xr:uid="{18B438A4-A79D-420D-B983-332642DE221B}"/>
    <cellStyle name="Comma 4 4 2 2 5 3 3" xfId="15605" xr:uid="{FA2AFE8C-165F-476F-928D-AF35D9583086}"/>
    <cellStyle name="Comma 4 4 2 2 5 4" xfId="19828" xr:uid="{973E55E2-25F8-4F44-9F72-7A0069A83513}"/>
    <cellStyle name="Comma 4 4 2 2 5 5" xfId="11388" xr:uid="{3E3EF03E-3E3E-41C3-8B84-6A358C06A2A7}"/>
    <cellStyle name="Comma 4 4 2 2 6" xfId="2408" xr:uid="{00000000-0005-0000-0000-0000E0090000}"/>
    <cellStyle name="Comma 4 4 2 2 6 2" xfId="6692" xr:uid="{00000000-0005-0000-0000-0000E1090000}"/>
    <cellStyle name="Comma 4 4 2 2 6 2 2" xfId="24458" xr:uid="{A8A4B857-F72D-4470-BBB1-0172B8C5C159}"/>
    <cellStyle name="Comma 4 4 2 2 6 2 3" xfId="16018" xr:uid="{3B7C3F55-CD7A-4526-AF1A-4DDD61305831}"/>
    <cellStyle name="Comma 4 4 2 2 6 3" xfId="20241" xr:uid="{744AA030-F0B1-4A14-9DE9-D90EF102718E}"/>
    <cellStyle name="Comma 4 4 2 2 6 4" xfId="11801" xr:uid="{880E761D-88A4-4B38-9AB3-CDD6BCF79CB3}"/>
    <cellStyle name="Comma 4 4 2 2 7" xfId="2704" xr:uid="{00000000-0005-0000-0000-0000E2090000}"/>
    <cellStyle name="Comma 4 4 2 2 8" xfId="2786" xr:uid="{00000000-0005-0000-0000-0000E3090000}"/>
    <cellStyle name="Comma 4 4 2 2 8 2" xfId="7009" xr:uid="{00000000-0005-0000-0000-0000E4090000}"/>
    <cellStyle name="Comma 4 4 2 2 8 2 2" xfId="24775" xr:uid="{40C47A9B-7F41-4938-9D07-A86A7BD82CF9}"/>
    <cellStyle name="Comma 4 4 2 2 8 2 3" xfId="16335" xr:uid="{33B71C89-0A43-4CE7-8D1A-75F159F79BFD}"/>
    <cellStyle name="Comma 4 4 2 2 8 3" xfId="20558" xr:uid="{F055CD44-7720-4F31-B09A-31059CF8382C}"/>
    <cellStyle name="Comma 4 4 2 2 8 4" xfId="12118" xr:uid="{87E860CD-024B-416A-96D3-58AFE98326BA}"/>
    <cellStyle name="Comma 4 4 2 2 9" xfId="4626" xr:uid="{00000000-0005-0000-0000-0000E5090000}"/>
    <cellStyle name="Comma 4 4 2 2 9 2" xfId="22392" xr:uid="{4ADC24E1-8BDD-4766-8D18-E5C78B5A65AC}"/>
    <cellStyle name="Comma 4 4 2 2 9 3" xfId="13952" xr:uid="{AC7CD32E-51E0-4531-BE69-D6885D7C0DB3}"/>
    <cellStyle name="Comma 4 4 2 3" xfId="691" xr:uid="{00000000-0005-0000-0000-0000E6090000}"/>
    <cellStyle name="Comma 4 4 2 3 2" xfId="2962" xr:uid="{00000000-0005-0000-0000-0000E7090000}"/>
    <cellStyle name="Comma 4 4 2 3 2 2" xfId="7184" xr:uid="{00000000-0005-0000-0000-0000E8090000}"/>
    <cellStyle name="Comma 4 4 2 3 2 2 2" xfId="24950" xr:uid="{684C0D9F-93A1-4C44-8B67-8152434F306C}"/>
    <cellStyle name="Comma 4 4 2 3 2 2 3" xfId="16510" xr:uid="{CF6B5764-C97E-4CB7-8AEB-5DD8AB9C8E95}"/>
    <cellStyle name="Comma 4 4 2 3 2 3" xfId="20733" xr:uid="{1DC13D38-B49A-4ED4-80A1-0B47200500C8}"/>
    <cellStyle name="Comma 4 4 2 3 2 4" xfId="12293" xr:uid="{D2E15905-7C1F-47C4-BAD1-A9F896CF5D38}"/>
    <cellStyle name="Comma 4 4 2 3 3" xfId="5039" xr:uid="{00000000-0005-0000-0000-0000E9090000}"/>
    <cellStyle name="Comma 4 4 2 3 3 2" xfId="22805" xr:uid="{EC2FA620-26A4-4D29-AE60-5F65452794FA}"/>
    <cellStyle name="Comma 4 4 2 3 3 3" xfId="14365" xr:uid="{1E90717D-FDFD-4F11-A587-81180B0E1269}"/>
    <cellStyle name="Comma 4 4 2 3 4" xfId="9332" xr:uid="{00F59ECD-64D7-476B-90FD-CD86F054AE4D}"/>
    <cellStyle name="Comma 4 4 2 3 4 2" xfId="18588" xr:uid="{54152448-0F9C-4A4C-8CDE-F041F8B9FF66}"/>
    <cellStyle name="Comma 4 4 2 3 5" xfId="10148" xr:uid="{2ABEDB79-0175-4C12-8E06-AAF908E1F5A3}"/>
    <cellStyle name="Comma 4 4 2 4" xfId="1144" xr:uid="{00000000-0005-0000-0000-0000EA090000}"/>
    <cellStyle name="Comma 4 4 2 4 2" xfId="3375" xr:uid="{00000000-0005-0000-0000-0000EB090000}"/>
    <cellStyle name="Comma 4 4 2 4 2 2" xfId="7597" xr:uid="{00000000-0005-0000-0000-0000EC090000}"/>
    <cellStyle name="Comma 4 4 2 4 2 2 2" xfId="25363" xr:uid="{76ECCD98-C8DA-4D39-A048-BD573D3A6790}"/>
    <cellStyle name="Comma 4 4 2 4 2 2 3" xfId="16923" xr:uid="{0475D707-CB02-4832-BE3F-E35D3419ABE5}"/>
    <cellStyle name="Comma 4 4 2 4 2 3" xfId="21146" xr:uid="{03C92365-3090-41A5-BE44-36576C4593D0}"/>
    <cellStyle name="Comma 4 4 2 4 2 4" xfId="12706" xr:uid="{19236EF3-7153-4A1D-951E-810CED4F711E}"/>
    <cellStyle name="Comma 4 4 2 4 3" xfId="5452" xr:uid="{00000000-0005-0000-0000-0000ED090000}"/>
    <cellStyle name="Comma 4 4 2 4 3 2" xfId="23218" xr:uid="{FCC81951-A359-409A-8CE2-8B8FE89217A0}"/>
    <cellStyle name="Comma 4 4 2 4 3 3" xfId="14778" xr:uid="{83CE4360-BEF7-43F3-B6B0-E10603598B32}"/>
    <cellStyle name="Comma 4 4 2 4 4" xfId="19001" xr:uid="{0D4B9205-48A5-47A4-89D4-E39639842455}"/>
    <cellStyle name="Comma 4 4 2 4 5" xfId="10561" xr:uid="{D6AB6F87-95A8-4B7E-B565-D1869A708089}"/>
    <cellStyle name="Comma 4 4 2 5" xfId="1558" xr:uid="{00000000-0005-0000-0000-0000EE090000}"/>
    <cellStyle name="Comma 4 4 2 5 2" xfId="3788" xr:uid="{00000000-0005-0000-0000-0000EF090000}"/>
    <cellStyle name="Comma 4 4 2 5 2 2" xfId="8010" xr:uid="{00000000-0005-0000-0000-0000F0090000}"/>
    <cellStyle name="Comma 4 4 2 5 2 2 2" xfId="25776" xr:uid="{BF11417B-66C8-43B7-96CB-95F7C60B2CD3}"/>
    <cellStyle name="Comma 4 4 2 5 2 2 3" xfId="17336" xr:uid="{4CC917CD-9433-4D69-A7DD-2335450216D8}"/>
    <cellStyle name="Comma 4 4 2 5 2 3" xfId="21559" xr:uid="{B28F1DD7-41DC-49CB-80F9-BA2CF992F200}"/>
    <cellStyle name="Comma 4 4 2 5 2 4" xfId="13119" xr:uid="{4F5ECF41-6197-4718-A4D2-F9A06CD007A5}"/>
    <cellStyle name="Comma 4 4 2 5 3" xfId="5865" xr:uid="{00000000-0005-0000-0000-0000F1090000}"/>
    <cellStyle name="Comma 4 4 2 5 3 2" xfId="23631" xr:uid="{0279C40D-BC4E-418D-9992-6A0380B302EB}"/>
    <cellStyle name="Comma 4 4 2 5 3 3" xfId="15191" xr:uid="{CF8244EC-AD24-4A48-A6AE-2CDD1D37BCFE}"/>
    <cellStyle name="Comma 4 4 2 5 4" xfId="19414" xr:uid="{DE876963-3B03-4628-8E90-3CC404E51D19}"/>
    <cellStyle name="Comma 4 4 2 5 5" xfId="10974" xr:uid="{674074B4-1C9A-460C-A2CC-028881300BF3}"/>
    <cellStyle name="Comma 4 4 2 6" xfId="1972" xr:uid="{00000000-0005-0000-0000-0000F2090000}"/>
    <cellStyle name="Comma 4 4 2 6 2" xfId="4201" xr:uid="{00000000-0005-0000-0000-0000F3090000}"/>
    <cellStyle name="Comma 4 4 2 6 2 2" xfId="8423" xr:uid="{00000000-0005-0000-0000-0000F4090000}"/>
    <cellStyle name="Comma 4 4 2 6 2 2 2" xfId="26189" xr:uid="{C3E852AF-29B6-4910-9198-5A0615E7BB32}"/>
    <cellStyle name="Comma 4 4 2 6 2 2 3" xfId="17749" xr:uid="{7BBF434B-D92D-4FFA-84AF-DA15959A3E9F}"/>
    <cellStyle name="Comma 4 4 2 6 2 3" xfId="21972" xr:uid="{698117ED-6051-4905-A7F6-488328092AEB}"/>
    <cellStyle name="Comma 4 4 2 6 2 4" xfId="13532" xr:uid="{BB0D72F1-AFF9-4BFA-9AC6-F753EE408360}"/>
    <cellStyle name="Comma 4 4 2 6 3" xfId="6278" xr:uid="{00000000-0005-0000-0000-0000F5090000}"/>
    <cellStyle name="Comma 4 4 2 6 3 2" xfId="24044" xr:uid="{B3A2DC1C-606A-44AB-BB38-60A90D72FB4B}"/>
    <cellStyle name="Comma 4 4 2 6 3 3" xfId="15604" xr:uid="{F3C8C7BA-EC08-446B-96F9-52ED7558AF41}"/>
    <cellStyle name="Comma 4 4 2 6 4" xfId="19827" xr:uid="{43C6D047-38A3-4CA3-9633-2CDB0525C743}"/>
    <cellStyle name="Comma 4 4 2 6 5" xfId="11387" xr:uid="{59E084BF-13E0-4BEF-B4FD-DFF16EAC26A1}"/>
    <cellStyle name="Comma 4 4 2 7" xfId="2407" xr:uid="{00000000-0005-0000-0000-0000F6090000}"/>
    <cellStyle name="Comma 4 4 2 7 2" xfId="6691" xr:uid="{00000000-0005-0000-0000-0000F7090000}"/>
    <cellStyle name="Comma 4 4 2 7 2 2" xfId="24457" xr:uid="{7CC4E7A6-AE28-4917-A247-4A66924B0CC4}"/>
    <cellStyle name="Comma 4 4 2 7 2 3" xfId="16017" xr:uid="{18D1F8E2-5FF2-4E16-8A4A-00BC92C9243C}"/>
    <cellStyle name="Comma 4 4 2 7 3" xfId="20240" xr:uid="{B38AD705-E75A-4937-9E0E-5C05149D6559}"/>
    <cellStyle name="Comma 4 4 2 7 4" xfId="11800" xr:uid="{D0177636-F586-433C-965C-C5D853151875}"/>
    <cellStyle name="Comma 4 4 2 8" xfId="2703" xr:uid="{00000000-0005-0000-0000-0000F8090000}"/>
    <cellStyle name="Comma 4 4 2 9" xfId="2785" xr:uid="{00000000-0005-0000-0000-0000F9090000}"/>
    <cellStyle name="Comma 4 4 2 9 2" xfId="7008" xr:uid="{00000000-0005-0000-0000-0000FA090000}"/>
    <cellStyle name="Comma 4 4 2 9 2 2" xfId="24774" xr:uid="{DEFAD416-7BAC-483A-AB2B-EBF67E9C3EC1}"/>
    <cellStyle name="Comma 4 4 2 9 2 3" xfId="16334" xr:uid="{BB2CC89E-1C2C-4621-A22B-65FD4058F425}"/>
    <cellStyle name="Comma 4 4 2 9 3" xfId="20557" xr:uid="{3D129176-D823-4B4C-96E3-89364E92EF5A}"/>
    <cellStyle name="Comma 4 4 2 9 4" xfId="12117" xr:uid="{5CD75420-F17C-42A4-A377-5B7CB59D20B5}"/>
    <cellStyle name="Comma 4 4 3" xfId="156" xr:uid="{00000000-0005-0000-0000-0000FB090000}"/>
    <cellStyle name="Comma 4 4 3 10" xfId="9011" xr:uid="{31ED03AD-AB12-49AF-9AD4-B783F0BF7322}"/>
    <cellStyle name="Comma 4 4 3 10 2" xfId="18176" xr:uid="{900946F8-ABEE-4FE6-9A1A-ACC1106802D2}"/>
    <cellStyle name="Comma 4 4 3 11" xfId="9736" xr:uid="{3E260BD4-F1A1-4BFD-9FF5-5FEDDD4EB9DE}"/>
    <cellStyle name="Comma 4 4 3 2" xfId="693" xr:uid="{00000000-0005-0000-0000-0000FC090000}"/>
    <cellStyle name="Comma 4 4 3 2 2" xfId="2964" xr:uid="{00000000-0005-0000-0000-0000FD090000}"/>
    <cellStyle name="Comma 4 4 3 2 2 2" xfId="7186" xr:uid="{00000000-0005-0000-0000-0000FE090000}"/>
    <cellStyle name="Comma 4 4 3 2 2 2 2" xfId="24952" xr:uid="{67D40A94-6C41-4710-83F4-DCEB1719CC02}"/>
    <cellStyle name="Comma 4 4 3 2 2 2 3" xfId="16512" xr:uid="{90B0B2D1-B05A-419C-8813-FD76E3747740}"/>
    <cellStyle name="Comma 4 4 3 2 2 3" xfId="20735" xr:uid="{9497720D-AE45-413C-A380-E72966C16B96}"/>
    <cellStyle name="Comma 4 4 3 2 2 4" xfId="12295" xr:uid="{F8BFFC8E-827C-4A21-BB7B-8A0DF0E6FDE1}"/>
    <cellStyle name="Comma 4 4 3 2 3" xfId="5041" xr:uid="{00000000-0005-0000-0000-0000FF090000}"/>
    <cellStyle name="Comma 4 4 3 2 3 2" xfId="22807" xr:uid="{EAE755BF-49E7-4485-89A6-61E851068C7A}"/>
    <cellStyle name="Comma 4 4 3 2 3 3" xfId="14367" xr:uid="{F21CFE2E-1B3E-4D0D-B9CB-1F32288D8322}"/>
    <cellStyle name="Comma 4 4 3 2 4" xfId="9436" xr:uid="{5B7DDC25-9095-4E8E-BD31-668F46BBD33F}"/>
    <cellStyle name="Comma 4 4 3 2 4 2" xfId="18590" xr:uid="{F752E27F-5B67-4574-A7A2-44FD3F205FAF}"/>
    <cellStyle name="Comma 4 4 3 2 5" xfId="10150" xr:uid="{8EC507E1-89A8-4327-8DB5-49C9B0EFCF2E}"/>
    <cellStyle name="Comma 4 4 3 3" xfId="1146" xr:uid="{00000000-0005-0000-0000-0000000A0000}"/>
    <cellStyle name="Comma 4 4 3 3 2" xfId="3377" xr:uid="{00000000-0005-0000-0000-0000010A0000}"/>
    <cellStyle name="Comma 4 4 3 3 2 2" xfId="7599" xr:uid="{00000000-0005-0000-0000-0000020A0000}"/>
    <cellStyle name="Comma 4 4 3 3 2 2 2" xfId="25365" xr:uid="{7DD458D9-CD04-4A05-9FB9-1D21158E1540}"/>
    <cellStyle name="Comma 4 4 3 3 2 2 3" xfId="16925" xr:uid="{063321E3-FEC5-4C37-B301-2F931B4F77EB}"/>
    <cellStyle name="Comma 4 4 3 3 2 3" xfId="21148" xr:uid="{BA0D3243-C843-4FE7-BBB0-B0032905DD6F}"/>
    <cellStyle name="Comma 4 4 3 3 2 4" xfId="12708" xr:uid="{D42FB336-BC69-40A6-85FE-45AEDFB57BBA}"/>
    <cellStyle name="Comma 4 4 3 3 3" xfId="5454" xr:uid="{00000000-0005-0000-0000-0000030A0000}"/>
    <cellStyle name="Comma 4 4 3 3 3 2" xfId="23220" xr:uid="{77A385CD-3E08-4975-9E5E-1C4F72675C73}"/>
    <cellStyle name="Comma 4 4 3 3 3 3" xfId="14780" xr:uid="{0377206A-E6EB-44AE-BF63-492ABB528CDA}"/>
    <cellStyle name="Comma 4 4 3 3 4" xfId="19003" xr:uid="{E1AF0AEC-0DBA-4770-A714-13605214D34E}"/>
    <cellStyle name="Comma 4 4 3 3 5" xfId="10563" xr:uid="{FF8EC197-7601-4469-BF68-06796AD98E67}"/>
    <cellStyle name="Comma 4 4 3 4" xfId="1560" xr:uid="{00000000-0005-0000-0000-0000040A0000}"/>
    <cellStyle name="Comma 4 4 3 4 2" xfId="3790" xr:uid="{00000000-0005-0000-0000-0000050A0000}"/>
    <cellStyle name="Comma 4 4 3 4 2 2" xfId="8012" xr:uid="{00000000-0005-0000-0000-0000060A0000}"/>
    <cellStyle name="Comma 4 4 3 4 2 2 2" xfId="25778" xr:uid="{636F1082-18B4-4546-A85E-8EA5CDAF8C80}"/>
    <cellStyle name="Comma 4 4 3 4 2 2 3" xfId="17338" xr:uid="{55C3A913-7B2F-485C-8490-8026A2BB97FD}"/>
    <cellStyle name="Comma 4 4 3 4 2 3" xfId="21561" xr:uid="{FA87EECA-ACD1-4331-84E6-F63EF1012AD0}"/>
    <cellStyle name="Comma 4 4 3 4 2 4" xfId="13121" xr:uid="{C30F9F9B-EC81-486E-817B-D5182B27043E}"/>
    <cellStyle name="Comma 4 4 3 4 3" xfId="5867" xr:uid="{00000000-0005-0000-0000-0000070A0000}"/>
    <cellStyle name="Comma 4 4 3 4 3 2" xfId="23633" xr:uid="{52629AFD-FCD1-405B-A175-5159326B5845}"/>
    <cellStyle name="Comma 4 4 3 4 3 3" xfId="15193" xr:uid="{1F7A1C33-6B3D-4018-84D8-D56E4BC49DA3}"/>
    <cellStyle name="Comma 4 4 3 4 4" xfId="19416" xr:uid="{C89981A9-518C-4572-9C32-F103F5414A45}"/>
    <cellStyle name="Comma 4 4 3 4 5" xfId="10976" xr:uid="{3CE6F775-070D-489F-A6E2-C8DAE55C9DCA}"/>
    <cellStyle name="Comma 4 4 3 5" xfId="1974" xr:uid="{00000000-0005-0000-0000-0000080A0000}"/>
    <cellStyle name="Comma 4 4 3 5 2" xfId="4203" xr:uid="{00000000-0005-0000-0000-0000090A0000}"/>
    <cellStyle name="Comma 4 4 3 5 2 2" xfId="8425" xr:uid="{00000000-0005-0000-0000-00000A0A0000}"/>
    <cellStyle name="Comma 4 4 3 5 2 2 2" xfId="26191" xr:uid="{E2DFA010-4266-4F49-AEF7-04EC7177F746}"/>
    <cellStyle name="Comma 4 4 3 5 2 2 3" xfId="17751" xr:uid="{96650691-FFF2-41AE-9E03-9276F9BF2233}"/>
    <cellStyle name="Comma 4 4 3 5 2 3" xfId="21974" xr:uid="{32851EC2-EC8C-4FA8-9554-5EA8AB58499B}"/>
    <cellStyle name="Comma 4 4 3 5 2 4" xfId="13534" xr:uid="{21963314-DC8C-4497-9F08-A099A597870C}"/>
    <cellStyle name="Comma 4 4 3 5 3" xfId="6280" xr:uid="{00000000-0005-0000-0000-00000B0A0000}"/>
    <cellStyle name="Comma 4 4 3 5 3 2" xfId="24046" xr:uid="{56221B37-A797-4914-B78D-6EF3FAA75AD8}"/>
    <cellStyle name="Comma 4 4 3 5 3 3" xfId="15606" xr:uid="{09D39B9A-5BA7-4753-89C0-F9554073F9C4}"/>
    <cellStyle name="Comma 4 4 3 5 4" xfId="19829" xr:uid="{ECBB8EE5-DE85-4466-A710-E2430CFBB764}"/>
    <cellStyle name="Comma 4 4 3 5 5" xfId="11389" xr:uid="{E13B25D8-4EC5-4D1D-88C8-0D834ED1A011}"/>
    <cellStyle name="Comma 4 4 3 6" xfId="2409" xr:uid="{00000000-0005-0000-0000-00000C0A0000}"/>
    <cellStyle name="Comma 4 4 3 6 2" xfId="6693" xr:uid="{00000000-0005-0000-0000-00000D0A0000}"/>
    <cellStyle name="Comma 4 4 3 6 2 2" xfId="24459" xr:uid="{34217028-3282-451B-91F1-25A897A1D38B}"/>
    <cellStyle name="Comma 4 4 3 6 2 3" xfId="16019" xr:uid="{9954444D-77A5-499D-9C0F-E75C56C53051}"/>
    <cellStyle name="Comma 4 4 3 6 3" xfId="20242" xr:uid="{896D8974-9F03-4E6D-AF2B-F4F7E47FBD3D}"/>
    <cellStyle name="Comma 4 4 3 6 4" xfId="11802" xr:uid="{B70C59F2-EE4B-4873-8E2F-26200A0C3C67}"/>
    <cellStyle name="Comma 4 4 3 7" xfId="2705" xr:uid="{00000000-0005-0000-0000-00000E0A0000}"/>
    <cellStyle name="Comma 4 4 3 8" xfId="2787" xr:uid="{00000000-0005-0000-0000-00000F0A0000}"/>
    <cellStyle name="Comma 4 4 3 8 2" xfId="7010" xr:uid="{00000000-0005-0000-0000-0000100A0000}"/>
    <cellStyle name="Comma 4 4 3 8 2 2" xfId="24776" xr:uid="{2CD2690F-214C-4F44-AEFD-35774A9FDA94}"/>
    <cellStyle name="Comma 4 4 3 8 2 3" xfId="16336" xr:uid="{057E0CD8-44BE-4ADC-A8EC-D724D87C8FD7}"/>
    <cellStyle name="Comma 4 4 3 8 3" xfId="20559" xr:uid="{480FEE9F-0791-4CB1-B742-ED5711B6BC9A}"/>
    <cellStyle name="Comma 4 4 3 8 4" xfId="12119" xr:uid="{106F64BB-FC85-4F56-845C-1C9E4E908A25}"/>
    <cellStyle name="Comma 4 4 3 9" xfId="4627" xr:uid="{00000000-0005-0000-0000-0000110A0000}"/>
    <cellStyle name="Comma 4 4 3 9 2" xfId="22393" xr:uid="{2281EB08-6EBF-4B98-AAD0-82070CF2F8ED}"/>
    <cellStyle name="Comma 4 4 3 9 3" xfId="13953" xr:uid="{CAA07CFF-57E0-4FCA-8AB4-F785D508A01D}"/>
    <cellStyle name="Comma 4 4 4" xfId="690" xr:uid="{00000000-0005-0000-0000-0000120A0000}"/>
    <cellStyle name="Comma 4 4 4 2" xfId="2961" xr:uid="{00000000-0005-0000-0000-0000130A0000}"/>
    <cellStyle name="Comma 4 4 4 2 2" xfId="7183" xr:uid="{00000000-0005-0000-0000-0000140A0000}"/>
    <cellStyle name="Comma 4 4 4 2 2 2" xfId="24949" xr:uid="{D1839FAA-4452-4CC9-9179-5317794BD6B8}"/>
    <cellStyle name="Comma 4 4 4 2 2 3" xfId="16509" xr:uid="{A73A469B-0698-4070-8C98-DC8FFFD71600}"/>
    <cellStyle name="Comma 4 4 4 2 3" xfId="20732" xr:uid="{4AF3CB7C-D6B9-4F5D-8775-FDF2FB777616}"/>
    <cellStyle name="Comma 4 4 4 2 4" xfId="12292" xr:uid="{98DB171A-CE20-4205-A60D-1808C46B96CD}"/>
    <cellStyle name="Comma 4 4 4 3" xfId="5038" xr:uid="{00000000-0005-0000-0000-0000150A0000}"/>
    <cellStyle name="Comma 4 4 4 3 2" xfId="22804" xr:uid="{0D52E689-5585-4592-BCE5-1ACD81C40A3A}"/>
    <cellStyle name="Comma 4 4 4 3 3" xfId="14364" xr:uid="{D81D80C6-187A-4A79-A4EA-4D7BA4951165}"/>
    <cellStyle name="Comma 4 4 4 4" xfId="9229" xr:uid="{5D655A80-2199-4116-9BF2-7327D5827395}"/>
    <cellStyle name="Comma 4 4 4 4 2" xfId="18587" xr:uid="{57138EA0-4E35-47DA-BB5E-ED4075200758}"/>
    <cellStyle name="Comma 4 4 4 5" xfId="10147" xr:uid="{102883D5-366D-4E75-8D32-F4FD029A5720}"/>
    <cellStyle name="Comma 4 4 5" xfId="1143" xr:uid="{00000000-0005-0000-0000-0000160A0000}"/>
    <cellStyle name="Comma 4 4 5 2" xfId="3374" xr:uid="{00000000-0005-0000-0000-0000170A0000}"/>
    <cellStyle name="Comma 4 4 5 2 2" xfId="7596" xr:uid="{00000000-0005-0000-0000-0000180A0000}"/>
    <cellStyle name="Comma 4 4 5 2 2 2" xfId="25362" xr:uid="{B793EDFA-154B-4C7F-8562-B9E5C44CA5F8}"/>
    <cellStyle name="Comma 4 4 5 2 2 3" xfId="16922" xr:uid="{4C42E800-BFEC-49B4-8A4A-7176AD8825B0}"/>
    <cellStyle name="Comma 4 4 5 2 3" xfId="21145" xr:uid="{8DC6627E-1D35-4F67-8495-603269D0FAED}"/>
    <cellStyle name="Comma 4 4 5 2 4" xfId="12705" xr:uid="{2788A4CF-8C2E-4F91-AA6B-C1E84B6BFCAF}"/>
    <cellStyle name="Comma 4 4 5 3" xfId="5451" xr:uid="{00000000-0005-0000-0000-0000190A0000}"/>
    <cellStyle name="Comma 4 4 5 3 2" xfId="23217" xr:uid="{AE301719-26FE-420D-864B-84CD08CFBA56}"/>
    <cellStyle name="Comma 4 4 5 3 3" xfId="14777" xr:uid="{9AD2C622-9C37-453F-A184-704125143EF7}"/>
    <cellStyle name="Comma 4 4 5 4" xfId="19000" xr:uid="{27D3FDC7-C2E3-4B0E-A18A-22BB5761BB3F}"/>
    <cellStyle name="Comma 4 4 5 5" xfId="10560" xr:uid="{A94CC624-F121-4F2B-A23F-AC19E6B7B618}"/>
    <cellStyle name="Comma 4 4 6" xfId="1557" xr:uid="{00000000-0005-0000-0000-00001A0A0000}"/>
    <cellStyle name="Comma 4 4 6 2" xfId="3787" xr:uid="{00000000-0005-0000-0000-00001B0A0000}"/>
    <cellStyle name="Comma 4 4 6 2 2" xfId="8009" xr:uid="{00000000-0005-0000-0000-00001C0A0000}"/>
    <cellStyle name="Comma 4 4 6 2 2 2" xfId="25775" xr:uid="{72EE3DA4-54CD-4DC9-AEFE-32DFA5990E1E}"/>
    <cellStyle name="Comma 4 4 6 2 2 3" xfId="17335" xr:uid="{4501D60C-B94F-4530-9869-73655C7C5AE9}"/>
    <cellStyle name="Comma 4 4 6 2 3" xfId="21558" xr:uid="{585F99BD-CA53-44AF-B008-B7A7EC81CF6E}"/>
    <cellStyle name="Comma 4 4 6 2 4" xfId="13118" xr:uid="{78AE157B-9F8E-456F-86D3-65FDE672321F}"/>
    <cellStyle name="Comma 4 4 6 3" xfId="5864" xr:uid="{00000000-0005-0000-0000-00001D0A0000}"/>
    <cellStyle name="Comma 4 4 6 3 2" xfId="23630" xr:uid="{5D0405AB-3E1A-4B3B-9722-65AD83962072}"/>
    <cellStyle name="Comma 4 4 6 3 3" xfId="15190" xr:uid="{0819201E-FA7C-44F5-BCC6-802BA4D60E62}"/>
    <cellStyle name="Comma 4 4 6 4" xfId="19413" xr:uid="{5E7B030D-DB5A-4AF8-A319-1792243F3A25}"/>
    <cellStyle name="Comma 4 4 6 5" xfId="10973" xr:uid="{A8B456C7-3D01-44CF-80D0-82C83E623D6E}"/>
    <cellStyle name="Comma 4 4 7" xfId="1971" xr:uid="{00000000-0005-0000-0000-00001E0A0000}"/>
    <cellStyle name="Comma 4 4 7 2" xfId="4200" xr:uid="{00000000-0005-0000-0000-00001F0A0000}"/>
    <cellStyle name="Comma 4 4 7 2 2" xfId="8422" xr:uid="{00000000-0005-0000-0000-0000200A0000}"/>
    <cellStyle name="Comma 4 4 7 2 2 2" xfId="26188" xr:uid="{C4405A08-41EA-4498-92FA-1A43C30BDB0D}"/>
    <cellStyle name="Comma 4 4 7 2 2 3" xfId="17748" xr:uid="{0EE854EA-E418-4E86-BB01-EADAFCE2ACE8}"/>
    <cellStyle name="Comma 4 4 7 2 3" xfId="21971" xr:uid="{6E447B76-6969-4740-9CE8-0127ED758F25}"/>
    <cellStyle name="Comma 4 4 7 2 4" xfId="13531" xr:uid="{E17631FA-4692-43BB-AA96-5F2E3ACDC755}"/>
    <cellStyle name="Comma 4 4 7 3" xfId="6277" xr:uid="{00000000-0005-0000-0000-0000210A0000}"/>
    <cellStyle name="Comma 4 4 7 3 2" xfId="24043" xr:uid="{F8AED22F-74C7-44A8-BFF6-D41E6EED706B}"/>
    <cellStyle name="Comma 4 4 7 3 3" xfId="15603" xr:uid="{DE6F40A0-0481-4348-AAA2-04AB8B1CE607}"/>
    <cellStyle name="Comma 4 4 7 4" xfId="19826" xr:uid="{482EC06E-B6DD-4415-8F8D-2B26E17980D0}"/>
    <cellStyle name="Comma 4 4 7 5" xfId="11386" xr:uid="{2FB760CA-CF43-470F-A9D8-6791BAB2A70F}"/>
    <cellStyle name="Comma 4 4 8" xfId="2406" xr:uid="{00000000-0005-0000-0000-0000220A0000}"/>
    <cellStyle name="Comma 4 4 8 2" xfId="6690" xr:uid="{00000000-0005-0000-0000-0000230A0000}"/>
    <cellStyle name="Comma 4 4 8 2 2" xfId="24456" xr:uid="{65B9F6D8-F47D-4B52-96BD-A60564333F94}"/>
    <cellStyle name="Comma 4 4 8 2 3" xfId="16016" xr:uid="{64BF6BC3-CDB1-4323-BCAB-2B07598CF29B}"/>
    <cellStyle name="Comma 4 4 8 3" xfId="20239" xr:uid="{562703F1-8728-41E8-9334-AF8618063364}"/>
    <cellStyle name="Comma 4 4 8 4" xfId="11799" xr:uid="{1CA92403-10CC-407D-AC63-9FEDF7A431A2}"/>
    <cellStyle name="Comma 4 4 9" xfId="2702" xr:uid="{00000000-0005-0000-0000-0000240A0000}"/>
    <cellStyle name="Comma 4 5" xfId="157" xr:uid="{00000000-0005-0000-0000-0000250A0000}"/>
    <cellStyle name="Comma 4 5 10" xfId="4628" xr:uid="{00000000-0005-0000-0000-0000260A0000}"/>
    <cellStyle name="Comma 4 5 10 2" xfId="22394" xr:uid="{8918B0D5-E48C-4602-9C83-7CCF918FA5C7}"/>
    <cellStyle name="Comma 4 5 10 3" xfId="13954" xr:uid="{7C923ED7-CE21-48D2-A324-7A3B4172ED2A}"/>
    <cellStyle name="Comma 4 5 11" xfId="8849" xr:uid="{344CCE08-63E3-41E8-B38A-00347480820F}"/>
    <cellStyle name="Comma 4 5 11 2" xfId="18177" xr:uid="{4836D971-2443-4485-B9CB-32F3B2BF9088}"/>
    <cellStyle name="Comma 4 5 12" xfId="9737" xr:uid="{D726FAB8-0F9B-4FA5-AC12-201802D3B04F}"/>
    <cellStyle name="Comma 4 5 2" xfId="158" xr:uid="{00000000-0005-0000-0000-0000270A0000}"/>
    <cellStyle name="Comma 4 5 2 10" xfId="9056" xr:uid="{C7C2153B-7EAA-4A13-9C28-1151ACD100A8}"/>
    <cellStyle name="Comma 4 5 2 10 2" xfId="18178" xr:uid="{DC09C23A-B3B1-4C0D-8852-8E56B2F50E55}"/>
    <cellStyle name="Comma 4 5 2 11" xfId="9738" xr:uid="{8E24D5A8-FE7A-4E1F-9FD8-A9019CC7B7DF}"/>
    <cellStyle name="Comma 4 5 2 2" xfId="695" xr:uid="{00000000-0005-0000-0000-0000280A0000}"/>
    <cellStyle name="Comma 4 5 2 2 2" xfId="2966" xr:uid="{00000000-0005-0000-0000-0000290A0000}"/>
    <cellStyle name="Comma 4 5 2 2 2 2" xfId="7188" xr:uid="{00000000-0005-0000-0000-00002A0A0000}"/>
    <cellStyle name="Comma 4 5 2 2 2 2 2" xfId="24954" xr:uid="{82467D65-F552-4D65-B9F2-B10C0760FDE2}"/>
    <cellStyle name="Comma 4 5 2 2 2 2 3" xfId="16514" xr:uid="{735E53DD-C247-44B9-95E5-2DC4BC14F511}"/>
    <cellStyle name="Comma 4 5 2 2 2 3" xfId="20737" xr:uid="{187FD24B-ECA4-4DBF-ACCB-99ABB87F8BAD}"/>
    <cellStyle name="Comma 4 5 2 2 2 4" xfId="12297" xr:uid="{E5E97C52-E757-4A1E-B85B-5AEE2C5AAECC}"/>
    <cellStyle name="Comma 4 5 2 2 3" xfId="5043" xr:uid="{00000000-0005-0000-0000-00002B0A0000}"/>
    <cellStyle name="Comma 4 5 2 2 3 2" xfId="22809" xr:uid="{260953A4-E94E-4E34-A52E-71F012D4802F}"/>
    <cellStyle name="Comma 4 5 2 2 3 3" xfId="14369" xr:uid="{7EEC16F0-ACC6-46D7-BF46-43F67DB7D16E}"/>
    <cellStyle name="Comma 4 5 2 2 4" xfId="9481" xr:uid="{47C88F6D-21B1-4457-908C-FFAB8FF83BD1}"/>
    <cellStyle name="Comma 4 5 2 2 4 2" xfId="18592" xr:uid="{29CAAC4E-9905-4823-9E1C-442481833AB9}"/>
    <cellStyle name="Comma 4 5 2 2 5" xfId="10152" xr:uid="{59DBF253-F0B4-450E-AFB9-15C011574C04}"/>
    <cellStyle name="Comma 4 5 2 3" xfId="1148" xr:uid="{00000000-0005-0000-0000-00002C0A0000}"/>
    <cellStyle name="Comma 4 5 2 3 2" xfId="3379" xr:uid="{00000000-0005-0000-0000-00002D0A0000}"/>
    <cellStyle name="Comma 4 5 2 3 2 2" xfId="7601" xr:uid="{00000000-0005-0000-0000-00002E0A0000}"/>
    <cellStyle name="Comma 4 5 2 3 2 2 2" xfId="25367" xr:uid="{837CC4D0-1525-42A6-A154-F5E70FA4195C}"/>
    <cellStyle name="Comma 4 5 2 3 2 2 3" xfId="16927" xr:uid="{8C956B2D-29D5-4653-9316-D82395BA1308}"/>
    <cellStyle name="Comma 4 5 2 3 2 3" xfId="21150" xr:uid="{7A6ED6E9-8825-4EFF-892C-A68063F005F1}"/>
    <cellStyle name="Comma 4 5 2 3 2 4" xfId="12710" xr:uid="{7F236B9B-ABA2-47A6-9BAF-262F8B19DC39}"/>
    <cellStyle name="Comma 4 5 2 3 3" xfId="5456" xr:uid="{00000000-0005-0000-0000-00002F0A0000}"/>
    <cellStyle name="Comma 4 5 2 3 3 2" xfId="23222" xr:uid="{E50F5DBF-518B-4B2D-8E8B-D2987E4472A5}"/>
    <cellStyle name="Comma 4 5 2 3 3 3" xfId="14782" xr:uid="{98F29F43-72E9-4B59-9D84-114F8A81B485}"/>
    <cellStyle name="Comma 4 5 2 3 4" xfId="19005" xr:uid="{C6FE23C6-19D8-4CFE-A632-75C9DEEC2677}"/>
    <cellStyle name="Comma 4 5 2 3 5" xfId="10565" xr:uid="{5EB14066-1802-4A40-88E9-4EB5A2337D47}"/>
    <cellStyle name="Comma 4 5 2 4" xfId="1562" xr:uid="{00000000-0005-0000-0000-0000300A0000}"/>
    <cellStyle name="Comma 4 5 2 4 2" xfId="3792" xr:uid="{00000000-0005-0000-0000-0000310A0000}"/>
    <cellStyle name="Comma 4 5 2 4 2 2" xfId="8014" xr:uid="{00000000-0005-0000-0000-0000320A0000}"/>
    <cellStyle name="Comma 4 5 2 4 2 2 2" xfId="25780" xr:uid="{F6F367DD-38F0-4BD3-985F-10EC5B64D49C}"/>
    <cellStyle name="Comma 4 5 2 4 2 2 3" xfId="17340" xr:uid="{7851610B-D3FF-4789-A266-7D893D6984E4}"/>
    <cellStyle name="Comma 4 5 2 4 2 3" xfId="21563" xr:uid="{BF51D445-07A8-4A11-B257-54E7DF1D5897}"/>
    <cellStyle name="Comma 4 5 2 4 2 4" xfId="13123" xr:uid="{5E39136A-B189-4287-B390-FE18A847DAC1}"/>
    <cellStyle name="Comma 4 5 2 4 3" xfId="5869" xr:uid="{00000000-0005-0000-0000-0000330A0000}"/>
    <cellStyle name="Comma 4 5 2 4 3 2" xfId="23635" xr:uid="{3767FCA4-C27C-44D8-BF11-D6B8159C7C7F}"/>
    <cellStyle name="Comma 4 5 2 4 3 3" xfId="15195" xr:uid="{BC51F8DD-57D2-46CC-94FE-6FCD26BD8C9E}"/>
    <cellStyle name="Comma 4 5 2 4 4" xfId="19418" xr:uid="{57376992-7453-47FE-9B08-E38BEBD8D35B}"/>
    <cellStyle name="Comma 4 5 2 4 5" xfId="10978" xr:uid="{850DDE2E-7D9A-42A2-A69D-AF0139B6D131}"/>
    <cellStyle name="Comma 4 5 2 5" xfId="1976" xr:uid="{00000000-0005-0000-0000-0000340A0000}"/>
    <cellStyle name="Comma 4 5 2 5 2" xfId="4205" xr:uid="{00000000-0005-0000-0000-0000350A0000}"/>
    <cellStyle name="Comma 4 5 2 5 2 2" xfId="8427" xr:uid="{00000000-0005-0000-0000-0000360A0000}"/>
    <cellStyle name="Comma 4 5 2 5 2 2 2" xfId="26193" xr:uid="{5598E23A-592F-46C4-B14F-45BCB076FAAA}"/>
    <cellStyle name="Comma 4 5 2 5 2 2 3" xfId="17753" xr:uid="{1FA75B45-4803-4977-A4A6-43B20A59020E}"/>
    <cellStyle name="Comma 4 5 2 5 2 3" xfId="21976" xr:uid="{AB42BC08-762B-4B5D-8DA7-AF3E4BBDD12C}"/>
    <cellStyle name="Comma 4 5 2 5 2 4" xfId="13536" xr:uid="{9CE0F01D-A21D-4CF0-90A7-3EE45CC7660D}"/>
    <cellStyle name="Comma 4 5 2 5 3" xfId="6282" xr:uid="{00000000-0005-0000-0000-0000370A0000}"/>
    <cellStyle name="Comma 4 5 2 5 3 2" xfId="24048" xr:uid="{683E9EF8-5A94-433A-ACB6-ACDE7C5F7396}"/>
    <cellStyle name="Comma 4 5 2 5 3 3" xfId="15608" xr:uid="{FF8A123D-4F90-4DE5-B34A-A5F30655C929}"/>
    <cellStyle name="Comma 4 5 2 5 4" xfId="19831" xr:uid="{CD60B654-845E-46F6-9391-FAF69E05D0E6}"/>
    <cellStyle name="Comma 4 5 2 5 5" xfId="11391" xr:uid="{94A3E3B1-F128-4B33-BD2F-5FC9F034C911}"/>
    <cellStyle name="Comma 4 5 2 6" xfId="2411" xr:uid="{00000000-0005-0000-0000-0000380A0000}"/>
    <cellStyle name="Comma 4 5 2 6 2" xfId="6695" xr:uid="{00000000-0005-0000-0000-0000390A0000}"/>
    <cellStyle name="Comma 4 5 2 6 2 2" xfId="24461" xr:uid="{7BECF3E7-01F0-4C09-9E22-34B21BFCA96B}"/>
    <cellStyle name="Comma 4 5 2 6 2 3" xfId="16021" xr:uid="{C52BA48E-5BE5-4009-AF72-3C7765137C5C}"/>
    <cellStyle name="Comma 4 5 2 6 3" xfId="20244" xr:uid="{5D5B0E50-03B9-4553-AEDC-D9C3D7E3796D}"/>
    <cellStyle name="Comma 4 5 2 6 4" xfId="11804" xr:uid="{BC9A1563-0C93-41E7-8819-08E79A9CEE2C}"/>
    <cellStyle name="Comma 4 5 2 7" xfId="2707" xr:uid="{00000000-0005-0000-0000-00003A0A0000}"/>
    <cellStyle name="Comma 4 5 2 8" xfId="2789" xr:uid="{00000000-0005-0000-0000-00003B0A0000}"/>
    <cellStyle name="Comma 4 5 2 8 2" xfId="7012" xr:uid="{00000000-0005-0000-0000-00003C0A0000}"/>
    <cellStyle name="Comma 4 5 2 8 2 2" xfId="24778" xr:uid="{38F9D3DA-84BC-4866-B97C-E9618562B80A}"/>
    <cellStyle name="Comma 4 5 2 8 2 3" xfId="16338" xr:uid="{33ABEE6C-2237-49BA-9D91-8516A71FDAC5}"/>
    <cellStyle name="Comma 4 5 2 8 3" xfId="20561" xr:uid="{7A588F9A-946B-4B54-9742-1D453EEBA1F8}"/>
    <cellStyle name="Comma 4 5 2 8 4" xfId="12121" xr:uid="{C35BDDE7-AE99-462E-B660-22EEFDAD2625}"/>
    <cellStyle name="Comma 4 5 2 9" xfId="4629" xr:uid="{00000000-0005-0000-0000-00003D0A0000}"/>
    <cellStyle name="Comma 4 5 2 9 2" xfId="22395" xr:uid="{0A4BC465-BC45-4C16-9052-1205A0D5D46F}"/>
    <cellStyle name="Comma 4 5 2 9 3" xfId="13955" xr:uid="{7932AF8B-2399-4807-9704-02564727AC4D}"/>
    <cellStyle name="Comma 4 5 3" xfId="694" xr:uid="{00000000-0005-0000-0000-00003E0A0000}"/>
    <cellStyle name="Comma 4 5 3 2" xfId="2965" xr:uid="{00000000-0005-0000-0000-00003F0A0000}"/>
    <cellStyle name="Comma 4 5 3 2 2" xfId="7187" xr:uid="{00000000-0005-0000-0000-0000400A0000}"/>
    <cellStyle name="Comma 4 5 3 2 2 2" xfId="24953" xr:uid="{9E497A94-39D9-4E5E-B6E7-7B4495258EC5}"/>
    <cellStyle name="Comma 4 5 3 2 2 3" xfId="16513" xr:uid="{8B04FFC2-D678-4ACC-B9A1-174B8BFB56D9}"/>
    <cellStyle name="Comma 4 5 3 2 3" xfId="20736" xr:uid="{F13C52F7-1FDE-4746-BCCC-E3B4ADD4581E}"/>
    <cellStyle name="Comma 4 5 3 2 4" xfId="12296" xr:uid="{EA1B315D-AB68-411E-B88D-466ACEC732B6}"/>
    <cellStyle name="Comma 4 5 3 3" xfId="5042" xr:uid="{00000000-0005-0000-0000-0000410A0000}"/>
    <cellStyle name="Comma 4 5 3 3 2" xfId="22808" xr:uid="{5608AE26-1178-457A-A65A-0AE24BEA6A76}"/>
    <cellStyle name="Comma 4 5 3 3 3" xfId="14368" xr:uid="{A435FBD3-55E3-4E3F-A48D-2543361C27B8}"/>
    <cellStyle name="Comma 4 5 3 4" xfId="9274" xr:uid="{04AC3EF2-4A78-4DC5-BAB4-87936023C7E5}"/>
    <cellStyle name="Comma 4 5 3 4 2" xfId="18591" xr:uid="{3EE62478-6F55-49D0-8A7B-076110DF1E80}"/>
    <cellStyle name="Comma 4 5 3 5" xfId="10151" xr:uid="{7CCEA4C1-0931-45D9-A604-A345BF3650E2}"/>
    <cellStyle name="Comma 4 5 4" xfId="1147" xr:uid="{00000000-0005-0000-0000-0000420A0000}"/>
    <cellStyle name="Comma 4 5 4 2" xfId="3378" xr:uid="{00000000-0005-0000-0000-0000430A0000}"/>
    <cellStyle name="Comma 4 5 4 2 2" xfId="7600" xr:uid="{00000000-0005-0000-0000-0000440A0000}"/>
    <cellStyle name="Comma 4 5 4 2 2 2" xfId="25366" xr:uid="{0DAD6C61-4DB0-4FA5-90C4-66A19609FB74}"/>
    <cellStyle name="Comma 4 5 4 2 2 3" xfId="16926" xr:uid="{75243DFC-BD50-4E92-BC5E-DCF5125A9451}"/>
    <cellStyle name="Comma 4 5 4 2 3" xfId="21149" xr:uid="{730BC1BC-4517-4620-A3A2-8978ABDF936E}"/>
    <cellStyle name="Comma 4 5 4 2 4" xfId="12709" xr:uid="{15FD198D-E19D-4EA6-9985-4FE6B9EE36B6}"/>
    <cellStyle name="Comma 4 5 4 3" xfId="5455" xr:uid="{00000000-0005-0000-0000-0000450A0000}"/>
    <cellStyle name="Comma 4 5 4 3 2" xfId="23221" xr:uid="{6ACCD391-C8D5-4411-9879-D362D81C17A2}"/>
    <cellStyle name="Comma 4 5 4 3 3" xfId="14781" xr:uid="{775FF90B-A9B7-4C27-9D2D-3C5E6DE6797D}"/>
    <cellStyle name="Comma 4 5 4 4" xfId="19004" xr:uid="{3C0B1D5B-DC50-43ED-B989-31A6E1356B76}"/>
    <cellStyle name="Comma 4 5 4 5" xfId="10564" xr:uid="{1672B6A9-CADB-4445-A1A5-41B0305E7513}"/>
    <cellStyle name="Comma 4 5 5" xfId="1561" xr:uid="{00000000-0005-0000-0000-0000460A0000}"/>
    <cellStyle name="Comma 4 5 5 2" xfId="3791" xr:uid="{00000000-0005-0000-0000-0000470A0000}"/>
    <cellStyle name="Comma 4 5 5 2 2" xfId="8013" xr:uid="{00000000-0005-0000-0000-0000480A0000}"/>
    <cellStyle name="Comma 4 5 5 2 2 2" xfId="25779" xr:uid="{0B53441F-4AE6-43AC-8033-05E25170E988}"/>
    <cellStyle name="Comma 4 5 5 2 2 3" xfId="17339" xr:uid="{82D56581-8DF9-42F1-9E31-5A242A6A2759}"/>
    <cellStyle name="Comma 4 5 5 2 3" xfId="21562" xr:uid="{705E0ACD-523E-4EA8-A982-ECF6D9D77A12}"/>
    <cellStyle name="Comma 4 5 5 2 4" xfId="13122" xr:uid="{DC763483-A3DB-4D09-A41F-BC33A34BB0C4}"/>
    <cellStyle name="Comma 4 5 5 3" xfId="5868" xr:uid="{00000000-0005-0000-0000-0000490A0000}"/>
    <cellStyle name="Comma 4 5 5 3 2" xfId="23634" xr:uid="{CACECB92-D510-4AD1-8F0F-6A147CFC7221}"/>
    <cellStyle name="Comma 4 5 5 3 3" xfId="15194" xr:uid="{B88E3A0E-2F82-4727-AE02-303ABA0B4896}"/>
    <cellStyle name="Comma 4 5 5 4" xfId="19417" xr:uid="{3ED234FD-887E-4472-9502-475307CAA2D9}"/>
    <cellStyle name="Comma 4 5 5 5" xfId="10977" xr:uid="{5C712FFC-9F29-43A5-ACB0-3D974412A4B4}"/>
    <cellStyle name="Comma 4 5 6" xfId="1975" xr:uid="{00000000-0005-0000-0000-00004A0A0000}"/>
    <cellStyle name="Comma 4 5 6 2" xfId="4204" xr:uid="{00000000-0005-0000-0000-00004B0A0000}"/>
    <cellStyle name="Comma 4 5 6 2 2" xfId="8426" xr:uid="{00000000-0005-0000-0000-00004C0A0000}"/>
    <cellStyle name="Comma 4 5 6 2 2 2" xfId="26192" xr:uid="{DE8E2FC4-9EDA-4597-9BB2-96D0D5E95877}"/>
    <cellStyle name="Comma 4 5 6 2 2 3" xfId="17752" xr:uid="{F21E6EF4-31C1-4155-B461-A271C0C3AD6A}"/>
    <cellStyle name="Comma 4 5 6 2 3" xfId="21975" xr:uid="{50C8BD72-9CAA-471D-96B5-3FE6CED1E2F2}"/>
    <cellStyle name="Comma 4 5 6 2 4" xfId="13535" xr:uid="{081A794A-4467-4326-BCAE-3C703B2DA2B2}"/>
    <cellStyle name="Comma 4 5 6 3" xfId="6281" xr:uid="{00000000-0005-0000-0000-00004D0A0000}"/>
    <cellStyle name="Comma 4 5 6 3 2" xfId="24047" xr:uid="{46473131-0C9A-4D20-B03A-BBA1BE71797C}"/>
    <cellStyle name="Comma 4 5 6 3 3" xfId="15607" xr:uid="{09318FB3-0FDC-4C42-B208-F900CAC5E1BB}"/>
    <cellStyle name="Comma 4 5 6 4" xfId="19830" xr:uid="{6E09A8C9-B544-4458-84F0-997E9CBC123E}"/>
    <cellStyle name="Comma 4 5 6 5" xfId="11390" xr:uid="{75720BC3-6EFB-452F-B1DF-7B4EA8FCC1C9}"/>
    <cellStyle name="Comma 4 5 7" xfId="2410" xr:uid="{00000000-0005-0000-0000-00004E0A0000}"/>
    <cellStyle name="Comma 4 5 7 2" xfId="6694" xr:uid="{00000000-0005-0000-0000-00004F0A0000}"/>
    <cellStyle name="Comma 4 5 7 2 2" xfId="24460" xr:uid="{D7C3E243-B8AF-4820-B1EB-3F9D7F777C83}"/>
    <cellStyle name="Comma 4 5 7 2 3" xfId="16020" xr:uid="{D8848AF4-A3DC-4FD3-94BC-534D1F699B52}"/>
    <cellStyle name="Comma 4 5 7 3" xfId="20243" xr:uid="{F805D2E5-DBBF-4EAA-83EF-81359B3E4CF9}"/>
    <cellStyle name="Comma 4 5 7 4" xfId="11803" xr:uid="{2D2B2FD6-52B3-4B0B-A70E-D1AD6FE00F61}"/>
    <cellStyle name="Comma 4 5 8" xfId="2706" xr:uid="{00000000-0005-0000-0000-0000500A0000}"/>
    <cellStyle name="Comma 4 5 9" xfId="2788" xr:uid="{00000000-0005-0000-0000-0000510A0000}"/>
    <cellStyle name="Comma 4 5 9 2" xfId="7011" xr:uid="{00000000-0005-0000-0000-0000520A0000}"/>
    <cellStyle name="Comma 4 5 9 2 2" xfId="24777" xr:uid="{0E9063C5-EAA2-4801-A4FC-D13D7E20F584}"/>
    <cellStyle name="Comma 4 5 9 2 3" xfId="16337" xr:uid="{4FD4412B-F8DB-496C-B337-7DAFF9FA2340}"/>
    <cellStyle name="Comma 4 5 9 3" xfId="20560" xr:uid="{CF7C2224-7ED1-4F47-8420-D7F80CBBA0C8}"/>
    <cellStyle name="Comma 4 5 9 4" xfId="12120" xr:uid="{93AB15CF-FB20-4A2D-8B61-60A48652CF66}"/>
    <cellStyle name="Comma 4 6" xfId="159" xr:uid="{00000000-0005-0000-0000-0000530A0000}"/>
    <cellStyle name="Comma 4 6 10" xfId="8965" xr:uid="{FDA33E7D-96B8-46F2-87D8-5CB6C30A4CC6}"/>
    <cellStyle name="Comma 4 6 10 2" xfId="18179" xr:uid="{703DD52A-CEE7-41A0-8653-BE5DDD9FD587}"/>
    <cellStyle name="Comma 4 6 11" xfId="9739" xr:uid="{A6D79067-1E01-4B05-A0A9-688531D7793E}"/>
    <cellStyle name="Comma 4 6 2" xfId="696" xr:uid="{00000000-0005-0000-0000-0000540A0000}"/>
    <cellStyle name="Comma 4 6 2 2" xfId="2967" xr:uid="{00000000-0005-0000-0000-0000550A0000}"/>
    <cellStyle name="Comma 4 6 2 2 2" xfId="7189" xr:uid="{00000000-0005-0000-0000-0000560A0000}"/>
    <cellStyle name="Comma 4 6 2 2 2 2" xfId="24955" xr:uid="{5EF6E14C-7037-41BE-AD85-B4B5BCB6201C}"/>
    <cellStyle name="Comma 4 6 2 2 2 3" xfId="16515" xr:uid="{A5B442D4-4C94-4C0D-8DB6-4FEA243727CF}"/>
    <cellStyle name="Comma 4 6 2 2 3" xfId="20738" xr:uid="{6703D5B8-4383-4EF5-BAAB-B2901B4A08BC}"/>
    <cellStyle name="Comma 4 6 2 2 4" xfId="12298" xr:uid="{51C88EDA-0694-4FFC-AC9A-CB5E3D04927F}"/>
    <cellStyle name="Comma 4 6 2 3" xfId="5044" xr:uid="{00000000-0005-0000-0000-0000570A0000}"/>
    <cellStyle name="Comma 4 6 2 3 2" xfId="22810" xr:uid="{EB814FBE-5B75-42A2-BC3F-0CF0E56C82DA}"/>
    <cellStyle name="Comma 4 6 2 3 3" xfId="14370" xr:uid="{2691765C-46B5-4215-8499-E2E6CD573293}"/>
    <cellStyle name="Comma 4 6 2 4" xfId="9390" xr:uid="{F8012948-A58F-476A-B4CF-A63C8F36D5B6}"/>
    <cellStyle name="Comma 4 6 2 4 2" xfId="18593" xr:uid="{A1A92248-445B-4C12-A00F-25F923AFA1C7}"/>
    <cellStyle name="Comma 4 6 2 5" xfId="10153" xr:uid="{88A890F6-4BB1-445C-8824-4C5547C99F24}"/>
    <cellStyle name="Comma 4 6 3" xfId="1149" xr:uid="{00000000-0005-0000-0000-0000580A0000}"/>
    <cellStyle name="Comma 4 6 3 2" xfId="3380" xr:uid="{00000000-0005-0000-0000-0000590A0000}"/>
    <cellStyle name="Comma 4 6 3 2 2" xfId="7602" xr:uid="{00000000-0005-0000-0000-00005A0A0000}"/>
    <cellStyle name="Comma 4 6 3 2 2 2" xfId="25368" xr:uid="{F8C75F97-0145-4E95-ACC1-8B625BCEDF71}"/>
    <cellStyle name="Comma 4 6 3 2 2 3" xfId="16928" xr:uid="{DE3BA4FF-2D3B-4C61-A273-D63E72056608}"/>
    <cellStyle name="Comma 4 6 3 2 3" xfId="21151" xr:uid="{F36488E8-1A98-4DB9-BF8B-51C00BB69003}"/>
    <cellStyle name="Comma 4 6 3 2 4" xfId="12711" xr:uid="{688A7E92-8EAE-47C6-A66C-63851725AF18}"/>
    <cellStyle name="Comma 4 6 3 3" xfId="5457" xr:uid="{00000000-0005-0000-0000-00005B0A0000}"/>
    <cellStyle name="Comma 4 6 3 3 2" xfId="23223" xr:uid="{AA416914-1982-4F5E-8722-A0105DC2B649}"/>
    <cellStyle name="Comma 4 6 3 3 3" xfId="14783" xr:uid="{8C325E5A-9B8C-42C6-86AB-A7BDFA956D5F}"/>
    <cellStyle name="Comma 4 6 3 4" xfId="19006" xr:uid="{94CBA466-BAC4-4AA3-A6DA-BB01729076AD}"/>
    <cellStyle name="Comma 4 6 3 5" xfId="10566" xr:uid="{C8C418E1-D6D5-4C71-BB86-078080D7A6EA}"/>
    <cellStyle name="Comma 4 6 4" xfId="1563" xr:uid="{00000000-0005-0000-0000-00005C0A0000}"/>
    <cellStyle name="Comma 4 6 4 2" xfId="3793" xr:uid="{00000000-0005-0000-0000-00005D0A0000}"/>
    <cellStyle name="Comma 4 6 4 2 2" xfId="8015" xr:uid="{00000000-0005-0000-0000-00005E0A0000}"/>
    <cellStyle name="Comma 4 6 4 2 2 2" xfId="25781" xr:uid="{D8640D88-4709-4E1E-BB93-835453DF45CE}"/>
    <cellStyle name="Comma 4 6 4 2 2 3" xfId="17341" xr:uid="{AD81052D-AB2C-4961-A188-025EE26C776B}"/>
    <cellStyle name="Comma 4 6 4 2 3" xfId="21564" xr:uid="{9AF5116C-AE5A-4DB6-8C6E-225D70DF06C6}"/>
    <cellStyle name="Comma 4 6 4 2 4" xfId="13124" xr:uid="{C7F4336E-BF9A-4096-B474-E3067444533F}"/>
    <cellStyle name="Comma 4 6 4 3" xfId="5870" xr:uid="{00000000-0005-0000-0000-00005F0A0000}"/>
    <cellStyle name="Comma 4 6 4 3 2" xfId="23636" xr:uid="{B6043803-19DE-40F5-A1D7-0A502E758EA2}"/>
    <cellStyle name="Comma 4 6 4 3 3" xfId="15196" xr:uid="{A24B78CD-4407-4802-A7CE-4455E2E46009}"/>
    <cellStyle name="Comma 4 6 4 4" xfId="19419" xr:uid="{601DCD6E-BAE4-436F-910A-F1EFD27F1B4E}"/>
    <cellStyle name="Comma 4 6 4 5" xfId="10979" xr:uid="{4CD912B8-2717-40D0-A609-7E2D5975E806}"/>
    <cellStyle name="Comma 4 6 5" xfId="1977" xr:uid="{00000000-0005-0000-0000-0000600A0000}"/>
    <cellStyle name="Comma 4 6 5 2" xfId="4206" xr:uid="{00000000-0005-0000-0000-0000610A0000}"/>
    <cellStyle name="Comma 4 6 5 2 2" xfId="8428" xr:uid="{00000000-0005-0000-0000-0000620A0000}"/>
    <cellStyle name="Comma 4 6 5 2 2 2" xfId="26194" xr:uid="{08A42A70-33E6-4B34-9047-870C66B23C9D}"/>
    <cellStyle name="Comma 4 6 5 2 2 3" xfId="17754" xr:uid="{4CF391C9-9458-4F93-ACDC-F5AA4EA53E12}"/>
    <cellStyle name="Comma 4 6 5 2 3" xfId="21977" xr:uid="{8035A0A4-E42E-4B22-A271-5DFE68A2E847}"/>
    <cellStyle name="Comma 4 6 5 2 4" xfId="13537" xr:uid="{B5BBEBB9-B786-40B1-82BB-DA0F5726989C}"/>
    <cellStyle name="Comma 4 6 5 3" xfId="6283" xr:uid="{00000000-0005-0000-0000-0000630A0000}"/>
    <cellStyle name="Comma 4 6 5 3 2" xfId="24049" xr:uid="{DB8468DA-DB99-44C5-A54F-C88D6C1D6D9D}"/>
    <cellStyle name="Comma 4 6 5 3 3" xfId="15609" xr:uid="{41CF6866-2078-492E-85BA-7128E2A7F4D6}"/>
    <cellStyle name="Comma 4 6 5 4" xfId="19832" xr:uid="{81A7C3F0-16FE-4E55-89A5-50CB4F2D5A09}"/>
    <cellStyle name="Comma 4 6 5 5" xfId="11392" xr:uid="{F048F0FD-0DCD-4ECA-AB0F-F8D3F5C43AB1}"/>
    <cellStyle name="Comma 4 6 6" xfId="2412" xr:uid="{00000000-0005-0000-0000-0000640A0000}"/>
    <cellStyle name="Comma 4 6 6 2" xfId="6696" xr:uid="{00000000-0005-0000-0000-0000650A0000}"/>
    <cellStyle name="Comma 4 6 6 2 2" xfId="24462" xr:uid="{E74B5458-A43D-4B23-A797-26FE6DDA81DF}"/>
    <cellStyle name="Comma 4 6 6 2 3" xfId="16022" xr:uid="{33E2DDA7-5C2C-43F7-9A34-55DE0A35B6C6}"/>
    <cellStyle name="Comma 4 6 6 3" xfId="20245" xr:uid="{52CFDBBB-C8DB-4C2B-BE59-E4C603926C66}"/>
    <cellStyle name="Comma 4 6 6 4" xfId="11805" xr:uid="{42FE6F21-7212-47CD-8E73-3651030007BA}"/>
    <cellStyle name="Comma 4 6 7" xfId="2708" xr:uid="{00000000-0005-0000-0000-0000660A0000}"/>
    <cellStyle name="Comma 4 6 8" xfId="2790" xr:uid="{00000000-0005-0000-0000-0000670A0000}"/>
    <cellStyle name="Comma 4 6 8 2" xfId="7013" xr:uid="{00000000-0005-0000-0000-0000680A0000}"/>
    <cellStyle name="Comma 4 6 8 2 2" xfId="24779" xr:uid="{7F22BCD0-0934-4AFB-AE8C-D92B3BAC10B3}"/>
    <cellStyle name="Comma 4 6 8 2 3" xfId="16339" xr:uid="{908FF203-B2FD-4410-B6A9-D52C5D9A04F1}"/>
    <cellStyle name="Comma 4 6 8 3" xfId="20562" xr:uid="{487728E0-DBAD-4CDC-8DCA-AD09E6D1F708}"/>
    <cellStyle name="Comma 4 6 8 4" xfId="12122" xr:uid="{AA7CD938-B79B-445D-9DC0-33D3E62DDF29}"/>
    <cellStyle name="Comma 4 6 9" xfId="4630" xr:uid="{00000000-0005-0000-0000-0000690A0000}"/>
    <cellStyle name="Comma 4 6 9 2" xfId="22396" xr:uid="{62C4F3FE-7DBC-4696-A7A7-77D2B68A5C43}"/>
    <cellStyle name="Comma 4 6 9 3" xfId="13956" xr:uid="{DB1119CA-7754-40B9-A3A8-FDEDD10FF25C}"/>
    <cellStyle name="Comma 4 7" xfId="160" xr:uid="{00000000-0005-0000-0000-00006A0A0000}"/>
    <cellStyle name="Comma 4 7 10" xfId="9168" xr:uid="{C5EF0C72-87BD-43A9-8A23-92F9D9423F50}"/>
    <cellStyle name="Comma 4 7 10 2" xfId="18180" xr:uid="{0CDD05CB-EFAF-49B8-BB43-D08CE206908B}"/>
    <cellStyle name="Comma 4 7 11" xfId="9740" xr:uid="{7AA9B233-0F14-4EC9-88A1-5461048B46E9}"/>
    <cellStyle name="Comma 4 7 2" xfId="697" xr:uid="{00000000-0005-0000-0000-00006B0A0000}"/>
    <cellStyle name="Comma 4 7 2 2" xfId="2968" xr:uid="{00000000-0005-0000-0000-00006C0A0000}"/>
    <cellStyle name="Comma 4 7 2 2 2" xfId="7190" xr:uid="{00000000-0005-0000-0000-00006D0A0000}"/>
    <cellStyle name="Comma 4 7 2 2 2 2" xfId="24956" xr:uid="{531C9555-97E0-4E6C-8D58-9378BD133F94}"/>
    <cellStyle name="Comma 4 7 2 2 2 3" xfId="16516" xr:uid="{8453EE8A-4B96-430E-B956-37493ABE6002}"/>
    <cellStyle name="Comma 4 7 2 2 3" xfId="20739" xr:uid="{D049AE7D-21B8-46D5-96D1-DB348E81088B}"/>
    <cellStyle name="Comma 4 7 2 2 4" xfId="12299" xr:uid="{958D49D8-BB2A-45D0-BD75-83E6A7E0EF75}"/>
    <cellStyle name="Comma 4 7 2 3" xfId="5045" xr:uid="{00000000-0005-0000-0000-00006E0A0000}"/>
    <cellStyle name="Comma 4 7 2 3 2" xfId="22811" xr:uid="{F11823DE-5D59-4137-9A1E-DE9FD83B6C4B}"/>
    <cellStyle name="Comma 4 7 2 3 3" xfId="14371" xr:uid="{A57F28E3-A2E0-45FC-A4A6-9B3FD07A32D5}"/>
    <cellStyle name="Comma 4 7 2 4" xfId="9596" xr:uid="{F4A1C070-02C1-4F2A-89F2-15465D9BEBB2}"/>
    <cellStyle name="Comma 4 7 2 4 2" xfId="18594" xr:uid="{A74F8AB3-0D5A-40A7-B3BA-AF4EFDC4A97D}"/>
    <cellStyle name="Comma 4 7 2 5" xfId="10154" xr:uid="{4655EA81-2520-4E92-9269-15A0194042D9}"/>
    <cellStyle name="Comma 4 7 3" xfId="1150" xr:uid="{00000000-0005-0000-0000-00006F0A0000}"/>
    <cellStyle name="Comma 4 7 3 2" xfId="3381" xr:uid="{00000000-0005-0000-0000-0000700A0000}"/>
    <cellStyle name="Comma 4 7 3 2 2" xfId="7603" xr:uid="{00000000-0005-0000-0000-0000710A0000}"/>
    <cellStyle name="Comma 4 7 3 2 2 2" xfId="25369" xr:uid="{9D610380-403B-4551-A948-17141B76F3D9}"/>
    <cellStyle name="Comma 4 7 3 2 2 3" xfId="16929" xr:uid="{34169CC8-1442-45FF-B264-BCC4BE5C212E}"/>
    <cellStyle name="Comma 4 7 3 2 3" xfId="21152" xr:uid="{EAAB410F-00B0-4848-85CD-F651C51AFC1B}"/>
    <cellStyle name="Comma 4 7 3 2 4" xfId="12712" xr:uid="{8C8137A2-0F73-434F-90E6-6C5E6BB50984}"/>
    <cellStyle name="Comma 4 7 3 3" xfId="5458" xr:uid="{00000000-0005-0000-0000-0000720A0000}"/>
    <cellStyle name="Comma 4 7 3 3 2" xfId="23224" xr:uid="{87EC0336-D8F5-4FF9-9021-5BD5899FFA72}"/>
    <cellStyle name="Comma 4 7 3 3 3" xfId="14784" xr:uid="{9BED41CC-759D-421C-949D-33F75FE20FAC}"/>
    <cellStyle name="Comma 4 7 3 4" xfId="19007" xr:uid="{CDB227DF-7EDE-41A5-8F4B-A8DB8ED7106D}"/>
    <cellStyle name="Comma 4 7 3 5" xfId="10567" xr:uid="{47AF20C9-7178-47B2-B8CD-0F3F07459EC3}"/>
    <cellStyle name="Comma 4 7 4" xfId="1564" xr:uid="{00000000-0005-0000-0000-0000730A0000}"/>
    <cellStyle name="Comma 4 7 4 2" xfId="3794" xr:uid="{00000000-0005-0000-0000-0000740A0000}"/>
    <cellStyle name="Comma 4 7 4 2 2" xfId="8016" xr:uid="{00000000-0005-0000-0000-0000750A0000}"/>
    <cellStyle name="Comma 4 7 4 2 2 2" xfId="25782" xr:uid="{7BE3CA08-311A-4E8E-84BB-F065113AB884}"/>
    <cellStyle name="Comma 4 7 4 2 2 3" xfId="17342" xr:uid="{336B92EE-D2AA-4C59-8FF2-4805FC037767}"/>
    <cellStyle name="Comma 4 7 4 2 3" xfId="21565" xr:uid="{3D90A25E-E247-477B-95FB-4A593396638C}"/>
    <cellStyle name="Comma 4 7 4 2 4" xfId="13125" xr:uid="{6B3B0ADC-7CC5-4B72-916E-2148828F74EC}"/>
    <cellStyle name="Comma 4 7 4 3" xfId="5871" xr:uid="{00000000-0005-0000-0000-0000760A0000}"/>
    <cellStyle name="Comma 4 7 4 3 2" xfId="23637" xr:uid="{3564C46A-793E-4F88-BAFF-B9580A67D380}"/>
    <cellStyle name="Comma 4 7 4 3 3" xfId="15197" xr:uid="{1D093E3A-A4C0-461C-9909-5908369FD1CA}"/>
    <cellStyle name="Comma 4 7 4 4" xfId="19420" xr:uid="{B56EA565-58F5-4426-B61C-489DDAF69C08}"/>
    <cellStyle name="Comma 4 7 4 5" xfId="10980" xr:uid="{6368035E-E675-439F-9F22-91B8E2CCBE87}"/>
    <cellStyle name="Comma 4 7 5" xfId="1978" xr:uid="{00000000-0005-0000-0000-0000770A0000}"/>
    <cellStyle name="Comma 4 7 5 2" xfId="4207" xr:uid="{00000000-0005-0000-0000-0000780A0000}"/>
    <cellStyle name="Comma 4 7 5 2 2" xfId="8429" xr:uid="{00000000-0005-0000-0000-0000790A0000}"/>
    <cellStyle name="Comma 4 7 5 2 2 2" xfId="26195" xr:uid="{EF730DD2-E2D5-4ABE-8580-C2F726C31EB9}"/>
    <cellStyle name="Comma 4 7 5 2 2 3" xfId="17755" xr:uid="{2887BAC7-5147-4418-B6A7-7582640AFA23}"/>
    <cellStyle name="Comma 4 7 5 2 3" xfId="21978" xr:uid="{CED581AE-3F1A-43DA-B1AC-A5E5AA6A5FA3}"/>
    <cellStyle name="Comma 4 7 5 2 4" xfId="13538" xr:uid="{BF2C3001-47F6-4D98-8C2E-F17B9C4E6ECA}"/>
    <cellStyle name="Comma 4 7 5 3" xfId="6284" xr:uid="{00000000-0005-0000-0000-00007A0A0000}"/>
    <cellStyle name="Comma 4 7 5 3 2" xfId="24050" xr:uid="{B795B9AB-7FBA-4AA1-929D-57B8F1B2F444}"/>
    <cellStyle name="Comma 4 7 5 3 3" xfId="15610" xr:uid="{A95102AB-B4CB-45E6-9350-2263C9910D8D}"/>
    <cellStyle name="Comma 4 7 5 4" xfId="19833" xr:uid="{E1FDBF2B-5AB7-4807-867F-DDA280E1B2C4}"/>
    <cellStyle name="Comma 4 7 5 5" xfId="11393" xr:uid="{CB93A251-CE24-4F99-8E3C-BB27C3C1A937}"/>
    <cellStyle name="Comma 4 7 6" xfId="2413" xr:uid="{00000000-0005-0000-0000-00007B0A0000}"/>
    <cellStyle name="Comma 4 7 6 2" xfId="6697" xr:uid="{00000000-0005-0000-0000-00007C0A0000}"/>
    <cellStyle name="Comma 4 7 6 2 2" xfId="24463" xr:uid="{B7824E59-7BB0-49F5-BE95-9B41603B0978}"/>
    <cellStyle name="Comma 4 7 6 2 3" xfId="16023" xr:uid="{6E9B3C8E-77F7-4750-9F39-6CC15806B847}"/>
    <cellStyle name="Comma 4 7 6 3" xfId="20246" xr:uid="{790EF2C2-ADEC-4F13-A699-39A51A50210D}"/>
    <cellStyle name="Comma 4 7 6 4" xfId="11806" xr:uid="{BD1C327F-BA26-4F58-9693-FA9492570CA7}"/>
    <cellStyle name="Comma 4 7 7" xfId="2709" xr:uid="{00000000-0005-0000-0000-00007D0A0000}"/>
    <cellStyle name="Comma 4 7 8" xfId="2791" xr:uid="{00000000-0005-0000-0000-00007E0A0000}"/>
    <cellStyle name="Comma 4 7 8 2" xfId="7014" xr:uid="{00000000-0005-0000-0000-00007F0A0000}"/>
    <cellStyle name="Comma 4 7 8 2 2" xfId="24780" xr:uid="{0ED927F0-C78E-46D0-A097-E820E9F355D2}"/>
    <cellStyle name="Comma 4 7 8 2 3" xfId="16340" xr:uid="{38A41942-0A0F-49E6-96BB-607840555FAC}"/>
    <cellStyle name="Comma 4 7 8 3" xfId="20563" xr:uid="{842C153C-BA36-49EC-AB4D-1601495651E3}"/>
    <cellStyle name="Comma 4 7 8 4" xfId="12123" xr:uid="{65509F40-405B-443B-9821-7B3401783C36}"/>
    <cellStyle name="Comma 4 7 9" xfId="4631" xr:uid="{00000000-0005-0000-0000-0000800A0000}"/>
    <cellStyle name="Comma 4 7 9 2" xfId="22397" xr:uid="{AB6064D3-AC73-4A0F-8C10-70E94EC89B79}"/>
    <cellStyle name="Comma 4 7 9 3" xfId="13957" xr:uid="{B92C8076-5C70-481A-A84A-080B507D26E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22265" xr:uid="{4D879A4C-8C89-46F1-8F62-47640BD6731C}"/>
    <cellStyle name="Comma 7 3" xfId="9589" xr:uid="{E5FB568C-33F4-49EE-BE6E-4022B43BCBB9}"/>
    <cellStyle name="Comma 7 4" xfId="13825" xr:uid="{BE8BF9FC-D3C9-4EA7-A505-8ABE4C211426}"/>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26482" xr:uid="{38423729-0DA5-4B07-9D03-96CDD8447417}"/>
    <cellStyle name="Currency 14 2 3" xfId="18042" xr:uid="{E713E3C7-9635-4721-AD01-74538F23C783}"/>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3" xfId="26491" xr:uid="{2C6E55AE-234C-42A2-A289-3E3D9EB1B13F}"/>
    <cellStyle name="Currency 14 3 2 2 3" xfId="18051" xr:uid="{1D9742BB-E936-42E3-AD59-5CE360247343}"/>
    <cellStyle name="Currency 14 3 2 3" xfId="26488" xr:uid="{2CD52B6B-C571-4FD4-95FB-0FF61B87C144}"/>
    <cellStyle name="Currency 14 3 2 4" xfId="18048" xr:uid="{241335B1-F715-4593-8F16-664994705B11}"/>
    <cellStyle name="Currency 14 3 3" xfId="26485" xr:uid="{AC24E000-ED0B-4AA3-8FF2-6CBA7474FF0B}"/>
    <cellStyle name="Currency 14 3 4" xfId="18045" xr:uid="{046BEA38-60A2-46A2-BA2A-386B8B472709}"/>
    <cellStyle name="Currency 14 4" xfId="22268" xr:uid="{3EB71604-8D64-4CCE-AE04-0AC8B7DAE9F2}"/>
    <cellStyle name="Currency 14 5" xfId="13828" xr:uid="{F6C6D1F9-E44D-475F-B148-CC080011FAB4}"/>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24781" xr:uid="{D4D4EB68-B536-4040-92DC-354A68036504}"/>
    <cellStyle name="Currency 3 2 2 10 2 3" xfId="16341" xr:uid="{D0A13E06-9C75-4868-9DA4-3DBC2814AF1B}"/>
    <cellStyle name="Currency 3 2 2 10 3" xfId="20564" xr:uid="{5C6828BF-117E-4226-AF91-6BBD59E1FA9F}"/>
    <cellStyle name="Currency 3 2 2 10 4" xfId="12124" xr:uid="{9B62D543-5A5C-4C70-BF95-8458E245334D}"/>
    <cellStyle name="Currency 3 2 2 11" xfId="4632" xr:uid="{00000000-0005-0000-0000-0000A50A0000}"/>
    <cellStyle name="Currency 3 2 2 11 2" xfId="22398" xr:uid="{62BE9F4D-300B-4570-B435-3A521FDCD43A}"/>
    <cellStyle name="Currency 3 2 2 11 3" xfId="13958" xr:uid="{ACDAE536-D174-4F38-B9EC-5D10C7265FBD}"/>
    <cellStyle name="Currency 3 2 2 12" xfId="8808" xr:uid="{5CD24693-181E-456A-9199-DC057509AC96}"/>
    <cellStyle name="Currency 3 2 2 12 2" xfId="18181" xr:uid="{9B019616-8AE8-488A-AC48-C22DDEE0CAF6}"/>
    <cellStyle name="Currency 3 2 2 13" xfId="9741" xr:uid="{CBC88A4F-FBCC-4C91-8601-3AC935F0969C}"/>
    <cellStyle name="Currency 3 2 2 2" xfId="179" xr:uid="{00000000-0005-0000-0000-0000A60A0000}"/>
    <cellStyle name="Currency 3 2 2 2 10" xfId="4633" xr:uid="{00000000-0005-0000-0000-0000A70A0000}"/>
    <cellStyle name="Currency 3 2 2 2 10 2" xfId="22399" xr:uid="{EC491139-ECAA-4931-AF48-8F27AD36A11D}"/>
    <cellStyle name="Currency 3 2 2 2 10 3" xfId="13959" xr:uid="{EAF69024-2FFD-459C-93F5-6214D8C99AFC}"/>
    <cellStyle name="Currency 3 2 2 2 11" xfId="8911" xr:uid="{177A45F7-B130-49DA-829A-AA3BF41B848C}"/>
    <cellStyle name="Currency 3 2 2 2 11 2" xfId="18182" xr:uid="{69790F53-888A-47A1-8750-65EE0E52D539}"/>
    <cellStyle name="Currency 3 2 2 2 12" xfId="9742" xr:uid="{C41417C5-87EB-4A25-9BEC-80B71B9C36B9}"/>
    <cellStyle name="Currency 3 2 2 2 2" xfId="180" xr:uid="{00000000-0005-0000-0000-0000A80A0000}"/>
    <cellStyle name="Currency 3 2 2 2 2 10" xfId="9118" xr:uid="{4DDBDF88-B997-49F5-AF34-322CC93508E5}"/>
    <cellStyle name="Currency 3 2 2 2 2 10 2" xfId="18183" xr:uid="{22E1087B-FE44-44BB-827B-9FE517150C96}"/>
    <cellStyle name="Currency 3 2 2 2 2 11" xfId="9743" xr:uid="{96D1CFE4-695F-4C68-BB57-A9FA666202A9}"/>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24959" xr:uid="{F77D623F-D83C-40DE-AE21-E9438E9212CE}"/>
    <cellStyle name="Currency 3 2 2 2 2 2 2 2 3" xfId="16519" xr:uid="{CD9950A1-5AFE-4B52-8716-029FA76B4B8F}"/>
    <cellStyle name="Currency 3 2 2 2 2 2 2 3" xfId="20742" xr:uid="{7B71E8F3-D1DA-468B-99B3-DE8C669FE5A1}"/>
    <cellStyle name="Currency 3 2 2 2 2 2 2 4" xfId="12302" xr:uid="{D5271329-1A37-4B16-939E-4B2BBAFB5B55}"/>
    <cellStyle name="Currency 3 2 2 2 2 2 3" xfId="5048" xr:uid="{00000000-0005-0000-0000-0000AC0A0000}"/>
    <cellStyle name="Currency 3 2 2 2 2 2 3 2" xfId="22814" xr:uid="{3ACCD015-18EA-414E-81A2-3C2D32CC33C6}"/>
    <cellStyle name="Currency 3 2 2 2 2 2 3 3" xfId="14374" xr:uid="{6861DAB6-272D-4552-A192-3560B518A29E}"/>
    <cellStyle name="Currency 3 2 2 2 2 2 4" xfId="9543" xr:uid="{08990697-BAC1-4B06-A86B-C554A35267E6}"/>
    <cellStyle name="Currency 3 2 2 2 2 2 4 2" xfId="18597" xr:uid="{6432430D-0F60-43A3-A85D-F53841F93EF8}"/>
    <cellStyle name="Currency 3 2 2 2 2 2 5" xfId="10157" xr:uid="{CECBC7BA-CC1D-4739-9709-AEC7DA0C99A2}"/>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25372" xr:uid="{6E5C57CF-97F9-4CFD-9B56-C145B02500B4}"/>
    <cellStyle name="Currency 3 2 2 2 2 3 2 2 3" xfId="16932" xr:uid="{0564700C-BD99-4F2F-9D6D-6635DE8E00EF}"/>
    <cellStyle name="Currency 3 2 2 2 2 3 2 3" xfId="21155" xr:uid="{3B79DEA6-2C5C-4D28-9C63-202B13630115}"/>
    <cellStyle name="Currency 3 2 2 2 2 3 2 4" xfId="12715" xr:uid="{5D9C4BDC-1486-4EED-9D10-C6AF9109BED9}"/>
    <cellStyle name="Currency 3 2 2 2 2 3 3" xfId="5461" xr:uid="{00000000-0005-0000-0000-0000B00A0000}"/>
    <cellStyle name="Currency 3 2 2 2 2 3 3 2" xfId="23227" xr:uid="{C1BC789C-1849-4631-BC93-C7E10FE07578}"/>
    <cellStyle name="Currency 3 2 2 2 2 3 3 3" xfId="14787" xr:uid="{39DA81E5-DB39-495E-A685-CC1902325C5D}"/>
    <cellStyle name="Currency 3 2 2 2 2 3 4" xfId="19010" xr:uid="{13E5CDBD-9171-4C88-800E-6812B106957F}"/>
    <cellStyle name="Currency 3 2 2 2 2 3 5" xfId="10570" xr:uid="{C78E1A8E-6D1F-4073-B97D-A34119059A3D}"/>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25785" xr:uid="{DAB4772B-6676-4E77-A31E-B4F2748F6597}"/>
    <cellStyle name="Currency 3 2 2 2 2 4 2 2 3" xfId="17345" xr:uid="{F22F7209-647D-4BCD-8C8E-11ADF1247E11}"/>
    <cellStyle name="Currency 3 2 2 2 2 4 2 3" xfId="21568" xr:uid="{6629532E-2EBA-4811-A310-B42FFED1918E}"/>
    <cellStyle name="Currency 3 2 2 2 2 4 2 4" xfId="13128" xr:uid="{0E355DA7-5B98-487F-AF24-5CC186001A54}"/>
    <cellStyle name="Currency 3 2 2 2 2 4 3" xfId="5874" xr:uid="{00000000-0005-0000-0000-0000B40A0000}"/>
    <cellStyle name="Currency 3 2 2 2 2 4 3 2" xfId="23640" xr:uid="{20F65733-8BE5-44C1-90DF-AB01CCAAB6F0}"/>
    <cellStyle name="Currency 3 2 2 2 2 4 3 3" xfId="15200" xr:uid="{5B68274D-3E6F-4B33-8E41-FED92D984E6B}"/>
    <cellStyle name="Currency 3 2 2 2 2 4 4" xfId="19423" xr:uid="{8158C2CB-3562-4DC3-AFA3-6BE0600956FA}"/>
    <cellStyle name="Currency 3 2 2 2 2 4 5" xfId="10983" xr:uid="{07D008BA-F99D-4DD5-B9EE-B8952DA0053B}"/>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26198" xr:uid="{A518CB58-1FD2-42B4-A7FF-D09E1DF4CB0A}"/>
    <cellStyle name="Currency 3 2 2 2 2 5 2 2 3" xfId="17758" xr:uid="{E20728D6-8395-41E4-8D5C-8F5D776F4AA6}"/>
    <cellStyle name="Currency 3 2 2 2 2 5 2 3" xfId="21981" xr:uid="{3522F658-B639-4B83-924F-92A721919ADF}"/>
    <cellStyle name="Currency 3 2 2 2 2 5 2 4" xfId="13541" xr:uid="{785FFAFF-F887-4F6C-ADE3-31E5BEA8A064}"/>
    <cellStyle name="Currency 3 2 2 2 2 5 3" xfId="6287" xr:uid="{00000000-0005-0000-0000-0000B80A0000}"/>
    <cellStyle name="Currency 3 2 2 2 2 5 3 2" xfId="24053" xr:uid="{C61A59F0-A456-4119-9C1F-E1DC95D4D64A}"/>
    <cellStyle name="Currency 3 2 2 2 2 5 3 3" xfId="15613" xr:uid="{16B6B688-C7AE-4FAB-9D69-3B585AE3C637}"/>
    <cellStyle name="Currency 3 2 2 2 2 5 4" xfId="19836" xr:uid="{A32C8E9D-7381-49FE-8573-0F5AD1AC9445}"/>
    <cellStyle name="Currency 3 2 2 2 2 5 5" xfId="11396" xr:uid="{436107AC-6F3E-455F-85D5-4F169EB14117}"/>
    <cellStyle name="Currency 3 2 2 2 2 6" xfId="2416" xr:uid="{00000000-0005-0000-0000-0000B90A0000}"/>
    <cellStyle name="Currency 3 2 2 2 2 6 2" xfId="6700" xr:uid="{00000000-0005-0000-0000-0000BA0A0000}"/>
    <cellStyle name="Currency 3 2 2 2 2 6 2 2" xfId="24466" xr:uid="{97017322-D3C6-40D9-9FA4-90902062E696}"/>
    <cellStyle name="Currency 3 2 2 2 2 6 2 3" xfId="16026" xr:uid="{32394FAA-51AC-4AC1-8579-6D8C68B1A62B}"/>
    <cellStyle name="Currency 3 2 2 2 2 6 3" xfId="20249" xr:uid="{EE761AA8-B1CB-4ED8-B58A-62C787190608}"/>
    <cellStyle name="Currency 3 2 2 2 2 6 4" xfId="11809" xr:uid="{3C3A17A2-1F1A-47E7-BF6A-B839092C718E}"/>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24783" xr:uid="{070E0C86-749F-4AB7-B4CA-0FBE046F1677}"/>
    <cellStyle name="Currency 3 2 2 2 2 8 2 3" xfId="16343" xr:uid="{5CAE4A98-A7B8-4600-8B5D-2421EAE65E09}"/>
    <cellStyle name="Currency 3 2 2 2 2 8 3" xfId="20566" xr:uid="{E17CEDD2-1D5D-40EA-B23B-FBB0C85E5BA1}"/>
    <cellStyle name="Currency 3 2 2 2 2 8 4" xfId="12126" xr:uid="{AA1A22D3-92B2-48A3-84CB-63997579B7FF}"/>
    <cellStyle name="Currency 3 2 2 2 2 9" xfId="4634" xr:uid="{00000000-0005-0000-0000-0000BE0A0000}"/>
    <cellStyle name="Currency 3 2 2 2 2 9 2" xfId="22400" xr:uid="{9C6EC6C2-57D8-4617-8203-C129A13E30D0}"/>
    <cellStyle name="Currency 3 2 2 2 2 9 3" xfId="13960" xr:uid="{0EA604A7-A71E-461A-997F-86FF4D69FC47}"/>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24958" xr:uid="{73F25AA5-52E5-439B-A8C4-C112DCA374CE}"/>
    <cellStyle name="Currency 3 2 2 2 3 2 2 3" xfId="16518" xr:uid="{CEF290D5-32BC-47C3-8F01-BE7C6822AE18}"/>
    <cellStyle name="Currency 3 2 2 2 3 2 3" xfId="20741" xr:uid="{B2D00EC4-448D-4CCB-B745-17C50D5688CA}"/>
    <cellStyle name="Currency 3 2 2 2 3 2 4" xfId="12301" xr:uid="{BC5EF31E-DA7F-4161-999A-9B6C7D01B8AC}"/>
    <cellStyle name="Currency 3 2 2 2 3 3" xfId="5047" xr:uid="{00000000-0005-0000-0000-0000C20A0000}"/>
    <cellStyle name="Currency 3 2 2 2 3 3 2" xfId="22813" xr:uid="{E5219439-1C93-4F4D-9C65-09EDCD200527}"/>
    <cellStyle name="Currency 3 2 2 2 3 3 3" xfId="14373" xr:uid="{A6228003-1BF0-458F-A636-6108BAE2DE5F}"/>
    <cellStyle name="Currency 3 2 2 2 3 4" xfId="9336" xr:uid="{F86D5454-A503-484B-B8F3-81FF219E49D0}"/>
    <cellStyle name="Currency 3 2 2 2 3 4 2" xfId="18596" xr:uid="{18F09904-0AD0-4C78-9F7D-19981A98DD28}"/>
    <cellStyle name="Currency 3 2 2 2 3 5" xfId="10156" xr:uid="{55A45A38-6563-4D44-A5C5-118F1C1C3FC5}"/>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25371" xr:uid="{DE0D6CB4-3E2C-4F12-9DC6-FD175CEC1E75}"/>
    <cellStyle name="Currency 3 2 2 2 4 2 2 3" xfId="16931" xr:uid="{15B8E343-6E50-43F1-9156-E944FA510E91}"/>
    <cellStyle name="Currency 3 2 2 2 4 2 3" xfId="21154" xr:uid="{2D543EF5-1410-43D7-B5A3-AB4D2CC84557}"/>
    <cellStyle name="Currency 3 2 2 2 4 2 4" xfId="12714" xr:uid="{463ABC05-7697-4E4D-A1B5-0A8C039512F3}"/>
    <cellStyle name="Currency 3 2 2 2 4 3" xfId="5460" xr:uid="{00000000-0005-0000-0000-0000C60A0000}"/>
    <cellStyle name="Currency 3 2 2 2 4 3 2" xfId="23226" xr:uid="{03087478-F041-4981-A3D9-4A751794EB3E}"/>
    <cellStyle name="Currency 3 2 2 2 4 3 3" xfId="14786" xr:uid="{E6FE2748-35FB-42C4-B385-0E7F35FBAFB7}"/>
    <cellStyle name="Currency 3 2 2 2 4 4" xfId="19009" xr:uid="{E8022A23-EBFE-441C-8F4D-07C1283564EB}"/>
    <cellStyle name="Currency 3 2 2 2 4 5" xfId="10569" xr:uid="{CED2B044-AEE8-453B-A9A8-03CECF09A5E9}"/>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25784" xr:uid="{E93F4E5F-A535-46FF-8B93-0873037E67E8}"/>
    <cellStyle name="Currency 3 2 2 2 5 2 2 3" xfId="17344" xr:uid="{1CAB6184-0223-4DC3-BFB5-6554D6C446E8}"/>
    <cellStyle name="Currency 3 2 2 2 5 2 3" xfId="21567" xr:uid="{86276B8C-58A6-495F-85E6-F9F3B4FA27F3}"/>
    <cellStyle name="Currency 3 2 2 2 5 2 4" xfId="13127" xr:uid="{C8B848E1-9C96-4208-9C7C-95AF1C42EA5D}"/>
    <cellStyle name="Currency 3 2 2 2 5 3" xfId="5873" xr:uid="{00000000-0005-0000-0000-0000CA0A0000}"/>
    <cellStyle name="Currency 3 2 2 2 5 3 2" xfId="23639" xr:uid="{D761C4E3-8964-4A92-95D0-84BBD6F65A83}"/>
    <cellStyle name="Currency 3 2 2 2 5 3 3" xfId="15199" xr:uid="{708E934F-08EF-4257-86B9-F68951B80D5B}"/>
    <cellStyle name="Currency 3 2 2 2 5 4" xfId="19422" xr:uid="{49004E31-7E97-47D9-9961-E5D562BBAF98}"/>
    <cellStyle name="Currency 3 2 2 2 5 5" xfId="10982" xr:uid="{B4323A6C-8451-4FA7-9F2E-550DCEC8F50B}"/>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26197" xr:uid="{5C8B65EA-E1FA-45EC-9740-5EFFC34EA5AA}"/>
    <cellStyle name="Currency 3 2 2 2 6 2 2 3" xfId="17757" xr:uid="{83D27CB9-CD29-43EB-99C8-F33821AEBC2B}"/>
    <cellStyle name="Currency 3 2 2 2 6 2 3" xfId="21980" xr:uid="{7EB45B67-0432-47DE-AF34-36BA76CBDFDA}"/>
    <cellStyle name="Currency 3 2 2 2 6 2 4" xfId="13540" xr:uid="{10429BE0-09BC-488D-8EBE-2C16FBD5B1D9}"/>
    <cellStyle name="Currency 3 2 2 2 6 3" xfId="6286" xr:uid="{00000000-0005-0000-0000-0000CE0A0000}"/>
    <cellStyle name="Currency 3 2 2 2 6 3 2" xfId="24052" xr:uid="{4FD8903E-442D-4461-963C-9104A0ED5B41}"/>
    <cellStyle name="Currency 3 2 2 2 6 3 3" xfId="15612" xr:uid="{45180430-F895-418B-BD32-FDB4EB9DA3DC}"/>
    <cellStyle name="Currency 3 2 2 2 6 4" xfId="19835" xr:uid="{A80BAF85-73B6-4B38-82F5-792897000113}"/>
    <cellStyle name="Currency 3 2 2 2 6 5" xfId="11395" xr:uid="{AFD15ED3-A15B-425F-8412-C3EA1DC5A1DB}"/>
    <cellStyle name="Currency 3 2 2 2 7" xfId="2415" xr:uid="{00000000-0005-0000-0000-0000CF0A0000}"/>
    <cellStyle name="Currency 3 2 2 2 7 2" xfId="6699" xr:uid="{00000000-0005-0000-0000-0000D00A0000}"/>
    <cellStyle name="Currency 3 2 2 2 7 2 2" xfId="24465" xr:uid="{CACD3916-9687-4FA1-BA01-31E191C39A87}"/>
    <cellStyle name="Currency 3 2 2 2 7 2 3" xfId="16025" xr:uid="{4B3C6E26-AFC4-40BD-ABF5-D46E1DF097B0}"/>
    <cellStyle name="Currency 3 2 2 2 7 3" xfId="20248" xr:uid="{9A840DD5-2229-4170-A05C-F1DB703FC2E5}"/>
    <cellStyle name="Currency 3 2 2 2 7 4" xfId="11808" xr:uid="{9F596D0A-B085-4D91-B650-EB7495DF55DB}"/>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24782" xr:uid="{1786C718-DA14-41BE-8EAF-A4ACB4A5D630}"/>
    <cellStyle name="Currency 3 2 2 2 9 2 3" xfId="16342" xr:uid="{56B3604E-E1B5-4E9D-B11F-02EF955B9D94}"/>
    <cellStyle name="Currency 3 2 2 2 9 3" xfId="20565" xr:uid="{7160537E-6FF8-4722-AA83-E477F72F976A}"/>
    <cellStyle name="Currency 3 2 2 2 9 4" xfId="12125" xr:uid="{128500F1-A0B1-4244-91F8-308A8B643F6C}"/>
    <cellStyle name="Currency 3 2 2 3" xfId="181" xr:uid="{00000000-0005-0000-0000-0000D40A0000}"/>
    <cellStyle name="Currency 3 2 2 3 10" xfId="9015" xr:uid="{A1C3FAFC-6FB9-45C5-A279-C90E61794A63}"/>
    <cellStyle name="Currency 3 2 2 3 10 2" xfId="18184" xr:uid="{D4CE1542-6CDB-4FC2-8B0A-404C8649C0B8}"/>
    <cellStyle name="Currency 3 2 2 3 11" xfId="9744" xr:uid="{D3288001-D451-4AF6-8D41-B4A99533CF9E}"/>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24960" xr:uid="{3A3F8B56-6EB9-4CC6-8468-C6310D2EE7C9}"/>
    <cellStyle name="Currency 3 2 2 3 2 2 2 3" xfId="16520" xr:uid="{B80DB6C2-729C-4458-8048-3D126F18F80C}"/>
    <cellStyle name="Currency 3 2 2 3 2 2 3" xfId="20743" xr:uid="{BAFA06C5-3126-47B7-9041-3D64362F7F3E}"/>
    <cellStyle name="Currency 3 2 2 3 2 2 4" xfId="12303" xr:uid="{5414F7FD-3897-43A9-B740-FCF7D9B37C78}"/>
    <cellStyle name="Currency 3 2 2 3 2 3" xfId="5049" xr:uid="{00000000-0005-0000-0000-0000D80A0000}"/>
    <cellStyle name="Currency 3 2 2 3 2 3 2" xfId="22815" xr:uid="{42C0A6F9-0271-4480-BAD5-A8CD6A9C1401}"/>
    <cellStyle name="Currency 3 2 2 3 2 3 3" xfId="14375" xr:uid="{578F767D-1FD4-4590-A55F-6739ECE49833}"/>
    <cellStyle name="Currency 3 2 2 3 2 4" xfId="9440" xr:uid="{774D5512-BCA5-4224-A909-3336A63369C8}"/>
    <cellStyle name="Currency 3 2 2 3 2 4 2" xfId="18598" xr:uid="{A6FC7593-466F-4E9F-AC90-D513E7DBCC03}"/>
    <cellStyle name="Currency 3 2 2 3 2 5" xfId="10158" xr:uid="{1509177D-A283-4E20-8F25-6AC6C4FEF86A}"/>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25373" xr:uid="{FE4C8047-7CC2-476C-99AE-8AFDAB261456}"/>
    <cellStyle name="Currency 3 2 2 3 3 2 2 3" xfId="16933" xr:uid="{A7D445B4-559A-4317-A7A7-4D3C68A9F290}"/>
    <cellStyle name="Currency 3 2 2 3 3 2 3" xfId="21156" xr:uid="{B478327E-30B1-46C2-A14D-F0BA7C37DB6A}"/>
    <cellStyle name="Currency 3 2 2 3 3 2 4" xfId="12716" xr:uid="{95036DCA-C532-4FF3-8A65-6EBDAA801B43}"/>
    <cellStyle name="Currency 3 2 2 3 3 3" xfId="5462" xr:uid="{00000000-0005-0000-0000-0000DC0A0000}"/>
    <cellStyle name="Currency 3 2 2 3 3 3 2" xfId="23228" xr:uid="{8F927FCB-5D9C-444A-BE4D-A856F0242540}"/>
    <cellStyle name="Currency 3 2 2 3 3 3 3" xfId="14788" xr:uid="{60611C35-9EE1-470F-8CD5-C1C1A5011B7C}"/>
    <cellStyle name="Currency 3 2 2 3 3 4" xfId="19011" xr:uid="{3505B6A2-6199-4328-BCBA-C95104244CDB}"/>
    <cellStyle name="Currency 3 2 2 3 3 5" xfId="10571" xr:uid="{6788F579-992C-4B63-BBA9-ED0F2B82FDFC}"/>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25786" xr:uid="{37B44B57-EBBA-4E5E-9329-0CB5B3943DA9}"/>
    <cellStyle name="Currency 3 2 2 3 4 2 2 3" xfId="17346" xr:uid="{7F3074AB-9378-41BB-B6B9-C958BEA79422}"/>
    <cellStyle name="Currency 3 2 2 3 4 2 3" xfId="21569" xr:uid="{61A51886-C6EA-4FBE-8EE1-00A89F345FE6}"/>
    <cellStyle name="Currency 3 2 2 3 4 2 4" xfId="13129" xr:uid="{D7B27ACC-7309-473E-8607-7EFF4CBB86C7}"/>
    <cellStyle name="Currency 3 2 2 3 4 3" xfId="5875" xr:uid="{00000000-0005-0000-0000-0000E00A0000}"/>
    <cellStyle name="Currency 3 2 2 3 4 3 2" xfId="23641" xr:uid="{B65042B9-7ACC-4114-B10B-87C04DC695A9}"/>
    <cellStyle name="Currency 3 2 2 3 4 3 3" xfId="15201" xr:uid="{0E3D8B03-66A5-4559-8B18-CD62564EA850}"/>
    <cellStyle name="Currency 3 2 2 3 4 4" xfId="19424" xr:uid="{C2793E79-2CE4-4BE8-A92B-CC46B03D5D69}"/>
    <cellStyle name="Currency 3 2 2 3 4 5" xfId="10984" xr:uid="{F3B765F7-D381-4E57-B50B-7F69C1FDC8C1}"/>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26199" xr:uid="{D03A4DAB-F5F6-4D2F-988A-C86E2402968F}"/>
    <cellStyle name="Currency 3 2 2 3 5 2 2 3" xfId="17759" xr:uid="{D5D9FB2D-0BA2-49FD-AADE-F0360E9219B9}"/>
    <cellStyle name="Currency 3 2 2 3 5 2 3" xfId="21982" xr:uid="{061A2DBD-62C3-46A2-B722-21844A60290D}"/>
    <cellStyle name="Currency 3 2 2 3 5 2 4" xfId="13542" xr:uid="{EA191FC3-F759-42C2-936E-69BB87E0EE31}"/>
    <cellStyle name="Currency 3 2 2 3 5 3" xfId="6288" xr:uid="{00000000-0005-0000-0000-0000E40A0000}"/>
    <cellStyle name="Currency 3 2 2 3 5 3 2" xfId="24054" xr:uid="{F19217DE-214D-4C01-96C8-E7441DD75285}"/>
    <cellStyle name="Currency 3 2 2 3 5 3 3" xfId="15614" xr:uid="{E80F82C9-B3B2-4833-AEEA-4710BC9D37A9}"/>
    <cellStyle name="Currency 3 2 2 3 5 4" xfId="19837" xr:uid="{FBB17894-7077-4FD7-98ED-EA93B0A9269C}"/>
    <cellStyle name="Currency 3 2 2 3 5 5" xfId="11397" xr:uid="{CC004F2A-6CC3-48F0-9645-05BFEB34C3BF}"/>
    <cellStyle name="Currency 3 2 2 3 6" xfId="2417" xr:uid="{00000000-0005-0000-0000-0000E50A0000}"/>
    <cellStyle name="Currency 3 2 2 3 6 2" xfId="6701" xr:uid="{00000000-0005-0000-0000-0000E60A0000}"/>
    <cellStyle name="Currency 3 2 2 3 6 2 2" xfId="24467" xr:uid="{B13A75ED-82E9-4D5C-B097-5DFD27583209}"/>
    <cellStyle name="Currency 3 2 2 3 6 2 3" xfId="16027" xr:uid="{D9763619-9428-4803-81CE-8B8CBDD3AF42}"/>
    <cellStyle name="Currency 3 2 2 3 6 3" xfId="20250" xr:uid="{07BE326C-1D6A-44D9-A84B-FD1D7DA32266}"/>
    <cellStyle name="Currency 3 2 2 3 6 4" xfId="11810" xr:uid="{EC3AE275-2D23-470C-9AA6-0C0246A4A7AB}"/>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24784" xr:uid="{C0384420-7396-49F8-A932-6DA1449AB737}"/>
    <cellStyle name="Currency 3 2 2 3 8 2 3" xfId="16344" xr:uid="{14E4AE2F-2411-4204-ADA5-F0631BC4AD02}"/>
    <cellStyle name="Currency 3 2 2 3 8 3" xfId="20567" xr:uid="{D8D25BC8-66FE-4041-8316-9F440C7C7EEF}"/>
    <cellStyle name="Currency 3 2 2 3 8 4" xfId="12127" xr:uid="{51EEAA1E-A0FE-4CF4-A5F0-C3E7FD0D2C51}"/>
    <cellStyle name="Currency 3 2 2 3 9" xfId="4635" xr:uid="{00000000-0005-0000-0000-0000EA0A0000}"/>
    <cellStyle name="Currency 3 2 2 3 9 2" xfId="22401" xr:uid="{320BA4EE-E2B1-42FB-AC23-34F8700E192E}"/>
    <cellStyle name="Currency 3 2 2 3 9 3" xfId="13961" xr:uid="{730D6181-D7FE-4A20-9E5E-E29604B85BB5}"/>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24957" xr:uid="{F091382C-BDFB-496D-A641-05D4BE4830F4}"/>
    <cellStyle name="Currency 3 2 2 4 2 2 3" xfId="16517" xr:uid="{1ABF2EF9-DCE2-4451-8480-F937785EEFF9}"/>
    <cellStyle name="Currency 3 2 2 4 2 3" xfId="20740" xr:uid="{F4AD59AB-DB60-45CB-A92B-EDAB7C8E2017}"/>
    <cellStyle name="Currency 3 2 2 4 2 4" xfId="12300" xr:uid="{9F195425-297A-4803-AADA-53D3402D88F2}"/>
    <cellStyle name="Currency 3 2 2 4 3" xfId="5046" xr:uid="{00000000-0005-0000-0000-0000EE0A0000}"/>
    <cellStyle name="Currency 3 2 2 4 3 2" xfId="22812" xr:uid="{6315D587-A284-419A-B2CF-6C05E3039066}"/>
    <cellStyle name="Currency 3 2 2 4 3 3" xfId="14372" xr:uid="{D72C85B8-ADE5-4636-A2F7-CEDD316942DB}"/>
    <cellStyle name="Currency 3 2 2 4 4" xfId="9233" xr:uid="{A90843BF-65B1-48E5-9C93-A2651D7B4B13}"/>
    <cellStyle name="Currency 3 2 2 4 4 2" xfId="18595" xr:uid="{AF198EE2-412B-4BCA-92FC-D5A65E37AB62}"/>
    <cellStyle name="Currency 3 2 2 4 5" xfId="10155" xr:uid="{FFA95F43-EEAD-4B53-8E54-D7BF6B33D81C}"/>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25370" xr:uid="{DF073D5E-A93A-44E5-ABA5-38F02A8FA0C1}"/>
    <cellStyle name="Currency 3 2 2 5 2 2 3" xfId="16930" xr:uid="{0CF582BC-45ED-4DD6-8599-F497A9F520DD}"/>
    <cellStyle name="Currency 3 2 2 5 2 3" xfId="21153" xr:uid="{589B031C-5B2B-48EB-94EB-2F6B94E0B98B}"/>
    <cellStyle name="Currency 3 2 2 5 2 4" xfId="12713" xr:uid="{586C61E3-5DDC-41CF-B59B-FB344BE44437}"/>
    <cellStyle name="Currency 3 2 2 5 3" xfId="5459" xr:uid="{00000000-0005-0000-0000-0000F20A0000}"/>
    <cellStyle name="Currency 3 2 2 5 3 2" xfId="23225" xr:uid="{7B5D1655-ADB6-4C19-8F19-827F1D85F1BF}"/>
    <cellStyle name="Currency 3 2 2 5 3 3" xfId="14785" xr:uid="{618C1FDA-39C6-49C6-8A46-EA712B424B1F}"/>
    <cellStyle name="Currency 3 2 2 5 4" xfId="19008" xr:uid="{CEA29DA8-1E55-4889-AE41-47260C1BA85B}"/>
    <cellStyle name="Currency 3 2 2 5 5" xfId="10568" xr:uid="{F1936997-6077-4C3E-AE73-23D76B72A17F}"/>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25783" xr:uid="{9412E3FF-4678-495A-8881-69F1C44A85C9}"/>
    <cellStyle name="Currency 3 2 2 6 2 2 3" xfId="17343" xr:uid="{C18D52D6-AB0B-41F7-B3B5-692D40860B74}"/>
    <cellStyle name="Currency 3 2 2 6 2 3" xfId="21566" xr:uid="{3AF74AEE-6DF0-4AB1-9DA1-DE913BC7E746}"/>
    <cellStyle name="Currency 3 2 2 6 2 4" xfId="13126" xr:uid="{ECA72949-E18A-4A9D-9264-CCF295E6A65C}"/>
    <cellStyle name="Currency 3 2 2 6 3" xfId="5872" xr:uid="{00000000-0005-0000-0000-0000F60A0000}"/>
    <cellStyle name="Currency 3 2 2 6 3 2" xfId="23638" xr:uid="{5C9E3CD9-BDD5-4C7A-BF8C-73B2A60DEFD8}"/>
    <cellStyle name="Currency 3 2 2 6 3 3" xfId="15198" xr:uid="{1944E49D-C90B-4385-A854-A0C0FB725D40}"/>
    <cellStyle name="Currency 3 2 2 6 4" xfId="19421" xr:uid="{9744BC84-8220-414B-ABE7-A6215B1253B0}"/>
    <cellStyle name="Currency 3 2 2 6 5" xfId="10981" xr:uid="{208D4111-1075-4DDB-9C0E-D1E424820BB2}"/>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26196" xr:uid="{CBEF410F-95CF-409A-9471-188BCE9170C4}"/>
    <cellStyle name="Currency 3 2 2 7 2 2 3" xfId="17756" xr:uid="{AC861889-A0E8-4802-BBBF-D4FBB6878C7D}"/>
    <cellStyle name="Currency 3 2 2 7 2 3" xfId="21979" xr:uid="{879D0374-52B9-4480-B179-93AECB3874DB}"/>
    <cellStyle name="Currency 3 2 2 7 2 4" xfId="13539" xr:uid="{69265C85-612C-46C9-AEBC-329D461E0239}"/>
    <cellStyle name="Currency 3 2 2 7 3" xfId="6285" xr:uid="{00000000-0005-0000-0000-0000FA0A0000}"/>
    <cellStyle name="Currency 3 2 2 7 3 2" xfId="24051" xr:uid="{473D6C04-FB2C-4A95-A5DA-59968695428B}"/>
    <cellStyle name="Currency 3 2 2 7 3 3" xfId="15611" xr:uid="{0C0AC308-032D-4061-88F8-7A0D16914612}"/>
    <cellStyle name="Currency 3 2 2 7 4" xfId="19834" xr:uid="{35EEFA4B-61EF-46D1-A478-24D379E74C9F}"/>
    <cellStyle name="Currency 3 2 2 7 5" xfId="11394" xr:uid="{D2DF222B-4AB3-40D4-B309-46B12CCA4DFE}"/>
    <cellStyle name="Currency 3 2 2 8" xfId="2414" xr:uid="{00000000-0005-0000-0000-0000FB0A0000}"/>
    <cellStyle name="Currency 3 2 2 8 2" xfId="6698" xr:uid="{00000000-0005-0000-0000-0000FC0A0000}"/>
    <cellStyle name="Currency 3 2 2 8 2 2" xfId="24464" xr:uid="{1D34F0FF-5E26-49EF-811A-E758233EADCB}"/>
    <cellStyle name="Currency 3 2 2 8 2 3" xfId="16024" xr:uid="{162CA1C3-41C5-4D8C-9BBE-C3F0486D0B20}"/>
    <cellStyle name="Currency 3 2 2 8 3" xfId="20247" xr:uid="{608F1617-BF6C-420F-B423-916E86EF30C3}"/>
    <cellStyle name="Currency 3 2 2 8 4" xfId="11807" xr:uid="{8F6EA431-66EF-4FB9-8A13-E84FCE85F359}"/>
    <cellStyle name="Currency 3 2 2 9" xfId="2711" xr:uid="{00000000-0005-0000-0000-0000FD0A0000}"/>
    <cellStyle name="Currency 3 2 3" xfId="182" xr:uid="{00000000-0005-0000-0000-0000FE0A0000}"/>
    <cellStyle name="Currency 3 2 3 10" xfId="4636" xr:uid="{00000000-0005-0000-0000-0000FF0A0000}"/>
    <cellStyle name="Currency 3 2 3 10 2" xfId="22402" xr:uid="{8F15DDE6-7218-45CD-82ED-6DFA22E660BA}"/>
    <cellStyle name="Currency 3 2 3 10 3" xfId="13962" xr:uid="{D861F090-1608-4860-8E8C-2560ED4D678F}"/>
    <cellStyle name="Currency 3 2 3 11" xfId="8893" xr:uid="{8CE28714-D587-402C-9A17-1A08799662D4}"/>
    <cellStyle name="Currency 3 2 3 11 2" xfId="18185" xr:uid="{301CDC91-3B73-4303-9C40-0497D3467CD0}"/>
    <cellStyle name="Currency 3 2 3 12" xfId="9745" xr:uid="{FEE90776-5445-434E-B429-22D80FE89626}"/>
    <cellStyle name="Currency 3 2 3 2" xfId="183" xr:uid="{00000000-0005-0000-0000-0000000B0000}"/>
    <cellStyle name="Currency 3 2 3 2 10" xfId="9100" xr:uid="{CEBE1F40-0923-46C6-AB84-DD4DAB20CD81}"/>
    <cellStyle name="Currency 3 2 3 2 10 2" xfId="18186" xr:uid="{21953A85-F860-4DF4-A5EA-BD42D4BD6F04}"/>
    <cellStyle name="Currency 3 2 3 2 11" xfId="9746" xr:uid="{340D28CA-A0A7-4CC9-BBAA-620715E99B7A}"/>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24962" xr:uid="{5628EBB7-7799-41AA-B536-7B34A4A449F7}"/>
    <cellStyle name="Currency 3 2 3 2 2 2 2 3" xfId="16522" xr:uid="{7D0CCCAC-64F6-40AE-96BE-F9BCFC4BA27F}"/>
    <cellStyle name="Currency 3 2 3 2 2 2 3" xfId="20745" xr:uid="{B6155F8B-42C2-4553-BF07-8C5A575E49CD}"/>
    <cellStyle name="Currency 3 2 3 2 2 2 4" xfId="12305" xr:uid="{36593A1F-722E-4B10-AF94-55647DF17369}"/>
    <cellStyle name="Currency 3 2 3 2 2 3" xfId="5051" xr:uid="{00000000-0005-0000-0000-0000040B0000}"/>
    <cellStyle name="Currency 3 2 3 2 2 3 2" xfId="22817" xr:uid="{CBEE3C30-8ADC-4943-9153-F7B0A7A101BB}"/>
    <cellStyle name="Currency 3 2 3 2 2 3 3" xfId="14377" xr:uid="{E1FE3425-2151-4761-8E4F-F853845BCD8D}"/>
    <cellStyle name="Currency 3 2 3 2 2 4" xfId="9525" xr:uid="{759374BA-DDD8-4F33-9655-B300986F8700}"/>
    <cellStyle name="Currency 3 2 3 2 2 4 2" xfId="18600" xr:uid="{8EE390FE-2030-4B5A-9ACC-C3ED60ACB563}"/>
    <cellStyle name="Currency 3 2 3 2 2 5" xfId="10160" xr:uid="{4187D747-4ECC-40A5-89D7-5E1533B5F6C9}"/>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25375" xr:uid="{D482D32F-370B-4A88-A14E-FBEF7D81FCA1}"/>
    <cellStyle name="Currency 3 2 3 2 3 2 2 3" xfId="16935" xr:uid="{1CA1A66C-BF93-4368-8D5F-213BD61C9BCD}"/>
    <cellStyle name="Currency 3 2 3 2 3 2 3" xfId="21158" xr:uid="{8549D890-1B8F-464A-A70B-C39EABFD965F}"/>
    <cellStyle name="Currency 3 2 3 2 3 2 4" xfId="12718" xr:uid="{3DE1BC1B-48CF-4C04-82EE-315C4BB32C84}"/>
    <cellStyle name="Currency 3 2 3 2 3 3" xfId="5464" xr:uid="{00000000-0005-0000-0000-0000080B0000}"/>
    <cellStyle name="Currency 3 2 3 2 3 3 2" xfId="23230" xr:uid="{899491DC-34D4-4A98-86F0-5C4B14F8F9F1}"/>
    <cellStyle name="Currency 3 2 3 2 3 3 3" xfId="14790" xr:uid="{D7F7417E-2AB2-4FEA-B3D7-8F88FB2840A5}"/>
    <cellStyle name="Currency 3 2 3 2 3 4" xfId="19013" xr:uid="{D78B2B75-6982-40EF-A7B2-549E9DD165B7}"/>
    <cellStyle name="Currency 3 2 3 2 3 5" xfId="10573" xr:uid="{6F90BFC2-57AB-4408-92B4-321FE11A4803}"/>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25788" xr:uid="{AE5CA26D-59DF-45DE-9EDE-1276E73F94B0}"/>
    <cellStyle name="Currency 3 2 3 2 4 2 2 3" xfId="17348" xr:uid="{9C848B49-76D3-46EB-9DFD-E2DF8FFC66D0}"/>
    <cellStyle name="Currency 3 2 3 2 4 2 3" xfId="21571" xr:uid="{34BA28A6-961A-46F5-AA39-022580E4C193}"/>
    <cellStyle name="Currency 3 2 3 2 4 2 4" xfId="13131" xr:uid="{3BBDFFFC-FB06-4872-9FD7-27658521D6ED}"/>
    <cellStyle name="Currency 3 2 3 2 4 3" xfId="5877" xr:uid="{00000000-0005-0000-0000-00000C0B0000}"/>
    <cellStyle name="Currency 3 2 3 2 4 3 2" xfId="23643" xr:uid="{26086AF5-F38D-47EB-AE13-64FFCA646F37}"/>
    <cellStyle name="Currency 3 2 3 2 4 3 3" xfId="15203" xr:uid="{08B67B34-982A-4F4F-BF69-E7C8C25573A6}"/>
    <cellStyle name="Currency 3 2 3 2 4 4" xfId="19426" xr:uid="{6AC6BAD5-94A5-45C0-8BA4-D063D0F73AFF}"/>
    <cellStyle name="Currency 3 2 3 2 4 5" xfId="10986" xr:uid="{7595A1D1-86D4-455D-A9C8-13508022DF67}"/>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26201" xr:uid="{4B99E2CF-92D0-490A-9E0F-35B99273F6AE}"/>
    <cellStyle name="Currency 3 2 3 2 5 2 2 3" xfId="17761" xr:uid="{F4B1395A-DBCD-4281-B544-DB6E821484C8}"/>
    <cellStyle name="Currency 3 2 3 2 5 2 3" xfId="21984" xr:uid="{89502736-4BF6-4C2E-971E-854F0A271E0B}"/>
    <cellStyle name="Currency 3 2 3 2 5 2 4" xfId="13544" xr:uid="{3CFE0B21-7E12-4699-B7C0-8A8267591090}"/>
    <cellStyle name="Currency 3 2 3 2 5 3" xfId="6290" xr:uid="{00000000-0005-0000-0000-0000100B0000}"/>
    <cellStyle name="Currency 3 2 3 2 5 3 2" xfId="24056" xr:uid="{8CABFE31-6BDD-49E5-B29C-9301DC555D3F}"/>
    <cellStyle name="Currency 3 2 3 2 5 3 3" xfId="15616" xr:uid="{CAC501DE-EF97-41CE-AB17-7C72D75A8AF0}"/>
    <cellStyle name="Currency 3 2 3 2 5 4" xfId="19839" xr:uid="{53CA2BDD-7346-4524-AEA2-3A2E8C02F69A}"/>
    <cellStyle name="Currency 3 2 3 2 5 5" xfId="11399" xr:uid="{7C6DA45F-0890-44A3-B75D-44734AC60DF7}"/>
    <cellStyle name="Currency 3 2 3 2 6" xfId="2419" xr:uid="{00000000-0005-0000-0000-0000110B0000}"/>
    <cellStyle name="Currency 3 2 3 2 6 2" xfId="6703" xr:uid="{00000000-0005-0000-0000-0000120B0000}"/>
    <cellStyle name="Currency 3 2 3 2 6 2 2" xfId="24469" xr:uid="{15ACBFF2-BCD1-406F-89A2-1FBCF78FC533}"/>
    <cellStyle name="Currency 3 2 3 2 6 2 3" xfId="16029" xr:uid="{BEC1A43D-79F6-4604-92BD-99D1E1873274}"/>
    <cellStyle name="Currency 3 2 3 2 6 3" xfId="20252" xr:uid="{75E47399-68C2-4C74-869A-86DE0B3C9019}"/>
    <cellStyle name="Currency 3 2 3 2 6 4" xfId="11812" xr:uid="{6A5E8317-BCE5-4E63-9974-6339E9581F94}"/>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24786" xr:uid="{CC33F6A8-BF87-4C76-95B4-276D5AD6B8E4}"/>
    <cellStyle name="Currency 3 2 3 2 8 2 3" xfId="16346" xr:uid="{0BAA6856-0A9A-431B-8866-D956F1AD7B65}"/>
    <cellStyle name="Currency 3 2 3 2 8 3" xfId="20569" xr:uid="{B6743960-31B6-44B4-B5C6-FA85C4D792DD}"/>
    <cellStyle name="Currency 3 2 3 2 8 4" xfId="12129" xr:uid="{C6B9773F-1F84-492A-A868-29B1DC262E98}"/>
    <cellStyle name="Currency 3 2 3 2 9" xfId="4637" xr:uid="{00000000-0005-0000-0000-0000160B0000}"/>
    <cellStyle name="Currency 3 2 3 2 9 2" xfId="22403" xr:uid="{65633985-4B5B-4DB6-8FBD-681787B83326}"/>
    <cellStyle name="Currency 3 2 3 2 9 3" xfId="13963" xr:uid="{C4E79529-F157-42D3-BDB4-9DAB3FA6933E}"/>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24961" xr:uid="{BF662A7A-D296-4D31-B933-3F5B2A63AB03}"/>
    <cellStyle name="Currency 3 2 3 3 2 2 3" xfId="16521" xr:uid="{DB397EBC-1357-4E7A-9D1A-4BED9A3A11A7}"/>
    <cellStyle name="Currency 3 2 3 3 2 3" xfId="20744" xr:uid="{0F5384AC-F953-4C4B-996D-3B6E915D8102}"/>
    <cellStyle name="Currency 3 2 3 3 2 4" xfId="12304" xr:uid="{14250210-683A-4520-8302-90781C459E9C}"/>
    <cellStyle name="Currency 3 2 3 3 3" xfId="5050" xr:uid="{00000000-0005-0000-0000-00001A0B0000}"/>
    <cellStyle name="Currency 3 2 3 3 3 2" xfId="22816" xr:uid="{A79DD134-B7F1-431C-92AF-1FFB6488C239}"/>
    <cellStyle name="Currency 3 2 3 3 3 3" xfId="14376" xr:uid="{D9CB853C-C82C-46C8-B18D-9D2FAE6384F2}"/>
    <cellStyle name="Currency 3 2 3 3 4" xfId="9318" xr:uid="{AA73873E-8E72-4FDE-A22E-F5D80E2A87B1}"/>
    <cellStyle name="Currency 3 2 3 3 4 2" xfId="18599" xr:uid="{C189AE8D-B1F9-47EC-AA95-7801157497B5}"/>
    <cellStyle name="Currency 3 2 3 3 5" xfId="10159" xr:uid="{FE474852-8EA2-430B-8D39-3B0D5E6F8434}"/>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25374" xr:uid="{2EC510C4-5348-4855-A2B1-35D3B9F5F3E6}"/>
    <cellStyle name="Currency 3 2 3 4 2 2 3" xfId="16934" xr:uid="{1A4FF09A-AC83-4F00-9584-F8DF0672A0E1}"/>
    <cellStyle name="Currency 3 2 3 4 2 3" xfId="21157" xr:uid="{22BED4EB-D655-408A-B6DF-16F8970D5692}"/>
    <cellStyle name="Currency 3 2 3 4 2 4" xfId="12717" xr:uid="{770BDDF4-74FC-4D1B-AAB3-53354F3059C3}"/>
    <cellStyle name="Currency 3 2 3 4 3" xfId="5463" xr:uid="{00000000-0005-0000-0000-00001E0B0000}"/>
    <cellStyle name="Currency 3 2 3 4 3 2" xfId="23229" xr:uid="{2DE1AD20-2FB3-4246-9613-E76484C86207}"/>
    <cellStyle name="Currency 3 2 3 4 3 3" xfId="14789" xr:uid="{0F368FDC-9B36-431C-939B-EC6A0BAE198E}"/>
    <cellStyle name="Currency 3 2 3 4 4" xfId="19012" xr:uid="{BFDF2363-0DE5-476F-A30B-3ECA9E4BC787}"/>
    <cellStyle name="Currency 3 2 3 4 5" xfId="10572" xr:uid="{FBE73EF9-A32B-4E58-9D51-0CB2433578EA}"/>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25787" xr:uid="{1A2C0F8D-6444-40EE-9BF3-7D1287518653}"/>
    <cellStyle name="Currency 3 2 3 5 2 2 3" xfId="17347" xr:uid="{F7D2E5BF-A894-449F-9CBB-C0DA74591823}"/>
    <cellStyle name="Currency 3 2 3 5 2 3" xfId="21570" xr:uid="{F7BA4850-9E42-4396-B2E7-BA4B3D8021E5}"/>
    <cellStyle name="Currency 3 2 3 5 2 4" xfId="13130" xr:uid="{D93E7F20-6AD9-4EF5-8827-59A65A7D8E97}"/>
    <cellStyle name="Currency 3 2 3 5 3" xfId="5876" xr:uid="{00000000-0005-0000-0000-0000220B0000}"/>
    <cellStyle name="Currency 3 2 3 5 3 2" xfId="23642" xr:uid="{6EFF5EB8-68BE-43E3-A5ED-762A8D182BE3}"/>
    <cellStyle name="Currency 3 2 3 5 3 3" xfId="15202" xr:uid="{CECD162D-8EFC-4039-B370-DE05AB1161A7}"/>
    <cellStyle name="Currency 3 2 3 5 4" xfId="19425" xr:uid="{02FD5A3C-60A8-419F-AB04-FC5B0BC1FBCA}"/>
    <cellStyle name="Currency 3 2 3 5 5" xfId="10985" xr:uid="{D1E7739C-2913-48DB-B6CA-479777E460E9}"/>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26200" xr:uid="{E7C07FA4-E128-4891-9A3F-B236671BB03B}"/>
    <cellStyle name="Currency 3 2 3 6 2 2 3" xfId="17760" xr:uid="{43A25EE4-FDE0-483B-89CD-09B0C2D37DD2}"/>
    <cellStyle name="Currency 3 2 3 6 2 3" xfId="21983" xr:uid="{D28BF417-5A68-4A40-98B4-D55109FB974F}"/>
    <cellStyle name="Currency 3 2 3 6 2 4" xfId="13543" xr:uid="{F9DC22F3-253D-4FD0-8E7F-D97AE707F2CB}"/>
    <cellStyle name="Currency 3 2 3 6 3" xfId="6289" xr:uid="{00000000-0005-0000-0000-0000260B0000}"/>
    <cellStyle name="Currency 3 2 3 6 3 2" xfId="24055" xr:uid="{2A60878D-75B9-4791-A026-FB37C5A12280}"/>
    <cellStyle name="Currency 3 2 3 6 3 3" xfId="15615" xr:uid="{4255E98C-A23C-4555-93F1-B6A07E340339}"/>
    <cellStyle name="Currency 3 2 3 6 4" xfId="19838" xr:uid="{5CCA62CB-AE23-4127-86DB-E6700AD1C2F9}"/>
    <cellStyle name="Currency 3 2 3 6 5" xfId="11398" xr:uid="{1DC775CC-DB16-4853-BA87-28B8B066B66F}"/>
    <cellStyle name="Currency 3 2 3 7" xfId="2418" xr:uid="{00000000-0005-0000-0000-0000270B0000}"/>
    <cellStyle name="Currency 3 2 3 7 2" xfId="6702" xr:uid="{00000000-0005-0000-0000-0000280B0000}"/>
    <cellStyle name="Currency 3 2 3 7 2 2" xfId="24468" xr:uid="{1B995499-8C25-419C-9ADA-3A41D0C7FE9F}"/>
    <cellStyle name="Currency 3 2 3 7 2 3" xfId="16028" xr:uid="{F0F5D001-8C70-4630-9F40-72E6DF3397B7}"/>
    <cellStyle name="Currency 3 2 3 7 3" xfId="20251" xr:uid="{3EC7D76E-16F9-4D2A-A479-BA736FA5467B}"/>
    <cellStyle name="Currency 3 2 3 7 4" xfId="11811" xr:uid="{126E2314-7113-4BF5-BE21-838FB1595A73}"/>
    <cellStyle name="Currency 3 2 3 8" xfId="2715" xr:uid="{00000000-0005-0000-0000-0000290B0000}"/>
    <cellStyle name="Currency 3 2 3 9" xfId="2796" xr:uid="{00000000-0005-0000-0000-00002A0B0000}"/>
    <cellStyle name="Currency 3 2 3 9 2" xfId="7019" xr:uid="{00000000-0005-0000-0000-00002B0B0000}"/>
    <cellStyle name="Currency 3 2 3 9 2 2" xfId="24785" xr:uid="{C19C7BDE-ADD4-40A8-B61E-04E228AF7213}"/>
    <cellStyle name="Currency 3 2 3 9 2 3" xfId="16345" xr:uid="{492F34DD-5E00-4012-99F2-55631AF38D05}"/>
    <cellStyle name="Currency 3 2 3 9 3" xfId="20568" xr:uid="{A429E1BE-417F-4A97-AD9B-2BD5B6B8C384}"/>
    <cellStyle name="Currency 3 2 3 9 4" xfId="12128" xr:uid="{2DCDEBCF-907F-4F37-959C-52A07F1FB846}"/>
    <cellStyle name="Currency 3 2 4" xfId="184" xr:uid="{00000000-0005-0000-0000-00002C0B0000}"/>
    <cellStyle name="Currency 3 2 4 10" xfId="8997" xr:uid="{DF9FC022-A382-4135-990F-F43A472E13BA}"/>
    <cellStyle name="Currency 3 2 4 10 2" xfId="18187" xr:uid="{26A69793-854E-46ED-BBC9-4E58C3575279}"/>
    <cellStyle name="Currency 3 2 4 11" xfId="9747" xr:uid="{ED3F65C7-8FCE-4359-AB4D-0393B669AE4D}"/>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24963" xr:uid="{9C54C3BC-27E6-42B8-A486-04FF1974C41E}"/>
    <cellStyle name="Currency 3 2 4 2 2 2 3" xfId="16523" xr:uid="{23A50843-687B-4D44-B30A-025E5F55539E}"/>
    <cellStyle name="Currency 3 2 4 2 2 3" xfId="20746" xr:uid="{179DE582-7662-4BC0-8B37-43B7FF9FF5DE}"/>
    <cellStyle name="Currency 3 2 4 2 2 4" xfId="12306" xr:uid="{7EA6F881-7FE7-4AE3-BDEC-66BAEDEE6C7E}"/>
    <cellStyle name="Currency 3 2 4 2 3" xfId="5052" xr:uid="{00000000-0005-0000-0000-0000300B0000}"/>
    <cellStyle name="Currency 3 2 4 2 3 2" xfId="22818" xr:uid="{B1360328-B4C2-43EF-A47E-9B5E6E9503DD}"/>
    <cellStyle name="Currency 3 2 4 2 3 3" xfId="14378" xr:uid="{426F1EB4-50F7-4BB7-BB7B-1475A6B849F0}"/>
    <cellStyle name="Currency 3 2 4 2 4" xfId="9422" xr:uid="{3049B7CE-611E-437A-AD0B-2E3AA5E2E50D}"/>
    <cellStyle name="Currency 3 2 4 2 4 2" xfId="18601" xr:uid="{BB19D264-A1A5-4A19-9003-3366390B7A4D}"/>
    <cellStyle name="Currency 3 2 4 2 5" xfId="10161" xr:uid="{7A4EC4DB-CBA1-485F-B86E-DBB36001AA54}"/>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25376" xr:uid="{0CCC3806-F5BB-4953-B625-38E42893D14E}"/>
    <cellStyle name="Currency 3 2 4 3 2 2 3" xfId="16936" xr:uid="{951741E7-AB6C-4625-9631-043ECD9058B5}"/>
    <cellStyle name="Currency 3 2 4 3 2 3" xfId="21159" xr:uid="{2D8AB6AD-920C-4D99-AC4C-D7B6E58970AD}"/>
    <cellStyle name="Currency 3 2 4 3 2 4" xfId="12719" xr:uid="{5EF3D94E-85A2-4AAF-8F02-40D0BDA53B6D}"/>
    <cellStyle name="Currency 3 2 4 3 3" xfId="5465" xr:uid="{00000000-0005-0000-0000-0000340B0000}"/>
    <cellStyle name="Currency 3 2 4 3 3 2" xfId="23231" xr:uid="{A94CD68C-92F2-4F34-9DE0-E3E550FC18E0}"/>
    <cellStyle name="Currency 3 2 4 3 3 3" xfId="14791" xr:uid="{EE82EA24-CE86-4F71-B00E-19A2DD6F22FF}"/>
    <cellStyle name="Currency 3 2 4 3 4" xfId="19014" xr:uid="{20CD7CBF-7DD7-47FA-8590-5477E04E718E}"/>
    <cellStyle name="Currency 3 2 4 3 5" xfId="10574" xr:uid="{276D2595-9CC2-42B4-8784-70BAE8034229}"/>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25789" xr:uid="{09675601-4399-4618-9688-37D5159AEE99}"/>
    <cellStyle name="Currency 3 2 4 4 2 2 3" xfId="17349" xr:uid="{F654F9D0-4044-4762-8469-6A6B028D2B6B}"/>
    <cellStyle name="Currency 3 2 4 4 2 3" xfId="21572" xr:uid="{0D2C6451-F1D3-4EFD-A434-39CDC8F00719}"/>
    <cellStyle name="Currency 3 2 4 4 2 4" xfId="13132" xr:uid="{4B3F2371-5008-4A09-A880-B1F3CBFD48DE}"/>
    <cellStyle name="Currency 3 2 4 4 3" xfId="5878" xr:uid="{00000000-0005-0000-0000-0000380B0000}"/>
    <cellStyle name="Currency 3 2 4 4 3 2" xfId="23644" xr:uid="{289C37DA-B214-4217-BD6D-529100DE4833}"/>
    <cellStyle name="Currency 3 2 4 4 3 3" xfId="15204" xr:uid="{A034A579-2E32-4BC1-A7B6-4EBD5093AC33}"/>
    <cellStyle name="Currency 3 2 4 4 4" xfId="19427" xr:uid="{A8F1AD99-3E67-4EBA-822D-A1444C74070B}"/>
    <cellStyle name="Currency 3 2 4 4 5" xfId="10987" xr:uid="{46C14BCF-E985-46B5-8A98-D9178F1EC1E0}"/>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26202" xr:uid="{F43665C2-79AF-4EAF-9BBA-02BAACA05951}"/>
    <cellStyle name="Currency 3 2 4 5 2 2 3" xfId="17762" xr:uid="{5675A42A-B68A-42E4-8779-3F9BF6DF7DC1}"/>
    <cellStyle name="Currency 3 2 4 5 2 3" xfId="21985" xr:uid="{FEE2365A-C3E2-4328-8C25-462FE40F7384}"/>
    <cellStyle name="Currency 3 2 4 5 2 4" xfId="13545" xr:uid="{A479FCE3-3499-4B99-83F8-9352852A4DE0}"/>
    <cellStyle name="Currency 3 2 4 5 3" xfId="6291" xr:uid="{00000000-0005-0000-0000-00003C0B0000}"/>
    <cellStyle name="Currency 3 2 4 5 3 2" xfId="24057" xr:uid="{0765EA0A-8F93-479B-8EED-4768A2323A6A}"/>
    <cellStyle name="Currency 3 2 4 5 3 3" xfId="15617" xr:uid="{14B8A4CF-47CD-4704-9EA7-79D9795F2E8E}"/>
    <cellStyle name="Currency 3 2 4 5 4" xfId="19840" xr:uid="{E30E5045-5961-4AF0-B038-E89289FD2FFF}"/>
    <cellStyle name="Currency 3 2 4 5 5" xfId="11400" xr:uid="{B8A0BCF2-E756-4EA0-91D3-704934D84EC0}"/>
    <cellStyle name="Currency 3 2 4 6" xfId="2420" xr:uid="{00000000-0005-0000-0000-00003D0B0000}"/>
    <cellStyle name="Currency 3 2 4 6 2" xfId="6704" xr:uid="{00000000-0005-0000-0000-00003E0B0000}"/>
    <cellStyle name="Currency 3 2 4 6 2 2" xfId="24470" xr:uid="{7C887A57-E6BA-4D61-980D-74D1190E6EA9}"/>
    <cellStyle name="Currency 3 2 4 6 2 3" xfId="16030" xr:uid="{4A846B36-8A1D-4A9F-8629-C0DAE51F10EF}"/>
    <cellStyle name="Currency 3 2 4 6 3" xfId="20253" xr:uid="{4A31AC63-0B8F-4734-B891-848C2BE0D530}"/>
    <cellStyle name="Currency 3 2 4 6 4" xfId="11813" xr:uid="{077C9949-BE93-4E30-A40B-AA751C538E31}"/>
    <cellStyle name="Currency 3 2 4 7" xfId="2717" xr:uid="{00000000-0005-0000-0000-00003F0B0000}"/>
    <cellStyle name="Currency 3 2 4 8" xfId="2798" xr:uid="{00000000-0005-0000-0000-0000400B0000}"/>
    <cellStyle name="Currency 3 2 4 8 2" xfId="7021" xr:uid="{00000000-0005-0000-0000-0000410B0000}"/>
    <cellStyle name="Currency 3 2 4 8 2 2" xfId="24787" xr:uid="{BDAC525D-5218-4E1E-AE78-0F8EBF8BC2C7}"/>
    <cellStyle name="Currency 3 2 4 8 2 3" xfId="16347" xr:uid="{43F51300-95F8-4C99-AC1C-9E60C54A4B44}"/>
    <cellStyle name="Currency 3 2 4 8 3" xfId="20570" xr:uid="{F4924882-8084-46A6-AABC-8E9D3A6BD2FA}"/>
    <cellStyle name="Currency 3 2 4 8 4" xfId="12130" xr:uid="{92CF862F-9989-4730-A48B-9D13FA9C9D2D}"/>
    <cellStyle name="Currency 3 2 4 9" xfId="4638" xr:uid="{00000000-0005-0000-0000-0000420B0000}"/>
    <cellStyle name="Currency 3 2 4 9 2" xfId="22404" xr:uid="{BBA8F1A6-3DC7-4542-BA43-A1F7A0ABB537}"/>
    <cellStyle name="Currency 3 2 4 9 3" xfId="13964" xr:uid="{4883FAA1-A6B1-49D4-AA27-1A4590BAAEF2}"/>
    <cellStyle name="Currency 3 2 5" xfId="185" xr:uid="{00000000-0005-0000-0000-0000430B0000}"/>
    <cellStyle name="Currency 3 2 5 10" xfId="9214" xr:uid="{3D0A867F-0B9D-4759-A509-3EC1084E197B}"/>
    <cellStyle name="Currency 3 2 5 10 2" xfId="18188" xr:uid="{3AB1EAEB-FB4C-4D52-9C55-540728B2E9AD}"/>
    <cellStyle name="Currency 3 2 5 11" xfId="9748" xr:uid="{9181472B-DDD9-4DDD-B594-52D21CC1F0E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24964" xr:uid="{8C9CB933-E546-4E73-970C-1ABDE8135CBB}"/>
    <cellStyle name="Currency 3 2 5 2 2 2 3" xfId="16524" xr:uid="{1B1E464F-D7A3-402C-B998-F93CEDBF113C}"/>
    <cellStyle name="Currency 3 2 5 2 2 3" xfId="20747" xr:uid="{393CBC2B-E47C-4861-839B-1628EA8E1FDC}"/>
    <cellStyle name="Currency 3 2 5 2 2 4" xfId="12307" xr:uid="{80224616-75B2-4D20-BCE8-38726E761400}"/>
    <cellStyle name="Currency 3 2 5 2 3" xfId="5053" xr:uid="{00000000-0005-0000-0000-0000470B0000}"/>
    <cellStyle name="Currency 3 2 5 2 3 2" xfId="22819" xr:uid="{41651100-2F70-4BA7-A940-9FC37B12C29A}"/>
    <cellStyle name="Currency 3 2 5 2 3 3" xfId="14379" xr:uid="{2917A294-2D38-4DCD-A862-1F4B5FB1A473}"/>
    <cellStyle name="Currency 3 2 5 2 4" xfId="9597" xr:uid="{6E2F978E-96E4-4AD8-B4BD-1BE9D7E96A2F}"/>
    <cellStyle name="Currency 3 2 5 2 4 2" xfId="18602" xr:uid="{F52F6F80-87A2-474B-9BE6-26FB71089533}"/>
    <cellStyle name="Currency 3 2 5 2 5" xfId="10162" xr:uid="{74A6D0B8-C6F1-47C8-ABD5-984936DAFC7F}"/>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25377" xr:uid="{AA069DED-94B8-4E3B-A1A5-D19CA409CA45}"/>
    <cellStyle name="Currency 3 2 5 3 2 2 3" xfId="16937" xr:uid="{04CD557B-E4FF-460E-8E94-EA4C5EEABE09}"/>
    <cellStyle name="Currency 3 2 5 3 2 3" xfId="21160" xr:uid="{4D96099F-863F-478C-B906-0BCD5B433154}"/>
    <cellStyle name="Currency 3 2 5 3 2 4" xfId="12720" xr:uid="{123C506D-D1A3-4B19-A43F-BCB65C251AAF}"/>
    <cellStyle name="Currency 3 2 5 3 3" xfId="5466" xr:uid="{00000000-0005-0000-0000-00004B0B0000}"/>
    <cellStyle name="Currency 3 2 5 3 3 2" xfId="23232" xr:uid="{B1264FC3-F233-4963-975F-0BA1C9B8314A}"/>
    <cellStyle name="Currency 3 2 5 3 3 3" xfId="14792" xr:uid="{35CED0DC-333F-44D1-9A3F-DFF20A38D3C8}"/>
    <cellStyle name="Currency 3 2 5 3 4" xfId="19015" xr:uid="{6A1C7152-9417-4C7C-A553-34610975E9A3}"/>
    <cellStyle name="Currency 3 2 5 3 5" xfId="10575" xr:uid="{6830981F-269B-4B57-86DC-04487B43DEAA}"/>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25790" xr:uid="{4FDA82BA-23A7-4CD7-8811-F6B63B1E3813}"/>
    <cellStyle name="Currency 3 2 5 4 2 2 3" xfId="17350" xr:uid="{336CFEC4-EF77-4705-BD0B-397E3BEE5A4F}"/>
    <cellStyle name="Currency 3 2 5 4 2 3" xfId="21573" xr:uid="{BA35B5B6-2793-4BDF-BC9A-D9A7A8763DC7}"/>
    <cellStyle name="Currency 3 2 5 4 2 4" xfId="13133" xr:uid="{6824F63E-B7FA-416B-9220-5EC17E677096}"/>
    <cellStyle name="Currency 3 2 5 4 3" xfId="5879" xr:uid="{00000000-0005-0000-0000-00004F0B0000}"/>
    <cellStyle name="Currency 3 2 5 4 3 2" xfId="23645" xr:uid="{0B1144EE-D1C3-4E13-B936-2B7B2F5F2C9B}"/>
    <cellStyle name="Currency 3 2 5 4 3 3" xfId="15205" xr:uid="{1481DD79-63CA-44F6-A700-17F7DAE2B947}"/>
    <cellStyle name="Currency 3 2 5 4 4" xfId="19428" xr:uid="{35EFE01D-96E4-4E2B-AA26-D7CB527052E2}"/>
    <cellStyle name="Currency 3 2 5 4 5" xfId="10988" xr:uid="{93D7BC58-1178-4992-A27D-F897CF8BDEE5}"/>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26203" xr:uid="{AF0F106C-9E18-401F-BEC4-20E4056242F4}"/>
    <cellStyle name="Currency 3 2 5 5 2 2 3" xfId="17763" xr:uid="{C4BAE641-1692-4AA9-B4ED-664142209F05}"/>
    <cellStyle name="Currency 3 2 5 5 2 3" xfId="21986" xr:uid="{07AC5B8B-640C-496A-B7B3-80745F0BD9A8}"/>
    <cellStyle name="Currency 3 2 5 5 2 4" xfId="13546" xr:uid="{4BE90092-1266-4D2E-A662-5E3C88DA0D3F}"/>
    <cellStyle name="Currency 3 2 5 5 3" xfId="6292" xr:uid="{00000000-0005-0000-0000-0000530B0000}"/>
    <cellStyle name="Currency 3 2 5 5 3 2" xfId="24058" xr:uid="{0FEA56BE-BA5B-486B-B7E2-40BB0B2733CB}"/>
    <cellStyle name="Currency 3 2 5 5 3 3" xfId="15618" xr:uid="{0BD9A442-EAEA-493E-A375-8DAB46EBC3A5}"/>
    <cellStyle name="Currency 3 2 5 5 4" xfId="19841" xr:uid="{FC453506-13AF-4C66-A892-5D33920AD8D1}"/>
    <cellStyle name="Currency 3 2 5 5 5" xfId="11401" xr:uid="{1AF63173-E680-4A9D-846B-F35D5518EB72}"/>
    <cellStyle name="Currency 3 2 5 6" xfId="2421" xr:uid="{00000000-0005-0000-0000-0000540B0000}"/>
    <cellStyle name="Currency 3 2 5 6 2" xfId="6705" xr:uid="{00000000-0005-0000-0000-0000550B0000}"/>
    <cellStyle name="Currency 3 2 5 6 2 2" xfId="24471" xr:uid="{719EB911-7DC6-4E89-A5DF-999CDCE98124}"/>
    <cellStyle name="Currency 3 2 5 6 2 3" xfId="16031" xr:uid="{9BBFFDF9-6C33-472F-82B8-82B89184E736}"/>
    <cellStyle name="Currency 3 2 5 6 3" xfId="20254" xr:uid="{AE4E8519-F4BB-463B-AC4A-92251A755534}"/>
    <cellStyle name="Currency 3 2 5 6 4" xfId="11814" xr:uid="{1017F7C3-2EA2-4E3F-A0C8-C41AA009F54A}"/>
    <cellStyle name="Currency 3 2 5 7" xfId="2718" xr:uid="{00000000-0005-0000-0000-0000560B0000}"/>
    <cellStyle name="Currency 3 2 5 8" xfId="2799" xr:uid="{00000000-0005-0000-0000-0000570B0000}"/>
    <cellStyle name="Currency 3 2 5 8 2" xfId="7022" xr:uid="{00000000-0005-0000-0000-0000580B0000}"/>
    <cellStyle name="Currency 3 2 5 8 2 2" xfId="24788" xr:uid="{A8DDB8BA-0C2A-4AE6-946A-F5B94B781780}"/>
    <cellStyle name="Currency 3 2 5 8 2 3" xfId="16348" xr:uid="{BFD52FD1-D65D-4D49-8B1B-725530A8AAE8}"/>
    <cellStyle name="Currency 3 2 5 8 3" xfId="20571" xr:uid="{71DA2E76-4445-4352-9ED7-57D2D3B610D9}"/>
    <cellStyle name="Currency 3 2 5 8 4" xfId="12131" xr:uid="{046208DF-EE8C-454C-951C-7262CFB1705F}"/>
    <cellStyle name="Currency 3 2 5 9" xfId="4639" xr:uid="{00000000-0005-0000-0000-0000590B0000}"/>
    <cellStyle name="Currency 3 2 5 9 2" xfId="22405" xr:uid="{7DDFDA80-DB9D-4675-9BDD-3CBB66C85E0E}"/>
    <cellStyle name="Currency 3 2 5 9 3" xfId="13965" xr:uid="{ACB88C1A-4D40-43FE-81C6-8C6A8D6C1113}"/>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24789" xr:uid="{0E39079B-6B27-4835-8D93-AFD65FBF1C44}"/>
    <cellStyle name="Currency 5 2 2 2 10 2 3" xfId="16349" xr:uid="{AE4C4FEA-B713-4077-AB54-EE7DF0A32090}"/>
    <cellStyle name="Currency 5 2 2 2 10 3" xfId="20572" xr:uid="{C140258C-DB4A-4E5E-98E0-3255DB4D69BF}"/>
    <cellStyle name="Currency 5 2 2 2 10 4" xfId="12132" xr:uid="{74A64A3F-9928-4CD2-BE59-F2749A005819}"/>
    <cellStyle name="Currency 5 2 2 2 11" xfId="4640" xr:uid="{00000000-0005-0000-0000-00006C0B0000}"/>
    <cellStyle name="Currency 5 2 2 2 11 2" xfId="22406" xr:uid="{B5840F67-5F54-4D82-B982-165BD82DB22C}"/>
    <cellStyle name="Currency 5 2 2 2 11 3" xfId="13966" xr:uid="{3E15AABE-D8D4-4E22-B076-FB6626AD1B69}"/>
    <cellStyle name="Currency 5 2 2 2 12" xfId="8809" xr:uid="{6E2B58BA-BC61-49BF-A0FE-5BC79A050654}"/>
    <cellStyle name="Currency 5 2 2 2 12 2" xfId="18189" xr:uid="{569B9456-E69C-40EF-9662-DE562697DEC4}"/>
    <cellStyle name="Currency 5 2 2 2 13" xfId="9749" xr:uid="{44A455F9-A251-4D9F-8693-487B184D3475}"/>
    <cellStyle name="Currency 5 2 2 2 2" xfId="197" xr:uid="{00000000-0005-0000-0000-00006D0B0000}"/>
    <cellStyle name="Currency 5 2 2 2 2 10" xfId="4641" xr:uid="{00000000-0005-0000-0000-00006E0B0000}"/>
    <cellStyle name="Currency 5 2 2 2 2 10 2" xfId="22407" xr:uid="{EF6E26BA-5713-4210-828F-57F4F2FB651E}"/>
    <cellStyle name="Currency 5 2 2 2 2 10 3" xfId="13967" xr:uid="{33BDB22C-262F-4881-8251-543FB11575E4}"/>
    <cellStyle name="Currency 5 2 2 2 2 11" xfId="8912" xr:uid="{4079D27E-F98B-4445-AE20-FFD848158756}"/>
    <cellStyle name="Currency 5 2 2 2 2 11 2" xfId="18190" xr:uid="{3D309CE0-3815-4792-9ED2-FA530C4D3BFD}"/>
    <cellStyle name="Currency 5 2 2 2 2 12" xfId="9750" xr:uid="{1272E002-8896-49FF-B1B5-C0984E803FD7}"/>
    <cellStyle name="Currency 5 2 2 2 2 2" xfId="198" xr:uid="{00000000-0005-0000-0000-00006F0B0000}"/>
    <cellStyle name="Currency 5 2 2 2 2 2 10" xfId="9119" xr:uid="{2B97CFE9-E9FD-476D-A341-C695293642F3}"/>
    <cellStyle name="Currency 5 2 2 2 2 2 10 2" xfId="18191" xr:uid="{D01D83D8-1FD2-4DDB-82E1-50E20B70A72B}"/>
    <cellStyle name="Currency 5 2 2 2 2 2 11" xfId="9751" xr:uid="{BA4994F5-3BC2-4803-8F68-AD213BAAAAB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24967" xr:uid="{AAE86064-1309-4B42-8378-43864620F931}"/>
    <cellStyle name="Currency 5 2 2 2 2 2 2 2 2 3" xfId="16527" xr:uid="{82B1F3DF-E296-4099-BE10-D656D5FEC1D6}"/>
    <cellStyle name="Currency 5 2 2 2 2 2 2 2 3" xfId="20750" xr:uid="{D1D6FB32-57A8-46B8-8AA7-311BAC2CFB60}"/>
    <cellStyle name="Currency 5 2 2 2 2 2 2 2 4" xfId="12310" xr:uid="{8504ACB9-8431-4BB6-8F88-125CE88717BA}"/>
    <cellStyle name="Currency 5 2 2 2 2 2 2 3" xfId="5056" xr:uid="{00000000-0005-0000-0000-0000730B0000}"/>
    <cellStyle name="Currency 5 2 2 2 2 2 2 3 2" xfId="22822" xr:uid="{4F105E32-BD97-4CD6-B479-17ECE7C82F19}"/>
    <cellStyle name="Currency 5 2 2 2 2 2 2 3 3" xfId="14382" xr:uid="{871F4764-EF88-44F6-9166-C225F6314269}"/>
    <cellStyle name="Currency 5 2 2 2 2 2 2 4" xfId="9544" xr:uid="{77881B28-843C-4677-B92C-D2A5804BDB97}"/>
    <cellStyle name="Currency 5 2 2 2 2 2 2 4 2" xfId="18605" xr:uid="{36F17AE6-8AF6-4002-A66D-27138EB6BEF3}"/>
    <cellStyle name="Currency 5 2 2 2 2 2 2 5" xfId="10165" xr:uid="{10227A8E-13A3-4C61-B82A-9788E6A75AF3}"/>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25380" xr:uid="{9992F093-1823-44B7-9A1D-ADB2971C724C}"/>
    <cellStyle name="Currency 5 2 2 2 2 2 3 2 2 3" xfId="16940" xr:uid="{154E1458-F76D-433C-85AE-871591BAB9A9}"/>
    <cellStyle name="Currency 5 2 2 2 2 2 3 2 3" xfId="21163" xr:uid="{C33F3667-763E-4815-AB93-4DD2C1770707}"/>
    <cellStyle name="Currency 5 2 2 2 2 2 3 2 4" xfId="12723" xr:uid="{B02750B2-19B4-40A0-9657-A7590E3479B6}"/>
    <cellStyle name="Currency 5 2 2 2 2 2 3 3" xfId="5469" xr:uid="{00000000-0005-0000-0000-0000770B0000}"/>
    <cellStyle name="Currency 5 2 2 2 2 2 3 3 2" xfId="23235" xr:uid="{B48A8A2D-D139-4411-909D-4D35172A58C3}"/>
    <cellStyle name="Currency 5 2 2 2 2 2 3 3 3" xfId="14795" xr:uid="{A24BD5FF-6182-4222-BF92-C849DD29E59F}"/>
    <cellStyle name="Currency 5 2 2 2 2 2 3 4" xfId="19018" xr:uid="{4A847D62-8253-4703-93C4-A34291EB5B27}"/>
    <cellStyle name="Currency 5 2 2 2 2 2 3 5" xfId="10578" xr:uid="{EAE8ED76-B78B-45A9-819D-1169B60D521F}"/>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25793" xr:uid="{C3C67083-D611-42F9-AF76-1B629E65A15F}"/>
    <cellStyle name="Currency 5 2 2 2 2 2 4 2 2 3" xfId="17353" xr:uid="{233D707E-5706-4F3F-A2DB-FB12A100CBE3}"/>
    <cellStyle name="Currency 5 2 2 2 2 2 4 2 3" xfId="21576" xr:uid="{A687E787-70B4-43E5-B71E-65A352303F82}"/>
    <cellStyle name="Currency 5 2 2 2 2 2 4 2 4" xfId="13136" xr:uid="{134C4AA6-E5F8-4CBD-84A8-028F583A99A8}"/>
    <cellStyle name="Currency 5 2 2 2 2 2 4 3" xfId="5882" xr:uid="{00000000-0005-0000-0000-00007B0B0000}"/>
    <cellStyle name="Currency 5 2 2 2 2 2 4 3 2" xfId="23648" xr:uid="{6C44163F-3385-48D4-B2CB-999F683CD62D}"/>
    <cellStyle name="Currency 5 2 2 2 2 2 4 3 3" xfId="15208" xr:uid="{38847BD5-F146-413F-9445-17024000C025}"/>
    <cellStyle name="Currency 5 2 2 2 2 2 4 4" xfId="19431" xr:uid="{105206EA-D52C-4F4A-BF2B-1CB965AED540}"/>
    <cellStyle name="Currency 5 2 2 2 2 2 4 5" xfId="10991" xr:uid="{6CC50125-1204-491D-8395-EA8FD5E55271}"/>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26206" xr:uid="{97D84C5B-8362-4A2F-AA87-46C219A7872B}"/>
    <cellStyle name="Currency 5 2 2 2 2 2 5 2 2 3" xfId="17766" xr:uid="{11DFB030-2097-431D-B70C-E3801F3D9EBE}"/>
    <cellStyle name="Currency 5 2 2 2 2 2 5 2 3" xfId="21989" xr:uid="{7C144E5D-C7D5-48B7-93DC-B41B1D73929B}"/>
    <cellStyle name="Currency 5 2 2 2 2 2 5 2 4" xfId="13549" xr:uid="{4B747088-79D0-4532-B0EA-BCFC02F8B2F4}"/>
    <cellStyle name="Currency 5 2 2 2 2 2 5 3" xfId="6295" xr:uid="{00000000-0005-0000-0000-00007F0B0000}"/>
    <cellStyle name="Currency 5 2 2 2 2 2 5 3 2" xfId="24061" xr:uid="{3CCB0A8D-5257-4BA5-B30C-7B418DCC0BBD}"/>
    <cellStyle name="Currency 5 2 2 2 2 2 5 3 3" xfId="15621" xr:uid="{CBC0FFC8-EC22-468C-B9DE-9D123F237E7B}"/>
    <cellStyle name="Currency 5 2 2 2 2 2 5 4" xfId="19844" xr:uid="{8ED624AA-1F9E-4394-AAFD-FBEE0E9B56FF}"/>
    <cellStyle name="Currency 5 2 2 2 2 2 5 5" xfId="11404" xr:uid="{EE6D65CD-477E-4544-BB29-B4F22E62CB68}"/>
    <cellStyle name="Currency 5 2 2 2 2 2 6" xfId="2424" xr:uid="{00000000-0005-0000-0000-0000800B0000}"/>
    <cellStyle name="Currency 5 2 2 2 2 2 6 2" xfId="6708" xr:uid="{00000000-0005-0000-0000-0000810B0000}"/>
    <cellStyle name="Currency 5 2 2 2 2 2 6 2 2" xfId="24474" xr:uid="{911BC8C9-7CC5-4E2C-8116-895F5D4AFBC3}"/>
    <cellStyle name="Currency 5 2 2 2 2 2 6 2 3" xfId="16034" xr:uid="{4B3C8394-2D19-4BA9-9E51-DA55C54758B9}"/>
    <cellStyle name="Currency 5 2 2 2 2 2 6 3" xfId="20257" xr:uid="{49B46291-4ACE-4941-94DC-4F151C8EA2E4}"/>
    <cellStyle name="Currency 5 2 2 2 2 2 6 4" xfId="11817" xr:uid="{92AEE92E-EFB4-464B-8BC2-5A5DAD3C331A}"/>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24791" xr:uid="{63BE974F-45EA-45A0-9FF0-69A9B29CC2AB}"/>
    <cellStyle name="Currency 5 2 2 2 2 2 8 2 3" xfId="16351" xr:uid="{D56D6B08-4606-4EB8-8DAE-0D75DCAF05EE}"/>
    <cellStyle name="Currency 5 2 2 2 2 2 8 3" xfId="20574" xr:uid="{4EEB9938-DD52-40A2-AE7C-2071A20220A8}"/>
    <cellStyle name="Currency 5 2 2 2 2 2 8 4" xfId="12134" xr:uid="{78FDAC0F-153F-4D8F-837A-5BBC6026C909}"/>
    <cellStyle name="Currency 5 2 2 2 2 2 9" xfId="4642" xr:uid="{00000000-0005-0000-0000-0000850B0000}"/>
    <cellStyle name="Currency 5 2 2 2 2 2 9 2" xfId="22408" xr:uid="{58CF2E08-050E-4A62-A48D-D4FE93B5977A}"/>
    <cellStyle name="Currency 5 2 2 2 2 2 9 3" xfId="13968" xr:uid="{A92973E0-E38D-4CB1-8265-B0E470006C28}"/>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24966" xr:uid="{EE693C46-EE2C-4FCF-BD39-F0F8841EC6EF}"/>
    <cellStyle name="Currency 5 2 2 2 2 3 2 2 3" xfId="16526" xr:uid="{0BC1F1D6-351F-4A65-8C91-99DAB135BD73}"/>
    <cellStyle name="Currency 5 2 2 2 2 3 2 3" xfId="20749" xr:uid="{697FEAF2-232A-467B-B274-C30D92EDD8B2}"/>
    <cellStyle name="Currency 5 2 2 2 2 3 2 4" xfId="12309" xr:uid="{55B7C138-F0F5-4E10-8E7A-A01BA7B73D9A}"/>
    <cellStyle name="Currency 5 2 2 2 2 3 3" xfId="5055" xr:uid="{00000000-0005-0000-0000-0000890B0000}"/>
    <cellStyle name="Currency 5 2 2 2 2 3 3 2" xfId="22821" xr:uid="{C3523133-DB46-47D1-9FD9-BF3ADA1239F8}"/>
    <cellStyle name="Currency 5 2 2 2 2 3 3 3" xfId="14381" xr:uid="{30FC83CF-FFA2-4200-AE39-ABBE40D83CB7}"/>
    <cellStyle name="Currency 5 2 2 2 2 3 4" xfId="9337" xr:uid="{A1FF44B9-A8E0-4A4E-9BE9-DA7FD7E326AE}"/>
    <cellStyle name="Currency 5 2 2 2 2 3 4 2" xfId="18604" xr:uid="{D623518F-0AF8-4015-B702-1B08B6329B94}"/>
    <cellStyle name="Currency 5 2 2 2 2 3 5" xfId="10164" xr:uid="{9616AFB9-66CD-4D36-BE74-D2F43AC9E64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25379" xr:uid="{07D29860-0827-4B01-A061-2F385D46BD27}"/>
    <cellStyle name="Currency 5 2 2 2 2 4 2 2 3" xfId="16939" xr:uid="{732E40D5-1516-4ACF-BA97-C01BC520AB96}"/>
    <cellStyle name="Currency 5 2 2 2 2 4 2 3" xfId="21162" xr:uid="{7487B373-80F2-4A78-A2E6-5F8B8EBAD998}"/>
    <cellStyle name="Currency 5 2 2 2 2 4 2 4" xfId="12722" xr:uid="{37939AE3-06C8-432B-ADC8-E84A94A4898C}"/>
    <cellStyle name="Currency 5 2 2 2 2 4 3" xfId="5468" xr:uid="{00000000-0005-0000-0000-00008D0B0000}"/>
    <cellStyle name="Currency 5 2 2 2 2 4 3 2" xfId="23234" xr:uid="{9F48D502-9FDF-4288-BC32-5B2255504AD4}"/>
    <cellStyle name="Currency 5 2 2 2 2 4 3 3" xfId="14794" xr:uid="{87954844-C8E1-4093-9E08-A5A71967F85B}"/>
    <cellStyle name="Currency 5 2 2 2 2 4 4" xfId="19017" xr:uid="{9AFF62DA-B488-4CB8-BE9B-A7FE1B37D1A0}"/>
    <cellStyle name="Currency 5 2 2 2 2 4 5" xfId="10577" xr:uid="{84EC9CDB-0DD2-49EA-9CEF-59DBB7D6E595}"/>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25792" xr:uid="{4FD78C17-16A1-4134-96B0-08829FDD9DE9}"/>
    <cellStyle name="Currency 5 2 2 2 2 5 2 2 3" xfId="17352" xr:uid="{D0890B24-9C3A-44BE-BAB7-A137F9511150}"/>
    <cellStyle name="Currency 5 2 2 2 2 5 2 3" xfId="21575" xr:uid="{BA797FEA-9B93-406F-B580-8DB1CBD8551F}"/>
    <cellStyle name="Currency 5 2 2 2 2 5 2 4" xfId="13135" xr:uid="{0E7B9B87-0AA6-4C4B-A40A-E73681342E66}"/>
    <cellStyle name="Currency 5 2 2 2 2 5 3" xfId="5881" xr:uid="{00000000-0005-0000-0000-0000910B0000}"/>
    <cellStyle name="Currency 5 2 2 2 2 5 3 2" xfId="23647" xr:uid="{60F0739C-872A-4313-96CA-5EE28060F403}"/>
    <cellStyle name="Currency 5 2 2 2 2 5 3 3" xfId="15207" xr:uid="{296F5D0A-76F8-41DC-960F-8202221CD7E8}"/>
    <cellStyle name="Currency 5 2 2 2 2 5 4" xfId="19430" xr:uid="{58330407-D9B6-4C1B-AA9A-1C90B1587A00}"/>
    <cellStyle name="Currency 5 2 2 2 2 5 5" xfId="10990" xr:uid="{F2F15978-9A72-49A2-AE3F-0BCB727DD719}"/>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26205" xr:uid="{0001A20E-8337-4890-B306-B07489E9A019}"/>
    <cellStyle name="Currency 5 2 2 2 2 6 2 2 3" xfId="17765" xr:uid="{3EF34DAD-DEA7-4E62-A3FC-A75BB16D8E9C}"/>
    <cellStyle name="Currency 5 2 2 2 2 6 2 3" xfId="21988" xr:uid="{10505808-2889-4485-9580-200DEB90DF87}"/>
    <cellStyle name="Currency 5 2 2 2 2 6 2 4" xfId="13548" xr:uid="{77605E8F-43F3-4C33-9D7E-5F66B5001E6D}"/>
    <cellStyle name="Currency 5 2 2 2 2 6 3" xfId="6294" xr:uid="{00000000-0005-0000-0000-0000950B0000}"/>
    <cellStyle name="Currency 5 2 2 2 2 6 3 2" xfId="24060" xr:uid="{E7088A51-7641-416E-B7CF-A445AC561CFD}"/>
    <cellStyle name="Currency 5 2 2 2 2 6 3 3" xfId="15620" xr:uid="{468CF4A2-A2BB-4C3C-B866-A55E36535EDD}"/>
    <cellStyle name="Currency 5 2 2 2 2 6 4" xfId="19843" xr:uid="{02138BF5-719C-4612-8969-EF1CCF6BFCAD}"/>
    <cellStyle name="Currency 5 2 2 2 2 6 5" xfId="11403" xr:uid="{D92C7AD1-22EF-4CD5-9F72-E25633F22839}"/>
    <cellStyle name="Currency 5 2 2 2 2 7" xfId="2423" xr:uid="{00000000-0005-0000-0000-0000960B0000}"/>
    <cellStyle name="Currency 5 2 2 2 2 7 2" xfId="6707" xr:uid="{00000000-0005-0000-0000-0000970B0000}"/>
    <cellStyle name="Currency 5 2 2 2 2 7 2 2" xfId="24473" xr:uid="{F14D6801-84A4-4AE6-BAE0-2ADD51A875C6}"/>
    <cellStyle name="Currency 5 2 2 2 2 7 2 3" xfId="16033" xr:uid="{0006A084-66CD-4593-897C-C291C3C3907D}"/>
    <cellStyle name="Currency 5 2 2 2 2 7 3" xfId="20256" xr:uid="{3D23C298-AEC5-437A-BAC0-627FF3FE64FF}"/>
    <cellStyle name="Currency 5 2 2 2 2 7 4" xfId="11816" xr:uid="{E3E9A05E-17A8-45F6-AC41-07A5D5C9012A}"/>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24790" xr:uid="{8C2BE048-DFF4-4497-8092-89B79C33FEC3}"/>
    <cellStyle name="Currency 5 2 2 2 2 9 2 3" xfId="16350" xr:uid="{5F269E8C-7FA2-4DA0-AD51-DA22FCF87ECD}"/>
    <cellStyle name="Currency 5 2 2 2 2 9 3" xfId="20573" xr:uid="{CA1A886D-810E-4FA0-9ADB-F272E33BD071}"/>
    <cellStyle name="Currency 5 2 2 2 2 9 4" xfId="12133" xr:uid="{6F5EA58F-D222-4A3B-87C1-245C1292EBBD}"/>
    <cellStyle name="Currency 5 2 2 2 3" xfId="199" xr:uid="{00000000-0005-0000-0000-00009B0B0000}"/>
    <cellStyle name="Currency 5 2 2 2 3 10" xfId="9016" xr:uid="{706F9706-E49D-4995-B402-A842C879DBC8}"/>
    <cellStyle name="Currency 5 2 2 2 3 10 2" xfId="18192" xr:uid="{45560851-EAAB-4BE2-86A2-087B39559DA8}"/>
    <cellStyle name="Currency 5 2 2 2 3 11" xfId="9752" xr:uid="{3CA7F8BB-DA09-44FE-9F91-A3F7179D0161}"/>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24968" xr:uid="{B6AA00AF-9029-4D6D-8493-F0E648341B58}"/>
    <cellStyle name="Currency 5 2 2 2 3 2 2 2 3" xfId="16528" xr:uid="{AE870F03-02BA-4E57-91D4-5BCF0E7D578C}"/>
    <cellStyle name="Currency 5 2 2 2 3 2 2 3" xfId="20751" xr:uid="{A3482D78-3B97-4AC7-A0A8-D84E845E7602}"/>
    <cellStyle name="Currency 5 2 2 2 3 2 2 4" xfId="12311" xr:uid="{E2C32D7C-0C13-4ECD-B74A-09174675F1CF}"/>
    <cellStyle name="Currency 5 2 2 2 3 2 3" xfId="5057" xr:uid="{00000000-0005-0000-0000-00009F0B0000}"/>
    <cellStyle name="Currency 5 2 2 2 3 2 3 2" xfId="22823" xr:uid="{E99FE87C-672E-4F08-AAAD-6A651DC9AC54}"/>
    <cellStyle name="Currency 5 2 2 2 3 2 3 3" xfId="14383" xr:uid="{80A57CD4-DC1D-47F2-AAD9-20D8A03F1FC9}"/>
    <cellStyle name="Currency 5 2 2 2 3 2 4" xfId="9441" xr:uid="{B7048274-E02F-4E6A-9C9A-FAD4299F19B1}"/>
    <cellStyle name="Currency 5 2 2 2 3 2 4 2" xfId="18606" xr:uid="{A6E45E62-7206-44CF-9937-EA30D8C9FF04}"/>
    <cellStyle name="Currency 5 2 2 2 3 2 5" xfId="10166" xr:uid="{DDF1C98A-6822-4111-A079-E3CF1097DF26}"/>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25381" xr:uid="{9A8893FD-5863-4CE3-B1D5-A96E55AD0211}"/>
    <cellStyle name="Currency 5 2 2 2 3 3 2 2 3" xfId="16941" xr:uid="{36F0A983-329F-4036-A9D5-9E6B315395DA}"/>
    <cellStyle name="Currency 5 2 2 2 3 3 2 3" xfId="21164" xr:uid="{C737FCF1-863C-4B7F-9984-B5AD31B47220}"/>
    <cellStyle name="Currency 5 2 2 2 3 3 2 4" xfId="12724" xr:uid="{E3F2698A-40C2-4A8D-9D3F-10F4A64B8952}"/>
    <cellStyle name="Currency 5 2 2 2 3 3 3" xfId="5470" xr:uid="{00000000-0005-0000-0000-0000A30B0000}"/>
    <cellStyle name="Currency 5 2 2 2 3 3 3 2" xfId="23236" xr:uid="{60CAC008-BFE8-4ECC-9216-A2BB186D9E13}"/>
    <cellStyle name="Currency 5 2 2 2 3 3 3 3" xfId="14796" xr:uid="{05EB7E9F-9889-467B-AF08-908E7897F3CA}"/>
    <cellStyle name="Currency 5 2 2 2 3 3 4" xfId="19019" xr:uid="{B2DCBA24-4D09-4C44-99C4-B1F56A63CFF6}"/>
    <cellStyle name="Currency 5 2 2 2 3 3 5" xfId="10579" xr:uid="{D663BD82-6722-415F-96EA-1A6D76A151AA}"/>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25794" xr:uid="{74F04C35-7A37-41A0-A5EB-539B93226468}"/>
    <cellStyle name="Currency 5 2 2 2 3 4 2 2 3" xfId="17354" xr:uid="{651CDD25-C3BB-4395-95FD-DB4F993CA958}"/>
    <cellStyle name="Currency 5 2 2 2 3 4 2 3" xfId="21577" xr:uid="{8792EB29-84AC-4881-8402-764F99EE6746}"/>
    <cellStyle name="Currency 5 2 2 2 3 4 2 4" xfId="13137" xr:uid="{C5CDA2C3-23C0-48E6-A62C-06E5D23A977A}"/>
    <cellStyle name="Currency 5 2 2 2 3 4 3" xfId="5883" xr:uid="{00000000-0005-0000-0000-0000A70B0000}"/>
    <cellStyle name="Currency 5 2 2 2 3 4 3 2" xfId="23649" xr:uid="{DE93B4C1-B8C4-46AC-B7BA-84E07135E052}"/>
    <cellStyle name="Currency 5 2 2 2 3 4 3 3" xfId="15209" xr:uid="{C55E1E42-F966-4B2E-A2D0-B6DD52A84B43}"/>
    <cellStyle name="Currency 5 2 2 2 3 4 4" xfId="19432" xr:uid="{C6759544-6312-47DC-967E-556A1FC0EEE7}"/>
    <cellStyle name="Currency 5 2 2 2 3 4 5" xfId="10992" xr:uid="{D8B5EA52-AD1A-4DE0-B8D1-02211ED38092}"/>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26207" xr:uid="{A0218037-7E0E-4C6C-8F68-05AD64DBB0B9}"/>
    <cellStyle name="Currency 5 2 2 2 3 5 2 2 3" xfId="17767" xr:uid="{34CD784C-1B84-410B-987A-71E753F02B0A}"/>
    <cellStyle name="Currency 5 2 2 2 3 5 2 3" xfId="21990" xr:uid="{771BE270-5DE9-49B5-AFEA-168DA45763DC}"/>
    <cellStyle name="Currency 5 2 2 2 3 5 2 4" xfId="13550" xr:uid="{C7A7A6C4-DD42-4618-AB5A-A8D1C27E3227}"/>
    <cellStyle name="Currency 5 2 2 2 3 5 3" xfId="6296" xr:uid="{00000000-0005-0000-0000-0000AB0B0000}"/>
    <cellStyle name="Currency 5 2 2 2 3 5 3 2" xfId="24062" xr:uid="{BDFC3DDD-782D-4111-94ED-180BEBFB89FC}"/>
    <cellStyle name="Currency 5 2 2 2 3 5 3 3" xfId="15622" xr:uid="{9749E448-A0CC-4186-9C65-E70673B19AC9}"/>
    <cellStyle name="Currency 5 2 2 2 3 5 4" xfId="19845" xr:uid="{BB67434F-A3AD-4852-AA2A-A69560E8EDE8}"/>
    <cellStyle name="Currency 5 2 2 2 3 5 5" xfId="11405" xr:uid="{E8F01967-9E29-4620-A356-CDE862B1D7F7}"/>
    <cellStyle name="Currency 5 2 2 2 3 6" xfId="2425" xr:uid="{00000000-0005-0000-0000-0000AC0B0000}"/>
    <cellStyle name="Currency 5 2 2 2 3 6 2" xfId="6709" xr:uid="{00000000-0005-0000-0000-0000AD0B0000}"/>
    <cellStyle name="Currency 5 2 2 2 3 6 2 2" xfId="24475" xr:uid="{F534306B-FE50-40C4-8E59-1106C5A61A8E}"/>
    <cellStyle name="Currency 5 2 2 2 3 6 2 3" xfId="16035" xr:uid="{E5F02BF8-079F-4EAD-86AB-FB2817627073}"/>
    <cellStyle name="Currency 5 2 2 2 3 6 3" xfId="20258" xr:uid="{EB8AA543-CA36-4802-8CB4-1C2CA6D338C6}"/>
    <cellStyle name="Currency 5 2 2 2 3 6 4" xfId="11818" xr:uid="{AED63A8D-F911-4CFB-8F70-3EFA8BBF5786}"/>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24792" xr:uid="{98A71DCE-4E36-46A7-83CB-2226333683E6}"/>
    <cellStyle name="Currency 5 2 2 2 3 8 2 3" xfId="16352" xr:uid="{D7D19577-B67D-480E-9A6E-AF8196AADB12}"/>
    <cellStyle name="Currency 5 2 2 2 3 8 3" xfId="20575" xr:uid="{F00D527A-02E4-48D6-A19C-2F12B412E5D8}"/>
    <cellStyle name="Currency 5 2 2 2 3 8 4" xfId="12135" xr:uid="{51F13095-A584-4208-B72F-4840F9B09BFE}"/>
    <cellStyle name="Currency 5 2 2 2 3 9" xfId="4643" xr:uid="{00000000-0005-0000-0000-0000B10B0000}"/>
    <cellStyle name="Currency 5 2 2 2 3 9 2" xfId="22409" xr:uid="{7A841A98-D232-46D4-BC38-2C60A937AE64}"/>
    <cellStyle name="Currency 5 2 2 2 3 9 3" xfId="13969" xr:uid="{F4C90BEC-956F-457B-A2C9-CE9770A50E7A}"/>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24965" xr:uid="{51B40C8C-9808-41A4-882F-1B68E0E7B6C4}"/>
    <cellStyle name="Currency 5 2 2 2 4 2 2 3" xfId="16525" xr:uid="{BCC88C6E-9C14-4C3C-82F8-BAAB10B30A10}"/>
    <cellStyle name="Currency 5 2 2 2 4 2 3" xfId="20748" xr:uid="{F365362B-04C6-4542-B3D8-C17AF84CB18A}"/>
    <cellStyle name="Currency 5 2 2 2 4 2 4" xfId="12308" xr:uid="{350806B1-51F0-4494-B956-F0916D7D3494}"/>
    <cellStyle name="Currency 5 2 2 2 4 3" xfId="5054" xr:uid="{00000000-0005-0000-0000-0000B50B0000}"/>
    <cellStyle name="Currency 5 2 2 2 4 3 2" xfId="22820" xr:uid="{4A853272-7296-4E16-8FE9-54FF9A718786}"/>
    <cellStyle name="Currency 5 2 2 2 4 3 3" xfId="14380" xr:uid="{516EF071-0C7E-40C0-8D56-D429BC0A3590}"/>
    <cellStyle name="Currency 5 2 2 2 4 4" xfId="9234" xr:uid="{AAF147FE-13D8-48BD-A722-062B96166D61}"/>
    <cellStyle name="Currency 5 2 2 2 4 4 2" xfId="18603" xr:uid="{9CC1319E-F16C-4D98-89A7-157BAD7F7F36}"/>
    <cellStyle name="Currency 5 2 2 2 4 5" xfId="10163" xr:uid="{7E9C1123-D7AE-43D7-A50B-548B392D478C}"/>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25378" xr:uid="{A2B03D89-B27D-47A8-9610-741647128083}"/>
    <cellStyle name="Currency 5 2 2 2 5 2 2 3" xfId="16938" xr:uid="{5DC62BA0-E81C-42A8-B31B-CA75E026D410}"/>
    <cellStyle name="Currency 5 2 2 2 5 2 3" xfId="21161" xr:uid="{2ADD4939-6203-4768-B8C8-ABC29A5C419A}"/>
    <cellStyle name="Currency 5 2 2 2 5 2 4" xfId="12721" xr:uid="{D7630AF4-4F06-4371-804E-BDB07185F791}"/>
    <cellStyle name="Currency 5 2 2 2 5 3" xfId="5467" xr:uid="{00000000-0005-0000-0000-0000B90B0000}"/>
    <cellStyle name="Currency 5 2 2 2 5 3 2" xfId="23233" xr:uid="{9E28C206-F7DE-46B0-8033-4C8FBF8805C0}"/>
    <cellStyle name="Currency 5 2 2 2 5 3 3" xfId="14793" xr:uid="{1F564410-5791-4D78-9477-6EA6BBC39A6F}"/>
    <cellStyle name="Currency 5 2 2 2 5 4" xfId="19016" xr:uid="{F5F876F4-ECC9-40A3-B77A-35DD2DFB38C8}"/>
    <cellStyle name="Currency 5 2 2 2 5 5" xfId="10576" xr:uid="{BA844ECF-CDCD-47DA-B284-62A62D45E2A2}"/>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25791" xr:uid="{86BADF6D-565E-49FF-9CF2-1E003DC8E48F}"/>
    <cellStyle name="Currency 5 2 2 2 6 2 2 3" xfId="17351" xr:uid="{24571C92-5DEA-4678-98F8-B0A52EE4B050}"/>
    <cellStyle name="Currency 5 2 2 2 6 2 3" xfId="21574" xr:uid="{1716C37B-991E-4FF9-A6E1-212173F3B846}"/>
    <cellStyle name="Currency 5 2 2 2 6 2 4" xfId="13134" xr:uid="{BD250BA0-CFC5-4C1C-9124-E95671DC20D2}"/>
    <cellStyle name="Currency 5 2 2 2 6 3" xfId="5880" xr:uid="{00000000-0005-0000-0000-0000BD0B0000}"/>
    <cellStyle name="Currency 5 2 2 2 6 3 2" xfId="23646" xr:uid="{62E30BF2-0356-46F9-B344-1C4DFAA1A042}"/>
    <cellStyle name="Currency 5 2 2 2 6 3 3" xfId="15206" xr:uid="{50DAA5B0-DDB7-4F12-9EDB-A38EC126298E}"/>
    <cellStyle name="Currency 5 2 2 2 6 4" xfId="19429" xr:uid="{FC4567D1-2F3F-4F09-BAAE-806E082D95FC}"/>
    <cellStyle name="Currency 5 2 2 2 6 5" xfId="10989" xr:uid="{2CD7B72F-FF7D-4350-B9B2-530EA85019FC}"/>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26204" xr:uid="{4FE5395E-5E5C-4BFC-B54A-A6E26F1F0F31}"/>
    <cellStyle name="Currency 5 2 2 2 7 2 2 3" xfId="17764" xr:uid="{D0AB5FA6-5D88-4B25-B4D8-C161688CA935}"/>
    <cellStyle name="Currency 5 2 2 2 7 2 3" xfId="21987" xr:uid="{B9C09707-AD38-497B-8604-638073531E5E}"/>
    <cellStyle name="Currency 5 2 2 2 7 2 4" xfId="13547" xr:uid="{1E4DCD55-359D-4564-967C-F7970E9C6861}"/>
    <cellStyle name="Currency 5 2 2 2 7 3" xfId="6293" xr:uid="{00000000-0005-0000-0000-0000C10B0000}"/>
    <cellStyle name="Currency 5 2 2 2 7 3 2" xfId="24059" xr:uid="{52C4E491-CDCD-4489-A353-129C29895D56}"/>
    <cellStyle name="Currency 5 2 2 2 7 3 3" xfId="15619" xr:uid="{03DE33B6-A4EA-463F-BBC1-A81681A88CD8}"/>
    <cellStyle name="Currency 5 2 2 2 7 4" xfId="19842" xr:uid="{A02B0489-B67C-4A8C-86BE-6D88A9850CCD}"/>
    <cellStyle name="Currency 5 2 2 2 7 5" xfId="11402" xr:uid="{2D89E840-F739-4A51-BC70-1CCBBB611F08}"/>
    <cellStyle name="Currency 5 2 2 2 8" xfId="2422" xr:uid="{00000000-0005-0000-0000-0000C20B0000}"/>
    <cellStyle name="Currency 5 2 2 2 8 2" xfId="6706" xr:uid="{00000000-0005-0000-0000-0000C30B0000}"/>
    <cellStyle name="Currency 5 2 2 2 8 2 2" xfId="24472" xr:uid="{F708A26A-5BEC-4FEE-BBD0-507331240DC0}"/>
    <cellStyle name="Currency 5 2 2 2 8 2 3" xfId="16032" xr:uid="{32B2D03C-7E92-415E-8BAF-4B7E7D55D3E9}"/>
    <cellStyle name="Currency 5 2 2 2 8 3" xfId="20255" xr:uid="{D7761BFD-747C-4D7A-9201-ECCD7FD8D501}"/>
    <cellStyle name="Currency 5 2 2 2 8 4" xfId="11815" xr:uid="{F34BC0B2-9CB5-4712-904A-EDB179B1077B}"/>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2410" xr:uid="{C4B099E9-7AD1-4681-A570-892E22D58CDF}"/>
    <cellStyle name="Currency 5 2 2 3 10 3" xfId="13970" xr:uid="{86C0EE43-04BC-43FB-BB68-0CC3D97E671D}"/>
    <cellStyle name="Currency 5 2 2 3 11" xfId="8890" xr:uid="{F313D4EC-7666-4BAA-9452-39176957C213}"/>
    <cellStyle name="Currency 5 2 2 3 11 2" xfId="18193" xr:uid="{B65CCDD2-90AD-442D-ADA8-1D5F2EC9538A}"/>
    <cellStyle name="Currency 5 2 2 3 12" xfId="9753" xr:uid="{429DEC19-7DED-4E53-A257-A8A991F2F8BB}"/>
    <cellStyle name="Currency 5 2 2 3 2" xfId="201" xr:uid="{00000000-0005-0000-0000-0000C70B0000}"/>
    <cellStyle name="Currency 5 2 2 3 2 10" xfId="9097" xr:uid="{74199D2F-F17A-42DD-AC8B-D958FBFFCA8B}"/>
    <cellStyle name="Currency 5 2 2 3 2 10 2" xfId="18194" xr:uid="{D9F65D9B-6B0D-4AD4-8F93-14A7F251D28D}"/>
    <cellStyle name="Currency 5 2 2 3 2 11" xfId="9754" xr:uid="{18200A01-DB9C-4A5F-8BE8-029E52629E96}"/>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24970" xr:uid="{C3A05C3C-4416-4F7F-AD1D-475093CCCD97}"/>
    <cellStyle name="Currency 5 2 2 3 2 2 2 2 3" xfId="16530" xr:uid="{9E6D90C2-EF20-4484-9C3B-B185DD0C2756}"/>
    <cellStyle name="Currency 5 2 2 3 2 2 2 3" xfId="20753" xr:uid="{E4061B9B-A574-4A88-8D02-D09FBE8FE26C}"/>
    <cellStyle name="Currency 5 2 2 3 2 2 2 4" xfId="12313" xr:uid="{8400CF2E-5486-4FCE-8E5B-F49358DC153F}"/>
    <cellStyle name="Currency 5 2 2 3 2 2 3" xfId="5059" xr:uid="{00000000-0005-0000-0000-0000CB0B0000}"/>
    <cellStyle name="Currency 5 2 2 3 2 2 3 2" xfId="22825" xr:uid="{A41F8425-67E7-4BF8-BD30-6935B4A0CE32}"/>
    <cellStyle name="Currency 5 2 2 3 2 2 3 3" xfId="14385" xr:uid="{C83916E3-0688-4F16-BA15-6914D8553D9D}"/>
    <cellStyle name="Currency 5 2 2 3 2 2 4" xfId="9522" xr:uid="{58EAFCD4-DA5B-47CB-A637-29DA003AA3FD}"/>
    <cellStyle name="Currency 5 2 2 3 2 2 4 2" xfId="18608" xr:uid="{736E7CD9-B629-4927-B051-1248BDF36C55}"/>
    <cellStyle name="Currency 5 2 2 3 2 2 5" xfId="10168" xr:uid="{F12937BD-0C1A-4F0A-9CDE-5930D4FFC8F6}"/>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25383" xr:uid="{A59082F7-C277-43CB-B019-0091DCBA0F7F}"/>
    <cellStyle name="Currency 5 2 2 3 2 3 2 2 3" xfId="16943" xr:uid="{CA4756DD-6887-4895-8783-AACAAC7BE480}"/>
    <cellStyle name="Currency 5 2 2 3 2 3 2 3" xfId="21166" xr:uid="{18932D80-819C-44B7-B487-286A52C4A9AF}"/>
    <cellStyle name="Currency 5 2 2 3 2 3 2 4" xfId="12726" xr:uid="{E5FF781F-4CBA-4EBF-9F26-40919A10015C}"/>
    <cellStyle name="Currency 5 2 2 3 2 3 3" xfId="5472" xr:uid="{00000000-0005-0000-0000-0000CF0B0000}"/>
    <cellStyle name="Currency 5 2 2 3 2 3 3 2" xfId="23238" xr:uid="{D70EE213-2DD6-47D0-A2F6-23DFE6FA1CC7}"/>
    <cellStyle name="Currency 5 2 2 3 2 3 3 3" xfId="14798" xr:uid="{949F8136-F596-41A7-9429-2F4C76D3AD2C}"/>
    <cellStyle name="Currency 5 2 2 3 2 3 4" xfId="19021" xr:uid="{A5102C9A-6613-410D-889E-C311BF49AB38}"/>
    <cellStyle name="Currency 5 2 2 3 2 3 5" xfId="10581" xr:uid="{B8516B56-7928-483F-A1C7-A4387367011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25796" xr:uid="{119C8C9E-A483-4150-BE90-B35CDC0A5F37}"/>
    <cellStyle name="Currency 5 2 2 3 2 4 2 2 3" xfId="17356" xr:uid="{A8CFE6D8-0371-4838-8795-328267416ACD}"/>
    <cellStyle name="Currency 5 2 2 3 2 4 2 3" xfId="21579" xr:uid="{A14BEE5D-7397-421A-B910-32EBB9074B83}"/>
    <cellStyle name="Currency 5 2 2 3 2 4 2 4" xfId="13139" xr:uid="{D8B6AA8B-0D0B-4D17-AF89-2B6A148A8D60}"/>
    <cellStyle name="Currency 5 2 2 3 2 4 3" xfId="5885" xr:uid="{00000000-0005-0000-0000-0000D30B0000}"/>
    <cellStyle name="Currency 5 2 2 3 2 4 3 2" xfId="23651" xr:uid="{5ED88B3B-2891-451A-9064-3479F480DADB}"/>
    <cellStyle name="Currency 5 2 2 3 2 4 3 3" xfId="15211" xr:uid="{FF416EB4-3BE9-4B70-B3DA-D0C636F73314}"/>
    <cellStyle name="Currency 5 2 2 3 2 4 4" xfId="19434" xr:uid="{ABF9A0D2-EEB6-4652-A694-BF39C2640137}"/>
    <cellStyle name="Currency 5 2 2 3 2 4 5" xfId="10994" xr:uid="{7CD6680C-A6A3-4954-A857-060FE294049A}"/>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26209" xr:uid="{5884853F-9538-4F2E-9556-AB569BB7A822}"/>
    <cellStyle name="Currency 5 2 2 3 2 5 2 2 3" xfId="17769" xr:uid="{84CC89A7-16A3-40F8-AE67-75304CF1D8A4}"/>
    <cellStyle name="Currency 5 2 2 3 2 5 2 3" xfId="21992" xr:uid="{195DCB04-2122-4D97-A3A1-7E735240F9E3}"/>
    <cellStyle name="Currency 5 2 2 3 2 5 2 4" xfId="13552" xr:uid="{91FC6552-A38F-4081-8D6E-FCA79B21333C}"/>
    <cellStyle name="Currency 5 2 2 3 2 5 3" xfId="6298" xr:uid="{00000000-0005-0000-0000-0000D70B0000}"/>
    <cellStyle name="Currency 5 2 2 3 2 5 3 2" xfId="24064" xr:uid="{47BA14C5-16E3-49C8-95AC-3054F508C6FC}"/>
    <cellStyle name="Currency 5 2 2 3 2 5 3 3" xfId="15624" xr:uid="{DD8ABEB9-2268-4715-9C65-2C8425F7B757}"/>
    <cellStyle name="Currency 5 2 2 3 2 5 4" xfId="19847" xr:uid="{6A872420-3B17-4ED9-A757-D377023D3F6B}"/>
    <cellStyle name="Currency 5 2 2 3 2 5 5" xfId="11407" xr:uid="{8FEFE5F5-2C8C-41A7-9EAC-08D2EE457588}"/>
    <cellStyle name="Currency 5 2 2 3 2 6" xfId="2427" xr:uid="{00000000-0005-0000-0000-0000D80B0000}"/>
    <cellStyle name="Currency 5 2 2 3 2 6 2" xfId="6711" xr:uid="{00000000-0005-0000-0000-0000D90B0000}"/>
    <cellStyle name="Currency 5 2 2 3 2 6 2 2" xfId="24477" xr:uid="{0AD4E298-75D7-490E-9A34-75F4727AD32B}"/>
    <cellStyle name="Currency 5 2 2 3 2 6 2 3" xfId="16037" xr:uid="{3D155935-DE10-448F-AEEA-FFE86C2AFEA3}"/>
    <cellStyle name="Currency 5 2 2 3 2 6 3" xfId="20260" xr:uid="{7400C0C8-3D4A-4952-842E-312F84A3CCAB}"/>
    <cellStyle name="Currency 5 2 2 3 2 6 4" xfId="11820" xr:uid="{32CBD7FE-4D30-42A6-A1D0-B4FA0F76B88B}"/>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24794" xr:uid="{BE134344-4E93-4B71-B1DF-2FF8FAE5BAEF}"/>
    <cellStyle name="Currency 5 2 2 3 2 8 2 3" xfId="16354" xr:uid="{1DEB499D-943F-4593-96B1-BA91BC9AFDE5}"/>
    <cellStyle name="Currency 5 2 2 3 2 8 3" xfId="20577" xr:uid="{D4EF9CC1-D12D-4332-A8EF-4A72ABF6A154}"/>
    <cellStyle name="Currency 5 2 2 3 2 8 4" xfId="12137" xr:uid="{D5CE586A-5A6C-45C7-9D49-CABD37210ED3}"/>
    <cellStyle name="Currency 5 2 2 3 2 9" xfId="4645" xr:uid="{00000000-0005-0000-0000-0000DD0B0000}"/>
    <cellStyle name="Currency 5 2 2 3 2 9 2" xfId="22411" xr:uid="{FB9E75AE-86E6-46BD-B01A-9347147C550C}"/>
    <cellStyle name="Currency 5 2 2 3 2 9 3" xfId="13971" xr:uid="{9967FE00-8FB3-467C-8474-83C5CB610F43}"/>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24969" xr:uid="{343E5C88-9BCD-4B0B-AE02-C9FC2A34CA16}"/>
    <cellStyle name="Currency 5 2 2 3 3 2 2 3" xfId="16529" xr:uid="{B73B9E15-550C-484C-8E05-5CBC02308DA3}"/>
    <cellStyle name="Currency 5 2 2 3 3 2 3" xfId="20752" xr:uid="{52CF7C21-04CC-4A46-9B12-B2EBC1CDE2BD}"/>
    <cellStyle name="Currency 5 2 2 3 3 2 4" xfId="12312" xr:uid="{89B27E0E-4A39-4DE0-8BAD-B52396196326}"/>
    <cellStyle name="Currency 5 2 2 3 3 3" xfId="5058" xr:uid="{00000000-0005-0000-0000-0000E10B0000}"/>
    <cellStyle name="Currency 5 2 2 3 3 3 2" xfId="22824" xr:uid="{28A82762-6EC9-4FE4-9221-E3F2496C1EBE}"/>
    <cellStyle name="Currency 5 2 2 3 3 3 3" xfId="14384" xr:uid="{C326B4A6-0E41-4807-AF23-2B3AF7490105}"/>
    <cellStyle name="Currency 5 2 2 3 3 4" xfId="9315" xr:uid="{A76EC348-1CDB-41C1-B9B8-9215FF30C619}"/>
    <cellStyle name="Currency 5 2 2 3 3 4 2" xfId="18607" xr:uid="{7EDE67B0-DD4C-4E0E-ADD6-22517D12182F}"/>
    <cellStyle name="Currency 5 2 2 3 3 5" xfId="10167" xr:uid="{12BD3A6B-DB37-4F3F-A6BB-94FAB94C097E}"/>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25382" xr:uid="{E7E2BD8E-1578-497D-9F8C-D248C35926A4}"/>
    <cellStyle name="Currency 5 2 2 3 4 2 2 3" xfId="16942" xr:uid="{6D62704B-67DE-48AC-8D5E-13B430D7DE27}"/>
    <cellStyle name="Currency 5 2 2 3 4 2 3" xfId="21165" xr:uid="{3901ACE9-7AF9-4DAA-890B-A25C3C7C9354}"/>
    <cellStyle name="Currency 5 2 2 3 4 2 4" xfId="12725" xr:uid="{8C6A3C85-EF55-4DE9-9AC7-AAA35438410C}"/>
    <cellStyle name="Currency 5 2 2 3 4 3" xfId="5471" xr:uid="{00000000-0005-0000-0000-0000E50B0000}"/>
    <cellStyle name="Currency 5 2 2 3 4 3 2" xfId="23237" xr:uid="{50DF00FB-8F56-4B1D-92C2-EE6C06C04144}"/>
    <cellStyle name="Currency 5 2 2 3 4 3 3" xfId="14797" xr:uid="{23E6849B-3406-44F8-8784-1395DF32CA03}"/>
    <cellStyle name="Currency 5 2 2 3 4 4" xfId="19020" xr:uid="{EA6E05F7-BB3E-4F3A-B620-310A6D28E9FF}"/>
    <cellStyle name="Currency 5 2 2 3 4 5" xfId="10580" xr:uid="{EA0D3BD0-E5D6-452C-A90C-E966A8C5BB8C}"/>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25795" xr:uid="{DAAC7FCD-C593-40CA-A0E1-AAD9975A1A81}"/>
    <cellStyle name="Currency 5 2 2 3 5 2 2 3" xfId="17355" xr:uid="{A2B4A89D-EB15-4403-8C99-C9C02537A505}"/>
    <cellStyle name="Currency 5 2 2 3 5 2 3" xfId="21578" xr:uid="{FDFAAB24-D255-4D95-9A4A-EC5518B4716F}"/>
    <cellStyle name="Currency 5 2 2 3 5 2 4" xfId="13138" xr:uid="{62E2C4FA-892E-4E61-8834-2467F4D84EB3}"/>
    <cellStyle name="Currency 5 2 2 3 5 3" xfId="5884" xr:uid="{00000000-0005-0000-0000-0000E90B0000}"/>
    <cellStyle name="Currency 5 2 2 3 5 3 2" xfId="23650" xr:uid="{8C116AA4-9FC0-4AA7-BC9B-313E8A576A0F}"/>
    <cellStyle name="Currency 5 2 2 3 5 3 3" xfId="15210" xr:uid="{14B97888-F82C-4C80-B853-F25CD55EF687}"/>
    <cellStyle name="Currency 5 2 2 3 5 4" xfId="19433" xr:uid="{B7FF6F9A-B9A8-4FC5-8013-CEA60EF018CA}"/>
    <cellStyle name="Currency 5 2 2 3 5 5" xfId="10993" xr:uid="{85690EDE-A7F6-4193-9B3A-74362CE5F551}"/>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26208" xr:uid="{7C9BB60A-E413-4719-96AD-618657D32AD2}"/>
    <cellStyle name="Currency 5 2 2 3 6 2 2 3" xfId="17768" xr:uid="{96F58FF3-7575-45A6-A0BC-1C49611D4E67}"/>
    <cellStyle name="Currency 5 2 2 3 6 2 3" xfId="21991" xr:uid="{BE01E5FF-3D77-4290-A24F-5D230B5493D5}"/>
    <cellStyle name="Currency 5 2 2 3 6 2 4" xfId="13551" xr:uid="{0BEC99BD-1575-46B1-9CC7-130D50160234}"/>
    <cellStyle name="Currency 5 2 2 3 6 3" xfId="6297" xr:uid="{00000000-0005-0000-0000-0000ED0B0000}"/>
    <cellStyle name="Currency 5 2 2 3 6 3 2" xfId="24063" xr:uid="{78DAAB6F-CE04-455A-968F-FEC230C87BBA}"/>
    <cellStyle name="Currency 5 2 2 3 6 3 3" xfId="15623" xr:uid="{A8F2E9E7-8EC2-4FA4-989D-1A06B6B8B2E9}"/>
    <cellStyle name="Currency 5 2 2 3 6 4" xfId="19846" xr:uid="{08DDBF68-3B04-46F5-B679-BA2A43C0D31E}"/>
    <cellStyle name="Currency 5 2 2 3 6 5" xfId="11406" xr:uid="{1E307496-FAA3-4477-AD80-DEE56BD35C15}"/>
    <cellStyle name="Currency 5 2 2 3 7" xfId="2426" xr:uid="{00000000-0005-0000-0000-0000EE0B0000}"/>
    <cellStyle name="Currency 5 2 2 3 7 2" xfId="6710" xr:uid="{00000000-0005-0000-0000-0000EF0B0000}"/>
    <cellStyle name="Currency 5 2 2 3 7 2 2" xfId="24476" xr:uid="{880DA764-70B6-49F9-A37C-F2B8AAC8A705}"/>
    <cellStyle name="Currency 5 2 2 3 7 2 3" xfId="16036" xr:uid="{D21CEB72-8577-4AFA-841B-474144B32C1F}"/>
    <cellStyle name="Currency 5 2 2 3 7 3" xfId="20259" xr:uid="{63312D7D-95AF-45EE-85B2-40AA679D3D86}"/>
    <cellStyle name="Currency 5 2 2 3 7 4" xfId="11819" xr:uid="{02D1913A-70E9-451E-9F6D-9C45E8369D42}"/>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24793" xr:uid="{924EB529-A59B-497E-AB4A-B5BA57C138FD}"/>
    <cellStyle name="Currency 5 2 2 3 9 2 3" xfId="16353" xr:uid="{3BE7D8C5-9F19-4ED7-B19F-9F2AD69DE3DC}"/>
    <cellStyle name="Currency 5 2 2 3 9 3" xfId="20576" xr:uid="{5460E4C2-5613-4CBF-8478-056581D96DD0}"/>
    <cellStyle name="Currency 5 2 2 3 9 4" xfId="12136" xr:uid="{92EB24AC-BEA3-4BEA-8EE3-8907BE7AA6F2}"/>
    <cellStyle name="Currency 5 2 2 4" xfId="202" xr:uid="{00000000-0005-0000-0000-0000F30B0000}"/>
    <cellStyle name="Currency 5 2 2 4 10" xfId="8994" xr:uid="{484CCE7A-1288-4C7F-ABD6-C45948DC4EC0}"/>
    <cellStyle name="Currency 5 2 2 4 10 2" xfId="18195" xr:uid="{8C1ED04A-D7BC-4768-945B-051392585440}"/>
    <cellStyle name="Currency 5 2 2 4 11" xfId="9755" xr:uid="{529EDF3C-EEC9-4135-AB0B-9708EA7D5DB8}"/>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24971" xr:uid="{B8807D63-249E-475B-9F7D-9A0C1EDD43E5}"/>
    <cellStyle name="Currency 5 2 2 4 2 2 2 3" xfId="16531" xr:uid="{DB3660A3-ECC8-43D1-96B1-80C57567FC55}"/>
    <cellStyle name="Currency 5 2 2 4 2 2 3" xfId="20754" xr:uid="{2145ADB8-20A3-4D45-BCCD-B2B789098832}"/>
    <cellStyle name="Currency 5 2 2 4 2 2 4" xfId="12314" xr:uid="{D3CEF47A-B872-4F35-8A3D-2FDD0244A72D}"/>
    <cellStyle name="Currency 5 2 2 4 2 3" xfId="5060" xr:uid="{00000000-0005-0000-0000-0000F70B0000}"/>
    <cellStyle name="Currency 5 2 2 4 2 3 2" xfId="22826" xr:uid="{CB172DC6-5C6F-4670-A3C3-56CC2A3763B4}"/>
    <cellStyle name="Currency 5 2 2 4 2 3 3" xfId="14386" xr:uid="{19A32003-F261-407E-95A5-4CB8D977E018}"/>
    <cellStyle name="Currency 5 2 2 4 2 4" xfId="9419" xr:uid="{F03E4D2E-3BA9-4D5B-9C35-959DB128CBAE}"/>
    <cellStyle name="Currency 5 2 2 4 2 4 2" xfId="18609" xr:uid="{D1884769-6356-4F50-ACC0-0D0A05EB75DA}"/>
    <cellStyle name="Currency 5 2 2 4 2 5" xfId="10169" xr:uid="{A70DCDD2-5C67-4731-B7C5-A4AEB32B94F4}"/>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25384" xr:uid="{25A25C01-B6B6-40AF-8CE5-7AC0E1337D7B}"/>
    <cellStyle name="Currency 5 2 2 4 3 2 2 3" xfId="16944" xr:uid="{D40B1707-D708-474C-9EA4-A1C7CF940E9F}"/>
    <cellStyle name="Currency 5 2 2 4 3 2 3" xfId="21167" xr:uid="{D86E6DBB-73B9-49BA-8073-9CCB326C1498}"/>
    <cellStyle name="Currency 5 2 2 4 3 2 4" xfId="12727" xr:uid="{029D3A06-8AC8-4B12-B363-40D2CAFFE3F0}"/>
    <cellStyle name="Currency 5 2 2 4 3 3" xfId="5473" xr:uid="{00000000-0005-0000-0000-0000FB0B0000}"/>
    <cellStyle name="Currency 5 2 2 4 3 3 2" xfId="23239" xr:uid="{C18E883F-7513-44CF-BBA6-05550086A10A}"/>
    <cellStyle name="Currency 5 2 2 4 3 3 3" xfId="14799" xr:uid="{788C763A-77CD-4D57-8E63-8101EAEC1683}"/>
    <cellStyle name="Currency 5 2 2 4 3 4" xfId="19022" xr:uid="{D73F7D85-4C4C-4C1C-AA71-8964AF5C0293}"/>
    <cellStyle name="Currency 5 2 2 4 3 5" xfId="10582" xr:uid="{06A5CC7E-2424-4662-B582-2F664B884028}"/>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25797" xr:uid="{A226C22D-A175-44AF-BDD9-3249D0FDA20E}"/>
    <cellStyle name="Currency 5 2 2 4 4 2 2 3" xfId="17357" xr:uid="{BE99CBDB-5659-4DFA-B31D-D442FB91AED2}"/>
    <cellStyle name="Currency 5 2 2 4 4 2 3" xfId="21580" xr:uid="{AB08B118-AFF9-41C3-AA00-DC466507AF55}"/>
    <cellStyle name="Currency 5 2 2 4 4 2 4" xfId="13140" xr:uid="{870AF211-C66B-4A57-B1D3-CEF43515DE6A}"/>
    <cellStyle name="Currency 5 2 2 4 4 3" xfId="5886" xr:uid="{00000000-0005-0000-0000-0000FF0B0000}"/>
    <cellStyle name="Currency 5 2 2 4 4 3 2" xfId="23652" xr:uid="{F7A3238F-DFE6-44A3-9B8D-3B74F6E26C24}"/>
    <cellStyle name="Currency 5 2 2 4 4 3 3" xfId="15212" xr:uid="{751537AF-83A0-4EE3-8E54-72FF24C89285}"/>
    <cellStyle name="Currency 5 2 2 4 4 4" xfId="19435" xr:uid="{6ADDD067-3A5A-48D2-A1A6-A2C091FA2592}"/>
    <cellStyle name="Currency 5 2 2 4 4 5" xfId="10995" xr:uid="{DDE54B7C-C042-4FDE-A63B-8F7F8E36CD88}"/>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26210" xr:uid="{11F94D1D-827C-4EC3-8BAF-23F77AE21985}"/>
    <cellStyle name="Currency 5 2 2 4 5 2 2 3" xfId="17770" xr:uid="{26B00178-B174-426A-9363-5752BAC1A126}"/>
    <cellStyle name="Currency 5 2 2 4 5 2 3" xfId="21993" xr:uid="{7369FE7F-A1CC-44CB-B2A7-3F715C907B75}"/>
    <cellStyle name="Currency 5 2 2 4 5 2 4" xfId="13553" xr:uid="{8CD09D89-1C49-484E-8330-6C752E3417FC}"/>
    <cellStyle name="Currency 5 2 2 4 5 3" xfId="6299" xr:uid="{00000000-0005-0000-0000-0000030C0000}"/>
    <cellStyle name="Currency 5 2 2 4 5 3 2" xfId="24065" xr:uid="{19E99C62-4FC0-498B-916F-9EB252732705}"/>
    <cellStyle name="Currency 5 2 2 4 5 3 3" xfId="15625" xr:uid="{B245EE30-6539-4C92-A286-E9D3B26E2096}"/>
    <cellStyle name="Currency 5 2 2 4 5 4" xfId="19848" xr:uid="{A4F5FC06-CF0F-4781-8D36-4D2029D126E3}"/>
    <cellStyle name="Currency 5 2 2 4 5 5" xfId="11408" xr:uid="{1EBA8D98-B644-478F-82B7-6870DEBE8FBB}"/>
    <cellStyle name="Currency 5 2 2 4 6" xfId="2428" xr:uid="{00000000-0005-0000-0000-0000040C0000}"/>
    <cellStyle name="Currency 5 2 2 4 6 2" xfId="6712" xr:uid="{00000000-0005-0000-0000-0000050C0000}"/>
    <cellStyle name="Currency 5 2 2 4 6 2 2" xfId="24478" xr:uid="{ADFD4610-BCF1-4D9D-829E-88ABE0EA815E}"/>
    <cellStyle name="Currency 5 2 2 4 6 2 3" xfId="16038" xr:uid="{E47C295D-AA87-4808-A5C0-9B911F45D2E1}"/>
    <cellStyle name="Currency 5 2 2 4 6 3" xfId="20261" xr:uid="{4A443DF2-D1E2-4454-9F38-73244DE2D276}"/>
    <cellStyle name="Currency 5 2 2 4 6 4" xfId="11821" xr:uid="{F0996231-DB5E-43A7-BCF8-FED7A7EBF836}"/>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24795" xr:uid="{2BD1FD0F-14FF-41F4-B641-CDFEFEE7982E}"/>
    <cellStyle name="Currency 5 2 2 4 8 2 3" xfId="16355" xr:uid="{C9EA49AB-4D59-4240-B9C4-953E5E3EDD91}"/>
    <cellStyle name="Currency 5 2 2 4 8 3" xfId="20578" xr:uid="{7456EE7D-A45E-4A93-B2E2-3002C6E825F0}"/>
    <cellStyle name="Currency 5 2 2 4 8 4" xfId="12138" xr:uid="{D5503896-2799-4B2E-BFAB-B83C02535072}"/>
    <cellStyle name="Currency 5 2 2 4 9" xfId="4646" xr:uid="{00000000-0005-0000-0000-0000090C0000}"/>
    <cellStyle name="Currency 5 2 2 4 9 2" xfId="22412" xr:uid="{E9F31A07-3187-4349-8FB7-C0D9700403A8}"/>
    <cellStyle name="Currency 5 2 2 4 9 3" xfId="13972" xr:uid="{B0273D55-EAF2-417A-8847-668F67CE6F66}"/>
    <cellStyle name="Currency 5 2 2 5" xfId="203" xr:uid="{00000000-0005-0000-0000-00000A0C0000}"/>
    <cellStyle name="Currency 5 2 2 5 10" xfId="9211" xr:uid="{586E1D8D-A72F-44A2-BAB5-A0BAD4827F6D}"/>
    <cellStyle name="Currency 5 2 2 5 10 2" xfId="18196" xr:uid="{A1071615-543F-4D10-9209-8BFA5F869129}"/>
    <cellStyle name="Currency 5 2 2 5 11" xfId="9756" xr:uid="{0191FE1D-D839-44D3-AFE6-F7E6E07FFB7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24972" xr:uid="{08EC3B9D-FF80-499A-8A16-EBA65D156E02}"/>
    <cellStyle name="Currency 5 2 2 5 2 2 2 3" xfId="16532" xr:uid="{A1B93473-B817-4B4A-A0D6-DBFEF8CACB81}"/>
    <cellStyle name="Currency 5 2 2 5 2 2 3" xfId="20755" xr:uid="{1D4E1FC7-F107-40DB-8293-77BDE2DA0217}"/>
    <cellStyle name="Currency 5 2 2 5 2 2 4" xfId="12315" xr:uid="{C8AE63EB-776C-42F9-9A1C-A29184CA8723}"/>
    <cellStyle name="Currency 5 2 2 5 2 3" xfId="5061" xr:uid="{00000000-0005-0000-0000-00000E0C0000}"/>
    <cellStyle name="Currency 5 2 2 5 2 3 2" xfId="22827" xr:uid="{E46AE8CF-EB55-48C1-887B-FE4D28D46DA8}"/>
    <cellStyle name="Currency 5 2 2 5 2 3 3" xfId="14387" xr:uid="{12960B40-7E9A-4B20-8EBE-9A247D42BAAB}"/>
    <cellStyle name="Currency 5 2 2 5 2 4" xfId="9598" xr:uid="{EBD3270B-608E-49E1-8A20-C5ADF81FBC1B}"/>
    <cellStyle name="Currency 5 2 2 5 2 4 2" xfId="18610" xr:uid="{DDC1589A-2A07-4A6E-BA4C-B420551F8C08}"/>
    <cellStyle name="Currency 5 2 2 5 2 5" xfId="10170" xr:uid="{69589F15-933C-4BF8-8A08-87B7BD3EA71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25385" xr:uid="{6A2501D7-1424-4386-8973-0A88FEC96D09}"/>
    <cellStyle name="Currency 5 2 2 5 3 2 2 3" xfId="16945" xr:uid="{10BF63FF-EC71-45D3-A1A6-15651A01309A}"/>
    <cellStyle name="Currency 5 2 2 5 3 2 3" xfId="21168" xr:uid="{89D6C3C6-D8A0-49C8-AE9A-5D673B12837A}"/>
    <cellStyle name="Currency 5 2 2 5 3 2 4" xfId="12728" xr:uid="{984313E3-164E-4264-B664-B2182FD4737F}"/>
    <cellStyle name="Currency 5 2 2 5 3 3" xfId="5474" xr:uid="{00000000-0005-0000-0000-0000120C0000}"/>
    <cellStyle name="Currency 5 2 2 5 3 3 2" xfId="23240" xr:uid="{8989E2D7-7030-413B-86DF-AC82CB21597F}"/>
    <cellStyle name="Currency 5 2 2 5 3 3 3" xfId="14800" xr:uid="{E8B0C391-29B5-455D-9B74-83D4D2CC0BD7}"/>
    <cellStyle name="Currency 5 2 2 5 3 4" xfId="19023" xr:uid="{8E4CD499-A4B8-4F74-BB5F-289EDCA9F65F}"/>
    <cellStyle name="Currency 5 2 2 5 3 5" xfId="10583" xr:uid="{EBF3AB1E-702D-42D1-BE9C-91575C17F431}"/>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25798" xr:uid="{6C90D68F-625A-4D5D-914D-29C07F7102A3}"/>
    <cellStyle name="Currency 5 2 2 5 4 2 2 3" xfId="17358" xr:uid="{11AC2DAB-04EE-4B7F-A0A7-48591D405E7B}"/>
    <cellStyle name="Currency 5 2 2 5 4 2 3" xfId="21581" xr:uid="{DC429E3E-4B5A-4260-863C-6F4EE0A9104C}"/>
    <cellStyle name="Currency 5 2 2 5 4 2 4" xfId="13141" xr:uid="{3E6FB307-1CA8-4AD4-A56F-6C7A26851B28}"/>
    <cellStyle name="Currency 5 2 2 5 4 3" xfId="5887" xr:uid="{00000000-0005-0000-0000-0000160C0000}"/>
    <cellStyle name="Currency 5 2 2 5 4 3 2" xfId="23653" xr:uid="{27FEB2F1-F2EE-4FC8-A4B2-50EBB7F265F6}"/>
    <cellStyle name="Currency 5 2 2 5 4 3 3" xfId="15213" xr:uid="{01162FA1-A675-4E2C-9BCE-0D8F6CA20B88}"/>
    <cellStyle name="Currency 5 2 2 5 4 4" xfId="19436" xr:uid="{B0B225EE-D2E2-434F-94E1-29E9607DE3BF}"/>
    <cellStyle name="Currency 5 2 2 5 4 5" xfId="10996" xr:uid="{20EDDB41-20F5-4326-B447-756532BAA5B5}"/>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26211" xr:uid="{C4494034-7283-4330-9A60-D5F8B03F959D}"/>
    <cellStyle name="Currency 5 2 2 5 5 2 2 3" xfId="17771" xr:uid="{93EE44BC-3E75-40C8-9B23-920468D561D9}"/>
    <cellStyle name="Currency 5 2 2 5 5 2 3" xfId="21994" xr:uid="{C5DFFAC5-8772-470F-B96F-31794B8907B6}"/>
    <cellStyle name="Currency 5 2 2 5 5 2 4" xfId="13554" xr:uid="{27CFCECA-E5DE-4705-B2DE-39EB8FE4449A}"/>
    <cellStyle name="Currency 5 2 2 5 5 3" xfId="6300" xr:uid="{00000000-0005-0000-0000-00001A0C0000}"/>
    <cellStyle name="Currency 5 2 2 5 5 3 2" xfId="24066" xr:uid="{594FB172-8D67-4AE4-9A43-2EC098F2A321}"/>
    <cellStyle name="Currency 5 2 2 5 5 3 3" xfId="15626" xr:uid="{59B9A830-B046-4925-B4E5-DFB1009FDFB4}"/>
    <cellStyle name="Currency 5 2 2 5 5 4" xfId="19849" xr:uid="{A7FB2CD4-8E33-44ED-A55D-83E9AFB3AF81}"/>
    <cellStyle name="Currency 5 2 2 5 5 5" xfId="11409" xr:uid="{5A01C65F-9CA0-4227-8DC6-11B94B82AB1A}"/>
    <cellStyle name="Currency 5 2 2 5 6" xfId="2429" xr:uid="{00000000-0005-0000-0000-00001B0C0000}"/>
    <cellStyle name="Currency 5 2 2 5 6 2" xfId="6713" xr:uid="{00000000-0005-0000-0000-00001C0C0000}"/>
    <cellStyle name="Currency 5 2 2 5 6 2 2" xfId="24479" xr:uid="{346C53F8-2972-4B69-BB4C-7090E7238A5B}"/>
    <cellStyle name="Currency 5 2 2 5 6 2 3" xfId="16039" xr:uid="{8B2B4740-7601-4AAF-BABF-9EC7A17029FE}"/>
    <cellStyle name="Currency 5 2 2 5 6 3" xfId="20262" xr:uid="{7AB6DD07-04E3-42BA-83F6-07B67E7BA149}"/>
    <cellStyle name="Currency 5 2 2 5 6 4" xfId="11822" xr:uid="{2203B68C-D3C6-47B0-B786-AE4A35BBFDFB}"/>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24796" xr:uid="{20781199-E7F5-41DD-9DE1-BE1A70F06260}"/>
    <cellStyle name="Currency 5 2 2 5 8 2 3" xfId="16356" xr:uid="{B67A9A99-944B-4AB1-8110-39E370D1BFD0}"/>
    <cellStyle name="Currency 5 2 2 5 8 3" xfId="20579" xr:uid="{695C2AAA-BD8F-4B09-9982-62875A1527BD}"/>
    <cellStyle name="Currency 5 2 2 5 8 4" xfId="12139" xr:uid="{0B3A3BDB-19A4-4D10-8EDF-221FCE826819}"/>
    <cellStyle name="Currency 5 2 2 5 9" xfId="4647" xr:uid="{00000000-0005-0000-0000-0000200C0000}"/>
    <cellStyle name="Currency 5 2 2 5 9 2" xfId="22413" xr:uid="{E13976D4-34A1-4FF1-9FEA-316D2D2727DB}"/>
    <cellStyle name="Currency 5 2 2 5 9 3" xfId="13973" xr:uid="{D1F90E58-FA11-44B7-836D-BE4F9452C202}"/>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2414" xr:uid="{E06B9D65-3C1B-480F-81F6-65C30A6C6D41}"/>
    <cellStyle name="Currency 5 2 4 10 3" xfId="13974" xr:uid="{CCC77B98-6CF2-4427-9BB3-B5E215D2E9BC}"/>
    <cellStyle name="Currency 5 2 4 11" xfId="8859" xr:uid="{D3A5F8AD-5F4E-4BEA-A9B4-9A705A015524}"/>
    <cellStyle name="Currency 5 2 4 11 2" xfId="18197" xr:uid="{1A5675F6-6C52-4FB2-857D-6014D204DB33}"/>
    <cellStyle name="Currency 5 2 4 12" xfId="9757" xr:uid="{70C28E6A-BAA2-4D1D-B1D9-54407CF95F51}"/>
    <cellStyle name="Currency 5 2 4 2" xfId="206" xr:uid="{00000000-0005-0000-0000-0000250C0000}"/>
    <cellStyle name="Currency 5 2 4 2 10" xfId="9066" xr:uid="{2F7A28AF-2120-4AAF-A58B-33C2E07F597D}"/>
    <cellStyle name="Currency 5 2 4 2 10 2" xfId="18198" xr:uid="{7A71802E-8523-4AAF-9E30-2B99421C0453}"/>
    <cellStyle name="Currency 5 2 4 2 11" xfId="9758" xr:uid="{9E10675F-F3F3-491B-96FE-2D3B79CCBC1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24974" xr:uid="{F452B068-BA08-4D23-BF45-CFC5DEB33437}"/>
    <cellStyle name="Currency 5 2 4 2 2 2 2 3" xfId="16534" xr:uid="{92353C21-7B4C-44A8-8155-C0E3C6EE7DE3}"/>
    <cellStyle name="Currency 5 2 4 2 2 2 3" xfId="20757" xr:uid="{FAD41E9A-69CE-4D8D-948F-8326091D9133}"/>
    <cellStyle name="Currency 5 2 4 2 2 2 4" xfId="12317" xr:uid="{2A9270A2-EAF0-47C2-940B-FF2F575BDDA7}"/>
    <cellStyle name="Currency 5 2 4 2 2 3" xfId="5063" xr:uid="{00000000-0005-0000-0000-0000290C0000}"/>
    <cellStyle name="Currency 5 2 4 2 2 3 2" xfId="22829" xr:uid="{DAE3BF68-94F4-4BE4-997A-98919FA5DC7F}"/>
    <cellStyle name="Currency 5 2 4 2 2 3 3" xfId="14389" xr:uid="{9EB99C9C-3C74-4DD3-A2E4-B840BF2B12A6}"/>
    <cellStyle name="Currency 5 2 4 2 2 4" xfId="9491" xr:uid="{64B868C7-9024-4970-9E74-7DF82417BD7A}"/>
    <cellStyle name="Currency 5 2 4 2 2 4 2" xfId="18612" xr:uid="{797E22AB-CB45-4089-9437-0CFFF18507CD}"/>
    <cellStyle name="Currency 5 2 4 2 2 5" xfId="10172" xr:uid="{DA878A49-C13C-43B8-94F7-C173ACFE8496}"/>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25387" xr:uid="{67D4126E-B4C4-4CE1-9AA6-C1531B929107}"/>
    <cellStyle name="Currency 5 2 4 2 3 2 2 3" xfId="16947" xr:uid="{0EAB6EDC-CE3A-4252-959C-8072DA39C3D2}"/>
    <cellStyle name="Currency 5 2 4 2 3 2 3" xfId="21170" xr:uid="{41784128-12D0-47E4-B724-D5AE05E21124}"/>
    <cellStyle name="Currency 5 2 4 2 3 2 4" xfId="12730" xr:uid="{74F5FDFD-49F7-48B7-A6CE-D6D971D40565}"/>
    <cellStyle name="Currency 5 2 4 2 3 3" xfId="5476" xr:uid="{00000000-0005-0000-0000-00002D0C0000}"/>
    <cellStyle name="Currency 5 2 4 2 3 3 2" xfId="23242" xr:uid="{BB0648AE-CE32-481A-96AF-52AAE857CFF2}"/>
    <cellStyle name="Currency 5 2 4 2 3 3 3" xfId="14802" xr:uid="{4A149A33-20BD-4FBF-B704-07A39618C3F4}"/>
    <cellStyle name="Currency 5 2 4 2 3 4" xfId="19025" xr:uid="{71606881-4CDF-4294-B4D2-4FD3BEC788B2}"/>
    <cellStyle name="Currency 5 2 4 2 3 5" xfId="10585" xr:uid="{54B8BF93-D61E-4BE8-B33A-81E44BFC9623}"/>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25800" xr:uid="{4D471551-322C-4AEB-B51F-D805579F5CAF}"/>
    <cellStyle name="Currency 5 2 4 2 4 2 2 3" xfId="17360" xr:uid="{48BECE96-B854-4E9B-82B2-5069AF5C88CF}"/>
    <cellStyle name="Currency 5 2 4 2 4 2 3" xfId="21583" xr:uid="{4645EB46-E151-4981-BBF7-7D7620EB1D66}"/>
    <cellStyle name="Currency 5 2 4 2 4 2 4" xfId="13143" xr:uid="{92E5E1A1-1F25-436B-B6AB-66CD2444FE0D}"/>
    <cellStyle name="Currency 5 2 4 2 4 3" xfId="5889" xr:uid="{00000000-0005-0000-0000-0000310C0000}"/>
    <cellStyle name="Currency 5 2 4 2 4 3 2" xfId="23655" xr:uid="{4F83AD60-F31C-49C4-AFFB-20CAF590EBAD}"/>
    <cellStyle name="Currency 5 2 4 2 4 3 3" xfId="15215" xr:uid="{8ED24AD0-092F-4A1D-810C-7DBC1EC56832}"/>
    <cellStyle name="Currency 5 2 4 2 4 4" xfId="19438" xr:uid="{2595DF01-D510-45DF-8C24-00BBCEAAB287}"/>
    <cellStyle name="Currency 5 2 4 2 4 5" xfId="10998" xr:uid="{D473F451-320C-492E-AC82-C84AE8F343D5}"/>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26213" xr:uid="{1BB364B1-D626-4096-B5E5-0293F80BD04F}"/>
    <cellStyle name="Currency 5 2 4 2 5 2 2 3" xfId="17773" xr:uid="{1C561664-CA6C-49F7-8E90-1B495F661A19}"/>
    <cellStyle name="Currency 5 2 4 2 5 2 3" xfId="21996" xr:uid="{B29FE1BB-C3C0-40F7-B2D7-CA3CE56C48EF}"/>
    <cellStyle name="Currency 5 2 4 2 5 2 4" xfId="13556" xr:uid="{29436592-43C7-42FD-BD4A-EB14E86BFBF3}"/>
    <cellStyle name="Currency 5 2 4 2 5 3" xfId="6302" xr:uid="{00000000-0005-0000-0000-0000350C0000}"/>
    <cellStyle name="Currency 5 2 4 2 5 3 2" xfId="24068" xr:uid="{170FCC83-AC3D-4B50-A147-9E058BA9E12D}"/>
    <cellStyle name="Currency 5 2 4 2 5 3 3" xfId="15628" xr:uid="{4806F350-BE81-4C57-A135-E34E6FEDB434}"/>
    <cellStyle name="Currency 5 2 4 2 5 4" xfId="19851" xr:uid="{BCD8B829-4B29-4A0F-835E-1BC97FBB666E}"/>
    <cellStyle name="Currency 5 2 4 2 5 5" xfId="11411" xr:uid="{8AD49120-5885-4396-92A6-71BFF0876C5A}"/>
    <cellStyle name="Currency 5 2 4 2 6" xfId="2431" xr:uid="{00000000-0005-0000-0000-0000360C0000}"/>
    <cellStyle name="Currency 5 2 4 2 6 2" xfId="6715" xr:uid="{00000000-0005-0000-0000-0000370C0000}"/>
    <cellStyle name="Currency 5 2 4 2 6 2 2" xfId="24481" xr:uid="{4809AAC8-D80A-48F4-B5CE-1F644DE204EB}"/>
    <cellStyle name="Currency 5 2 4 2 6 2 3" xfId="16041" xr:uid="{194F6E56-CB90-4A49-99EF-9A6347FA7DB9}"/>
    <cellStyle name="Currency 5 2 4 2 6 3" xfId="20264" xr:uid="{C3B816C5-F5C8-4258-9E2B-C8166EFE5837}"/>
    <cellStyle name="Currency 5 2 4 2 6 4" xfId="11824" xr:uid="{9FE71F13-D7A0-4274-89C5-605AA1A67A4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24798" xr:uid="{FFAD79FD-83FC-4831-AF8F-794D2CCC6DBA}"/>
    <cellStyle name="Currency 5 2 4 2 8 2 3" xfId="16358" xr:uid="{AC16DB8A-2506-499F-B811-DDFA46F0F184}"/>
    <cellStyle name="Currency 5 2 4 2 8 3" xfId="20581" xr:uid="{4DD256DE-FA87-4507-83F9-D2CF02294EA3}"/>
    <cellStyle name="Currency 5 2 4 2 8 4" xfId="12141" xr:uid="{12024C37-8C3E-469F-8742-9BE9253EC525}"/>
    <cellStyle name="Currency 5 2 4 2 9" xfId="4649" xr:uid="{00000000-0005-0000-0000-00003B0C0000}"/>
    <cellStyle name="Currency 5 2 4 2 9 2" xfId="22415" xr:uid="{DFFEFD17-1102-45E8-8B06-73CAAD1AE308}"/>
    <cellStyle name="Currency 5 2 4 2 9 3" xfId="13975" xr:uid="{89C6362A-8E9F-4933-92AD-7B465B88BBEE}"/>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24973" xr:uid="{C0B1828B-FB86-40D6-B9F8-8CC16B66B0FB}"/>
    <cellStyle name="Currency 5 2 4 3 2 2 3" xfId="16533" xr:uid="{2BCA7E67-F804-40C9-AB6D-597C23D8C45C}"/>
    <cellStyle name="Currency 5 2 4 3 2 3" xfId="20756" xr:uid="{539119F8-6717-4B08-85D7-79397D0CCC7F}"/>
    <cellStyle name="Currency 5 2 4 3 2 4" xfId="12316" xr:uid="{F85857BF-609E-4273-BD12-A88FD682E94A}"/>
    <cellStyle name="Currency 5 2 4 3 3" xfId="5062" xr:uid="{00000000-0005-0000-0000-00003F0C0000}"/>
    <cellStyle name="Currency 5 2 4 3 3 2" xfId="22828" xr:uid="{101846B0-0630-474A-B8C1-789430AB3B36}"/>
    <cellStyle name="Currency 5 2 4 3 3 3" xfId="14388" xr:uid="{DAEC0E6E-EB3A-44AF-AA9E-07AD3C470025}"/>
    <cellStyle name="Currency 5 2 4 3 4" xfId="9284" xr:uid="{1D0B72AC-AFAC-428F-8BF0-6DFF9565613D}"/>
    <cellStyle name="Currency 5 2 4 3 4 2" xfId="18611" xr:uid="{3BA9A46D-BA65-4B38-9FD6-40FEFFFD3AA0}"/>
    <cellStyle name="Currency 5 2 4 3 5" xfId="10171" xr:uid="{7D973AAD-F4E3-418A-8BB6-996E597D2B9A}"/>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25386" xr:uid="{3A1AD211-2F41-4FA3-8684-147A13FDBE1D}"/>
    <cellStyle name="Currency 5 2 4 4 2 2 3" xfId="16946" xr:uid="{11C90037-DDEB-4C46-AA86-3320D45569B4}"/>
    <cellStyle name="Currency 5 2 4 4 2 3" xfId="21169" xr:uid="{3AF0B006-482B-42C4-A481-50164640AD49}"/>
    <cellStyle name="Currency 5 2 4 4 2 4" xfId="12729" xr:uid="{BA1A7814-A273-4786-9B04-DF95844E2115}"/>
    <cellStyle name="Currency 5 2 4 4 3" xfId="5475" xr:uid="{00000000-0005-0000-0000-0000430C0000}"/>
    <cellStyle name="Currency 5 2 4 4 3 2" xfId="23241" xr:uid="{C51EC719-03FC-4365-9F23-8F6180893C28}"/>
    <cellStyle name="Currency 5 2 4 4 3 3" xfId="14801" xr:uid="{7643CB8C-361D-46A0-B984-8264AED0704A}"/>
    <cellStyle name="Currency 5 2 4 4 4" xfId="19024" xr:uid="{3430F2A4-8E9A-4A68-AB3E-444BB8E59E72}"/>
    <cellStyle name="Currency 5 2 4 4 5" xfId="10584" xr:uid="{A802B05A-6E92-40E6-925B-23DFB3926CC6}"/>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25799" xr:uid="{91DB93F9-F633-47E3-B8F2-6341F0584485}"/>
    <cellStyle name="Currency 5 2 4 5 2 2 3" xfId="17359" xr:uid="{51D4870A-753A-4B92-81FA-5136DEDF2B70}"/>
    <cellStyle name="Currency 5 2 4 5 2 3" xfId="21582" xr:uid="{2123F115-6136-487C-9E00-31BAA433992D}"/>
    <cellStyle name="Currency 5 2 4 5 2 4" xfId="13142" xr:uid="{CBFC3E8D-70A5-4792-9634-C71F892596BB}"/>
    <cellStyle name="Currency 5 2 4 5 3" xfId="5888" xr:uid="{00000000-0005-0000-0000-0000470C0000}"/>
    <cellStyle name="Currency 5 2 4 5 3 2" xfId="23654" xr:uid="{646919B8-9330-4CD0-9CA0-55E2C3516C1D}"/>
    <cellStyle name="Currency 5 2 4 5 3 3" xfId="15214" xr:uid="{23C4DFDB-A217-49AF-BC06-FD0C4E1CD8F3}"/>
    <cellStyle name="Currency 5 2 4 5 4" xfId="19437" xr:uid="{9E062299-7B8C-4783-B561-210492CF316A}"/>
    <cellStyle name="Currency 5 2 4 5 5" xfId="10997" xr:uid="{939B11D3-7C30-48D1-B625-EF2579A1A114}"/>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26212" xr:uid="{05EE10CF-14F0-4E4B-A3C0-FE669AABDF36}"/>
    <cellStyle name="Currency 5 2 4 6 2 2 3" xfId="17772" xr:uid="{B54CCDBA-F5B1-439F-8847-6532CE79E12A}"/>
    <cellStyle name="Currency 5 2 4 6 2 3" xfId="21995" xr:uid="{EB07737C-1378-4D7F-9713-FAB86FD43C4D}"/>
    <cellStyle name="Currency 5 2 4 6 2 4" xfId="13555" xr:uid="{0518EF6D-4F06-4340-A5F8-8A311673D833}"/>
    <cellStyle name="Currency 5 2 4 6 3" xfId="6301" xr:uid="{00000000-0005-0000-0000-00004B0C0000}"/>
    <cellStyle name="Currency 5 2 4 6 3 2" xfId="24067" xr:uid="{49E0EE28-953C-4FDE-8A22-CAFE137A2BDE}"/>
    <cellStyle name="Currency 5 2 4 6 3 3" xfId="15627" xr:uid="{46923B9B-E59A-40FD-B5E2-80374BDFAA2D}"/>
    <cellStyle name="Currency 5 2 4 6 4" xfId="19850" xr:uid="{3B39060E-F4E5-4F7F-885F-443D4A82A421}"/>
    <cellStyle name="Currency 5 2 4 6 5" xfId="11410" xr:uid="{E49363C0-7FE8-43FE-8E82-D5B3B494D76A}"/>
    <cellStyle name="Currency 5 2 4 7" xfId="2430" xr:uid="{00000000-0005-0000-0000-00004C0C0000}"/>
    <cellStyle name="Currency 5 2 4 7 2" xfId="6714" xr:uid="{00000000-0005-0000-0000-00004D0C0000}"/>
    <cellStyle name="Currency 5 2 4 7 2 2" xfId="24480" xr:uid="{5CC47BF4-40D8-440D-BF72-7042423ABDC9}"/>
    <cellStyle name="Currency 5 2 4 7 2 3" xfId="16040" xr:uid="{DE93946C-118F-4AAA-8472-6EA8399254E6}"/>
    <cellStyle name="Currency 5 2 4 7 3" xfId="20263" xr:uid="{056726EB-ECE2-4E33-8AAD-4E749844341A}"/>
    <cellStyle name="Currency 5 2 4 7 4" xfId="11823" xr:uid="{94B94D24-01B7-49C3-A7E3-67C536E9AB6A}"/>
    <cellStyle name="Currency 5 2 4 8" xfId="2727" xr:uid="{00000000-0005-0000-0000-00004E0C0000}"/>
    <cellStyle name="Currency 5 2 4 9" xfId="2808" xr:uid="{00000000-0005-0000-0000-00004F0C0000}"/>
    <cellStyle name="Currency 5 2 4 9 2" xfId="7031" xr:uid="{00000000-0005-0000-0000-0000500C0000}"/>
    <cellStyle name="Currency 5 2 4 9 2 2" xfId="24797" xr:uid="{875FE0D4-F83F-4221-82BC-747914B11198}"/>
    <cellStyle name="Currency 5 2 4 9 2 3" xfId="16357" xr:uid="{B403378F-6761-443A-ADC2-AFFC847E5449}"/>
    <cellStyle name="Currency 5 2 4 9 3" xfId="20580" xr:uid="{EC6AC943-8F6E-45FB-813F-6DEC395A6A3F}"/>
    <cellStyle name="Currency 5 2 4 9 4" xfId="12140" xr:uid="{01C25A1A-E4C5-4A49-B633-30F412BD2BE6}"/>
    <cellStyle name="Currency 5 2 5" xfId="207" xr:uid="{00000000-0005-0000-0000-0000510C0000}"/>
    <cellStyle name="Currency 5 2 5 10" xfId="8975" xr:uid="{3422EC31-C47F-46E0-A50C-FE05B1979387}"/>
    <cellStyle name="Currency 5 2 5 10 2" xfId="18199" xr:uid="{DFC7126A-3908-4132-BC09-3DB8D984B67F}"/>
    <cellStyle name="Currency 5 2 5 11" xfId="9759" xr:uid="{D496336E-70E7-453E-A79A-1AFFB1BCC1C3}"/>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24975" xr:uid="{607D52A8-A7E9-4C61-9994-321681EF90FD}"/>
    <cellStyle name="Currency 5 2 5 2 2 2 3" xfId="16535" xr:uid="{9260DE8E-DC1F-4A1C-80FD-0E51DAADEC27}"/>
    <cellStyle name="Currency 5 2 5 2 2 3" xfId="20758" xr:uid="{0F817473-9164-41A3-856C-90C84E83C723}"/>
    <cellStyle name="Currency 5 2 5 2 2 4" xfId="12318" xr:uid="{1A5D0150-C177-40C6-B607-DACA7B1E7847}"/>
    <cellStyle name="Currency 5 2 5 2 3" xfId="5064" xr:uid="{00000000-0005-0000-0000-0000550C0000}"/>
    <cellStyle name="Currency 5 2 5 2 3 2" xfId="22830" xr:uid="{7193DA51-4AC4-450D-A1B6-C6B06161D5CB}"/>
    <cellStyle name="Currency 5 2 5 2 3 3" xfId="14390" xr:uid="{9317708A-8974-4525-8DB9-BFBE94DF30A7}"/>
    <cellStyle name="Currency 5 2 5 2 4" xfId="9400" xr:uid="{6620DDCD-05C0-4AFD-8A83-F1190101CCB3}"/>
    <cellStyle name="Currency 5 2 5 2 4 2" xfId="18613" xr:uid="{7C80F4A0-FD8E-4569-B332-96B14B321A27}"/>
    <cellStyle name="Currency 5 2 5 2 5" xfId="10173" xr:uid="{02E8CE56-A002-4592-9AE6-87538C106AC5}"/>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25388" xr:uid="{E150DEF7-0156-4C7E-B080-64A0A96E37A1}"/>
    <cellStyle name="Currency 5 2 5 3 2 2 3" xfId="16948" xr:uid="{257B0BCA-8823-4FA6-A409-C268D5EAB384}"/>
    <cellStyle name="Currency 5 2 5 3 2 3" xfId="21171" xr:uid="{4C9C93C1-DA44-4775-90BD-DB16CE15C1F0}"/>
    <cellStyle name="Currency 5 2 5 3 2 4" xfId="12731" xr:uid="{27F3DCB9-6A96-4B22-A84E-E7C4B7B0C811}"/>
    <cellStyle name="Currency 5 2 5 3 3" xfId="5477" xr:uid="{00000000-0005-0000-0000-0000590C0000}"/>
    <cellStyle name="Currency 5 2 5 3 3 2" xfId="23243" xr:uid="{98B239E4-04B8-4FE6-8C07-C5A1468B42E4}"/>
    <cellStyle name="Currency 5 2 5 3 3 3" xfId="14803" xr:uid="{D51C0B82-5AF8-45C6-AC2D-2BE7FD92AC3F}"/>
    <cellStyle name="Currency 5 2 5 3 4" xfId="19026" xr:uid="{A37882A8-C481-479B-B44C-8BC4EDF92C4B}"/>
    <cellStyle name="Currency 5 2 5 3 5" xfId="10586" xr:uid="{82DCC62C-0085-48D9-B2AA-F5D7CC6540CB}"/>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25801" xr:uid="{5E94CAAC-CD8B-4BAA-85F4-F5FCDF6B004E}"/>
    <cellStyle name="Currency 5 2 5 4 2 2 3" xfId="17361" xr:uid="{4791C4C6-4CC2-48F9-AA76-DCA1B4CD2DC6}"/>
    <cellStyle name="Currency 5 2 5 4 2 3" xfId="21584" xr:uid="{B83D7405-B96C-42F8-BFE8-5FD9A113B7B5}"/>
    <cellStyle name="Currency 5 2 5 4 2 4" xfId="13144" xr:uid="{A2BF21E8-B22A-4DC4-B993-835B7907BDB6}"/>
    <cellStyle name="Currency 5 2 5 4 3" xfId="5890" xr:uid="{00000000-0005-0000-0000-00005D0C0000}"/>
    <cellStyle name="Currency 5 2 5 4 3 2" xfId="23656" xr:uid="{4426DE6E-D588-4FFB-BDE6-812C175CC3AC}"/>
    <cellStyle name="Currency 5 2 5 4 3 3" xfId="15216" xr:uid="{E7180360-117F-4B0B-A1FA-8848C6DAC41C}"/>
    <cellStyle name="Currency 5 2 5 4 4" xfId="19439" xr:uid="{3AAC5AE4-4F44-4C06-B59B-8EC806BD3C19}"/>
    <cellStyle name="Currency 5 2 5 4 5" xfId="10999" xr:uid="{22426D50-CE57-45E9-9904-BA16A6B12A70}"/>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26214" xr:uid="{E178C20A-A0EE-4AE4-A62D-678D4A2BD0D3}"/>
    <cellStyle name="Currency 5 2 5 5 2 2 3" xfId="17774" xr:uid="{D2E5B841-7BA6-4305-86AB-5C5CF520D553}"/>
    <cellStyle name="Currency 5 2 5 5 2 3" xfId="21997" xr:uid="{990D600B-F02B-43EA-9036-C1A9B0C47F2D}"/>
    <cellStyle name="Currency 5 2 5 5 2 4" xfId="13557" xr:uid="{E0CACB54-44E5-44C3-BB64-80AE1FA35A3B}"/>
    <cellStyle name="Currency 5 2 5 5 3" xfId="6303" xr:uid="{00000000-0005-0000-0000-0000610C0000}"/>
    <cellStyle name="Currency 5 2 5 5 3 2" xfId="24069" xr:uid="{BECB58F7-1D85-4FAB-B9A3-DEE21084F01A}"/>
    <cellStyle name="Currency 5 2 5 5 3 3" xfId="15629" xr:uid="{41FC68BA-4E0B-43E9-88ED-9C2591B89AA3}"/>
    <cellStyle name="Currency 5 2 5 5 4" xfId="19852" xr:uid="{DA85CC26-6F9B-40FF-9E3F-5D2C54A56BAD}"/>
    <cellStyle name="Currency 5 2 5 5 5" xfId="11412" xr:uid="{E04D0304-D906-4391-A1F7-6C8CE67193F8}"/>
    <cellStyle name="Currency 5 2 5 6" xfId="2432" xr:uid="{00000000-0005-0000-0000-0000620C0000}"/>
    <cellStyle name="Currency 5 2 5 6 2" xfId="6716" xr:uid="{00000000-0005-0000-0000-0000630C0000}"/>
    <cellStyle name="Currency 5 2 5 6 2 2" xfId="24482" xr:uid="{3989C4AA-7ED9-4B4D-B6EA-F74F6F7CE47A}"/>
    <cellStyle name="Currency 5 2 5 6 2 3" xfId="16042" xr:uid="{6BC13973-8698-48E6-ADA0-8AF6B21F3914}"/>
    <cellStyle name="Currency 5 2 5 6 3" xfId="20265" xr:uid="{87FCFDCD-AFFC-4014-8401-8310F95002C3}"/>
    <cellStyle name="Currency 5 2 5 6 4" xfId="11825" xr:uid="{93D64312-08D3-4720-90A4-C4C249A74456}"/>
    <cellStyle name="Currency 5 2 5 7" xfId="2729" xr:uid="{00000000-0005-0000-0000-0000640C0000}"/>
    <cellStyle name="Currency 5 2 5 8" xfId="2810" xr:uid="{00000000-0005-0000-0000-0000650C0000}"/>
    <cellStyle name="Currency 5 2 5 8 2" xfId="7033" xr:uid="{00000000-0005-0000-0000-0000660C0000}"/>
    <cellStyle name="Currency 5 2 5 8 2 2" xfId="24799" xr:uid="{863D3835-5D34-4D88-B935-EFAF20F87515}"/>
    <cellStyle name="Currency 5 2 5 8 2 3" xfId="16359" xr:uid="{EDB5138B-ACC5-49C8-9407-FF285CF1ECCD}"/>
    <cellStyle name="Currency 5 2 5 8 3" xfId="20582" xr:uid="{FAD2AA2D-0DBE-47F3-888F-8878ED73C5DA}"/>
    <cellStyle name="Currency 5 2 5 8 4" xfId="12142" xr:uid="{864A92CA-5BE5-41AC-A4EC-BD5E158F10FB}"/>
    <cellStyle name="Currency 5 2 5 9" xfId="4650" xr:uid="{00000000-0005-0000-0000-0000670C0000}"/>
    <cellStyle name="Currency 5 2 5 9 2" xfId="22416" xr:uid="{5BC0A0FA-47DB-4367-A23B-E9D64AEC4DDD}"/>
    <cellStyle name="Currency 5 2 5 9 3" xfId="13976" xr:uid="{5B0C89AB-E3DE-4952-A810-AE25CD147F98}"/>
    <cellStyle name="Currency 5 2 6" xfId="208" xr:uid="{00000000-0005-0000-0000-0000680C0000}"/>
    <cellStyle name="Currency 5 2 6 10" xfId="9178" xr:uid="{19F6D70E-88E4-4E39-A1A9-3FF3D840E2F9}"/>
    <cellStyle name="Currency 5 2 6 10 2" xfId="18200" xr:uid="{59A01F30-61B8-46A9-ADDE-DE1607E180D9}"/>
    <cellStyle name="Currency 5 2 6 11" xfId="9760" xr:uid="{1BE3A45D-AFE4-4F9B-BA24-0F80993BD695}"/>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24976" xr:uid="{DCBC2AD3-85E5-4E24-A941-23868D08DA78}"/>
    <cellStyle name="Currency 5 2 6 2 2 2 3" xfId="16536" xr:uid="{67900542-88F8-475B-8D56-73353567064C}"/>
    <cellStyle name="Currency 5 2 6 2 2 3" xfId="20759" xr:uid="{28D7F844-E197-4854-A366-49D4D39006A3}"/>
    <cellStyle name="Currency 5 2 6 2 2 4" xfId="12319" xr:uid="{0126AC6F-9F05-4FAC-BBED-B930B6664D45}"/>
    <cellStyle name="Currency 5 2 6 2 3" xfId="5065" xr:uid="{00000000-0005-0000-0000-00006C0C0000}"/>
    <cellStyle name="Currency 5 2 6 2 3 2" xfId="22831" xr:uid="{2B93FC58-8992-4B0C-BB7D-62D27AA561C4}"/>
    <cellStyle name="Currency 5 2 6 2 3 3" xfId="14391" xr:uid="{81040F43-3508-49D3-810B-7605DD899E0D}"/>
    <cellStyle name="Currency 5 2 6 2 4" xfId="9599" xr:uid="{C2EE182C-D73D-4E6C-9671-0484CB4E8D68}"/>
    <cellStyle name="Currency 5 2 6 2 4 2" xfId="18614" xr:uid="{C8D25064-62DD-42D3-A880-784B80ED4B21}"/>
    <cellStyle name="Currency 5 2 6 2 5" xfId="10174" xr:uid="{FAA6E5A9-FB49-43C6-86FA-C957E58F3905}"/>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25389" xr:uid="{486D8538-5EEB-4FA9-BD2D-A9F30B5B7B02}"/>
    <cellStyle name="Currency 5 2 6 3 2 2 3" xfId="16949" xr:uid="{E25C09F9-165E-4175-9561-E77C1BF56C6E}"/>
    <cellStyle name="Currency 5 2 6 3 2 3" xfId="21172" xr:uid="{2A51F429-D22B-415B-BE6A-65338CB3E5E4}"/>
    <cellStyle name="Currency 5 2 6 3 2 4" xfId="12732" xr:uid="{FD5841F1-97B3-492B-A1A5-994559E4F407}"/>
    <cellStyle name="Currency 5 2 6 3 3" xfId="5478" xr:uid="{00000000-0005-0000-0000-0000700C0000}"/>
    <cellStyle name="Currency 5 2 6 3 3 2" xfId="23244" xr:uid="{618A01C9-5E99-41A8-9AE5-B2FCDCE0855B}"/>
    <cellStyle name="Currency 5 2 6 3 3 3" xfId="14804" xr:uid="{B2A91838-4FD9-4140-B917-786A422584A1}"/>
    <cellStyle name="Currency 5 2 6 3 4" xfId="19027" xr:uid="{80AFC440-CC9F-4CF7-B5DC-21EF4777A863}"/>
    <cellStyle name="Currency 5 2 6 3 5" xfId="10587" xr:uid="{417BE514-B575-4B60-B281-02663A3860B5}"/>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25802" xr:uid="{01B9770C-5AB0-4CBA-9168-68DD89C216A0}"/>
    <cellStyle name="Currency 5 2 6 4 2 2 3" xfId="17362" xr:uid="{C63E3D61-10F5-4AB9-8D3A-5E7FE33C8933}"/>
    <cellStyle name="Currency 5 2 6 4 2 3" xfId="21585" xr:uid="{CBDC9849-19D1-45F9-BDEE-0339385AF7B8}"/>
    <cellStyle name="Currency 5 2 6 4 2 4" xfId="13145" xr:uid="{5AF4786E-4A7B-45F2-AA19-1402AA6EE076}"/>
    <cellStyle name="Currency 5 2 6 4 3" xfId="5891" xr:uid="{00000000-0005-0000-0000-0000740C0000}"/>
    <cellStyle name="Currency 5 2 6 4 3 2" xfId="23657" xr:uid="{58A08D18-0AE0-4C2B-BF45-0C0DCFCB3FF9}"/>
    <cellStyle name="Currency 5 2 6 4 3 3" xfId="15217" xr:uid="{53820AF0-F106-4696-86BD-3E307275489B}"/>
    <cellStyle name="Currency 5 2 6 4 4" xfId="19440" xr:uid="{7CCB78A8-516F-485B-AF78-78B8B6670034}"/>
    <cellStyle name="Currency 5 2 6 4 5" xfId="11000" xr:uid="{B86FB9BD-C1DD-40C4-BCCF-58398C45FC8E}"/>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26215" xr:uid="{C61678BB-7537-4E77-83FC-B21C092BA355}"/>
    <cellStyle name="Currency 5 2 6 5 2 2 3" xfId="17775" xr:uid="{7D620E53-82EB-4F8F-B164-9C543D63CCEF}"/>
    <cellStyle name="Currency 5 2 6 5 2 3" xfId="21998" xr:uid="{F68808F1-68E7-41A4-A5B4-4F112AEB3A9E}"/>
    <cellStyle name="Currency 5 2 6 5 2 4" xfId="13558" xr:uid="{77C3C9F3-4F5E-4DF6-B408-15144D69C0F7}"/>
    <cellStyle name="Currency 5 2 6 5 3" xfId="6304" xr:uid="{00000000-0005-0000-0000-0000780C0000}"/>
    <cellStyle name="Currency 5 2 6 5 3 2" xfId="24070" xr:uid="{BD9A95BE-FCC8-473B-9888-3053DAA2E9A8}"/>
    <cellStyle name="Currency 5 2 6 5 3 3" xfId="15630" xr:uid="{B15CFA5E-0A6E-4721-BF63-0F6CDE2ED979}"/>
    <cellStyle name="Currency 5 2 6 5 4" xfId="19853" xr:uid="{4ED7810B-E4A3-46B7-A8E7-F4EAD272AA44}"/>
    <cellStyle name="Currency 5 2 6 5 5" xfId="11413" xr:uid="{025EB4CC-F9EF-4031-8F92-FD3ACFCB84A0}"/>
    <cellStyle name="Currency 5 2 6 6" xfId="2433" xr:uid="{00000000-0005-0000-0000-0000790C0000}"/>
    <cellStyle name="Currency 5 2 6 6 2" xfId="6717" xr:uid="{00000000-0005-0000-0000-00007A0C0000}"/>
    <cellStyle name="Currency 5 2 6 6 2 2" xfId="24483" xr:uid="{5019C409-8BE6-4957-A143-4EAF66C7D434}"/>
    <cellStyle name="Currency 5 2 6 6 2 3" xfId="16043" xr:uid="{E73100D3-684A-4348-83A8-321ADAB6C730}"/>
    <cellStyle name="Currency 5 2 6 6 3" xfId="20266" xr:uid="{0FD38933-981E-46F0-A789-A497949812B0}"/>
    <cellStyle name="Currency 5 2 6 6 4" xfId="11826" xr:uid="{1359CAEA-2AE0-4B8F-9BF5-6A2D6B6BC4A0}"/>
    <cellStyle name="Currency 5 2 6 7" xfId="2730" xr:uid="{00000000-0005-0000-0000-00007B0C0000}"/>
    <cellStyle name="Currency 5 2 6 8" xfId="2811" xr:uid="{00000000-0005-0000-0000-00007C0C0000}"/>
    <cellStyle name="Currency 5 2 6 8 2" xfId="7034" xr:uid="{00000000-0005-0000-0000-00007D0C0000}"/>
    <cellStyle name="Currency 5 2 6 8 2 2" xfId="24800" xr:uid="{7E663016-7108-48AE-90B1-E889C60FC468}"/>
    <cellStyle name="Currency 5 2 6 8 2 3" xfId="16360" xr:uid="{19E81EDB-01FE-4019-BFFE-83823783D0FC}"/>
    <cellStyle name="Currency 5 2 6 8 3" xfId="20583" xr:uid="{4702334E-54CF-4E4F-A5A4-268980B54FA3}"/>
    <cellStyle name="Currency 5 2 6 8 4" xfId="12143" xr:uid="{81095668-753A-4809-ABCD-5C1FF6374C0A}"/>
    <cellStyle name="Currency 5 2 6 9" xfId="4651" xr:uid="{00000000-0005-0000-0000-00007E0C0000}"/>
    <cellStyle name="Currency 5 2 6 9 2" xfId="22417" xr:uid="{74303C60-AAF4-46C9-8FA1-7FFB057933B1}"/>
    <cellStyle name="Currency 5 2 6 9 3" xfId="13977" xr:uid="{5DA85050-6324-458B-8950-86A90DD6714E}"/>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24801" xr:uid="{ABDC0F73-8517-46D2-91ED-D97A0A551E12}"/>
    <cellStyle name="Currency 5 3 2 10 2 3" xfId="16361" xr:uid="{B93FD3BE-5A65-4D29-9C26-3CF3197C9EF9}"/>
    <cellStyle name="Currency 5 3 2 10 3" xfId="20584" xr:uid="{4B9A1779-AC5C-4CBC-98B6-59A638AA6C7D}"/>
    <cellStyle name="Currency 5 3 2 10 4" xfId="12144" xr:uid="{2791A853-2638-427C-93C0-9872BCB1627F}"/>
    <cellStyle name="Currency 5 3 2 11" xfId="4652" xr:uid="{00000000-0005-0000-0000-0000840C0000}"/>
    <cellStyle name="Currency 5 3 2 11 2" xfId="22418" xr:uid="{A1247DEB-5020-44B6-95B9-69F54E7C1953}"/>
    <cellStyle name="Currency 5 3 2 11 3" xfId="13978" xr:uid="{7D3CDF66-24C0-4CCF-A36B-D5E5FD214DDE}"/>
    <cellStyle name="Currency 5 3 2 12" xfId="8810" xr:uid="{C5234FF9-D509-4CD8-ADA1-D3604CCF3D1F}"/>
    <cellStyle name="Currency 5 3 2 12 2" xfId="18201" xr:uid="{82FA55F6-7236-432F-A268-5043C0EAA4CF}"/>
    <cellStyle name="Currency 5 3 2 13" xfId="9761" xr:uid="{51BCE23D-D877-49E7-9BAF-5655E6FE53D5}"/>
    <cellStyle name="Currency 5 3 2 2" xfId="211" xr:uid="{00000000-0005-0000-0000-0000850C0000}"/>
    <cellStyle name="Currency 5 3 2 2 10" xfId="4653" xr:uid="{00000000-0005-0000-0000-0000860C0000}"/>
    <cellStyle name="Currency 5 3 2 2 10 2" xfId="22419" xr:uid="{A361B9C7-E357-4E1C-B260-4497D7C0F128}"/>
    <cellStyle name="Currency 5 3 2 2 10 3" xfId="13979" xr:uid="{C128C058-F047-4A7E-8923-E1CE89268D44}"/>
    <cellStyle name="Currency 5 3 2 2 11" xfId="8913" xr:uid="{FE033F82-2F16-4925-9899-F927AB9AA612}"/>
    <cellStyle name="Currency 5 3 2 2 11 2" xfId="18202" xr:uid="{1006B5DA-7A97-4363-B007-9A7F8685C445}"/>
    <cellStyle name="Currency 5 3 2 2 12" xfId="9762" xr:uid="{EC45AF5A-97C9-4A94-9F3C-6E463D8DE967}"/>
    <cellStyle name="Currency 5 3 2 2 2" xfId="212" xr:uid="{00000000-0005-0000-0000-0000870C0000}"/>
    <cellStyle name="Currency 5 3 2 2 2 10" xfId="9120" xr:uid="{D5536A1F-8418-4CB5-B1E0-470AD716374A}"/>
    <cellStyle name="Currency 5 3 2 2 2 10 2" xfId="18203" xr:uid="{1C3C1CB1-259C-458C-A0DB-8D9483AD3176}"/>
    <cellStyle name="Currency 5 3 2 2 2 11" xfId="9763" xr:uid="{A8D58D11-2371-4D45-8CBA-301A9D0E84EB}"/>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24979" xr:uid="{B1BDB650-5F28-43A9-8CE8-C243DBF4978B}"/>
    <cellStyle name="Currency 5 3 2 2 2 2 2 2 3" xfId="16539" xr:uid="{87AC3663-FAF6-442C-859E-2A28D6A0196D}"/>
    <cellStyle name="Currency 5 3 2 2 2 2 2 3" xfId="20762" xr:uid="{F3DECA67-EA7B-43E6-98C9-FF193A8829B9}"/>
    <cellStyle name="Currency 5 3 2 2 2 2 2 4" xfId="12322" xr:uid="{1A191D12-1B11-4AB7-9630-6F42DD1D2A14}"/>
    <cellStyle name="Currency 5 3 2 2 2 2 3" xfId="5068" xr:uid="{00000000-0005-0000-0000-00008B0C0000}"/>
    <cellStyle name="Currency 5 3 2 2 2 2 3 2" xfId="22834" xr:uid="{FDF846E6-FC2E-4FAB-A4DB-ACED50FAA2AE}"/>
    <cellStyle name="Currency 5 3 2 2 2 2 3 3" xfId="14394" xr:uid="{4589EB0D-4833-4693-8B82-0C2A83C2DA11}"/>
    <cellStyle name="Currency 5 3 2 2 2 2 4" xfId="9545" xr:uid="{F6C268D6-0334-42F7-AE4F-535ADD09B625}"/>
    <cellStyle name="Currency 5 3 2 2 2 2 4 2" xfId="18617" xr:uid="{D644B1CE-3AC6-44FF-A8EA-40B3B511B175}"/>
    <cellStyle name="Currency 5 3 2 2 2 2 5" xfId="10177" xr:uid="{BCF1CFE9-6F5E-468A-BBF2-6BEE8D3C7E5B}"/>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25392" xr:uid="{9BA94E8B-0B22-4C9E-B438-C78C82FE8D26}"/>
    <cellStyle name="Currency 5 3 2 2 2 3 2 2 3" xfId="16952" xr:uid="{0D48DD66-DD6C-41DD-B876-FAEBACF7F9E7}"/>
    <cellStyle name="Currency 5 3 2 2 2 3 2 3" xfId="21175" xr:uid="{A50269DC-0F4D-4B16-B788-A8562381BFC1}"/>
    <cellStyle name="Currency 5 3 2 2 2 3 2 4" xfId="12735" xr:uid="{14F49FA0-FB63-4707-B8F2-59B2D355AC3F}"/>
    <cellStyle name="Currency 5 3 2 2 2 3 3" xfId="5481" xr:uid="{00000000-0005-0000-0000-00008F0C0000}"/>
    <cellStyle name="Currency 5 3 2 2 2 3 3 2" xfId="23247" xr:uid="{C4E6B7F6-9E6E-4339-94BE-D5EAE71F0E2A}"/>
    <cellStyle name="Currency 5 3 2 2 2 3 3 3" xfId="14807" xr:uid="{64BC8862-8A5D-4141-AE14-0A90EB056810}"/>
    <cellStyle name="Currency 5 3 2 2 2 3 4" xfId="19030" xr:uid="{EABEC295-AF21-43DC-A643-2BE2C44B1F3D}"/>
    <cellStyle name="Currency 5 3 2 2 2 3 5" xfId="10590" xr:uid="{2F8CD3C2-08D7-4596-BEAE-AB43F385CC53}"/>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25805" xr:uid="{C33ECA39-59F9-4D0A-81D1-7F7074493518}"/>
    <cellStyle name="Currency 5 3 2 2 2 4 2 2 3" xfId="17365" xr:uid="{025F4496-2981-45B1-98A6-08FED279EF1B}"/>
    <cellStyle name="Currency 5 3 2 2 2 4 2 3" xfId="21588" xr:uid="{AB5FA252-5E02-449F-8861-83EB83E391C6}"/>
    <cellStyle name="Currency 5 3 2 2 2 4 2 4" xfId="13148" xr:uid="{CA2BA441-DB9E-42BA-B43B-5559C2184872}"/>
    <cellStyle name="Currency 5 3 2 2 2 4 3" xfId="5894" xr:uid="{00000000-0005-0000-0000-0000930C0000}"/>
    <cellStyle name="Currency 5 3 2 2 2 4 3 2" xfId="23660" xr:uid="{99F54B2D-3330-4768-9B5E-05599F6F2E91}"/>
    <cellStyle name="Currency 5 3 2 2 2 4 3 3" xfId="15220" xr:uid="{0F5BBF49-1E93-4FB0-9359-E3B0CD338180}"/>
    <cellStyle name="Currency 5 3 2 2 2 4 4" xfId="19443" xr:uid="{25A794AC-0A09-44D7-8410-8A52DDFC25CC}"/>
    <cellStyle name="Currency 5 3 2 2 2 4 5" xfId="11003" xr:uid="{21DD21A7-8F4E-4A8B-98C9-DDE4AA02FB42}"/>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26218" xr:uid="{4A95C99B-B28A-4A85-AFDD-2922F9CE1367}"/>
    <cellStyle name="Currency 5 3 2 2 2 5 2 2 3" xfId="17778" xr:uid="{CD74F39F-BA4A-4872-BDD8-3F0B270E985C}"/>
    <cellStyle name="Currency 5 3 2 2 2 5 2 3" xfId="22001" xr:uid="{5633EB1F-8E39-43AE-A0DC-C2E083A11720}"/>
    <cellStyle name="Currency 5 3 2 2 2 5 2 4" xfId="13561" xr:uid="{1E45E247-8775-4328-B1B8-37BCC8757B32}"/>
    <cellStyle name="Currency 5 3 2 2 2 5 3" xfId="6307" xr:uid="{00000000-0005-0000-0000-0000970C0000}"/>
    <cellStyle name="Currency 5 3 2 2 2 5 3 2" xfId="24073" xr:uid="{21188C56-B7B0-4A71-9FC6-3BE087B4FA92}"/>
    <cellStyle name="Currency 5 3 2 2 2 5 3 3" xfId="15633" xr:uid="{CEE74B5F-8080-415A-B02C-80366AC29825}"/>
    <cellStyle name="Currency 5 3 2 2 2 5 4" xfId="19856" xr:uid="{77E23CAE-F45E-4388-9212-CC433B4EEA8E}"/>
    <cellStyle name="Currency 5 3 2 2 2 5 5" xfId="11416" xr:uid="{6D7B6F90-DC26-4E3A-8D41-20DB9BB1B84C}"/>
    <cellStyle name="Currency 5 3 2 2 2 6" xfId="2436" xr:uid="{00000000-0005-0000-0000-0000980C0000}"/>
    <cellStyle name="Currency 5 3 2 2 2 6 2" xfId="6720" xr:uid="{00000000-0005-0000-0000-0000990C0000}"/>
    <cellStyle name="Currency 5 3 2 2 2 6 2 2" xfId="24486" xr:uid="{B88FDCE2-8031-4B0B-9C48-B4B0949ACB4E}"/>
    <cellStyle name="Currency 5 3 2 2 2 6 2 3" xfId="16046" xr:uid="{D2C194DC-2DCE-432C-A994-67D8CC4142E9}"/>
    <cellStyle name="Currency 5 3 2 2 2 6 3" xfId="20269" xr:uid="{FB928340-9E96-4A63-A5D3-F8723CFA9022}"/>
    <cellStyle name="Currency 5 3 2 2 2 6 4" xfId="11829" xr:uid="{F65143CB-0C01-44B9-8B42-12AFC052EE2C}"/>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24803" xr:uid="{18C373B5-5DE8-4D78-BE59-D86B8E70B5E9}"/>
    <cellStyle name="Currency 5 3 2 2 2 8 2 3" xfId="16363" xr:uid="{974ECC6A-5303-4CC5-8A11-CDA529369301}"/>
    <cellStyle name="Currency 5 3 2 2 2 8 3" xfId="20586" xr:uid="{E7DFF275-BC4A-4387-8EC6-3582B11BF45D}"/>
    <cellStyle name="Currency 5 3 2 2 2 8 4" xfId="12146" xr:uid="{71E79C85-F4A4-4115-A462-04DB619067AB}"/>
    <cellStyle name="Currency 5 3 2 2 2 9" xfId="4654" xr:uid="{00000000-0005-0000-0000-00009D0C0000}"/>
    <cellStyle name="Currency 5 3 2 2 2 9 2" xfId="22420" xr:uid="{040DB084-0581-46C9-80EC-6392EC994C94}"/>
    <cellStyle name="Currency 5 3 2 2 2 9 3" xfId="13980" xr:uid="{7132E34B-F9C2-491A-B289-7A04C8B5C07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24978" xr:uid="{B11D812E-825E-4464-B129-92002B8F8D9E}"/>
    <cellStyle name="Currency 5 3 2 2 3 2 2 3" xfId="16538" xr:uid="{9F5C2842-E397-40AE-805D-B93B1287DD72}"/>
    <cellStyle name="Currency 5 3 2 2 3 2 3" xfId="20761" xr:uid="{E9EE8EC2-73DF-4138-A3D0-2FA76D805731}"/>
    <cellStyle name="Currency 5 3 2 2 3 2 4" xfId="12321" xr:uid="{93F29B34-CC86-4D55-966A-10638021CDEB}"/>
    <cellStyle name="Currency 5 3 2 2 3 3" xfId="5067" xr:uid="{00000000-0005-0000-0000-0000A10C0000}"/>
    <cellStyle name="Currency 5 3 2 2 3 3 2" xfId="22833" xr:uid="{E537AA23-FDB5-497A-96AE-FBE943461108}"/>
    <cellStyle name="Currency 5 3 2 2 3 3 3" xfId="14393" xr:uid="{3641425C-DF62-487E-9DB4-12C7A212ED13}"/>
    <cellStyle name="Currency 5 3 2 2 3 4" xfId="9338" xr:uid="{E79296CA-9516-4DDA-84B2-A3B13AAA9D9D}"/>
    <cellStyle name="Currency 5 3 2 2 3 4 2" xfId="18616" xr:uid="{BE415213-5D8E-437C-ADA7-E787D21966BF}"/>
    <cellStyle name="Currency 5 3 2 2 3 5" xfId="10176" xr:uid="{D818854B-9FBA-4EE1-B846-6A7F5B598C6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25391" xr:uid="{0947B018-B699-4111-BD1B-3C3CE4AC0467}"/>
    <cellStyle name="Currency 5 3 2 2 4 2 2 3" xfId="16951" xr:uid="{8F3265F5-A7CC-44CC-8E22-F45E33CFC2BC}"/>
    <cellStyle name="Currency 5 3 2 2 4 2 3" xfId="21174" xr:uid="{0CC726F3-A5A4-4EB5-A6D6-858D3972AA6A}"/>
    <cellStyle name="Currency 5 3 2 2 4 2 4" xfId="12734" xr:uid="{1D0A0166-B9F4-4CDC-9DCE-4BC2AE0B87E2}"/>
    <cellStyle name="Currency 5 3 2 2 4 3" xfId="5480" xr:uid="{00000000-0005-0000-0000-0000A50C0000}"/>
    <cellStyle name="Currency 5 3 2 2 4 3 2" xfId="23246" xr:uid="{EA0ADA91-2648-4EFE-A6B0-80543973644E}"/>
    <cellStyle name="Currency 5 3 2 2 4 3 3" xfId="14806" xr:uid="{B29F2A35-8615-4DE8-AE87-CE262757CC59}"/>
    <cellStyle name="Currency 5 3 2 2 4 4" xfId="19029" xr:uid="{CBF43A6F-23B9-408B-A7FD-FE98927D76F6}"/>
    <cellStyle name="Currency 5 3 2 2 4 5" xfId="10589" xr:uid="{26D9CCEB-246A-476E-9B29-7F5F3D732131}"/>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25804" xr:uid="{0335B49F-8442-44C6-AC20-A8CC4C1B41A4}"/>
    <cellStyle name="Currency 5 3 2 2 5 2 2 3" xfId="17364" xr:uid="{D06D53F2-9210-4395-85EB-7522AD7BBFF0}"/>
    <cellStyle name="Currency 5 3 2 2 5 2 3" xfId="21587" xr:uid="{7B0427BC-5A9C-44E9-8CFD-5E9BF5C03998}"/>
    <cellStyle name="Currency 5 3 2 2 5 2 4" xfId="13147" xr:uid="{0D7E920A-4A28-4BEF-BF86-80859ACD7996}"/>
    <cellStyle name="Currency 5 3 2 2 5 3" xfId="5893" xr:uid="{00000000-0005-0000-0000-0000A90C0000}"/>
    <cellStyle name="Currency 5 3 2 2 5 3 2" xfId="23659" xr:uid="{DACA7DD9-E90D-433C-9D3B-C20F01B2657F}"/>
    <cellStyle name="Currency 5 3 2 2 5 3 3" xfId="15219" xr:uid="{F8D22CCD-6EB2-4808-904E-E9C2AD5DC755}"/>
    <cellStyle name="Currency 5 3 2 2 5 4" xfId="19442" xr:uid="{7CC77973-DF21-49FA-BA2C-927E08A4318A}"/>
    <cellStyle name="Currency 5 3 2 2 5 5" xfId="11002" xr:uid="{9115CB92-D39B-4F55-80FE-E1C551D9B06D}"/>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26217" xr:uid="{112A5742-9288-40D7-A8F3-B8EDAE8982BF}"/>
    <cellStyle name="Currency 5 3 2 2 6 2 2 3" xfId="17777" xr:uid="{3EA43CD5-DCAA-4FBA-86D8-4F262D72A409}"/>
    <cellStyle name="Currency 5 3 2 2 6 2 3" xfId="22000" xr:uid="{A4C28EA9-67E0-4E3C-A74E-074F93C5697D}"/>
    <cellStyle name="Currency 5 3 2 2 6 2 4" xfId="13560" xr:uid="{6BE7594F-1A29-4F10-9774-48E05F54D711}"/>
    <cellStyle name="Currency 5 3 2 2 6 3" xfId="6306" xr:uid="{00000000-0005-0000-0000-0000AD0C0000}"/>
    <cellStyle name="Currency 5 3 2 2 6 3 2" xfId="24072" xr:uid="{80759562-9243-4599-A9B2-DA1C1BEBFBF7}"/>
    <cellStyle name="Currency 5 3 2 2 6 3 3" xfId="15632" xr:uid="{E68B0543-4E70-4C79-8537-92E28054BF37}"/>
    <cellStyle name="Currency 5 3 2 2 6 4" xfId="19855" xr:uid="{015A672F-8F02-4F22-ACDE-1DB751FBD149}"/>
    <cellStyle name="Currency 5 3 2 2 6 5" xfId="11415" xr:uid="{077A76DB-74A5-450E-B64F-FC369E3B9030}"/>
    <cellStyle name="Currency 5 3 2 2 7" xfId="2435" xr:uid="{00000000-0005-0000-0000-0000AE0C0000}"/>
    <cellStyle name="Currency 5 3 2 2 7 2" xfId="6719" xr:uid="{00000000-0005-0000-0000-0000AF0C0000}"/>
    <cellStyle name="Currency 5 3 2 2 7 2 2" xfId="24485" xr:uid="{E544173B-2B49-4CAE-971C-6805BEDABF8A}"/>
    <cellStyle name="Currency 5 3 2 2 7 2 3" xfId="16045" xr:uid="{31469917-66F4-46FA-95E6-AC6113C42178}"/>
    <cellStyle name="Currency 5 3 2 2 7 3" xfId="20268" xr:uid="{879D5A14-9565-4D42-AC11-C68D9335F92E}"/>
    <cellStyle name="Currency 5 3 2 2 7 4" xfId="11828" xr:uid="{039152FF-A11D-4DF6-8E01-4EB2F8CE4B6E}"/>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24802" xr:uid="{62C98B52-9E36-4FBA-8AFA-0E6100575201}"/>
    <cellStyle name="Currency 5 3 2 2 9 2 3" xfId="16362" xr:uid="{6F7C453D-F39F-49AB-9182-AA2D67B2BBAB}"/>
    <cellStyle name="Currency 5 3 2 2 9 3" xfId="20585" xr:uid="{E4703A2F-93C2-4FA7-9244-5F94A5A83FD3}"/>
    <cellStyle name="Currency 5 3 2 2 9 4" xfId="12145" xr:uid="{14E70121-CBB6-4F69-A5E9-7CCB3B753FB3}"/>
    <cellStyle name="Currency 5 3 2 3" xfId="213" xr:uid="{00000000-0005-0000-0000-0000B30C0000}"/>
    <cellStyle name="Currency 5 3 2 3 10" xfId="9017" xr:uid="{A6213F8D-EE09-4095-B9BE-99C55DEE210F}"/>
    <cellStyle name="Currency 5 3 2 3 10 2" xfId="18204" xr:uid="{4E968B87-0F2B-4E57-B06C-0926A235841A}"/>
    <cellStyle name="Currency 5 3 2 3 11" xfId="9764" xr:uid="{3AC63493-B46C-45BD-A90F-3993444BA016}"/>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24980" xr:uid="{32B187AE-08FB-4689-8A4E-D42C03F419EA}"/>
    <cellStyle name="Currency 5 3 2 3 2 2 2 3" xfId="16540" xr:uid="{2D4DA3CE-C280-494B-BA71-0E7BA18B8157}"/>
    <cellStyle name="Currency 5 3 2 3 2 2 3" xfId="20763" xr:uid="{4B9F88B0-9B77-4188-8D9A-F0C4A99615CF}"/>
    <cellStyle name="Currency 5 3 2 3 2 2 4" xfId="12323" xr:uid="{E4AF4600-0AD3-4C3B-8021-8D7340A81075}"/>
    <cellStyle name="Currency 5 3 2 3 2 3" xfId="5069" xr:uid="{00000000-0005-0000-0000-0000B70C0000}"/>
    <cellStyle name="Currency 5 3 2 3 2 3 2" xfId="22835" xr:uid="{8C7FAD61-B0BC-4B8F-BFE5-9073A736E8C8}"/>
    <cellStyle name="Currency 5 3 2 3 2 3 3" xfId="14395" xr:uid="{24542ED8-386B-4F7A-ADA9-F19EC6074AD2}"/>
    <cellStyle name="Currency 5 3 2 3 2 4" xfId="9442" xr:uid="{AE48BD1F-B5DA-4007-BBEE-128FE2FE74D7}"/>
    <cellStyle name="Currency 5 3 2 3 2 4 2" xfId="18618" xr:uid="{768C70C3-E5B4-469B-906D-72B10DFB3009}"/>
    <cellStyle name="Currency 5 3 2 3 2 5" xfId="10178" xr:uid="{AAE8F75C-817C-40C4-8A44-1AC92D798AAB}"/>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25393" xr:uid="{DFED19AC-5B95-45AD-91AB-0610A2E925EC}"/>
    <cellStyle name="Currency 5 3 2 3 3 2 2 3" xfId="16953" xr:uid="{5DAFA82D-6D07-47B9-8392-22FDAEB265DA}"/>
    <cellStyle name="Currency 5 3 2 3 3 2 3" xfId="21176" xr:uid="{27C6351C-33BE-4A92-8F1E-9BC3DDA4B281}"/>
    <cellStyle name="Currency 5 3 2 3 3 2 4" xfId="12736" xr:uid="{C7315CB2-3970-43AB-BCBE-915741931D0C}"/>
    <cellStyle name="Currency 5 3 2 3 3 3" xfId="5482" xr:uid="{00000000-0005-0000-0000-0000BB0C0000}"/>
    <cellStyle name="Currency 5 3 2 3 3 3 2" xfId="23248" xr:uid="{699D3B27-1620-40AB-9C2D-FBB201603AD8}"/>
    <cellStyle name="Currency 5 3 2 3 3 3 3" xfId="14808" xr:uid="{64BDBF7A-0023-422E-BBD5-A84CBB24552E}"/>
    <cellStyle name="Currency 5 3 2 3 3 4" xfId="19031" xr:uid="{85A1395F-9373-426D-B852-98C04DB1AF5B}"/>
    <cellStyle name="Currency 5 3 2 3 3 5" xfId="10591" xr:uid="{CA730365-1DC7-48CA-91BF-3D9B8318E8D4}"/>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25806" xr:uid="{6802A503-D912-4481-9CA3-5E51655CAAEC}"/>
    <cellStyle name="Currency 5 3 2 3 4 2 2 3" xfId="17366" xr:uid="{A8EC2A91-F354-4495-A98F-E94E49819C4F}"/>
    <cellStyle name="Currency 5 3 2 3 4 2 3" xfId="21589" xr:uid="{9BEACD66-95F3-4B05-BB2D-9FF739EE5AB4}"/>
    <cellStyle name="Currency 5 3 2 3 4 2 4" xfId="13149" xr:uid="{8D03A14D-EFA7-40A6-8B56-09D7C34C6D06}"/>
    <cellStyle name="Currency 5 3 2 3 4 3" xfId="5895" xr:uid="{00000000-0005-0000-0000-0000BF0C0000}"/>
    <cellStyle name="Currency 5 3 2 3 4 3 2" xfId="23661" xr:uid="{58FA3254-7AFD-46C4-B85B-F9983A35467B}"/>
    <cellStyle name="Currency 5 3 2 3 4 3 3" xfId="15221" xr:uid="{B44E5373-5080-4AB1-8F29-41BCD0DB8174}"/>
    <cellStyle name="Currency 5 3 2 3 4 4" xfId="19444" xr:uid="{47420FBA-8628-4917-9A58-3C741CD07308}"/>
    <cellStyle name="Currency 5 3 2 3 4 5" xfId="11004" xr:uid="{EAB38AFD-9CB5-4CA6-AA82-BE5D60AFDC62}"/>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26219" xr:uid="{29F8DB49-1495-4FD0-8DFA-73584F86C253}"/>
    <cellStyle name="Currency 5 3 2 3 5 2 2 3" xfId="17779" xr:uid="{408BCC02-27E2-4570-9818-15D627465FD0}"/>
    <cellStyle name="Currency 5 3 2 3 5 2 3" xfId="22002" xr:uid="{C45F968B-7A34-4857-9670-7D1640F083C4}"/>
    <cellStyle name="Currency 5 3 2 3 5 2 4" xfId="13562" xr:uid="{E247E470-5FCA-4EC1-B5D2-9104078BDF05}"/>
    <cellStyle name="Currency 5 3 2 3 5 3" xfId="6308" xr:uid="{00000000-0005-0000-0000-0000C30C0000}"/>
    <cellStyle name="Currency 5 3 2 3 5 3 2" xfId="24074" xr:uid="{7026E6BF-D793-40E8-9E94-24543D5701AF}"/>
    <cellStyle name="Currency 5 3 2 3 5 3 3" xfId="15634" xr:uid="{354B8201-9BCA-4957-A74E-30223C74912A}"/>
    <cellStyle name="Currency 5 3 2 3 5 4" xfId="19857" xr:uid="{1316A407-87B8-4519-913E-28545B3CA491}"/>
    <cellStyle name="Currency 5 3 2 3 5 5" xfId="11417" xr:uid="{2AA79C7A-28B1-4E2F-A115-9C94BECB7271}"/>
    <cellStyle name="Currency 5 3 2 3 6" xfId="2437" xr:uid="{00000000-0005-0000-0000-0000C40C0000}"/>
    <cellStyle name="Currency 5 3 2 3 6 2" xfId="6721" xr:uid="{00000000-0005-0000-0000-0000C50C0000}"/>
    <cellStyle name="Currency 5 3 2 3 6 2 2" xfId="24487" xr:uid="{FE8ED03D-7979-4950-B4E9-91AE11A29E1B}"/>
    <cellStyle name="Currency 5 3 2 3 6 2 3" xfId="16047" xr:uid="{68AC5BB5-D1F0-463D-8F1A-425837DBE8C7}"/>
    <cellStyle name="Currency 5 3 2 3 6 3" xfId="20270" xr:uid="{450EE832-0034-466E-B6C8-409D0734D914}"/>
    <cellStyle name="Currency 5 3 2 3 6 4" xfId="11830" xr:uid="{46C8E88E-3FAD-4EE9-A9B6-7BE70ECBDD73}"/>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24804" xr:uid="{6695647D-874D-4C34-AC8A-B4BE34447025}"/>
    <cellStyle name="Currency 5 3 2 3 8 2 3" xfId="16364" xr:uid="{626859FD-4C27-47E5-B7D3-BEE4242DB36D}"/>
    <cellStyle name="Currency 5 3 2 3 8 3" xfId="20587" xr:uid="{0A913A82-137F-4E45-A5E7-50D22F6E3DA8}"/>
    <cellStyle name="Currency 5 3 2 3 8 4" xfId="12147" xr:uid="{4C57D5AC-1B43-4354-956E-01F9B5616C64}"/>
    <cellStyle name="Currency 5 3 2 3 9" xfId="4655" xr:uid="{00000000-0005-0000-0000-0000C90C0000}"/>
    <cellStyle name="Currency 5 3 2 3 9 2" xfId="22421" xr:uid="{96F45CC7-F161-4F12-9322-4CC11F22FFDB}"/>
    <cellStyle name="Currency 5 3 2 3 9 3" xfId="13981" xr:uid="{4E330A35-63EE-476D-AFEA-AE94C4350A2B}"/>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24977" xr:uid="{E1A17BA3-AE5E-4B75-8C37-3455D8482C97}"/>
    <cellStyle name="Currency 5 3 2 4 2 2 3" xfId="16537" xr:uid="{C66C8668-6616-45FB-B88A-DE8F40BC7318}"/>
    <cellStyle name="Currency 5 3 2 4 2 3" xfId="20760" xr:uid="{940FC6BB-0A5F-46F3-8BB0-86AFDD698D42}"/>
    <cellStyle name="Currency 5 3 2 4 2 4" xfId="12320" xr:uid="{0954A507-095D-46DB-8C99-C4B84D5F48D3}"/>
    <cellStyle name="Currency 5 3 2 4 3" xfId="5066" xr:uid="{00000000-0005-0000-0000-0000CD0C0000}"/>
    <cellStyle name="Currency 5 3 2 4 3 2" xfId="22832" xr:uid="{CBD98104-5D25-412C-A91C-40A3BE41CFDA}"/>
    <cellStyle name="Currency 5 3 2 4 3 3" xfId="14392" xr:uid="{F8BD2949-3C49-4DC0-9C44-AE846C9E8DD9}"/>
    <cellStyle name="Currency 5 3 2 4 4" xfId="9235" xr:uid="{F2FD4117-6EF1-4663-964A-AB5B57E6F469}"/>
    <cellStyle name="Currency 5 3 2 4 4 2" xfId="18615" xr:uid="{863103B4-422C-456D-AF24-C9FB0B6F804E}"/>
    <cellStyle name="Currency 5 3 2 4 5" xfId="10175" xr:uid="{CD990809-F370-411B-A92A-603A8CF7826F}"/>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25390" xr:uid="{42B66258-A704-4158-982C-8C3FAE631840}"/>
    <cellStyle name="Currency 5 3 2 5 2 2 3" xfId="16950" xr:uid="{4814B27D-A97C-492B-9F75-462A1707B215}"/>
    <cellStyle name="Currency 5 3 2 5 2 3" xfId="21173" xr:uid="{5545006D-5C12-490D-821E-984149C811F6}"/>
    <cellStyle name="Currency 5 3 2 5 2 4" xfId="12733" xr:uid="{3D565E3A-CD31-4793-8C12-FF1A1B847CBD}"/>
    <cellStyle name="Currency 5 3 2 5 3" xfId="5479" xr:uid="{00000000-0005-0000-0000-0000D10C0000}"/>
    <cellStyle name="Currency 5 3 2 5 3 2" xfId="23245" xr:uid="{406D31DA-702D-41A4-AF10-19B2E4F172BF}"/>
    <cellStyle name="Currency 5 3 2 5 3 3" xfId="14805" xr:uid="{169EFAC9-ECFF-45F2-87EE-C1E3E1DE3AD4}"/>
    <cellStyle name="Currency 5 3 2 5 4" xfId="19028" xr:uid="{2BBCE64A-A23C-42ED-B6B4-4BAE050AF557}"/>
    <cellStyle name="Currency 5 3 2 5 5" xfId="10588" xr:uid="{8E72A892-1530-461B-984E-D0CC35AD97CB}"/>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25803" xr:uid="{ECDD8373-3576-464E-8636-0DE00EA597E7}"/>
    <cellStyle name="Currency 5 3 2 6 2 2 3" xfId="17363" xr:uid="{E75F33D5-EC20-4EF0-A244-EE62BEBA4191}"/>
    <cellStyle name="Currency 5 3 2 6 2 3" xfId="21586" xr:uid="{81C84963-2F59-4C1D-88EC-1C27D9375593}"/>
    <cellStyle name="Currency 5 3 2 6 2 4" xfId="13146" xr:uid="{F47F7168-4AB9-472E-816F-8F199CB07257}"/>
    <cellStyle name="Currency 5 3 2 6 3" xfId="5892" xr:uid="{00000000-0005-0000-0000-0000D50C0000}"/>
    <cellStyle name="Currency 5 3 2 6 3 2" xfId="23658" xr:uid="{77660EE9-C5EE-4135-8B81-A6798D749ADB}"/>
    <cellStyle name="Currency 5 3 2 6 3 3" xfId="15218" xr:uid="{BFB84903-56D7-4260-A8C0-CFC47F68FEE7}"/>
    <cellStyle name="Currency 5 3 2 6 4" xfId="19441" xr:uid="{A5D67CD7-9C8D-4539-8D06-4065D670228C}"/>
    <cellStyle name="Currency 5 3 2 6 5" xfId="11001" xr:uid="{E32398DD-EB60-4F33-BB1C-19D71F3A5D00}"/>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26216" xr:uid="{83619731-30BE-4951-B64B-7BDE657E3E34}"/>
    <cellStyle name="Currency 5 3 2 7 2 2 3" xfId="17776" xr:uid="{E92E4B25-A66C-4FDD-A4DD-7AC270D6AA53}"/>
    <cellStyle name="Currency 5 3 2 7 2 3" xfId="21999" xr:uid="{6AB2157F-2878-42BD-85F0-6BDEF806B796}"/>
    <cellStyle name="Currency 5 3 2 7 2 4" xfId="13559" xr:uid="{23273F82-B5F1-41AC-BE00-F1125E1C86AD}"/>
    <cellStyle name="Currency 5 3 2 7 3" xfId="6305" xr:uid="{00000000-0005-0000-0000-0000D90C0000}"/>
    <cellStyle name="Currency 5 3 2 7 3 2" xfId="24071" xr:uid="{88673C07-09AD-47DC-9B37-01F0A6504596}"/>
    <cellStyle name="Currency 5 3 2 7 3 3" xfId="15631" xr:uid="{785166FE-0163-4556-BA8B-84FC8091DCB5}"/>
    <cellStyle name="Currency 5 3 2 7 4" xfId="19854" xr:uid="{677E8932-E8E9-40F7-9CBF-891FEBF2E7ED}"/>
    <cellStyle name="Currency 5 3 2 7 5" xfId="11414" xr:uid="{D6C53CBE-21A7-43A6-9B84-FEF01EE0C13D}"/>
    <cellStyle name="Currency 5 3 2 8" xfId="2434" xr:uid="{00000000-0005-0000-0000-0000DA0C0000}"/>
    <cellStyle name="Currency 5 3 2 8 2" xfId="6718" xr:uid="{00000000-0005-0000-0000-0000DB0C0000}"/>
    <cellStyle name="Currency 5 3 2 8 2 2" xfId="24484" xr:uid="{25AC906A-9B00-4CFD-B478-2C9AA5D1B73C}"/>
    <cellStyle name="Currency 5 3 2 8 2 3" xfId="16044" xr:uid="{0FE5F602-1A28-4EF6-AE60-45C539776C05}"/>
    <cellStyle name="Currency 5 3 2 8 3" xfId="20267" xr:uid="{647F5E81-81B1-49D2-AB04-757759A004ED}"/>
    <cellStyle name="Currency 5 3 2 8 4" xfId="11827" xr:uid="{46D59911-84FF-4B91-8D73-1D16D9BD6CB6}"/>
    <cellStyle name="Currency 5 3 2 9" xfId="2731" xr:uid="{00000000-0005-0000-0000-0000DC0C0000}"/>
    <cellStyle name="Currency 5 3 3" xfId="214" xr:uid="{00000000-0005-0000-0000-0000DD0C0000}"/>
    <cellStyle name="Currency 5 3 3 10" xfId="4656" xr:uid="{00000000-0005-0000-0000-0000DE0C0000}"/>
    <cellStyle name="Currency 5 3 3 10 2" xfId="22422" xr:uid="{69B8B0EF-2CBD-4BC7-8F44-BDE754C295B0}"/>
    <cellStyle name="Currency 5 3 3 10 3" xfId="13982" xr:uid="{77CB693D-CE88-47F1-AF54-1BBDEB420F82}"/>
    <cellStyle name="Currency 5 3 3 11" xfId="8882" xr:uid="{A86B3ED4-B552-42F3-9E77-C6763F86EEE6}"/>
    <cellStyle name="Currency 5 3 3 11 2" xfId="18205" xr:uid="{CD6BC23F-93F3-4F7C-AA11-1B02F704AE4E}"/>
    <cellStyle name="Currency 5 3 3 12" xfId="9765" xr:uid="{68F7FDBA-BEDE-4439-8EBE-AD39368E5868}"/>
    <cellStyle name="Currency 5 3 3 2" xfId="215" xr:uid="{00000000-0005-0000-0000-0000DF0C0000}"/>
    <cellStyle name="Currency 5 3 3 2 10" xfId="9089" xr:uid="{7CFB8DCC-02AE-4CC5-8E10-3D33399ECECE}"/>
    <cellStyle name="Currency 5 3 3 2 10 2" xfId="18206" xr:uid="{738ACB73-83BB-4298-B08C-910ABA3782BF}"/>
    <cellStyle name="Currency 5 3 3 2 11" xfId="9766" xr:uid="{186A9AB4-7573-4FEC-877F-AFF916F2D0AC}"/>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24982" xr:uid="{DC9C2008-0F61-46CF-9C2C-B87175055604}"/>
    <cellStyle name="Currency 5 3 3 2 2 2 2 3" xfId="16542" xr:uid="{1A7B4746-8297-47BF-A28E-7223668F0291}"/>
    <cellStyle name="Currency 5 3 3 2 2 2 3" xfId="20765" xr:uid="{F50D3F09-98A3-4CDC-A1F2-CD9F67AB9252}"/>
    <cellStyle name="Currency 5 3 3 2 2 2 4" xfId="12325" xr:uid="{4FF57635-1343-420A-B73D-C57F7E672313}"/>
    <cellStyle name="Currency 5 3 3 2 2 3" xfId="5071" xr:uid="{00000000-0005-0000-0000-0000E30C0000}"/>
    <cellStyle name="Currency 5 3 3 2 2 3 2" xfId="22837" xr:uid="{C8E7FCFA-8026-457D-9CA5-4A866E9E21B0}"/>
    <cellStyle name="Currency 5 3 3 2 2 3 3" xfId="14397" xr:uid="{F7D5DDE9-4598-4874-9451-CB001AF6C365}"/>
    <cellStyle name="Currency 5 3 3 2 2 4" xfId="9514" xr:uid="{9A504F43-6423-4200-B7AF-F17B65B2005C}"/>
    <cellStyle name="Currency 5 3 3 2 2 4 2" xfId="18620" xr:uid="{76D75330-E6B1-4739-B485-0DD3B53AFFC7}"/>
    <cellStyle name="Currency 5 3 3 2 2 5" xfId="10180" xr:uid="{C51A1360-5F72-4AF1-A5E4-55130BF21359}"/>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25395" xr:uid="{23E012D7-F8E8-40E5-BDAA-C85A8B6E2B24}"/>
    <cellStyle name="Currency 5 3 3 2 3 2 2 3" xfId="16955" xr:uid="{06E2F725-1F13-4695-B422-5816B31A55BB}"/>
    <cellStyle name="Currency 5 3 3 2 3 2 3" xfId="21178" xr:uid="{A8C9A35C-4C2B-401F-AF3F-A0BCA7AB0D1E}"/>
    <cellStyle name="Currency 5 3 3 2 3 2 4" xfId="12738" xr:uid="{0D1A3875-BEC5-4487-A37F-FCA664522049}"/>
    <cellStyle name="Currency 5 3 3 2 3 3" xfId="5484" xr:uid="{00000000-0005-0000-0000-0000E70C0000}"/>
    <cellStyle name="Currency 5 3 3 2 3 3 2" xfId="23250" xr:uid="{9FEFFAA2-01B3-40F8-82D2-1E39AD38F529}"/>
    <cellStyle name="Currency 5 3 3 2 3 3 3" xfId="14810" xr:uid="{8770E9EB-1F85-44A6-B3A1-3589043AC1E5}"/>
    <cellStyle name="Currency 5 3 3 2 3 4" xfId="19033" xr:uid="{8BDC32BF-A63E-4949-883A-844125790DF5}"/>
    <cellStyle name="Currency 5 3 3 2 3 5" xfId="10593" xr:uid="{3E33951A-EB31-435D-908D-A54AA5C18217}"/>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25808" xr:uid="{C4AD8798-814A-40E9-A56C-DBC6BB0FAC20}"/>
    <cellStyle name="Currency 5 3 3 2 4 2 2 3" xfId="17368" xr:uid="{7D7C5901-A6C7-4823-B388-AEB5343DF2AE}"/>
    <cellStyle name="Currency 5 3 3 2 4 2 3" xfId="21591" xr:uid="{ACBC422E-1B1F-429F-ABAB-A604DA8AB185}"/>
    <cellStyle name="Currency 5 3 3 2 4 2 4" xfId="13151" xr:uid="{29E2E32B-9E2F-42A7-93D3-151E67268F6F}"/>
    <cellStyle name="Currency 5 3 3 2 4 3" xfId="5897" xr:uid="{00000000-0005-0000-0000-0000EB0C0000}"/>
    <cellStyle name="Currency 5 3 3 2 4 3 2" xfId="23663" xr:uid="{26D59B8B-FDCB-46D7-BE4C-D03D53A57485}"/>
    <cellStyle name="Currency 5 3 3 2 4 3 3" xfId="15223" xr:uid="{56009E31-8DE1-473B-8448-CD61A94016F0}"/>
    <cellStyle name="Currency 5 3 3 2 4 4" xfId="19446" xr:uid="{52B041D8-EE95-4DFC-96F0-9414C6F73EAE}"/>
    <cellStyle name="Currency 5 3 3 2 4 5" xfId="11006" xr:uid="{A878E4A2-70D0-4C06-A460-FDCE8CDF793E}"/>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26221" xr:uid="{2B659056-8614-4ABC-A3AD-0C046DEF5999}"/>
    <cellStyle name="Currency 5 3 3 2 5 2 2 3" xfId="17781" xr:uid="{9442B3D3-EE0F-4BB5-895E-694B8FAF5B08}"/>
    <cellStyle name="Currency 5 3 3 2 5 2 3" xfId="22004" xr:uid="{54E23235-DC54-40DA-BD2C-74A25EFD6D08}"/>
    <cellStyle name="Currency 5 3 3 2 5 2 4" xfId="13564" xr:uid="{2C18EA91-E8E3-40DD-AF80-B6C8469B7628}"/>
    <cellStyle name="Currency 5 3 3 2 5 3" xfId="6310" xr:uid="{00000000-0005-0000-0000-0000EF0C0000}"/>
    <cellStyle name="Currency 5 3 3 2 5 3 2" xfId="24076" xr:uid="{B867D4F4-AACC-4164-AB8D-5AF8FE50E5A1}"/>
    <cellStyle name="Currency 5 3 3 2 5 3 3" xfId="15636" xr:uid="{B2EFE747-597D-4C6E-805E-00E6E49336E1}"/>
    <cellStyle name="Currency 5 3 3 2 5 4" xfId="19859" xr:uid="{F027D00D-AE5A-470B-81FF-1AACB35B4ABF}"/>
    <cellStyle name="Currency 5 3 3 2 5 5" xfId="11419" xr:uid="{78ECA385-877C-4DC4-9BB7-D7F1563B4C69}"/>
    <cellStyle name="Currency 5 3 3 2 6" xfId="2439" xr:uid="{00000000-0005-0000-0000-0000F00C0000}"/>
    <cellStyle name="Currency 5 3 3 2 6 2" xfId="6723" xr:uid="{00000000-0005-0000-0000-0000F10C0000}"/>
    <cellStyle name="Currency 5 3 3 2 6 2 2" xfId="24489" xr:uid="{1F6A1525-2A5C-4DCE-BF5E-8F0289D04728}"/>
    <cellStyle name="Currency 5 3 3 2 6 2 3" xfId="16049" xr:uid="{10FBE056-A940-427A-9226-365000D2E570}"/>
    <cellStyle name="Currency 5 3 3 2 6 3" xfId="20272" xr:uid="{7018422B-9211-400E-919F-22B86F67202C}"/>
    <cellStyle name="Currency 5 3 3 2 6 4" xfId="11832" xr:uid="{43F0E633-2876-4FB9-BFB0-8B1AB78BA046}"/>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24806" xr:uid="{96DBB965-1052-4835-8414-FEB7A21EB074}"/>
    <cellStyle name="Currency 5 3 3 2 8 2 3" xfId="16366" xr:uid="{7A6EB5AA-496B-4A30-9BD6-7E0A3D873960}"/>
    <cellStyle name="Currency 5 3 3 2 8 3" xfId="20589" xr:uid="{55B43B64-A7E1-4E55-A398-280513849B82}"/>
    <cellStyle name="Currency 5 3 3 2 8 4" xfId="12149" xr:uid="{D7E48A0C-870B-47BB-8CCA-336C9DBBB46D}"/>
    <cellStyle name="Currency 5 3 3 2 9" xfId="4657" xr:uid="{00000000-0005-0000-0000-0000F50C0000}"/>
    <cellStyle name="Currency 5 3 3 2 9 2" xfId="22423" xr:uid="{0CEA847F-3D79-402B-B3BB-583F63353793}"/>
    <cellStyle name="Currency 5 3 3 2 9 3" xfId="13983" xr:uid="{F083EFBA-926C-45ED-A8E8-9BC95A95634C}"/>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24981" xr:uid="{6C186DD0-393A-4BD8-815F-FF76B0476497}"/>
    <cellStyle name="Currency 5 3 3 3 2 2 3" xfId="16541" xr:uid="{39E51930-F402-4CDA-B19D-7055FC1C5081}"/>
    <cellStyle name="Currency 5 3 3 3 2 3" xfId="20764" xr:uid="{BCC4BB2F-3321-4907-8E54-64B7B819E223}"/>
    <cellStyle name="Currency 5 3 3 3 2 4" xfId="12324" xr:uid="{5E809F89-A064-4B27-A2C3-116E608782F9}"/>
    <cellStyle name="Currency 5 3 3 3 3" xfId="5070" xr:uid="{00000000-0005-0000-0000-0000F90C0000}"/>
    <cellStyle name="Currency 5 3 3 3 3 2" xfId="22836" xr:uid="{33D508FD-35C5-456A-B6D5-188A4A5345D6}"/>
    <cellStyle name="Currency 5 3 3 3 3 3" xfId="14396" xr:uid="{CC443C27-0EBE-4299-A97C-C6A8D5DDAED6}"/>
    <cellStyle name="Currency 5 3 3 3 4" xfId="9307" xr:uid="{3F0512A0-B779-46E4-A963-62E327C6AC5F}"/>
    <cellStyle name="Currency 5 3 3 3 4 2" xfId="18619" xr:uid="{2D9117AD-5606-4E1D-B00A-EFE663A85455}"/>
    <cellStyle name="Currency 5 3 3 3 5" xfId="10179" xr:uid="{650220B9-244A-4DA6-9CF3-532A6905F00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25394" xr:uid="{2112E0CE-FBD4-4D46-815A-AC03DAE7C698}"/>
    <cellStyle name="Currency 5 3 3 4 2 2 3" xfId="16954" xr:uid="{425F5172-15CE-48DE-8978-D09E6ADCF9A4}"/>
    <cellStyle name="Currency 5 3 3 4 2 3" xfId="21177" xr:uid="{3F4AA749-8772-4F79-A62E-8CF5B1128BAA}"/>
    <cellStyle name="Currency 5 3 3 4 2 4" xfId="12737" xr:uid="{E4066735-5194-4585-BFEF-9B2140F8E730}"/>
    <cellStyle name="Currency 5 3 3 4 3" xfId="5483" xr:uid="{00000000-0005-0000-0000-0000FD0C0000}"/>
    <cellStyle name="Currency 5 3 3 4 3 2" xfId="23249" xr:uid="{81DF3EDD-781F-4A3F-972F-0A218F68EEF9}"/>
    <cellStyle name="Currency 5 3 3 4 3 3" xfId="14809" xr:uid="{5C712926-73C6-4719-B26F-10F925A8704A}"/>
    <cellStyle name="Currency 5 3 3 4 4" xfId="19032" xr:uid="{5CF30B6B-3CD0-40FD-8872-10A0FDAFFFBB}"/>
    <cellStyle name="Currency 5 3 3 4 5" xfId="10592" xr:uid="{CE5C7C8D-D47C-4B13-B41A-42B889A360BE}"/>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25807" xr:uid="{DCD2914E-E3A1-4109-A8AF-31EAE81277F4}"/>
    <cellStyle name="Currency 5 3 3 5 2 2 3" xfId="17367" xr:uid="{4EE31638-7211-46D7-9867-ED3DA2A1F45A}"/>
    <cellStyle name="Currency 5 3 3 5 2 3" xfId="21590" xr:uid="{59447887-54B6-4CCD-82FF-977607326794}"/>
    <cellStyle name="Currency 5 3 3 5 2 4" xfId="13150" xr:uid="{1C96EF0C-A7AA-4F43-B4C3-AD2DC018E75E}"/>
    <cellStyle name="Currency 5 3 3 5 3" xfId="5896" xr:uid="{00000000-0005-0000-0000-0000010D0000}"/>
    <cellStyle name="Currency 5 3 3 5 3 2" xfId="23662" xr:uid="{A212F9EE-692D-4449-97C5-0D9F73B04F5A}"/>
    <cellStyle name="Currency 5 3 3 5 3 3" xfId="15222" xr:uid="{C0AC6FC5-79BA-406D-9F94-5D819A1D820E}"/>
    <cellStyle name="Currency 5 3 3 5 4" xfId="19445" xr:uid="{E41CC7F1-E3CC-4F2E-9D84-B49812F7C5D5}"/>
    <cellStyle name="Currency 5 3 3 5 5" xfId="11005" xr:uid="{67BA3790-BF37-431C-AB41-C59CA8F6518E}"/>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26220" xr:uid="{1C5BCB1C-FC26-4DCB-9843-6BC85F631BB9}"/>
    <cellStyle name="Currency 5 3 3 6 2 2 3" xfId="17780" xr:uid="{980DE1D8-9484-4A4D-9635-44523F68D443}"/>
    <cellStyle name="Currency 5 3 3 6 2 3" xfId="22003" xr:uid="{855ACE45-D258-4FD4-815F-E1719A650213}"/>
    <cellStyle name="Currency 5 3 3 6 2 4" xfId="13563" xr:uid="{4AF38E9C-5FDA-4469-B77D-0AEBE5B8F484}"/>
    <cellStyle name="Currency 5 3 3 6 3" xfId="6309" xr:uid="{00000000-0005-0000-0000-0000050D0000}"/>
    <cellStyle name="Currency 5 3 3 6 3 2" xfId="24075" xr:uid="{83D7C27D-5BE8-4C96-B292-172FED69D6B4}"/>
    <cellStyle name="Currency 5 3 3 6 3 3" xfId="15635" xr:uid="{A6A78BF6-2F82-437D-B17A-0CFDF373C701}"/>
    <cellStyle name="Currency 5 3 3 6 4" xfId="19858" xr:uid="{9DB13423-F232-456D-A067-23B6662CD78A}"/>
    <cellStyle name="Currency 5 3 3 6 5" xfId="11418" xr:uid="{2DE66BEE-CAA7-48BF-8899-B731F2ECF127}"/>
    <cellStyle name="Currency 5 3 3 7" xfId="2438" xr:uid="{00000000-0005-0000-0000-0000060D0000}"/>
    <cellStyle name="Currency 5 3 3 7 2" xfId="6722" xr:uid="{00000000-0005-0000-0000-0000070D0000}"/>
    <cellStyle name="Currency 5 3 3 7 2 2" xfId="24488" xr:uid="{9227FB7A-F4DD-44BF-8B86-6C746CB57AC2}"/>
    <cellStyle name="Currency 5 3 3 7 2 3" xfId="16048" xr:uid="{BCD5B056-9F0A-4F6E-9B9F-96CEEA55FA93}"/>
    <cellStyle name="Currency 5 3 3 7 3" xfId="20271" xr:uid="{EF8E1716-4AA5-4552-AC53-C30A595902B1}"/>
    <cellStyle name="Currency 5 3 3 7 4" xfId="11831" xr:uid="{91CDD072-F04F-4940-920C-28CE5B290A2C}"/>
    <cellStyle name="Currency 5 3 3 8" xfId="2735" xr:uid="{00000000-0005-0000-0000-0000080D0000}"/>
    <cellStyle name="Currency 5 3 3 9" xfId="2816" xr:uid="{00000000-0005-0000-0000-0000090D0000}"/>
    <cellStyle name="Currency 5 3 3 9 2" xfId="7039" xr:uid="{00000000-0005-0000-0000-00000A0D0000}"/>
    <cellStyle name="Currency 5 3 3 9 2 2" xfId="24805" xr:uid="{06E916D6-373C-49AA-9A53-3D859ED96237}"/>
    <cellStyle name="Currency 5 3 3 9 2 3" xfId="16365" xr:uid="{18EDB8A7-8E8D-4663-BD74-7F0F5BB7362A}"/>
    <cellStyle name="Currency 5 3 3 9 3" xfId="20588" xr:uid="{349E7225-DB6F-4C59-A446-229B40C1AE51}"/>
    <cellStyle name="Currency 5 3 3 9 4" xfId="12148" xr:uid="{BFA8F8D4-3D49-4B45-A771-87066D03265B}"/>
    <cellStyle name="Currency 5 3 4" xfId="216" xr:uid="{00000000-0005-0000-0000-00000B0D0000}"/>
    <cellStyle name="Currency 5 3 4 10" xfId="8986" xr:uid="{4F6CFA4A-F10A-4043-AD92-C0A3F7F06459}"/>
    <cellStyle name="Currency 5 3 4 10 2" xfId="18207" xr:uid="{409BA4CC-3682-4925-ADBA-AE92648C11C6}"/>
    <cellStyle name="Currency 5 3 4 11" xfId="9767" xr:uid="{8A607996-F926-4B00-AFB1-355032D09E5A}"/>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24983" xr:uid="{36FC1F6F-2ECD-4727-AA51-71C9EA363318}"/>
    <cellStyle name="Currency 5 3 4 2 2 2 3" xfId="16543" xr:uid="{D290EB98-E4EA-42DF-9365-EFF379FB8BD2}"/>
    <cellStyle name="Currency 5 3 4 2 2 3" xfId="20766" xr:uid="{8D59709B-C69E-4F37-BCE3-A6B3C7205539}"/>
    <cellStyle name="Currency 5 3 4 2 2 4" xfId="12326" xr:uid="{5F557130-CC5B-45AC-B9DB-9CCF053F2BF1}"/>
    <cellStyle name="Currency 5 3 4 2 3" xfId="5072" xr:uid="{00000000-0005-0000-0000-00000F0D0000}"/>
    <cellStyle name="Currency 5 3 4 2 3 2" xfId="22838" xr:uid="{E1466195-680E-413A-8BD4-D0D64711B916}"/>
    <cellStyle name="Currency 5 3 4 2 3 3" xfId="14398" xr:uid="{98BB2A02-1D16-4225-A3D7-9F93B6E2608E}"/>
    <cellStyle name="Currency 5 3 4 2 4" xfId="9411" xr:uid="{2729DEB6-408B-463E-B468-91D932C31FD7}"/>
    <cellStyle name="Currency 5 3 4 2 4 2" xfId="18621" xr:uid="{2498FE36-AB2C-4242-95B8-D992BE71C2DF}"/>
    <cellStyle name="Currency 5 3 4 2 5" xfId="10181" xr:uid="{C73CB03B-1125-4501-A50B-3E55A90790B0}"/>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25396" xr:uid="{6261B3C0-3423-4341-ACD5-AB7BC8A91F34}"/>
    <cellStyle name="Currency 5 3 4 3 2 2 3" xfId="16956" xr:uid="{76963E18-C250-438F-BC2D-9AFD552810BB}"/>
    <cellStyle name="Currency 5 3 4 3 2 3" xfId="21179" xr:uid="{70A07E91-BF58-4ACC-8A1D-EE61D7A26B61}"/>
    <cellStyle name="Currency 5 3 4 3 2 4" xfId="12739" xr:uid="{6F52F557-CAA2-4047-AD3D-38EE3099FCD2}"/>
    <cellStyle name="Currency 5 3 4 3 3" xfId="5485" xr:uid="{00000000-0005-0000-0000-0000130D0000}"/>
    <cellStyle name="Currency 5 3 4 3 3 2" xfId="23251" xr:uid="{56406D70-BD2F-4939-960C-CE1E9E5E42A4}"/>
    <cellStyle name="Currency 5 3 4 3 3 3" xfId="14811" xr:uid="{4BEA09B5-1EBE-4802-8E42-001F083E8675}"/>
    <cellStyle name="Currency 5 3 4 3 4" xfId="19034" xr:uid="{4BAA5541-ECC9-4FB5-984B-840624DFB5D6}"/>
    <cellStyle name="Currency 5 3 4 3 5" xfId="10594" xr:uid="{B436567E-C460-4E37-8293-7CE1C0F8CE69}"/>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25809" xr:uid="{A9EEF7C9-99AF-4BA4-810F-69621FD562A8}"/>
    <cellStyle name="Currency 5 3 4 4 2 2 3" xfId="17369" xr:uid="{B7C1B9D7-FCA6-4C17-8FEB-B1FD58CCBBC8}"/>
    <cellStyle name="Currency 5 3 4 4 2 3" xfId="21592" xr:uid="{E5583E1C-423D-4979-A248-C131E6387BC8}"/>
    <cellStyle name="Currency 5 3 4 4 2 4" xfId="13152" xr:uid="{40456BF6-705E-414D-87F3-7A559C3CD2DE}"/>
    <cellStyle name="Currency 5 3 4 4 3" xfId="5898" xr:uid="{00000000-0005-0000-0000-0000170D0000}"/>
    <cellStyle name="Currency 5 3 4 4 3 2" xfId="23664" xr:uid="{5315C191-73F2-45D8-AF2E-092210C1A2E9}"/>
    <cellStyle name="Currency 5 3 4 4 3 3" xfId="15224" xr:uid="{0B6741C9-3A8F-4639-BB21-3BFEE0D1C605}"/>
    <cellStyle name="Currency 5 3 4 4 4" xfId="19447" xr:uid="{F499EDFD-F444-4325-89EF-AD39C312ECE8}"/>
    <cellStyle name="Currency 5 3 4 4 5" xfId="11007" xr:uid="{7E32976A-C96F-43C3-A7F9-2FF65C5FEABB}"/>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26222" xr:uid="{05691132-F875-4E6B-8CD6-978B223E158E}"/>
    <cellStyle name="Currency 5 3 4 5 2 2 3" xfId="17782" xr:uid="{27C85EF4-ABB2-4BA3-A3C0-C550BD6BEE6B}"/>
    <cellStyle name="Currency 5 3 4 5 2 3" xfId="22005" xr:uid="{F90B8BED-BDC5-472D-B662-2586392B629C}"/>
    <cellStyle name="Currency 5 3 4 5 2 4" xfId="13565" xr:uid="{1C2858B8-B209-45D5-AB2A-ECBAEC13C503}"/>
    <cellStyle name="Currency 5 3 4 5 3" xfId="6311" xr:uid="{00000000-0005-0000-0000-00001B0D0000}"/>
    <cellStyle name="Currency 5 3 4 5 3 2" xfId="24077" xr:uid="{6FD58D8A-FA05-4D07-BF11-6E5C8B6E926A}"/>
    <cellStyle name="Currency 5 3 4 5 3 3" xfId="15637" xr:uid="{3EE10A48-CB7A-40CF-9A0A-92ABDD2FA092}"/>
    <cellStyle name="Currency 5 3 4 5 4" xfId="19860" xr:uid="{4A01F757-B6D4-4077-866A-B533B3CC5427}"/>
    <cellStyle name="Currency 5 3 4 5 5" xfId="11420" xr:uid="{D148BB9F-29A7-4103-8E1C-249334CB7F60}"/>
    <cellStyle name="Currency 5 3 4 6" xfId="2440" xr:uid="{00000000-0005-0000-0000-00001C0D0000}"/>
    <cellStyle name="Currency 5 3 4 6 2" xfId="6724" xr:uid="{00000000-0005-0000-0000-00001D0D0000}"/>
    <cellStyle name="Currency 5 3 4 6 2 2" xfId="24490" xr:uid="{DE1548FE-EE36-42A2-BAA6-84D466DAACFA}"/>
    <cellStyle name="Currency 5 3 4 6 2 3" xfId="16050" xr:uid="{21EECC90-D199-4AEC-996A-8D1B8650B4D4}"/>
    <cellStyle name="Currency 5 3 4 6 3" xfId="20273" xr:uid="{A3C0E96A-91CC-46A7-A47B-F93822C8CADA}"/>
    <cellStyle name="Currency 5 3 4 6 4" xfId="11833" xr:uid="{4CDB0C26-9745-44D0-B03F-27114FF1A3CD}"/>
    <cellStyle name="Currency 5 3 4 7" xfId="2737" xr:uid="{00000000-0005-0000-0000-00001E0D0000}"/>
    <cellStyle name="Currency 5 3 4 8" xfId="2818" xr:uid="{00000000-0005-0000-0000-00001F0D0000}"/>
    <cellStyle name="Currency 5 3 4 8 2" xfId="7041" xr:uid="{00000000-0005-0000-0000-0000200D0000}"/>
    <cellStyle name="Currency 5 3 4 8 2 2" xfId="24807" xr:uid="{8ADBAC47-957B-4618-9432-927FA7AE7AB2}"/>
    <cellStyle name="Currency 5 3 4 8 2 3" xfId="16367" xr:uid="{3FD0DA25-AEDD-4969-8838-7C2110C804C4}"/>
    <cellStyle name="Currency 5 3 4 8 3" xfId="20590" xr:uid="{B0BE46FA-CB1A-4392-B597-DA80D098905D}"/>
    <cellStyle name="Currency 5 3 4 8 4" xfId="12150" xr:uid="{F2218905-C4E0-4CA2-9311-B092019F57D0}"/>
    <cellStyle name="Currency 5 3 4 9" xfId="4658" xr:uid="{00000000-0005-0000-0000-0000210D0000}"/>
    <cellStyle name="Currency 5 3 4 9 2" xfId="22424" xr:uid="{54C38A0F-1C75-4A6B-960D-DA67544A1185}"/>
    <cellStyle name="Currency 5 3 4 9 3" xfId="13984" xr:uid="{2E5EB219-CA96-4E99-B8B1-AF8935211F79}"/>
    <cellStyle name="Currency 5 3 5" xfId="217" xr:uid="{00000000-0005-0000-0000-0000220D0000}"/>
    <cellStyle name="Currency 5 3 5 10" xfId="9203" xr:uid="{6167CBBD-227C-4457-B6B6-18EF5C089771}"/>
    <cellStyle name="Currency 5 3 5 10 2" xfId="18208" xr:uid="{47690AF7-9EBF-4604-8F18-D9BD3A7B5749}"/>
    <cellStyle name="Currency 5 3 5 11" xfId="9768" xr:uid="{461AB52C-213A-4391-B58A-BAAF621B1F1B}"/>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24984" xr:uid="{96844FCE-DB15-4EE0-B560-D7896043D846}"/>
    <cellStyle name="Currency 5 3 5 2 2 2 3" xfId="16544" xr:uid="{84B38433-75B4-4FC1-A1F9-F07C768CF0BF}"/>
    <cellStyle name="Currency 5 3 5 2 2 3" xfId="20767" xr:uid="{6FC46189-13CD-4EE3-AE48-B399CEE01380}"/>
    <cellStyle name="Currency 5 3 5 2 2 4" xfId="12327" xr:uid="{FC2C1E35-C79A-4C0D-852B-2070B753FF3C}"/>
    <cellStyle name="Currency 5 3 5 2 3" xfId="5073" xr:uid="{00000000-0005-0000-0000-0000260D0000}"/>
    <cellStyle name="Currency 5 3 5 2 3 2" xfId="22839" xr:uid="{BBB6004D-B0C1-4767-9DD2-4665DBADEF33}"/>
    <cellStyle name="Currency 5 3 5 2 3 3" xfId="14399" xr:uid="{9D2A35DC-E529-41D9-9496-444F3209044C}"/>
    <cellStyle name="Currency 5 3 5 2 4" xfId="9600" xr:uid="{650A4058-48FE-4F3E-8845-8F52DF332026}"/>
    <cellStyle name="Currency 5 3 5 2 4 2" xfId="18622" xr:uid="{FCD4A93E-98C8-4541-9B26-48B148E1A2B0}"/>
    <cellStyle name="Currency 5 3 5 2 5" xfId="10182" xr:uid="{42425A47-3C9E-4A11-97CD-CC7845272B69}"/>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25397" xr:uid="{C98260BE-0EEE-4664-8835-73E4B37A67D3}"/>
    <cellStyle name="Currency 5 3 5 3 2 2 3" xfId="16957" xr:uid="{B7B9760F-3ED6-4A4A-B96A-9CFD6EB50FCA}"/>
    <cellStyle name="Currency 5 3 5 3 2 3" xfId="21180" xr:uid="{D16D878A-11E9-4633-8F47-D204A0DA8704}"/>
    <cellStyle name="Currency 5 3 5 3 2 4" xfId="12740" xr:uid="{BD335C21-E93E-4ADC-A0AB-3122ED7F3E9D}"/>
    <cellStyle name="Currency 5 3 5 3 3" xfId="5486" xr:uid="{00000000-0005-0000-0000-00002A0D0000}"/>
    <cellStyle name="Currency 5 3 5 3 3 2" xfId="23252" xr:uid="{9336E5EB-361A-4A09-A1D8-150A04DB69DF}"/>
    <cellStyle name="Currency 5 3 5 3 3 3" xfId="14812" xr:uid="{D5815C30-6C04-4434-9AD7-16C19BF14BD0}"/>
    <cellStyle name="Currency 5 3 5 3 4" xfId="19035" xr:uid="{F21641FB-DE1C-47DE-B23E-5ABE49FE5C01}"/>
    <cellStyle name="Currency 5 3 5 3 5" xfId="10595" xr:uid="{0F327FAC-42F3-4D71-B002-530B18093CF3}"/>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25810" xr:uid="{6CE1A1FD-2E6E-449C-88E3-3984CC4DC678}"/>
    <cellStyle name="Currency 5 3 5 4 2 2 3" xfId="17370" xr:uid="{7D4E0629-51E7-4670-9ABE-8B11F0178987}"/>
    <cellStyle name="Currency 5 3 5 4 2 3" xfId="21593" xr:uid="{F3BFE7AD-5556-4445-88C5-F3254B93E8EE}"/>
    <cellStyle name="Currency 5 3 5 4 2 4" xfId="13153" xr:uid="{224486B1-29BD-4DDE-BBF1-6C773C499770}"/>
    <cellStyle name="Currency 5 3 5 4 3" xfId="5899" xr:uid="{00000000-0005-0000-0000-00002E0D0000}"/>
    <cellStyle name="Currency 5 3 5 4 3 2" xfId="23665" xr:uid="{92FA8127-F876-47DF-88E0-E6055629CE51}"/>
    <cellStyle name="Currency 5 3 5 4 3 3" xfId="15225" xr:uid="{6B993019-75FE-4CBC-B033-A884D2546748}"/>
    <cellStyle name="Currency 5 3 5 4 4" xfId="19448" xr:uid="{A5BF9968-8F82-4160-A264-A04A334D0E5E}"/>
    <cellStyle name="Currency 5 3 5 4 5" xfId="11008" xr:uid="{FF99E039-B9CE-48FD-9DD7-7F665DF7D8EC}"/>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26223" xr:uid="{AFE8C98F-17A5-4717-8803-973755A8B8EA}"/>
    <cellStyle name="Currency 5 3 5 5 2 2 3" xfId="17783" xr:uid="{D22DC2E3-6A63-4386-85D7-AB6EA085A33F}"/>
    <cellStyle name="Currency 5 3 5 5 2 3" xfId="22006" xr:uid="{160FFEF5-EBD0-4175-B6F6-E8579FFDA43D}"/>
    <cellStyle name="Currency 5 3 5 5 2 4" xfId="13566" xr:uid="{0FF76BB7-B40D-423D-B2A2-AE513FB65EE1}"/>
    <cellStyle name="Currency 5 3 5 5 3" xfId="6312" xr:uid="{00000000-0005-0000-0000-0000320D0000}"/>
    <cellStyle name="Currency 5 3 5 5 3 2" xfId="24078" xr:uid="{06A0FB0E-47DB-4B77-B427-C57E8A284F93}"/>
    <cellStyle name="Currency 5 3 5 5 3 3" xfId="15638" xr:uid="{F2C4F6CE-CBCE-4820-9CDF-3BF1FA0712F2}"/>
    <cellStyle name="Currency 5 3 5 5 4" xfId="19861" xr:uid="{79B35966-E834-4A29-992B-880039FD2982}"/>
    <cellStyle name="Currency 5 3 5 5 5" xfId="11421" xr:uid="{620B1315-5FC8-4330-9A1E-B3C5BD7948C9}"/>
    <cellStyle name="Currency 5 3 5 6" xfId="2441" xr:uid="{00000000-0005-0000-0000-0000330D0000}"/>
    <cellStyle name="Currency 5 3 5 6 2" xfId="6725" xr:uid="{00000000-0005-0000-0000-0000340D0000}"/>
    <cellStyle name="Currency 5 3 5 6 2 2" xfId="24491" xr:uid="{F313EE99-A975-43B3-B996-270E9A4DACE9}"/>
    <cellStyle name="Currency 5 3 5 6 2 3" xfId="16051" xr:uid="{D9DCEF55-61A0-405D-992D-833DD569F44A}"/>
    <cellStyle name="Currency 5 3 5 6 3" xfId="20274" xr:uid="{EE177A50-BF17-4B44-8680-57CAA7916173}"/>
    <cellStyle name="Currency 5 3 5 6 4" xfId="11834" xr:uid="{896FE92E-3B16-4A98-A3B5-89901B4DF74D}"/>
    <cellStyle name="Currency 5 3 5 7" xfId="2738" xr:uid="{00000000-0005-0000-0000-0000350D0000}"/>
    <cellStyle name="Currency 5 3 5 8" xfId="2819" xr:uid="{00000000-0005-0000-0000-0000360D0000}"/>
    <cellStyle name="Currency 5 3 5 8 2" xfId="7042" xr:uid="{00000000-0005-0000-0000-0000370D0000}"/>
    <cellStyle name="Currency 5 3 5 8 2 2" xfId="24808" xr:uid="{D04B2EA4-4AEC-43C4-B1C8-4338E1EF06AB}"/>
    <cellStyle name="Currency 5 3 5 8 2 3" xfId="16368" xr:uid="{CFFA3717-F5E9-447A-9A01-16D6000D68C2}"/>
    <cellStyle name="Currency 5 3 5 8 3" xfId="20591" xr:uid="{EBEA9179-812D-47D1-B3A0-3BB12B89EA9B}"/>
    <cellStyle name="Currency 5 3 5 8 4" xfId="12151" xr:uid="{25462D7F-1BC5-4382-8E27-D85B8D06C2E1}"/>
    <cellStyle name="Currency 5 3 5 9" xfId="4659" xr:uid="{00000000-0005-0000-0000-0000380D0000}"/>
    <cellStyle name="Currency 5 3 5 9 2" xfId="22425" xr:uid="{5D8CA852-003D-4F1E-B3BC-27F3F4489DB3}"/>
    <cellStyle name="Currency 5 3 5 9 3" xfId="13985" xr:uid="{11F3F6B8-91C6-47CA-A0E7-996547E63432}"/>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2426" xr:uid="{0FD9F926-7281-4D74-8A1D-9C5DC21F9786}"/>
    <cellStyle name="Currency 5 5 10 3" xfId="13986" xr:uid="{BA278B01-9281-4B13-81E2-B3197CA72566}"/>
    <cellStyle name="Currency 5 5 11" xfId="8850" xr:uid="{8F129173-F323-478F-8B06-1E2599EB26C1}"/>
    <cellStyle name="Currency 5 5 11 2" xfId="18209" xr:uid="{1973FD36-6270-4992-9462-EB11390D5B9A}"/>
    <cellStyle name="Currency 5 5 12" xfId="9769" xr:uid="{E0979231-1560-41CC-97ED-3123DF6EC6AC}"/>
    <cellStyle name="Currency 5 5 2" xfId="220" xr:uid="{00000000-0005-0000-0000-00003D0D0000}"/>
    <cellStyle name="Currency 5 5 2 10" xfId="9057" xr:uid="{90E61E49-0971-4EC1-90D8-E015846E4FB2}"/>
    <cellStyle name="Currency 5 5 2 10 2" xfId="18210" xr:uid="{8BE9DF22-B9C9-4126-9654-F16E3A7D11DC}"/>
    <cellStyle name="Currency 5 5 2 11" xfId="9770" xr:uid="{D2680214-5020-48A3-94BC-36292DD36BF3}"/>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24986" xr:uid="{2FD651BF-610A-436B-960C-18022659D8D8}"/>
    <cellStyle name="Currency 5 5 2 2 2 2 3" xfId="16546" xr:uid="{A24EA34F-AC5A-4452-8D49-719E6A6A2442}"/>
    <cellStyle name="Currency 5 5 2 2 2 3" xfId="20769" xr:uid="{F29A3746-7B58-4B8A-8CEB-F81794DA12D7}"/>
    <cellStyle name="Currency 5 5 2 2 2 4" xfId="12329" xr:uid="{777A7CCC-9646-4412-B5C2-8B0A92105A01}"/>
    <cellStyle name="Currency 5 5 2 2 3" xfId="5075" xr:uid="{00000000-0005-0000-0000-0000410D0000}"/>
    <cellStyle name="Currency 5 5 2 2 3 2" xfId="22841" xr:uid="{262A36D6-5B61-4873-9012-876A417F5F10}"/>
    <cellStyle name="Currency 5 5 2 2 3 3" xfId="14401" xr:uid="{F425CABA-DEEC-43AE-88D9-84D742BE9464}"/>
    <cellStyle name="Currency 5 5 2 2 4" xfId="9482" xr:uid="{ECEE3E7C-42CD-4A2D-A90F-D54FFBA7E41F}"/>
    <cellStyle name="Currency 5 5 2 2 4 2" xfId="18624" xr:uid="{B8C08B33-3031-4334-8B94-A7D952728BC9}"/>
    <cellStyle name="Currency 5 5 2 2 5" xfId="10184" xr:uid="{1F05DF3F-BA3A-4028-BEDF-D34A0D1B6721}"/>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25399" xr:uid="{B01AE3CB-BB3A-4074-A3D1-5CA8EAC56B2D}"/>
    <cellStyle name="Currency 5 5 2 3 2 2 3" xfId="16959" xr:uid="{064349E0-E4CE-4DCB-BFBD-2563EE27A499}"/>
    <cellStyle name="Currency 5 5 2 3 2 3" xfId="21182" xr:uid="{5626194E-6C83-451B-A113-520B0CBB73B5}"/>
    <cellStyle name="Currency 5 5 2 3 2 4" xfId="12742" xr:uid="{B8EEE51B-2941-4096-93D8-FC2824678B61}"/>
    <cellStyle name="Currency 5 5 2 3 3" xfId="5488" xr:uid="{00000000-0005-0000-0000-0000450D0000}"/>
    <cellStyle name="Currency 5 5 2 3 3 2" xfId="23254" xr:uid="{6A3DF39A-8673-465D-AB85-870B1CF455C7}"/>
    <cellStyle name="Currency 5 5 2 3 3 3" xfId="14814" xr:uid="{269605DC-C878-41AF-9A05-98AE658114C7}"/>
    <cellStyle name="Currency 5 5 2 3 4" xfId="19037" xr:uid="{0CA5D4CF-86F8-4E72-B179-9D6F6F14844A}"/>
    <cellStyle name="Currency 5 5 2 3 5" xfId="10597" xr:uid="{0D78D905-BE43-4473-B177-FE151E568A65}"/>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25812" xr:uid="{1285EA15-2D1F-4278-833D-3ACD0195F969}"/>
    <cellStyle name="Currency 5 5 2 4 2 2 3" xfId="17372" xr:uid="{76D46DC1-F28B-474C-9D0B-844E526CC611}"/>
    <cellStyle name="Currency 5 5 2 4 2 3" xfId="21595" xr:uid="{D8C351C6-6832-477E-9AD2-C429DE139995}"/>
    <cellStyle name="Currency 5 5 2 4 2 4" xfId="13155" xr:uid="{703E81AC-2D6F-4BC5-B94D-01D7EB5A536E}"/>
    <cellStyle name="Currency 5 5 2 4 3" xfId="5901" xr:uid="{00000000-0005-0000-0000-0000490D0000}"/>
    <cellStyle name="Currency 5 5 2 4 3 2" xfId="23667" xr:uid="{60C44109-1BCF-4AA4-BC88-6B33D8C76284}"/>
    <cellStyle name="Currency 5 5 2 4 3 3" xfId="15227" xr:uid="{2554479A-4C5C-47FB-AD9D-3E9C322B103E}"/>
    <cellStyle name="Currency 5 5 2 4 4" xfId="19450" xr:uid="{B64D00C8-878F-4B90-BD6D-DF1E3ABB789B}"/>
    <cellStyle name="Currency 5 5 2 4 5" xfId="11010" xr:uid="{DDEC5EB0-F287-43C8-BA6E-06A15E04227F}"/>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26225" xr:uid="{ACE63990-113A-4E0F-A9A2-06DD87E18E30}"/>
    <cellStyle name="Currency 5 5 2 5 2 2 3" xfId="17785" xr:uid="{0580B817-C437-417B-A93D-9833B465DBC1}"/>
    <cellStyle name="Currency 5 5 2 5 2 3" xfId="22008" xr:uid="{23E99BCA-41B5-4807-86CD-D005D9845B0C}"/>
    <cellStyle name="Currency 5 5 2 5 2 4" xfId="13568" xr:uid="{18985218-C4C6-4E2D-AF1C-A8C58AE4B106}"/>
    <cellStyle name="Currency 5 5 2 5 3" xfId="6314" xr:uid="{00000000-0005-0000-0000-00004D0D0000}"/>
    <cellStyle name="Currency 5 5 2 5 3 2" xfId="24080" xr:uid="{84838782-30D7-48F4-85D2-11BEC756FEA5}"/>
    <cellStyle name="Currency 5 5 2 5 3 3" xfId="15640" xr:uid="{1E99F964-F63A-4642-8285-6BC770017E3B}"/>
    <cellStyle name="Currency 5 5 2 5 4" xfId="19863" xr:uid="{C3DDE088-B117-4C98-A142-2FD6DDA2860A}"/>
    <cellStyle name="Currency 5 5 2 5 5" xfId="11423" xr:uid="{FEC29945-F242-4F08-A741-EE770756AFD7}"/>
    <cellStyle name="Currency 5 5 2 6" xfId="2443" xr:uid="{00000000-0005-0000-0000-00004E0D0000}"/>
    <cellStyle name="Currency 5 5 2 6 2" xfId="6727" xr:uid="{00000000-0005-0000-0000-00004F0D0000}"/>
    <cellStyle name="Currency 5 5 2 6 2 2" xfId="24493" xr:uid="{7F43CB90-BB41-42EF-A99C-5DFC17AB6886}"/>
    <cellStyle name="Currency 5 5 2 6 2 3" xfId="16053" xr:uid="{F6051ED7-A9E8-4A49-8CBB-939791B82A0A}"/>
    <cellStyle name="Currency 5 5 2 6 3" xfId="20276" xr:uid="{46901770-F3CD-4772-B5A7-BD27F36CE5D6}"/>
    <cellStyle name="Currency 5 5 2 6 4" xfId="11836" xr:uid="{C5FF1BB6-4A15-4ADE-8C83-331ECCADA76C}"/>
    <cellStyle name="Currency 5 5 2 7" xfId="2740" xr:uid="{00000000-0005-0000-0000-0000500D0000}"/>
    <cellStyle name="Currency 5 5 2 8" xfId="2821" xr:uid="{00000000-0005-0000-0000-0000510D0000}"/>
    <cellStyle name="Currency 5 5 2 8 2" xfId="7044" xr:uid="{00000000-0005-0000-0000-0000520D0000}"/>
    <cellStyle name="Currency 5 5 2 8 2 2" xfId="24810" xr:uid="{2FA8CBE0-85CB-477E-831F-7C7E1198C42E}"/>
    <cellStyle name="Currency 5 5 2 8 2 3" xfId="16370" xr:uid="{964563F6-8620-49D5-901B-DFB90F5A4C7A}"/>
    <cellStyle name="Currency 5 5 2 8 3" xfId="20593" xr:uid="{63901B7F-FAC4-4B2C-8E8F-9F9B257850DF}"/>
    <cellStyle name="Currency 5 5 2 8 4" xfId="12153" xr:uid="{756332F1-B1B8-4835-9D3F-FF36A614434C}"/>
    <cellStyle name="Currency 5 5 2 9" xfId="4661" xr:uid="{00000000-0005-0000-0000-0000530D0000}"/>
    <cellStyle name="Currency 5 5 2 9 2" xfId="22427" xr:uid="{1C4423BF-F4ED-4D4B-9DC0-03BEA218E7FA}"/>
    <cellStyle name="Currency 5 5 2 9 3" xfId="13987" xr:uid="{B910E8FD-FCF1-4769-9110-957E2465A3B8}"/>
    <cellStyle name="Currency 5 5 3" xfId="745" xr:uid="{00000000-0005-0000-0000-0000540D0000}"/>
    <cellStyle name="Currency 5 5 3 2" xfId="2997" xr:uid="{00000000-0005-0000-0000-0000550D0000}"/>
    <cellStyle name="Currency 5 5 3 2 2" xfId="7219" xr:uid="{00000000-0005-0000-0000-0000560D0000}"/>
    <cellStyle name="Currency 5 5 3 2 2 2" xfId="24985" xr:uid="{A4F06CCE-8361-42AB-B1A6-A531CD0E67C1}"/>
    <cellStyle name="Currency 5 5 3 2 2 3" xfId="16545" xr:uid="{CDC4CED9-7644-4FDE-9F6D-6B17AF45D628}"/>
    <cellStyle name="Currency 5 5 3 2 3" xfId="20768" xr:uid="{449F4BC0-FBCD-43CB-B673-CE7CDD6F76D6}"/>
    <cellStyle name="Currency 5 5 3 2 4" xfId="12328" xr:uid="{57E3820E-18C8-4DA0-95E4-72CED59EA36B}"/>
    <cellStyle name="Currency 5 5 3 3" xfId="5074" xr:uid="{00000000-0005-0000-0000-0000570D0000}"/>
    <cellStyle name="Currency 5 5 3 3 2" xfId="22840" xr:uid="{5A22C8C2-D68D-49F5-B5D3-DA55887A61C5}"/>
    <cellStyle name="Currency 5 5 3 3 3" xfId="14400" xr:uid="{4E0EC579-DD46-43D4-8B27-7D2FAE86E233}"/>
    <cellStyle name="Currency 5 5 3 4" xfId="9275" xr:uid="{54783F20-34E5-4A58-80AE-EC7CC69A89C9}"/>
    <cellStyle name="Currency 5 5 3 4 2" xfId="18623" xr:uid="{695103B2-123C-413E-B69A-C59905E7EFD6}"/>
    <cellStyle name="Currency 5 5 3 5" xfId="10183" xr:uid="{97EA850C-A570-4C90-8520-FD51D6B5F4E7}"/>
    <cellStyle name="Currency 5 5 4" xfId="1179" xr:uid="{00000000-0005-0000-0000-0000580D0000}"/>
    <cellStyle name="Currency 5 5 4 2" xfId="3410" xr:uid="{00000000-0005-0000-0000-0000590D0000}"/>
    <cellStyle name="Currency 5 5 4 2 2" xfId="7632" xr:uid="{00000000-0005-0000-0000-00005A0D0000}"/>
    <cellStyle name="Currency 5 5 4 2 2 2" xfId="25398" xr:uid="{6478BAB1-8DA6-4C07-BBA2-745F43CE2E1B}"/>
    <cellStyle name="Currency 5 5 4 2 2 3" xfId="16958" xr:uid="{BDBE474C-CE11-41A2-84C6-17BC910302B4}"/>
    <cellStyle name="Currency 5 5 4 2 3" xfId="21181" xr:uid="{AF7A3A08-E4AD-46BD-A6AA-5E2FFD91BA49}"/>
    <cellStyle name="Currency 5 5 4 2 4" xfId="12741" xr:uid="{FEED8A3B-2C41-4A71-8D8A-95760EABF7FF}"/>
    <cellStyle name="Currency 5 5 4 3" xfId="5487" xr:uid="{00000000-0005-0000-0000-00005B0D0000}"/>
    <cellStyle name="Currency 5 5 4 3 2" xfId="23253" xr:uid="{23B4FB82-D674-414F-AD60-62B4C1092BCA}"/>
    <cellStyle name="Currency 5 5 4 3 3" xfId="14813" xr:uid="{83DA34D3-2198-4EDE-AFAB-6037D4B43F2F}"/>
    <cellStyle name="Currency 5 5 4 4" xfId="19036" xr:uid="{9D489CDF-70A1-453A-9F36-E224B2D1CF90}"/>
    <cellStyle name="Currency 5 5 4 5" xfId="10596" xr:uid="{F3E06265-A57E-4D6A-B6AA-381576B2D213}"/>
    <cellStyle name="Currency 5 5 5" xfId="1593" xr:uid="{00000000-0005-0000-0000-00005C0D0000}"/>
    <cellStyle name="Currency 5 5 5 2" xfId="3823" xr:uid="{00000000-0005-0000-0000-00005D0D0000}"/>
    <cellStyle name="Currency 5 5 5 2 2" xfId="8045" xr:uid="{00000000-0005-0000-0000-00005E0D0000}"/>
    <cellStyle name="Currency 5 5 5 2 2 2" xfId="25811" xr:uid="{A15EA3E1-F23F-4802-92D6-0833BC47F815}"/>
    <cellStyle name="Currency 5 5 5 2 2 3" xfId="17371" xr:uid="{DEFFC625-7C0F-4BBD-8F55-DA355316C917}"/>
    <cellStyle name="Currency 5 5 5 2 3" xfId="21594" xr:uid="{2D65EFF3-8191-42B9-87F4-39A5F2BDA9A7}"/>
    <cellStyle name="Currency 5 5 5 2 4" xfId="13154" xr:uid="{AEAEBC8D-22CE-4414-9775-3352A1EA12E5}"/>
    <cellStyle name="Currency 5 5 5 3" xfId="5900" xr:uid="{00000000-0005-0000-0000-00005F0D0000}"/>
    <cellStyle name="Currency 5 5 5 3 2" xfId="23666" xr:uid="{BB56474B-A932-4F5F-9C55-56078F9E1349}"/>
    <cellStyle name="Currency 5 5 5 3 3" xfId="15226" xr:uid="{FE522EE5-B4A5-45B0-9CC0-55EE7D89A8E4}"/>
    <cellStyle name="Currency 5 5 5 4" xfId="19449" xr:uid="{2F66A756-3583-4C71-A8E2-18F590FB3125}"/>
    <cellStyle name="Currency 5 5 5 5" xfId="11009" xr:uid="{E026C575-C17E-4A30-9AAC-8C0590982A1E}"/>
    <cellStyle name="Currency 5 5 6" xfId="2007" xr:uid="{00000000-0005-0000-0000-0000600D0000}"/>
    <cellStyle name="Currency 5 5 6 2" xfId="4236" xr:uid="{00000000-0005-0000-0000-0000610D0000}"/>
    <cellStyle name="Currency 5 5 6 2 2" xfId="8458" xr:uid="{00000000-0005-0000-0000-0000620D0000}"/>
    <cellStyle name="Currency 5 5 6 2 2 2" xfId="26224" xr:uid="{E1DE0F7D-A45E-4F42-B52E-B844A5372592}"/>
    <cellStyle name="Currency 5 5 6 2 2 3" xfId="17784" xr:uid="{BE562A21-88B2-46EF-93DB-3B1311CB5403}"/>
    <cellStyle name="Currency 5 5 6 2 3" xfId="22007" xr:uid="{7B290C46-DA0D-4B73-80C1-29FA56E85DFB}"/>
    <cellStyle name="Currency 5 5 6 2 4" xfId="13567" xr:uid="{B1783664-92B8-4C73-B115-3092FEA9B27A}"/>
    <cellStyle name="Currency 5 5 6 3" xfId="6313" xr:uid="{00000000-0005-0000-0000-0000630D0000}"/>
    <cellStyle name="Currency 5 5 6 3 2" xfId="24079" xr:uid="{16A39290-DD16-45B4-B49D-9947BD76F2AA}"/>
    <cellStyle name="Currency 5 5 6 3 3" xfId="15639" xr:uid="{123EBEA7-5346-4E0D-BF2C-7F48D266B16E}"/>
    <cellStyle name="Currency 5 5 6 4" xfId="19862" xr:uid="{93FBC8A5-F509-4E33-871D-31884BACF792}"/>
    <cellStyle name="Currency 5 5 6 5" xfId="11422" xr:uid="{3FEFFF68-67E7-4FE2-A62D-277DD8B7C88D}"/>
    <cellStyle name="Currency 5 5 7" xfId="2442" xr:uid="{00000000-0005-0000-0000-0000640D0000}"/>
    <cellStyle name="Currency 5 5 7 2" xfId="6726" xr:uid="{00000000-0005-0000-0000-0000650D0000}"/>
    <cellStyle name="Currency 5 5 7 2 2" xfId="24492" xr:uid="{F6ADE16A-DE7E-46E1-9A9B-7EBA6251AC60}"/>
    <cellStyle name="Currency 5 5 7 2 3" xfId="16052" xr:uid="{BE23CA3A-D199-47E8-AC46-ACAF83958815}"/>
    <cellStyle name="Currency 5 5 7 3" xfId="20275" xr:uid="{E25D73F7-251A-4AC7-8E4B-1DE2F3AF6DBA}"/>
    <cellStyle name="Currency 5 5 7 4" xfId="11835" xr:uid="{05F990EB-7EFC-4BD9-B66D-F341E49FC8CB}"/>
    <cellStyle name="Currency 5 5 8" xfId="2739" xr:uid="{00000000-0005-0000-0000-0000660D0000}"/>
    <cellStyle name="Currency 5 5 9" xfId="2820" xr:uid="{00000000-0005-0000-0000-0000670D0000}"/>
    <cellStyle name="Currency 5 5 9 2" xfId="7043" xr:uid="{00000000-0005-0000-0000-0000680D0000}"/>
    <cellStyle name="Currency 5 5 9 2 2" xfId="24809" xr:uid="{0B4D3FC8-F79A-4C14-983E-2AD8DB6FF810}"/>
    <cellStyle name="Currency 5 5 9 2 3" xfId="16369" xr:uid="{1506B8D3-224D-417A-AC29-F1BD5F0233EF}"/>
    <cellStyle name="Currency 5 5 9 3" xfId="20592" xr:uid="{878EF0E8-E4B4-48B2-B477-4EB7A1689469}"/>
    <cellStyle name="Currency 5 5 9 4" xfId="12152" xr:uid="{E29EB52B-94F9-46E9-9B35-85C3B1B65A8F}"/>
    <cellStyle name="Currency 5 6" xfId="221" xr:uid="{00000000-0005-0000-0000-0000690D0000}"/>
    <cellStyle name="Currency 5 6 10" xfId="8966" xr:uid="{EC95BD1E-EAA8-4043-BDA7-06F3BBDBC3D5}"/>
    <cellStyle name="Currency 5 6 10 2" xfId="18211" xr:uid="{36FE9F6E-8F08-413E-9E00-47A3BE213EE2}"/>
    <cellStyle name="Currency 5 6 11" xfId="9771" xr:uid="{50F6D6B7-A5A2-40CF-853E-0EE64546732E}"/>
    <cellStyle name="Currency 5 6 2" xfId="747" xr:uid="{00000000-0005-0000-0000-00006A0D0000}"/>
    <cellStyle name="Currency 5 6 2 2" xfId="2999" xr:uid="{00000000-0005-0000-0000-00006B0D0000}"/>
    <cellStyle name="Currency 5 6 2 2 2" xfId="7221" xr:uid="{00000000-0005-0000-0000-00006C0D0000}"/>
    <cellStyle name="Currency 5 6 2 2 2 2" xfId="24987" xr:uid="{DCA3E317-D704-4C7E-B70F-5810D6833D3C}"/>
    <cellStyle name="Currency 5 6 2 2 2 3" xfId="16547" xr:uid="{5321DC26-6C27-42ED-955F-8A604D15E6F3}"/>
    <cellStyle name="Currency 5 6 2 2 3" xfId="20770" xr:uid="{8498003A-481A-4AB3-AFA2-B98ED346F41F}"/>
    <cellStyle name="Currency 5 6 2 2 4" xfId="12330" xr:uid="{35685847-BE02-40AD-8C0C-E37AD8C0047B}"/>
    <cellStyle name="Currency 5 6 2 3" xfId="5076" xr:uid="{00000000-0005-0000-0000-00006D0D0000}"/>
    <cellStyle name="Currency 5 6 2 3 2" xfId="22842" xr:uid="{A8CD8F57-EFED-413F-AE41-62EFC1725887}"/>
    <cellStyle name="Currency 5 6 2 3 3" xfId="14402" xr:uid="{C28E4DE2-6C5E-457F-8076-C5DDBB319D3B}"/>
    <cellStyle name="Currency 5 6 2 4" xfId="9391" xr:uid="{8CBF3F74-51EC-4402-B96A-0759E6537FC7}"/>
    <cellStyle name="Currency 5 6 2 4 2" xfId="18625" xr:uid="{AAC1AA02-9E09-4C5C-AEBC-E081D47C47A5}"/>
    <cellStyle name="Currency 5 6 2 5" xfId="10185" xr:uid="{19ACCAE7-ACFE-47C6-B2AF-3DE14F4A3EEE}"/>
    <cellStyle name="Currency 5 6 3" xfId="1181" xr:uid="{00000000-0005-0000-0000-00006E0D0000}"/>
    <cellStyle name="Currency 5 6 3 2" xfId="3412" xr:uid="{00000000-0005-0000-0000-00006F0D0000}"/>
    <cellStyle name="Currency 5 6 3 2 2" xfId="7634" xr:uid="{00000000-0005-0000-0000-0000700D0000}"/>
    <cellStyle name="Currency 5 6 3 2 2 2" xfId="25400" xr:uid="{2D937730-78E0-4CF1-8A9F-7026A00FA4CC}"/>
    <cellStyle name="Currency 5 6 3 2 2 3" xfId="16960" xr:uid="{96A6D22F-3DC8-4351-A325-76097F1FB855}"/>
    <cellStyle name="Currency 5 6 3 2 3" xfId="21183" xr:uid="{21B1C3E4-E6E8-4B83-AB06-0830AB64F9D1}"/>
    <cellStyle name="Currency 5 6 3 2 4" xfId="12743" xr:uid="{8D10644B-62C6-4BC9-B564-AD54F8863B7B}"/>
    <cellStyle name="Currency 5 6 3 3" xfId="5489" xr:uid="{00000000-0005-0000-0000-0000710D0000}"/>
    <cellStyle name="Currency 5 6 3 3 2" xfId="23255" xr:uid="{58CDCCB6-F3C5-4DEE-B447-95859A8BD309}"/>
    <cellStyle name="Currency 5 6 3 3 3" xfId="14815" xr:uid="{730B45BA-B4DB-4D54-866D-A76423FAAEF2}"/>
    <cellStyle name="Currency 5 6 3 4" xfId="19038" xr:uid="{78B8D6E9-34D9-4988-868F-F283BCE7CD83}"/>
    <cellStyle name="Currency 5 6 3 5" xfId="10598" xr:uid="{E09DBC02-0142-4006-A18D-F2FAD359E247}"/>
    <cellStyle name="Currency 5 6 4" xfId="1595" xr:uid="{00000000-0005-0000-0000-0000720D0000}"/>
    <cellStyle name="Currency 5 6 4 2" xfId="3825" xr:uid="{00000000-0005-0000-0000-0000730D0000}"/>
    <cellStyle name="Currency 5 6 4 2 2" xfId="8047" xr:uid="{00000000-0005-0000-0000-0000740D0000}"/>
    <cellStyle name="Currency 5 6 4 2 2 2" xfId="25813" xr:uid="{D20350FF-BB3B-4024-AE50-6EFE862D2EAE}"/>
    <cellStyle name="Currency 5 6 4 2 2 3" xfId="17373" xr:uid="{0493339C-29B5-473E-AB63-28625FB57A4C}"/>
    <cellStyle name="Currency 5 6 4 2 3" xfId="21596" xr:uid="{BF4B7649-3342-4963-8F8A-EE26166D0C18}"/>
    <cellStyle name="Currency 5 6 4 2 4" xfId="13156" xr:uid="{1575FF03-2E41-48AE-AC92-17B024CA04B9}"/>
    <cellStyle name="Currency 5 6 4 3" xfId="5902" xr:uid="{00000000-0005-0000-0000-0000750D0000}"/>
    <cellStyle name="Currency 5 6 4 3 2" xfId="23668" xr:uid="{8D3E26B3-54EF-4708-BF0A-F2050F92DD9F}"/>
    <cellStyle name="Currency 5 6 4 3 3" xfId="15228" xr:uid="{81DE780E-AFD8-4B5B-B196-F404821BAE26}"/>
    <cellStyle name="Currency 5 6 4 4" xfId="19451" xr:uid="{5BF2B0AC-243B-4BD2-BE03-6061C98AF01D}"/>
    <cellStyle name="Currency 5 6 4 5" xfId="11011" xr:uid="{F79A4EF4-C36A-4401-ACCF-40D087DF52CA}"/>
    <cellStyle name="Currency 5 6 5" xfId="2009" xr:uid="{00000000-0005-0000-0000-0000760D0000}"/>
    <cellStyle name="Currency 5 6 5 2" xfId="4238" xr:uid="{00000000-0005-0000-0000-0000770D0000}"/>
    <cellStyle name="Currency 5 6 5 2 2" xfId="8460" xr:uid="{00000000-0005-0000-0000-0000780D0000}"/>
    <cellStyle name="Currency 5 6 5 2 2 2" xfId="26226" xr:uid="{9D64DE2A-206B-4831-8924-856D0A43F420}"/>
    <cellStyle name="Currency 5 6 5 2 2 3" xfId="17786" xr:uid="{4CFFCB68-0640-4A12-9FD6-C6D0D6CDEBDB}"/>
    <cellStyle name="Currency 5 6 5 2 3" xfId="22009" xr:uid="{858A678B-B22B-45B3-9553-34FA23C1899B}"/>
    <cellStyle name="Currency 5 6 5 2 4" xfId="13569" xr:uid="{5F4C171E-8951-4CC8-AEB8-D33DA0E26A7F}"/>
    <cellStyle name="Currency 5 6 5 3" xfId="6315" xr:uid="{00000000-0005-0000-0000-0000790D0000}"/>
    <cellStyle name="Currency 5 6 5 3 2" xfId="24081" xr:uid="{752538A2-CC8F-4D3B-9B95-2C847931ED01}"/>
    <cellStyle name="Currency 5 6 5 3 3" xfId="15641" xr:uid="{B390A6EE-58EB-4C05-A6E0-0A1249BCE435}"/>
    <cellStyle name="Currency 5 6 5 4" xfId="19864" xr:uid="{BE8B5E87-1556-4554-9D36-4F5E0077984D}"/>
    <cellStyle name="Currency 5 6 5 5" xfId="11424" xr:uid="{CE54B357-7D49-45EE-967E-F5C6867E69FD}"/>
    <cellStyle name="Currency 5 6 6" xfId="2444" xr:uid="{00000000-0005-0000-0000-00007A0D0000}"/>
    <cellStyle name="Currency 5 6 6 2" xfId="6728" xr:uid="{00000000-0005-0000-0000-00007B0D0000}"/>
    <cellStyle name="Currency 5 6 6 2 2" xfId="24494" xr:uid="{7A8E6C05-B976-428F-B4E6-3F44E7A2E5F8}"/>
    <cellStyle name="Currency 5 6 6 2 3" xfId="16054" xr:uid="{B55461F7-776B-4A39-9A22-5F955C83EE38}"/>
    <cellStyle name="Currency 5 6 6 3" xfId="20277" xr:uid="{4719F83E-6F54-4F8D-B0E9-8D069673D32C}"/>
    <cellStyle name="Currency 5 6 6 4" xfId="11837" xr:uid="{61475621-9F41-449A-B25C-81BE28214F6A}"/>
    <cellStyle name="Currency 5 6 7" xfId="2741" xr:uid="{00000000-0005-0000-0000-00007C0D0000}"/>
    <cellStyle name="Currency 5 6 8" xfId="2822" xr:uid="{00000000-0005-0000-0000-00007D0D0000}"/>
    <cellStyle name="Currency 5 6 8 2" xfId="7045" xr:uid="{00000000-0005-0000-0000-00007E0D0000}"/>
    <cellStyle name="Currency 5 6 8 2 2" xfId="24811" xr:uid="{C5C5E6EB-C977-48E6-8209-351973BB34BB}"/>
    <cellStyle name="Currency 5 6 8 2 3" xfId="16371" xr:uid="{61ECC7ED-8452-47F2-A53C-415C1617652F}"/>
    <cellStyle name="Currency 5 6 8 3" xfId="20594" xr:uid="{7AFC839A-0B80-4421-8343-7928653C8773}"/>
    <cellStyle name="Currency 5 6 8 4" xfId="12154" xr:uid="{6C266E8B-AAA5-46BD-BCCC-12A90F6F8EB0}"/>
    <cellStyle name="Currency 5 6 9" xfId="4662" xr:uid="{00000000-0005-0000-0000-00007F0D0000}"/>
    <cellStyle name="Currency 5 6 9 2" xfId="22428" xr:uid="{F5797CA4-1D35-456E-B3A6-5AE89D362303}"/>
    <cellStyle name="Currency 5 6 9 3" xfId="13988" xr:uid="{DD94E29C-06DA-479C-8016-98EFCFDFDC17}"/>
    <cellStyle name="Currency 5 7" xfId="222" xr:uid="{00000000-0005-0000-0000-0000800D0000}"/>
    <cellStyle name="Currency 5 7 10" xfId="9169" xr:uid="{7A886DE7-136A-429E-90E2-A7C712D111D8}"/>
    <cellStyle name="Currency 5 7 10 2" xfId="18212" xr:uid="{4351C28F-ED74-49F2-8909-4D73907A30C6}"/>
    <cellStyle name="Currency 5 7 11" xfId="9772" xr:uid="{7B338C9F-DD8C-4B38-A76A-E2E81BFAA67A}"/>
    <cellStyle name="Currency 5 7 2" xfId="748" xr:uid="{00000000-0005-0000-0000-0000810D0000}"/>
    <cellStyle name="Currency 5 7 2 2" xfId="3000" xr:uid="{00000000-0005-0000-0000-0000820D0000}"/>
    <cellStyle name="Currency 5 7 2 2 2" xfId="7222" xr:uid="{00000000-0005-0000-0000-0000830D0000}"/>
    <cellStyle name="Currency 5 7 2 2 2 2" xfId="24988" xr:uid="{E5C117C8-7095-4CC6-8145-FDEE3BF84EFA}"/>
    <cellStyle name="Currency 5 7 2 2 2 3" xfId="16548" xr:uid="{17C26527-1CFC-42C2-804C-132E7E84DC5B}"/>
    <cellStyle name="Currency 5 7 2 2 3" xfId="20771" xr:uid="{1A6C9FF7-DC29-4CD2-B3E4-6127C43FB882}"/>
    <cellStyle name="Currency 5 7 2 2 4" xfId="12331" xr:uid="{9740E765-BA52-46F0-BCA2-6ED1B47FEB2D}"/>
    <cellStyle name="Currency 5 7 2 3" xfId="5077" xr:uid="{00000000-0005-0000-0000-0000840D0000}"/>
    <cellStyle name="Currency 5 7 2 3 2" xfId="22843" xr:uid="{04D3D890-F275-400A-9B22-9A2874F4EA09}"/>
    <cellStyle name="Currency 5 7 2 3 3" xfId="14403" xr:uid="{5CFB2FBC-12A5-4922-B70E-F240C51F0AE7}"/>
    <cellStyle name="Currency 5 7 2 4" xfId="9601" xr:uid="{DC93A830-0AF1-4EC4-B764-C728922F3FEF}"/>
    <cellStyle name="Currency 5 7 2 4 2" xfId="18626" xr:uid="{89AFA5CC-0EEE-455C-94DB-4FE5EABCDA08}"/>
    <cellStyle name="Currency 5 7 2 5" xfId="10186" xr:uid="{582C1F42-7F54-4373-943E-157B28AF61D5}"/>
    <cellStyle name="Currency 5 7 3" xfId="1182" xr:uid="{00000000-0005-0000-0000-0000850D0000}"/>
    <cellStyle name="Currency 5 7 3 2" xfId="3413" xr:uid="{00000000-0005-0000-0000-0000860D0000}"/>
    <cellStyle name="Currency 5 7 3 2 2" xfId="7635" xr:uid="{00000000-0005-0000-0000-0000870D0000}"/>
    <cellStyle name="Currency 5 7 3 2 2 2" xfId="25401" xr:uid="{3179B86A-B22F-4A90-B90A-BA4DA97F8354}"/>
    <cellStyle name="Currency 5 7 3 2 2 3" xfId="16961" xr:uid="{40173090-EAD1-4198-9762-E00BE4BF2B82}"/>
    <cellStyle name="Currency 5 7 3 2 3" xfId="21184" xr:uid="{96AA2124-405D-401B-BC86-9992B14DE1C4}"/>
    <cellStyle name="Currency 5 7 3 2 4" xfId="12744" xr:uid="{36B7BB6A-7D8C-49CB-88A9-4EE79FE52F61}"/>
    <cellStyle name="Currency 5 7 3 3" xfId="5490" xr:uid="{00000000-0005-0000-0000-0000880D0000}"/>
    <cellStyle name="Currency 5 7 3 3 2" xfId="23256" xr:uid="{87CC1D92-E679-4B32-AE56-B90DB1277944}"/>
    <cellStyle name="Currency 5 7 3 3 3" xfId="14816" xr:uid="{741EB198-C792-4785-A00E-DF6AC111CA5D}"/>
    <cellStyle name="Currency 5 7 3 4" xfId="19039" xr:uid="{3EF074CB-4928-4C77-9813-7A697E2EDC32}"/>
    <cellStyle name="Currency 5 7 3 5" xfId="10599" xr:uid="{1CF90819-2EFF-415F-B457-F6EFBFE3F358}"/>
    <cellStyle name="Currency 5 7 4" xfId="1596" xr:uid="{00000000-0005-0000-0000-0000890D0000}"/>
    <cellStyle name="Currency 5 7 4 2" xfId="3826" xr:uid="{00000000-0005-0000-0000-00008A0D0000}"/>
    <cellStyle name="Currency 5 7 4 2 2" xfId="8048" xr:uid="{00000000-0005-0000-0000-00008B0D0000}"/>
    <cellStyle name="Currency 5 7 4 2 2 2" xfId="25814" xr:uid="{B52333EC-C4C4-4A9A-B2C4-71356AD56FFC}"/>
    <cellStyle name="Currency 5 7 4 2 2 3" xfId="17374" xr:uid="{771D2140-9D6E-4AB2-97EB-20B2764B789E}"/>
    <cellStyle name="Currency 5 7 4 2 3" xfId="21597" xr:uid="{98775E32-F180-41B9-915D-ECFE843D6AD1}"/>
    <cellStyle name="Currency 5 7 4 2 4" xfId="13157" xr:uid="{84C23F94-559C-4F3B-8170-6FB780253553}"/>
    <cellStyle name="Currency 5 7 4 3" xfId="5903" xr:uid="{00000000-0005-0000-0000-00008C0D0000}"/>
    <cellStyle name="Currency 5 7 4 3 2" xfId="23669" xr:uid="{9D3032D7-E15F-416B-86D9-CCD4B6B7B16B}"/>
    <cellStyle name="Currency 5 7 4 3 3" xfId="15229" xr:uid="{2BDEA663-AF79-46B0-93A0-49D378A2FC0C}"/>
    <cellStyle name="Currency 5 7 4 4" xfId="19452" xr:uid="{D2AEC3D5-CC33-4D37-BBEA-28F4A62820ED}"/>
    <cellStyle name="Currency 5 7 4 5" xfId="11012" xr:uid="{E792A697-957C-4D93-B248-42DC0BBB3648}"/>
    <cellStyle name="Currency 5 7 5" xfId="2010" xr:uid="{00000000-0005-0000-0000-00008D0D0000}"/>
    <cellStyle name="Currency 5 7 5 2" xfId="4239" xr:uid="{00000000-0005-0000-0000-00008E0D0000}"/>
    <cellStyle name="Currency 5 7 5 2 2" xfId="8461" xr:uid="{00000000-0005-0000-0000-00008F0D0000}"/>
    <cellStyle name="Currency 5 7 5 2 2 2" xfId="26227" xr:uid="{0AB3AD44-7605-4F07-807D-4CDD8886D5EB}"/>
    <cellStyle name="Currency 5 7 5 2 2 3" xfId="17787" xr:uid="{F478B285-E39C-4B93-A0CB-1B07A747C40D}"/>
    <cellStyle name="Currency 5 7 5 2 3" xfId="22010" xr:uid="{5AA36F0A-E626-462E-8A7F-93E75E40750B}"/>
    <cellStyle name="Currency 5 7 5 2 4" xfId="13570" xr:uid="{7A27AFC8-0BAD-4416-B630-B2D20CE0E163}"/>
    <cellStyle name="Currency 5 7 5 3" xfId="6316" xr:uid="{00000000-0005-0000-0000-0000900D0000}"/>
    <cellStyle name="Currency 5 7 5 3 2" xfId="24082" xr:uid="{8337929A-7601-458E-B16B-930ED10E60E4}"/>
    <cellStyle name="Currency 5 7 5 3 3" xfId="15642" xr:uid="{AA16DDA2-0A2B-46B2-9F56-5C4D984868A9}"/>
    <cellStyle name="Currency 5 7 5 4" xfId="19865" xr:uid="{BBD51724-1C36-4FF7-AFF0-33EB03DE0CA8}"/>
    <cellStyle name="Currency 5 7 5 5" xfId="11425" xr:uid="{A6FB7A64-C8E3-4FAC-8E97-9E8BE63D11F8}"/>
    <cellStyle name="Currency 5 7 6" xfId="2445" xr:uid="{00000000-0005-0000-0000-0000910D0000}"/>
    <cellStyle name="Currency 5 7 6 2" xfId="6729" xr:uid="{00000000-0005-0000-0000-0000920D0000}"/>
    <cellStyle name="Currency 5 7 6 2 2" xfId="24495" xr:uid="{2E9A6125-46D1-457A-A787-342DC40AAF0B}"/>
    <cellStyle name="Currency 5 7 6 2 3" xfId="16055" xr:uid="{ED9D3499-C053-410C-9BEA-9376E1C4D3D3}"/>
    <cellStyle name="Currency 5 7 6 3" xfId="20278" xr:uid="{F1578093-26AA-476C-8963-4D0E2EA08517}"/>
    <cellStyle name="Currency 5 7 6 4" xfId="11838" xr:uid="{37E9EC57-33B9-4062-BD8E-7BC12974C124}"/>
    <cellStyle name="Currency 5 7 7" xfId="2742" xr:uid="{00000000-0005-0000-0000-0000930D0000}"/>
    <cellStyle name="Currency 5 7 8" xfId="2823" xr:uid="{00000000-0005-0000-0000-0000940D0000}"/>
    <cellStyle name="Currency 5 7 8 2" xfId="7046" xr:uid="{00000000-0005-0000-0000-0000950D0000}"/>
    <cellStyle name="Currency 5 7 8 2 2" xfId="24812" xr:uid="{4BD34242-7A65-4F5E-BC92-69AB2FBFE28D}"/>
    <cellStyle name="Currency 5 7 8 2 3" xfId="16372" xr:uid="{8FD1EEC5-43C0-4550-A37D-385C943057D2}"/>
    <cellStyle name="Currency 5 7 8 3" xfId="20595" xr:uid="{9471ABCB-9D39-41FB-A700-259FB861C229}"/>
    <cellStyle name="Currency 5 7 8 4" xfId="12155" xr:uid="{842AF5EA-6E2A-4C1D-8F53-7BF80D5F755F}"/>
    <cellStyle name="Currency 5 7 9" xfId="4663" xr:uid="{00000000-0005-0000-0000-0000960D0000}"/>
    <cellStyle name="Currency 5 7 9 2" xfId="22429" xr:uid="{B89C09AC-B844-47F7-B47D-509F61AE7200}"/>
    <cellStyle name="Currency 5 7 9 3" xfId="13989" xr:uid="{10AF9C16-709F-4AB0-9C1F-BA3B6256F30A}"/>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24496" xr:uid="{2108A343-6561-4CB7-859C-B7C6676A761C}"/>
    <cellStyle name="Normal 12 10 2 3" xfId="16056" xr:uid="{0666888D-3333-4F6F-A781-2FA7D140274F}"/>
    <cellStyle name="Normal 12 10 3" xfId="20279" xr:uid="{11D203E4-DE04-4A92-BB41-6DEE4CE7B6F9}"/>
    <cellStyle name="Normal 12 10 4" xfId="11839" xr:uid="{35566EF3-FB7D-428C-81CF-D40CA2E431CD}"/>
    <cellStyle name="Normal 12 11" xfId="4664" xr:uid="{00000000-0005-0000-0000-0000CC0D0000}"/>
    <cellStyle name="Normal 12 11 2" xfId="22430" xr:uid="{BBA376FB-C0FC-4801-B190-91F10F44C746}"/>
    <cellStyle name="Normal 12 11 3" xfId="13990" xr:uid="{D2C50F29-9A2D-4A51-8018-936081264D71}"/>
    <cellStyle name="Normal 12 12" xfId="8770" xr:uid="{16E7F001-A88D-4413-825E-78352A31064A}"/>
    <cellStyle name="Normal 12 12 2" xfId="18213" xr:uid="{398F7280-C45C-4EF7-8E41-7703C34D26A6}"/>
    <cellStyle name="Normal 12 13" xfId="9773" xr:uid="{DE08770F-552E-4151-AF08-6A74D0FC18BF}"/>
    <cellStyle name="Normal 12 2" xfId="260" xr:uid="{00000000-0005-0000-0000-0000CD0D0000}"/>
    <cellStyle name="Normal 12 2 10" xfId="8811" xr:uid="{C610EFA7-DF28-475D-A7AA-61B6675A083B}"/>
    <cellStyle name="Normal 12 2 10 2" xfId="18214" xr:uid="{5DBA1B86-F225-4854-9DF7-202EDD8B4F16}"/>
    <cellStyle name="Normal 12 2 11" xfId="9774" xr:uid="{6FD19E56-7C07-4BC9-901D-C9E2EC21BDE0}"/>
    <cellStyle name="Normal 12 2 2" xfId="261" xr:uid="{00000000-0005-0000-0000-0000CE0D0000}"/>
    <cellStyle name="Normal 12 2 2 10" xfId="9775" xr:uid="{1E29E34B-B07F-4DBA-80DF-7704769E534B}"/>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24992" xr:uid="{77C7D3E9-A95F-4F61-A375-EE6FEC9D7D83}"/>
    <cellStyle name="Normal 12 2 2 2 2 2 2 3" xfId="16552" xr:uid="{A899E471-AD8A-4585-9886-A422ED6F987C}"/>
    <cellStyle name="Normal 12 2 2 2 2 2 3" xfId="20775" xr:uid="{6681C92B-4320-4753-AE0B-B85A081437AA}"/>
    <cellStyle name="Normal 12 2 2 2 2 2 4" xfId="12335" xr:uid="{7BA8227F-66FC-441A-B590-FFEEA8C5A411}"/>
    <cellStyle name="Normal 12 2 2 2 2 3" xfId="5081" xr:uid="{00000000-0005-0000-0000-0000D30D0000}"/>
    <cellStyle name="Normal 12 2 2 2 2 3 2" xfId="22847" xr:uid="{DAE538ED-8C36-4EA7-9709-6472BBE9E365}"/>
    <cellStyle name="Normal 12 2 2 2 2 3 3" xfId="14407" xr:uid="{2C5ABDAD-5FD2-4ABA-B17E-51EC49D0CF95}"/>
    <cellStyle name="Normal 12 2 2 2 2 4" xfId="9546" xr:uid="{609DE280-4DA3-4355-9F1C-9E01708347EA}"/>
    <cellStyle name="Normal 12 2 2 2 2 4 2" xfId="18630" xr:uid="{5CD1A1B2-28D7-41B3-B305-2BDCAE09824D}"/>
    <cellStyle name="Normal 12 2 2 2 2 5" xfId="10190" xr:uid="{5E24AC60-F270-4486-9065-75D5582B9620}"/>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25405" xr:uid="{B4A653C0-8408-4CF3-AE5B-13DEF204AF22}"/>
    <cellStyle name="Normal 12 2 2 2 3 2 2 3" xfId="16965" xr:uid="{86B9C0D3-E104-4E48-B38F-61C87A3CCE57}"/>
    <cellStyle name="Normal 12 2 2 2 3 2 3" xfId="21188" xr:uid="{8CEDF38A-D3BF-4FF4-990F-36E37463247D}"/>
    <cellStyle name="Normal 12 2 2 2 3 2 4" xfId="12748" xr:uid="{C8F4244C-075F-4B66-9E6C-96DE41528665}"/>
    <cellStyle name="Normal 12 2 2 2 3 3" xfId="5494" xr:uid="{00000000-0005-0000-0000-0000D70D0000}"/>
    <cellStyle name="Normal 12 2 2 2 3 3 2" xfId="23260" xr:uid="{9477C3B2-5861-426A-85EA-5220FC393580}"/>
    <cellStyle name="Normal 12 2 2 2 3 3 3" xfId="14820" xr:uid="{C4A194DD-C61C-4022-83B6-ADEB3D3C551A}"/>
    <cellStyle name="Normal 12 2 2 2 3 4" xfId="19043" xr:uid="{F3F430B4-C6F2-4273-9D9D-37453B5D657D}"/>
    <cellStyle name="Normal 12 2 2 2 3 5" xfId="10603" xr:uid="{C31CB942-9A42-4A2F-90E4-7A4E7E7EED75}"/>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25818" xr:uid="{CC9036B4-D149-496C-B117-20F7F55F53D7}"/>
    <cellStyle name="Normal 12 2 2 2 4 2 2 3" xfId="17378" xr:uid="{5962E46A-8F54-4F32-B56B-AF52E7C30CE6}"/>
    <cellStyle name="Normal 12 2 2 2 4 2 3" xfId="21601" xr:uid="{D54F0A5B-B0C6-4DD2-AEC4-C0B154A3A5F8}"/>
    <cellStyle name="Normal 12 2 2 2 4 2 4" xfId="13161" xr:uid="{9C82BB63-0BA9-49D3-9368-46F62D7BF3B6}"/>
    <cellStyle name="Normal 12 2 2 2 4 3" xfId="5907" xr:uid="{00000000-0005-0000-0000-0000DB0D0000}"/>
    <cellStyle name="Normal 12 2 2 2 4 3 2" xfId="23673" xr:uid="{E96F3271-D8D5-4654-B7B1-E337AB5F0835}"/>
    <cellStyle name="Normal 12 2 2 2 4 3 3" xfId="15233" xr:uid="{75AF527E-C226-4A37-A060-423CFA324CDC}"/>
    <cellStyle name="Normal 12 2 2 2 4 4" xfId="19456" xr:uid="{41F5F9A8-49E7-4488-80CD-920772208611}"/>
    <cellStyle name="Normal 12 2 2 2 4 5" xfId="11016" xr:uid="{EF331E9E-862F-4C3E-95A4-88751C4B010A}"/>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26231" xr:uid="{69B4EDA9-07C0-49F1-82D6-33463061E096}"/>
    <cellStyle name="Normal 12 2 2 2 5 2 2 3" xfId="17791" xr:uid="{26321236-4E6C-4859-B2DD-53663092B44E}"/>
    <cellStyle name="Normal 12 2 2 2 5 2 3" xfId="22014" xr:uid="{4ACA4E2B-DE05-4BD2-B565-55194741EC4B}"/>
    <cellStyle name="Normal 12 2 2 2 5 2 4" xfId="13574" xr:uid="{955426A9-7BD3-498B-9E52-CB15C91A610F}"/>
    <cellStyle name="Normal 12 2 2 2 5 3" xfId="6320" xr:uid="{00000000-0005-0000-0000-0000DF0D0000}"/>
    <cellStyle name="Normal 12 2 2 2 5 3 2" xfId="24086" xr:uid="{79B59316-92B4-47DB-B5F2-D5CACAC6255F}"/>
    <cellStyle name="Normal 12 2 2 2 5 3 3" xfId="15646" xr:uid="{6B4526FD-79EE-48B5-9CC1-E2AAAE67032A}"/>
    <cellStyle name="Normal 12 2 2 2 5 4" xfId="19869" xr:uid="{44E96F20-C7EC-4F24-8FA5-3BEC4FBBC85F}"/>
    <cellStyle name="Normal 12 2 2 2 5 5" xfId="11429" xr:uid="{B31B1174-C225-4CF2-8CCE-4735FACF4F08}"/>
    <cellStyle name="Normal 12 2 2 2 6" xfId="2450" xr:uid="{00000000-0005-0000-0000-0000E00D0000}"/>
    <cellStyle name="Normal 12 2 2 2 6 2" xfId="6733" xr:uid="{00000000-0005-0000-0000-0000E10D0000}"/>
    <cellStyle name="Normal 12 2 2 2 6 2 2" xfId="24499" xr:uid="{21AC2E86-CCF6-479B-9923-E15EA59EDF86}"/>
    <cellStyle name="Normal 12 2 2 2 6 2 3" xfId="16059" xr:uid="{963859EF-D0FB-4E86-AE90-8E71B6877B4C}"/>
    <cellStyle name="Normal 12 2 2 2 6 3" xfId="20282" xr:uid="{2FFD75E6-41A2-46DC-82FE-6F4B0EFAF92C}"/>
    <cellStyle name="Normal 12 2 2 2 6 4" xfId="11842" xr:uid="{201CD120-7CB1-4F1C-B8EA-E60F27FDA12C}"/>
    <cellStyle name="Normal 12 2 2 2 7" xfId="4667" xr:uid="{00000000-0005-0000-0000-0000E20D0000}"/>
    <cellStyle name="Normal 12 2 2 2 7 2" xfId="22433" xr:uid="{3DE2D09B-781C-4E66-B34B-8F443B33C23A}"/>
    <cellStyle name="Normal 12 2 2 2 7 3" xfId="13993" xr:uid="{7628207E-BDBC-4EB6-A633-EAE956721997}"/>
    <cellStyle name="Normal 12 2 2 2 8" xfId="9121" xr:uid="{527C15BB-BE4D-46AB-9317-CC8E6838C91D}"/>
    <cellStyle name="Normal 12 2 2 2 8 2" xfId="18216" xr:uid="{6F897C40-E751-459E-8D54-795D978CA9AB}"/>
    <cellStyle name="Normal 12 2 2 2 9" xfId="9776" xr:uid="{6EF1EC3B-2E23-4C2F-BB7C-A022EA7D798B}"/>
    <cellStyle name="Normal 12 2 2 3" xfId="762" xr:uid="{00000000-0005-0000-0000-0000E30D0000}"/>
    <cellStyle name="Normal 12 2 2 3 2" xfId="3003" xr:uid="{00000000-0005-0000-0000-0000E40D0000}"/>
    <cellStyle name="Normal 12 2 2 3 2 2" xfId="7225" xr:uid="{00000000-0005-0000-0000-0000E50D0000}"/>
    <cellStyle name="Normal 12 2 2 3 2 2 2" xfId="24991" xr:uid="{82D3D9E4-EF02-4B98-B990-216E071C7115}"/>
    <cellStyle name="Normal 12 2 2 3 2 2 3" xfId="16551" xr:uid="{D38CB0DD-7712-4D61-A17B-BA3B8967A1D4}"/>
    <cellStyle name="Normal 12 2 2 3 2 3" xfId="20774" xr:uid="{1105367A-327B-46A8-ABDD-5FE3AF77F935}"/>
    <cellStyle name="Normal 12 2 2 3 2 4" xfId="12334" xr:uid="{3FB91B74-9943-4B4A-AA29-4C350BB340B0}"/>
    <cellStyle name="Normal 12 2 2 3 3" xfId="5080" xr:uid="{00000000-0005-0000-0000-0000E60D0000}"/>
    <cellStyle name="Normal 12 2 2 3 3 2" xfId="22846" xr:uid="{12B4F75A-EB9F-4437-AF75-4C9B1CCF1AAD}"/>
    <cellStyle name="Normal 12 2 2 3 3 3" xfId="14406" xr:uid="{44E15954-77FA-41E2-954E-88EDF99D61A0}"/>
    <cellStyle name="Normal 12 2 2 3 4" xfId="9339" xr:uid="{F3F800C1-92DF-4F1F-A561-C3F3C7F8BAD1}"/>
    <cellStyle name="Normal 12 2 2 3 4 2" xfId="18629" xr:uid="{689F005C-2846-4351-B0E7-19D3FBFD2CF9}"/>
    <cellStyle name="Normal 12 2 2 3 5" xfId="10189" xr:uid="{4CADADDB-1411-47DB-8A57-D09A43064BB5}"/>
    <cellStyle name="Normal 12 2 2 4" xfId="1185" xr:uid="{00000000-0005-0000-0000-0000E70D0000}"/>
    <cellStyle name="Normal 12 2 2 4 2" xfId="3416" xr:uid="{00000000-0005-0000-0000-0000E80D0000}"/>
    <cellStyle name="Normal 12 2 2 4 2 2" xfId="7638" xr:uid="{00000000-0005-0000-0000-0000E90D0000}"/>
    <cellStyle name="Normal 12 2 2 4 2 2 2" xfId="25404" xr:uid="{F58863BB-4606-4284-A787-F11010CAEE4C}"/>
    <cellStyle name="Normal 12 2 2 4 2 2 3" xfId="16964" xr:uid="{CEE2F674-CC1A-426D-BAAB-43D8FAC6D080}"/>
    <cellStyle name="Normal 12 2 2 4 2 3" xfId="21187" xr:uid="{7BF553B6-FEB6-47E0-B7F5-D48CD348C2D2}"/>
    <cellStyle name="Normal 12 2 2 4 2 4" xfId="12747" xr:uid="{54B34603-10EA-46D8-B096-E0FDD5F079BC}"/>
    <cellStyle name="Normal 12 2 2 4 3" xfId="5493" xr:uid="{00000000-0005-0000-0000-0000EA0D0000}"/>
    <cellStyle name="Normal 12 2 2 4 3 2" xfId="23259" xr:uid="{FDFC1279-01D0-4AD4-A375-12E0FDB0498D}"/>
    <cellStyle name="Normal 12 2 2 4 3 3" xfId="14819" xr:uid="{6E891A2A-F02F-40EB-8009-D01B5597493C}"/>
    <cellStyle name="Normal 12 2 2 4 4" xfId="19042" xr:uid="{1C3F76A5-2E59-4FCE-B15C-7D0DC84DC61D}"/>
    <cellStyle name="Normal 12 2 2 4 5" xfId="10602" xr:uid="{CF12C294-89C2-4670-9ECA-FE6EED11F77A}"/>
    <cellStyle name="Normal 12 2 2 5" xfId="1599" xr:uid="{00000000-0005-0000-0000-0000EB0D0000}"/>
    <cellStyle name="Normal 12 2 2 5 2" xfId="3829" xr:uid="{00000000-0005-0000-0000-0000EC0D0000}"/>
    <cellStyle name="Normal 12 2 2 5 2 2" xfId="8051" xr:uid="{00000000-0005-0000-0000-0000ED0D0000}"/>
    <cellStyle name="Normal 12 2 2 5 2 2 2" xfId="25817" xr:uid="{91060E97-3D3A-4732-A227-4F938F0AE7C0}"/>
    <cellStyle name="Normal 12 2 2 5 2 2 3" xfId="17377" xr:uid="{0F7E276D-6913-46A9-ACA0-ECF010F0C44E}"/>
    <cellStyle name="Normal 12 2 2 5 2 3" xfId="21600" xr:uid="{513F81A5-216B-4450-9F66-79FA85DC2259}"/>
    <cellStyle name="Normal 12 2 2 5 2 4" xfId="13160" xr:uid="{F69F0BA4-14F2-448E-A1F8-0D4E9CE67D74}"/>
    <cellStyle name="Normal 12 2 2 5 3" xfId="5906" xr:uid="{00000000-0005-0000-0000-0000EE0D0000}"/>
    <cellStyle name="Normal 12 2 2 5 3 2" xfId="23672" xr:uid="{18AA5B60-FF77-4BAD-94CB-316D15EE7200}"/>
    <cellStyle name="Normal 12 2 2 5 3 3" xfId="15232" xr:uid="{106D8F56-EFCF-476F-999F-D8000ED5C457}"/>
    <cellStyle name="Normal 12 2 2 5 4" xfId="19455" xr:uid="{7D9CDC83-E1E8-43F2-A960-ADFE6DB73225}"/>
    <cellStyle name="Normal 12 2 2 5 5" xfId="11015" xr:uid="{E7E3A01D-AEDA-45F2-AB8B-08DE4762923F}"/>
    <cellStyle name="Normal 12 2 2 6" xfId="2013" xr:uid="{00000000-0005-0000-0000-0000EF0D0000}"/>
    <cellStyle name="Normal 12 2 2 6 2" xfId="4242" xr:uid="{00000000-0005-0000-0000-0000F00D0000}"/>
    <cellStyle name="Normal 12 2 2 6 2 2" xfId="8464" xr:uid="{00000000-0005-0000-0000-0000F10D0000}"/>
    <cellStyle name="Normal 12 2 2 6 2 2 2" xfId="26230" xr:uid="{2C419189-6BBB-44B3-8183-3550296DD0A6}"/>
    <cellStyle name="Normal 12 2 2 6 2 2 3" xfId="17790" xr:uid="{D582CAA7-91A8-47F6-87DA-24AC2B0C25A8}"/>
    <cellStyle name="Normal 12 2 2 6 2 3" xfId="22013" xr:uid="{30CA1FA8-3BE4-45AA-94DE-70A8445DB9AA}"/>
    <cellStyle name="Normal 12 2 2 6 2 4" xfId="13573" xr:uid="{94227274-1C2A-4C22-A1FC-FE381A2D5F83}"/>
    <cellStyle name="Normal 12 2 2 6 3" xfId="6319" xr:uid="{00000000-0005-0000-0000-0000F20D0000}"/>
    <cellStyle name="Normal 12 2 2 6 3 2" xfId="24085" xr:uid="{BCD56622-9039-47B1-9AD6-33EDAFF50225}"/>
    <cellStyle name="Normal 12 2 2 6 3 3" xfId="15645" xr:uid="{C320CDA5-2B34-48E1-9391-8FDFD890D87B}"/>
    <cellStyle name="Normal 12 2 2 6 4" xfId="19868" xr:uid="{575820A9-F626-494B-B447-A0AC094E8439}"/>
    <cellStyle name="Normal 12 2 2 6 5" xfId="11428" xr:uid="{BABF9FD9-D906-467F-9A77-B2FAE61E0290}"/>
    <cellStyle name="Normal 12 2 2 7" xfId="2449" xr:uid="{00000000-0005-0000-0000-0000F30D0000}"/>
    <cellStyle name="Normal 12 2 2 7 2" xfId="6732" xr:uid="{00000000-0005-0000-0000-0000F40D0000}"/>
    <cellStyle name="Normal 12 2 2 7 2 2" xfId="24498" xr:uid="{CB36D8D8-3BCF-4040-98C2-B9AFAFB8E33A}"/>
    <cellStyle name="Normal 12 2 2 7 2 3" xfId="16058" xr:uid="{5807CD34-D801-4FE4-96D6-4579F4CC46E1}"/>
    <cellStyle name="Normal 12 2 2 7 3" xfId="20281" xr:uid="{FBD6B8CE-489D-4179-A250-543DCFA2421A}"/>
    <cellStyle name="Normal 12 2 2 7 4" xfId="11841" xr:uid="{923D9E5F-4911-406C-934A-0555F0D52A8D}"/>
    <cellStyle name="Normal 12 2 2 8" xfId="4666" xr:uid="{00000000-0005-0000-0000-0000F50D0000}"/>
    <cellStyle name="Normal 12 2 2 8 2" xfId="22432" xr:uid="{53FDD3AE-1ED0-4AF7-927E-339A813434B3}"/>
    <cellStyle name="Normal 12 2 2 8 3" xfId="13992" xr:uid="{49EE97C4-C437-42C8-B68B-C60D92D46E02}"/>
    <cellStyle name="Normal 12 2 2 9" xfId="8914" xr:uid="{85903DBC-FA0A-4A9D-9FB4-BA36A4B6F510}"/>
    <cellStyle name="Normal 12 2 2 9 2" xfId="18215" xr:uid="{8E185AA3-9E2D-4084-B408-AA4CD7940711}"/>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24993" xr:uid="{CCADAFDF-C825-495B-9568-517AE482DB46}"/>
    <cellStyle name="Normal 12 2 3 2 2 2 3" xfId="16553" xr:uid="{D8A92F0D-62AE-45E4-98BE-CDF7F0F4999A}"/>
    <cellStyle name="Normal 12 2 3 2 2 3" xfId="20776" xr:uid="{DA0910BC-6997-4E61-839D-BBBBFC5AC884}"/>
    <cellStyle name="Normal 12 2 3 2 2 4" xfId="12336" xr:uid="{8A2DA93D-2EAC-4344-B1AB-97FE2C2AAD3A}"/>
    <cellStyle name="Normal 12 2 3 2 3" xfId="5082" xr:uid="{00000000-0005-0000-0000-0000FA0D0000}"/>
    <cellStyle name="Normal 12 2 3 2 3 2" xfId="22848" xr:uid="{FC3AECE0-399F-46EA-A8A8-2D998E013820}"/>
    <cellStyle name="Normal 12 2 3 2 3 3" xfId="14408" xr:uid="{AC98AE99-3C3C-4BBD-AF17-77789931C509}"/>
    <cellStyle name="Normal 12 2 3 2 4" xfId="9443" xr:uid="{61F0A971-1285-4215-8170-49D07520551A}"/>
    <cellStyle name="Normal 12 2 3 2 4 2" xfId="18631" xr:uid="{2D17458A-430D-49CC-9126-1E18D74EB862}"/>
    <cellStyle name="Normal 12 2 3 2 5" xfId="10191" xr:uid="{733EDF66-D5F3-452B-8970-094C3332B42F}"/>
    <cellStyle name="Normal 12 2 3 3" xfId="1187" xr:uid="{00000000-0005-0000-0000-0000FB0D0000}"/>
    <cellStyle name="Normal 12 2 3 3 2" xfId="3418" xr:uid="{00000000-0005-0000-0000-0000FC0D0000}"/>
    <cellStyle name="Normal 12 2 3 3 2 2" xfId="7640" xr:uid="{00000000-0005-0000-0000-0000FD0D0000}"/>
    <cellStyle name="Normal 12 2 3 3 2 2 2" xfId="25406" xr:uid="{E8E54990-BFAD-4FC7-ABAA-0E6420E813E9}"/>
    <cellStyle name="Normal 12 2 3 3 2 2 3" xfId="16966" xr:uid="{D528C17B-FD49-42A3-8EDD-B9B33897B9B5}"/>
    <cellStyle name="Normal 12 2 3 3 2 3" xfId="21189" xr:uid="{77CEC33E-750E-48FA-B96D-B992FD919CC3}"/>
    <cellStyle name="Normal 12 2 3 3 2 4" xfId="12749" xr:uid="{A758E2CE-45DF-4CF4-A3CF-ECEE13ED79CF}"/>
    <cellStyle name="Normal 12 2 3 3 3" xfId="5495" xr:uid="{00000000-0005-0000-0000-0000FE0D0000}"/>
    <cellStyle name="Normal 12 2 3 3 3 2" xfId="23261" xr:uid="{3EDE0A50-3B40-431E-B3DA-7BEDCD468C15}"/>
    <cellStyle name="Normal 12 2 3 3 3 3" xfId="14821" xr:uid="{AD5CE907-8E6A-48D9-986B-CF7DB7A93484}"/>
    <cellStyle name="Normal 12 2 3 3 4" xfId="19044" xr:uid="{759F637A-4576-4AE3-88E2-FF34AD5AAC5C}"/>
    <cellStyle name="Normal 12 2 3 3 5" xfId="10604" xr:uid="{8ADA95BF-F095-417E-BE9B-4EA3135AEBA1}"/>
    <cellStyle name="Normal 12 2 3 4" xfId="1601" xr:uid="{00000000-0005-0000-0000-0000FF0D0000}"/>
    <cellStyle name="Normal 12 2 3 4 2" xfId="3831" xr:uid="{00000000-0005-0000-0000-0000000E0000}"/>
    <cellStyle name="Normal 12 2 3 4 2 2" xfId="8053" xr:uid="{00000000-0005-0000-0000-0000010E0000}"/>
    <cellStyle name="Normal 12 2 3 4 2 2 2" xfId="25819" xr:uid="{9AE47ACF-79AA-4E12-8BCF-2F7A1861C654}"/>
    <cellStyle name="Normal 12 2 3 4 2 2 3" xfId="17379" xr:uid="{FD491211-F632-4245-AAF1-E6F1FE0607BB}"/>
    <cellStyle name="Normal 12 2 3 4 2 3" xfId="21602" xr:uid="{5630F09E-8930-4510-B459-ACCD6EA8F6AE}"/>
    <cellStyle name="Normal 12 2 3 4 2 4" xfId="13162" xr:uid="{15E00344-B3B0-4E5B-BC1F-6BC440448AC4}"/>
    <cellStyle name="Normal 12 2 3 4 3" xfId="5908" xr:uid="{00000000-0005-0000-0000-0000020E0000}"/>
    <cellStyle name="Normal 12 2 3 4 3 2" xfId="23674" xr:uid="{89BA97FC-3228-4766-870B-B120F5FA342F}"/>
    <cellStyle name="Normal 12 2 3 4 3 3" xfId="15234" xr:uid="{736502B2-ABBF-455B-8FB6-4E8B7348D47E}"/>
    <cellStyle name="Normal 12 2 3 4 4" xfId="19457" xr:uid="{3BA7DA7E-1A14-454D-A016-7DE78707D0B2}"/>
    <cellStyle name="Normal 12 2 3 4 5" xfId="11017" xr:uid="{03A5815A-D7EF-45E8-8DFF-2599FBCE7309}"/>
    <cellStyle name="Normal 12 2 3 5" xfId="2015" xr:uid="{00000000-0005-0000-0000-0000030E0000}"/>
    <cellStyle name="Normal 12 2 3 5 2" xfId="4244" xr:uid="{00000000-0005-0000-0000-0000040E0000}"/>
    <cellStyle name="Normal 12 2 3 5 2 2" xfId="8466" xr:uid="{00000000-0005-0000-0000-0000050E0000}"/>
    <cellStyle name="Normal 12 2 3 5 2 2 2" xfId="26232" xr:uid="{FB71A769-3122-4521-9795-F40CFE459DAB}"/>
    <cellStyle name="Normal 12 2 3 5 2 2 3" xfId="17792" xr:uid="{E7B3880A-B92B-4627-8A62-3D4080BA86EC}"/>
    <cellStyle name="Normal 12 2 3 5 2 3" xfId="22015" xr:uid="{E09EAC79-BD24-470F-96FC-1968B6880B6A}"/>
    <cellStyle name="Normal 12 2 3 5 2 4" xfId="13575" xr:uid="{5A723798-6DC7-4B06-B402-83A5BC75AAB8}"/>
    <cellStyle name="Normal 12 2 3 5 3" xfId="6321" xr:uid="{00000000-0005-0000-0000-0000060E0000}"/>
    <cellStyle name="Normal 12 2 3 5 3 2" xfId="24087" xr:uid="{BC654AAF-9A4E-428F-A6DA-7195011C8DE6}"/>
    <cellStyle name="Normal 12 2 3 5 3 3" xfId="15647" xr:uid="{B61187A7-FD9B-4A86-AE46-BE246092525F}"/>
    <cellStyle name="Normal 12 2 3 5 4" xfId="19870" xr:uid="{67B5F1FA-8C16-4F16-A9E8-9B0641C90BFE}"/>
    <cellStyle name="Normal 12 2 3 5 5" xfId="11430" xr:uid="{B2A71ED2-02C6-4D4F-A6E3-58762764272E}"/>
    <cellStyle name="Normal 12 2 3 6" xfId="2451" xr:uid="{00000000-0005-0000-0000-0000070E0000}"/>
    <cellStyle name="Normal 12 2 3 6 2" xfId="6734" xr:uid="{00000000-0005-0000-0000-0000080E0000}"/>
    <cellStyle name="Normal 12 2 3 6 2 2" xfId="24500" xr:uid="{3969704C-9122-48D2-8DE2-11BB2FC93B1F}"/>
    <cellStyle name="Normal 12 2 3 6 2 3" xfId="16060" xr:uid="{B9C96DB8-5A6A-42FC-ABAF-A79018B8E035}"/>
    <cellStyle name="Normal 12 2 3 6 3" xfId="20283" xr:uid="{8F4AF440-13E3-42FD-A3E5-DC44935F2D8E}"/>
    <cellStyle name="Normal 12 2 3 6 4" xfId="11843" xr:uid="{372527F9-CE48-447F-AABC-AE6122D461CD}"/>
    <cellStyle name="Normal 12 2 3 7" xfId="4668" xr:uid="{00000000-0005-0000-0000-0000090E0000}"/>
    <cellStyle name="Normal 12 2 3 7 2" xfId="22434" xr:uid="{21EC80A9-E85B-4711-9559-C108A00FBD59}"/>
    <cellStyle name="Normal 12 2 3 7 3" xfId="13994" xr:uid="{C3A08736-5ECC-4B09-82FA-CE35B05628DB}"/>
    <cellStyle name="Normal 12 2 3 8" xfId="9018" xr:uid="{C3F41DC6-3A80-4145-A68D-169ABB54B6D0}"/>
    <cellStyle name="Normal 12 2 3 8 2" xfId="18217" xr:uid="{4E27B5EF-F751-4796-814C-4213378EC03F}"/>
    <cellStyle name="Normal 12 2 3 9" xfId="9777" xr:uid="{A75D244B-4BA1-40EE-9F23-CC68BC37AA43}"/>
    <cellStyle name="Normal 12 2 4" xfId="761" xr:uid="{00000000-0005-0000-0000-00000A0E0000}"/>
    <cellStyle name="Normal 12 2 4 2" xfId="3002" xr:uid="{00000000-0005-0000-0000-00000B0E0000}"/>
    <cellStyle name="Normal 12 2 4 2 2" xfId="7224" xr:uid="{00000000-0005-0000-0000-00000C0E0000}"/>
    <cellStyle name="Normal 12 2 4 2 2 2" xfId="24990" xr:uid="{3ABAB5E6-4F54-423F-923A-A9CA54F6475C}"/>
    <cellStyle name="Normal 12 2 4 2 2 3" xfId="16550" xr:uid="{9CF9A667-60CE-4102-983A-579C53144633}"/>
    <cellStyle name="Normal 12 2 4 2 3" xfId="20773" xr:uid="{F569D769-057A-4666-B489-1504C4974BF6}"/>
    <cellStyle name="Normal 12 2 4 2 4" xfId="12333" xr:uid="{BD815C0C-890C-4CA4-97AF-FD85629B7233}"/>
    <cellStyle name="Normal 12 2 4 3" xfId="5079" xr:uid="{00000000-0005-0000-0000-00000D0E0000}"/>
    <cellStyle name="Normal 12 2 4 3 2" xfId="22845" xr:uid="{B524B97D-5F54-4D59-97AB-16615F521C70}"/>
    <cellStyle name="Normal 12 2 4 3 3" xfId="14405" xr:uid="{C6A2E91E-3317-4402-8941-586E16F1D9C5}"/>
    <cellStyle name="Normal 12 2 4 4" xfId="9236" xr:uid="{C3D0196D-4BB3-4870-9762-A3CF40E5B45B}"/>
    <cellStyle name="Normal 12 2 4 4 2" xfId="18628" xr:uid="{EACE2B32-0CC5-4C32-9A65-688B63BB4016}"/>
    <cellStyle name="Normal 12 2 4 5" xfId="10188" xr:uid="{4FF5A465-85A3-4CC7-8A18-8431E32D11B5}"/>
    <cellStyle name="Normal 12 2 5" xfId="1184" xr:uid="{00000000-0005-0000-0000-00000E0E0000}"/>
    <cellStyle name="Normal 12 2 5 2" xfId="3415" xr:uid="{00000000-0005-0000-0000-00000F0E0000}"/>
    <cellStyle name="Normal 12 2 5 2 2" xfId="7637" xr:uid="{00000000-0005-0000-0000-0000100E0000}"/>
    <cellStyle name="Normal 12 2 5 2 2 2" xfId="25403" xr:uid="{9DCA4C23-848D-4F88-AF8E-69D1605FE00E}"/>
    <cellStyle name="Normal 12 2 5 2 2 3" xfId="16963" xr:uid="{C3320CDD-31F6-4CF1-94A2-B162F9670D7A}"/>
    <cellStyle name="Normal 12 2 5 2 3" xfId="21186" xr:uid="{BBCFB3E1-9341-4942-B9CE-B3B983BE826A}"/>
    <cellStyle name="Normal 12 2 5 2 4" xfId="12746" xr:uid="{6AF4AFD9-D01B-41B6-B360-F16A925D8757}"/>
    <cellStyle name="Normal 12 2 5 3" xfId="5492" xr:uid="{00000000-0005-0000-0000-0000110E0000}"/>
    <cellStyle name="Normal 12 2 5 3 2" xfId="23258" xr:uid="{C964596E-E8AD-484E-9A12-2F9B323F47B7}"/>
    <cellStyle name="Normal 12 2 5 3 3" xfId="14818" xr:uid="{587B1F5E-345D-4197-B19C-E4FC71DAE20E}"/>
    <cellStyle name="Normal 12 2 5 4" xfId="19041" xr:uid="{0A776BF1-290B-4B07-BCCD-5A6FC94A20E0}"/>
    <cellStyle name="Normal 12 2 5 5" xfId="10601" xr:uid="{2876343F-804A-4237-B133-A4CCA6F42E0F}"/>
    <cellStyle name="Normal 12 2 6" xfId="1598" xr:uid="{00000000-0005-0000-0000-0000120E0000}"/>
    <cellStyle name="Normal 12 2 6 2" xfId="3828" xr:uid="{00000000-0005-0000-0000-0000130E0000}"/>
    <cellStyle name="Normal 12 2 6 2 2" xfId="8050" xr:uid="{00000000-0005-0000-0000-0000140E0000}"/>
    <cellStyle name="Normal 12 2 6 2 2 2" xfId="25816" xr:uid="{731673A3-0648-40D1-B812-4BDE1C54A438}"/>
    <cellStyle name="Normal 12 2 6 2 2 3" xfId="17376" xr:uid="{392DD160-1468-4B76-872C-B21C9483C8AF}"/>
    <cellStyle name="Normal 12 2 6 2 3" xfId="21599" xr:uid="{880840E6-D5C6-45E9-AA50-08810EFF887A}"/>
    <cellStyle name="Normal 12 2 6 2 4" xfId="13159" xr:uid="{F5063CCC-08DB-424F-8ECC-881BFCA7F129}"/>
    <cellStyle name="Normal 12 2 6 3" xfId="5905" xr:uid="{00000000-0005-0000-0000-0000150E0000}"/>
    <cellStyle name="Normal 12 2 6 3 2" xfId="23671" xr:uid="{FA680CBE-B481-4B04-8C88-41033ACAE5CE}"/>
    <cellStyle name="Normal 12 2 6 3 3" xfId="15231" xr:uid="{712F8F6A-77B0-4EDF-80B5-D677A6A702A6}"/>
    <cellStyle name="Normal 12 2 6 4" xfId="19454" xr:uid="{09AC498E-D34D-4130-A715-E6DCFE3A6DCE}"/>
    <cellStyle name="Normal 12 2 6 5" xfId="11014" xr:uid="{6DDF558D-76CC-4499-A7C4-81684BA7350A}"/>
    <cellStyle name="Normal 12 2 7" xfId="2012" xr:uid="{00000000-0005-0000-0000-0000160E0000}"/>
    <cellStyle name="Normal 12 2 7 2" xfId="4241" xr:uid="{00000000-0005-0000-0000-0000170E0000}"/>
    <cellStyle name="Normal 12 2 7 2 2" xfId="8463" xr:uid="{00000000-0005-0000-0000-0000180E0000}"/>
    <cellStyle name="Normal 12 2 7 2 2 2" xfId="26229" xr:uid="{ED5CB8E2-EE71-4356-B10F-D5AAC787D217}"/>
    <cellStyle name="Normal 12 2 7 2 2 3" xfId="17789" xr:uid="{A5D75FE9-9052-45C7-9666-6FFB88A56D53}"/>
    <cellStyle name="Normal 12 2 7 2 3" xfId="22012" xr:uid="{10EFD9EE-F54B-4B85-A5BC-4A463A041D1D}"/>
    <cellStyle name="Normal 12 2 7 2 4" xfId="13572" xr:uid="{F8F23836-B350-40ED-BD1E-CDCBB15C5DB5}"/>
    <cellStyle name="Normal 12 2 7 3" xfId="6318" xr:uid="{00000000-0005-0000-0000-0000190E0000}"/>
    <cellStyle name="Normal 12 2 7 3 2" xfId="24084" xr:uid="{3676A1E6-D11F-4BD2-A7D2-73BEE8F4CD42}"/>
    <cellStyle name="Normal 12 2 7 3 3" xfId="15644" xr:uid="{2F865685-59BA-45DF-A73B-1AE56275B5F6}"/>
    <cellStyle name="Normal 12 2 7 4" xfId="19867" xr:uid="{9F724835-9993-4DEB-9B56-4E3B896EEA6C}"/>
    <cellStyle name="Normal 12 2 7 5" xfId="11427" xr:uid="{B8A83FB6-E8F8-498D-ABF6-C55F0974EDB1}"/>
    <cellStyle name="Normal 12 2 8" xfId="2448" xr:uid="{00000000-0005-0000-0000-00001A0E0000}"/>
    <cellStyle name="Normal 12 2 8 2" xfId="6731" xr:uid="{00000000-0005-0000-0000-00001B0E0000}"/>
    <cellStyle name="Normal 12 2 8 2 2" xfId="24497" xr:uid="{FC9EC1E9-A4F7-457A-B629-CFFB9B19E102}"/>
    <cellStyle name="Normal 12 2 8 2 3" xfId="16057" xr:uid="{FEA8E8C3-4F1E-412E-BF8B-77694DD4DC69}"/>
    <cellStyle name="Normal 12 2 8 3" xfId="20280" xr:uid="{E6B73146-6987-46A1-BF2F-BE5E0A630E55}"/>
    <cellStyle name="Normal 12 2 8 4" xfId="11840" xr:uid="{07DF70D0-EB23-47AE-B762-30EF4C6A0039}"/>
    <cellStyle name="Normal 12 2 9" xfId="4665" xr:uid="{00000000-0005-0000-0000-00001C0E0000}"/>
    <cellStyle name="Normal 12 2 9 2" xfId="22431" xr:uid="{FE5CAEB9-E5E7-4224-9C13-7DE8AE2AE0E0}"/>
    <cellStyle name="Normal 12 2 9 3" xfId="13991" xr:uid="{558E17E0-07A0-41DF-9429-CAFF8928A7F6}"/>
    <cellStyle name="Normal 12 3" xfId="264" xr:uid="{00000000-0005-0000-0000-00001D0E0000}"/>
    <cellStyle name="Normal 12 3 10" xfId="9778" xr:uid="{0FC4CFAB-611A-4D68-8921-667102DE1704}"/>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24995" xr:uid="{4BE19DF4-42E1-415D-9F80-BFB3262D3A46}"/>
    <cellStyle name="Normal 12 3 2 2 2 2 3" xfId="16555" xr:uid="{E6928D44-1218-4DEF-9EA5-DFEE7AF8C271}"/>
    <cellStyle name="Normal 12 3 2 2 2 3" xfId="20778" xr:uid="{791EFC70-883F-4160-A24B-A349C1B51F2B}"/>
    <cellStyle name="Normal 12 3 2 2 2 4" xfId="12338" xr:uid="{CE68C1C2-4C61-4B4C-BD21-E53CD89A3E8B}"/>
    <cellStyle name="Normal 12 3 2 2 3" xfId="5084" xr:uid="{00000000-0005-0000-0000-0000220E0000}"/>
    <cellStyle name="Normal 12 3 2 2 3 2" xfId="22850" xr:uid="{7571A08E-F569-456F-8773-22996D97A2A0}"/>
    <cellStyle name="Normal 12 3 2 2 3 3" xfId="14410" xr:uid="{97AC25EC-3B6F-4BA4-A690-B7583A362924}"/>
    <cellStyle name="Normal 12 3 2 2 4" xfId="9505" xr:uid="{B127619B-367D-40AD-851E-01DDBB2DCD13}"/>
    <cellStyle name="Normal 12 3 2 2 4 2" xfId="18633" xr:uid="{D1A897B9-CCAC-4AB7-8822-CA03FF8206F6}"/>
    <cellStyle name="Normal 12 3 2 2 5" xfId="10193" xr:uid="{D22CE343-13F8-45C2-B640-AB2E598F728C}"/>
    <cellStyle name="Normal 12 3 2 3" xfId="1189" xr:uid="{00000000-0005-0000-0000-0000230E0000}"/>
    <cellStyle name="Normal 12 3 2 3 2" xfId="3420" xr:uid="{00000000-0005-0000-0000-0000240E0000}"/>
    <cellStyle name="Normal 12 3 2 3 2 2" xfId="7642" xr:uid="{00000000-0005-0000-0000-0000250E0000}"/>
    <cellStyle name="Normal 12 3 2 3 2 2 2" xfId="25408" xr:uid="{D2AB0FED-1C97-425A-86BB-4814372F191D}"/>
    <cellStyle name="Normal 12 3 2 3 2 2 3" xfId="16968" xr:uid="{730182D3-96BF-4461-BF1F-90D000E9166A}"/>
    <cellStyle name="Normal 12 3 2 3 2 3" xfId="21191" xr:uid="{E8FEDB7C-0C4B-41BB-9E5C-C207B105C93E}"/>
    <cellStyle name="Normal 12 3 2 3 2 4" xfId="12751" xr:uid="{65308472-F135-4B64-A4A5-18CB2C6C73FA}"/>
    <cellStyle name="Normal 12 3 2 3 3" xfId="5497" xr:uid="{00000000-0005-0000-0000-0000260E0000}"/>
    <cellStyle name="Normal 12 3 2 3 3 2" xfId="23263" xr:uid="{18A8AFDF-240E-4F7E-9179-4D088C67A395}"/>
    <cellStyle name="Normal 12 3 2 3 3 3" xfId="14823" xr:uid="{D0D32C9F-8D24-4DD2-A796-E5AF9161A1BB}"/>
    <cellStyle name="Normal 12 3 2 3 4" xfId="19046" xr:uid="{836F4354-6262-4EE3-870D-6E81B7910159}"/>
    <cellStyle name="Normal 12 3 2 3 5" xfId="10606" xr:uid="{9D8FA020-703E-49F0-BAEC-6C72E2109D24}"/>
    <cellStyle name="Normal 12 3 2 4" xfId="1603" xr:uid="{00000000-0005-0000-0000-0000270E0000}"/>
    <cellStyle name="Normal 12 3 2 4 2" xfId="3833" xr:uid="{00000000-0005-0000-0000-0000280E0000}"/>
    <cellStyle name="Normal 12 3 2 4 2 2" xfId="8055" xr:uid="{00000000-0005-0000-0000-0000290E0000}"/>
    <cellStyle name="Normal 12 3 2 4 2 2 2" xfId="25821" xr:uid="{342B0E79-8389-428C-B663-C8D78A57173A}"/>
    <cellStyle name="Normal 12 3 2 4 2 2 3" xfId="17381" xr:uid="{4149D256-29B2-449A-82C1-D4B3474991EE}"/>
    <cellStyle name="Normal 12 3 2 4 2 3" xfId="21604" xr:uid="{AA0B37DF-2F9A-4C47-B22C-20A31EAB449C}"/>
    <cellStyle name="Normal 12 3 2 4 2 4" xfId="13164" xr:uid="{F6B3F719-FBCE-4A6B-A3C6-7EA2EB23D411}"/>
    <cellStyle name="Normal 12 3 2 4 3" xfId="5910" xr:uid="{00000000-0005-0000-0000-00002A0E0000}"/>
    <cellStyle name="Normal 12 3 2 4 3 2" xfId="23676" xr:uid="{C317143D-91F5-4F5A-BBE1-D06FE3ACE13F}"/>
    <cellStyle name="Normal 12 3 2 4 3 3" xfId="15236" xr:uid="{ECD584B4-9B38-45FF-9F28-90A9996A28E6}"/>
    <cellStyle name="Normal 12 3 2 4 4" xfId="19459" xr:uid="{BE1A54B0-112A-4E91-80A2-FE44D2E1561B}"/>
    <cellStyle name="Normal 12 3 2 4 5" xfId="11019" xr:uid="{68F5337B-6C46-4C8C-B210-540D709B2736}"/>
    <cellStyle name="Normal 12 3 2 5" xfId="2017" xr:uid="{00000000-0005-0000-0000-00002B0E0000}"/>
    <cellStyle name="Normal 12 3 2 5 2" xfId="4246" xr:uid="{00000000-0005-0000-0000-00002C0E0000}"/>
    <cellStyle name="Normal 12 3 2 5 2 2" xfId="8468" xr:uid="{00000000-0005-0000-0000-00002D0E0000}"/>
    <cellStyle name="Normal 12 3 2 5 2 2 2" xfId="26234" xr:uid="{D9DDD453-5D79-4ABF-9919-2B2E90ADD851}"/>
    <cellStyle name="Normal 12 3 2 5 2 2 3" xfId="17794" xr:uid="{E14B74A8-49FF-4DC1-BE31-C1D2B08ECAB6}"/>
    <cellStyle name="Normal 12 3 2 5 2 3" xfId="22017" xr:uid="{5CA3C395-10FA-492F-9493-6AB16FB00C9A}"/>
    <cellStyle name="Normal 12 3 2 5 2 4" xfId="13577" xr:uid="{BEA66F16-A60C-4B15-8C2E-98F79341F21C}"/>
    <cellStyle name="Normal 12 3 2 5 3" xfId="6323" xr:uid="{00000000-0005-0000-0000-00002E0E0000}"/>
    <cellStyle name="Normal 12 3 2 5 3 2" xfId="24089" xr:uid="{F734A5ED-7CE8-4698-9A29-E6C1D5D543D6}"/>
    <cellStyle name="Normal 12 3 2 5 3 3" xfId="15649" xr:uid="{9E09903A-CC41-449B-8B5B-83B1E485C1AC}"/>
    <cellStyle name="Normal 12 3 2 5 4" xfId="19872" xr:uid="{8E4E262D-C6D8-48BA-A5C9-652AB5A4ECC1}"/>
    <cellStyle name="Normal 12 3 2 5 5" xfId="11432" xr:uid="{B0094BCA-9908-4460-B028-FB9389E25E98}"/>
    <cellStyle name="Normal 12 3 2 6" xfId="2453" xr:uid="{00000000-0005-0000-0000-00002F0E0000}"/>
    <cellStyle name="Normal 12 3 2 6 2" xfId="6736" xr:uid="{00000000-0005-0000-0000-0000300E0000}"/>
    <cellStyle name="Normal 12 3 2 6 2 2" xfId="24502" xr:uid="{56B6C4A5-A22F-4A39-9344-9C4456092E50}"/>
    <cellStyle name="Normal 12 3 2 6 2 3" xfId="16062" xr:uid="{7BE37B90-3E4C-4E70-B665-4748B0335FA6}"/>
    <cellStyle name="Normal 12 3 2 6 3" xfId="20285" xr:uid="{B2BD431C-80FA-459C-992A-5EDAC9D05169}"/>
    <cellStyle name="Normal 12 3 2 6 4" xfId="11845" xr:uid="{F57C89D4-77E7-4675-9E1E-4BDB818D47D1}"/>
    <cellStyle name="Normal 12 3 2 7" xfId="4670" xr:uid="{00000000-0005-0000-0000-0000310E0000}"/>
    <cellStyle name="Normal 12 3 2 7 2" xfId="22436" xr:uid="{11D935E2-B2F0-42A0-8316-9076680D1988}"/>
    <cellStyle name="Normal 12 3 2 7 3" xfId="13996" xr:uid="{5DA9385A-8213-4A60-BEC2-2E9688C909F3}"/>
    <cellStyle name="Normal 12 3 2 8" xfId="9080" xr:uid="{403F3083-4A9F-4295-B676-C31241B8936E}"/>
    <cellStyle name="Normal 12 3 2 8 2" xfId="18219" xr:uid="{08FEF7BA-DEC2-4523-975F-D75BD3834236}"/>
    <cellStyle name="Normal 12 3 2 9" xfId="9779" xr:uid="{A54FA0D3-D549-49AE-A62D-A0BA9F12F98E}"/>
    <cellStyle name="Normal 12 3 3" xfId="765" xr:uid="{00000000-0005-0000-0000-0000320E0000}"/>
    <cellStyle name="Normal 12 3 3 2" xfId="3006" xr:uid="{00000000-0005-0000-0000-0000330E0000}"/>
    <cellStyle name="Normal 12 3 3 2 2" xfId="7228" xr:uid="{00000000-0005-0000-0000-0000340E0000}"/>
    <cellStyle name="Normal 12 3 3 2 2 2" xfId="24994" xr:uid="{5C9C77CE-EB36-4812-B04E-1DAC3774A613}"/>
    <cellStyle name="Normal 12 3 3 2 2 3" xfId="16554" xr:uid="{8E0C0BA7-D1A8-43BE-8A5B-AD4ADD99377F}"/>
    <cellStyle name="Normal 12 3 3 2 3" xfId="20777" xr:uid="{4B8F970C-7D03-4BFB-8AFD-C74CE5EA97A9}"/>
    <cellStyle name="Normal 12 3 3 2 4" xfId="12337" xr:uid="{8B781D49-DB20-4EFC-B96C-90420AD1435F}"/>
    <cellStyle name="Normal 12 3 3 3" xfId="5083" xr:uid="{00000000-0005-0000-0000-0000350E0000}"/>
    <cellStyle name="Normal 12 3 3 3 2" xfId="22849" xr:uid="{A8EE3139-40F7-4723-8D27-1E47D4F1D7D5}"/>
    <cellStyle name="Normal 12 3 3 3 3" xfId="14409" xr:uid="{CB51E6C7-08C4-4392-B2DB-B0AEAE1FA50E}"/>
    <cellStyle name="Normal 12 3 3 4" xfId="9298" xr:uid="{A6F9D711-F86A-406D-B160-91678C261745}"/>
    <cellStyle name="Normal 12 3 3 4 2" xfId="18632" xr:uid="{34939272-7E78-4418-9B49-A8E6A5C2775A}"/>
    <cellStyle name="Normal 12 3 3 5" xfId="10192" xr:uid="{7641C51D-0F97-42D8-9670-8DDFD3C6A872}"/>
    <cellStyle name="Normal 12 3 4" xfId="1188" xr:uid="{00000000-0005-0000-0000-0000360E0000}"/>
    <cellStyle name="Normal 12 3 4 2" xfId="3419" xr:uid="{00000000-0005-0000-0000-0000370E0000}"/>
    <cellStyle name="Normal 12 3 4 2 2" xfId="7641" xr:uid="{00000000-0005-0000-0000-0000380E0000}"/>
    <cellStyle name="Normal 12 3 4 2 2 2" xfId="25407" xr:uid="{EAF544D3-B9E2-41CB-8F6F-F93A7DE8FD9A}"/>
    <cellStyle name="Normal 12 3 4 2 2 3" xfId="16967" xr:uid="{70DF5437-A6D2-48AA-B94A-B678F13F4017}"/>
    <cellStyle name="Normal 12 3 4 2 3" xfId="21190" xr:uid="{6824B9D6-AEC4-4FAD-9105-DD321DF5D69F}"/>
    <cellStyle name="Normal 12 3 4 2 4" xfId="12750" xr:uid="{AD3D3ABB-D70A-49B3-AA22-E8D8939BF658}"/>
    <cellStyle name="Normal 12 3 4 3" xfId="5496" xr:uid="{00000000-0005-0000-0000-0000390E0000}"/>
    <cellStyle name="Normal 12 3 4 3 2" xfId="23262" xr:uid="{05448309-44FF-4001-A301-0DA7FDE70A17}"/>
    <cellStyle name="Normal 12 3 4 3 3" xfId="14822" xr:uid="{89D12C86-7A1D-4CBC-8BE9-6763E8B3AED1}"/>
    <cellStyle name="Normal 12 3 4 4" xfId="19045" xr:uid="{B7D366BD-B51A-4210-B335-69F4AB46886F}"/>
    <cellStyle name="Normal 12 3 4 5" xfId="10605" xr:uid="{72CDF5CF-E69B-48FB-B620-C769A76961DA}"/>
    <cellStyle name="Normal 12 3 5" xfId="1602" xr:uid="{00000000-0005-0000-0000-00003A0E0000}"/>
    <cellStyle name="Normal 12 3 5 2" xfId="3832" xr:uid="{00000000-0005-0000-0000-00003B0E0000}"/>
    <cellStyle name="Normal 12 3 5 2 2" xfId="8054" xr:uid="{00000000-0005-0000-0000-00003C0E0000}"/>
    <cellStyle name="Normal 12 3 5 2 2 2" xfId="25820" xr:uid="{423FDEA4-CB3D-48F1-A468-4930F2A34927}"/>
    <cellStyle name="Normal 12 3 5 2 2 3" xfId="17380" xr:uid="{772F663D-D0D6-4EE2-9390-9F7E3AFC5482}"/>
    <cellStyle name="Normal 12 3 5 2 3" xfId="21603" xr:uid="{E5E14209-CD8E-4128-95AC-583C5E5D5BE9}"/>
    <cellStyle name="Normal 12 3 5 2 4" xfId="13163" xr:uid="{1ED51AB7-042D-471C-AFA8-2A11E166F3B2}"/>
    <cellStyle name="Normal 12 3 5 3" xfId="5909" xr:uid="{00000000-0005-0000-0000-00003D0E0000}"/>
    <cellStyle name="Normal 12 3 5 3 2" xfId="23675" xr:uid="{3BADB384-9B78-4AA3-A007-E5E61F3F10A2}"/>
    <cellStyle name="Normal 12 3 5 3 3" xfId="15235" xr:uid="{E3835926-C531-4E0E-8844-FE7373F86A92}"/>
    <cellStyle name="Normal 12 3 5 4" xfId="19458" xr:uid="{F4D7FCEF-2552-4CC9-83D6-63FEBF5E778D}"/>
    <cellStyle name="Normal 12 3 5 5" xfId="11018" xr:uid="{6387B6A0-CC25-4C43-9C5D-19940070F889}"/>
    <cellStyle name="Normal 12 3 6" xfId="2016" xr:uid="{00000000-0005-0000-0000-00003E0E0000}"/>
    <cellStyle name="Normal 12 3 6 2" xfId="4245" xr:uid="{00000000-0005-0000-0000-00003F0E0000}"/>
    <cellStyle name="Normal 12 3 6 2 2" xfId="8467" xr:uid="{00000000-0005-0000-0000-0000400E0000}"/>
    <cellStyle name="Normal 12 3 6 2 2 2" xfId="26233" xr:uid="{71D0F572-8B8F-409E-9EAD-33D02674CC82}"/>
    <cellStyle name="Normal 12 3 6 2 2 3" xfId="17793" xr:uid="{1A3DE6E7-83C1-46F1-87E1-AD134382379A}"/>
    <cellStyle name="Normal 12 3 6 2 3" xfId="22016" xr:uid="{B99EB9E9-A976-409D-8D7D-CA6DD039ED9B}"/>
    <cellStyle name="Normal 12 3 6 2 4" xfId="13576" xr:uid="{675630C0-6631-44D4-A17D-BB96F6A48BFD}"/>
    <cellStyle name="Normal 12 3 6 3" xfId="6322" xr:uid="{00000000-0005-0000-0000-0000410E0000}"/>
    <cellStyle name="Normal 12 3 6 3 2" xfId="24088" xr:uid="{328A95C9-1CD8-49A3-94B8-017B75C1D232}"/>
    <cellStyle name="Normal 12 3 6 3 3" xfId="15648" xr:uid="{651C0406-AD4A-4CB3-A107-C46CB6F66C70}"/>
    <cellStyle name="Normal 12 3 6 4" xfId="19871" xr:uid="{5D7F4BD1-3CE4-4735-A069-A0873E81C6E1}"/>
    <cellStyle name="Normal 12 3 6 5" xfId="11431" xr:uid="{81A848EB-5A50-4978-BB11-44342CD13FD0}"/>
    <cellStyle name="Normal 12 3 7" xfId="2452" xr:uid="{00000000-0005-0000-0000-0000420E0000}"/>
    <cellStyle name="Normal 12 3 7 2" xfId="6735" xr:uid="{00000000-0005-0000-0000-0000430E0000}"/>
    <cellStyle name="Normal 12 3 7 2 2" xfId="24501" xr:uid="{DEC8A5DC-59F5-4810-B156-58F182E5BD97}"/>
    <cellStyle name="Normal 12 3 7 2 3" xfId="16061" xr:uid="{A8D1DF1F-C8BF-484E-B7BC-8BE2DAF9C018}"/>
    <cellStyle name="Normal 12 3 7 3" xfId="20284" xr:uid="{6E97D0CC-C24A-4C6A-80DB-C0DC17155FED}"/>
    <cellStyle name="Normal 12 3 7 4" xfId="11844" xr:uid="{A43DC34A-2300-40D5-B770-06D63F1FBBF9}"/>
    <cellStyle name="Normal 12 3 8" xfId="4669" xr:uid="{00000000-0005-0000-0000-0000440E0000}"/>
    <cellStyle name="Normal 12 3 8 2" xfId="22435" xr:uid="{AD6395D7-C714-4166-8987-B5FF2A0686DE}"/>
    <cellStyle name="Normal 12 3 8 3" xfId="13995" xr:uid="{F23F9F78-D040-425A-A560-C4EDBEE7142C}"/>
    <cellStyle name="Normal 12 3 9" xfId="8873" xr:uid="{72AE7E6C-F254-4BFC-80A7-F73848FA4F21}"/>
    <cellStyle name="Normal 12 3 9 2" xfId="18218" xr:uid="{56F97A0C-31FF-477A-9D93-486F13BA6C6B}"/>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24996" xr:uid="{E730F954-F75D-418A-8A7D-2C0BDAB1EDA0}"/>
    <cellStyle name="Normal 12 4 2 2 2 3" xfId="16556" xr:uid="{F3A6E17B-3F12-4D1C-AE32-30558D2BA52D}"/>
    <cellStyle name="Normal 12 4 2 2 3" xfId="20779" xr:uid="{85D76CE3-3D1D-4989-A39B-00489CA7EC83}"/>
    <cellStyle name="Normal 12 4 2 2 4" xfId="12339" xr:uid="{8711169B-F22C-4489-BE6E-98F3AA741F85}"/>
    <cellStyle name="Normal 12 4 2 3" xfId="5085" xr:uid="{00000000-0005-0000-0000-0000490E0000}"/>
    <cellStyle name="Normal 12 4 2 3 2" xfId="22851" xr:uid="{3E2DAD65-2CF2-4CFE-A705-EE3458C33C4F}"/>
    <cellStyle name="Normal 12 4 2 3 3" xfId="14411" xr:uid="{BCC1BA24-A929-42A2-80A3-D5EFF62A81D5}"/>
    <cellStyle name="Normal 12 4 2 4" xfId="9402" xr:uid="{F40C9AB7-F4D0-4A65-BBAA-FF5409160FE5}"/>
    <cellStyle name="Normal 12 4 2 4 2" xfId="18634" xr:uid="{BAE6178D-D7E3-4407-88B8-0C8D135D411C}"/>
    <cellStyle name="Normal 12 4 2 5" xfId="10194" xr:uid="{C0FF2600-AED1-40D2-9A14-C3807E195613}"/>
    <cellStyle name="Normal 12 4 3" xfId="1190" xr:uid="{00000000-0005-0000-0000-00004A0E0000}"/>
    <cellStyle name="Normal 12 4 3 2" xfId="3421" xr:uid="{00000000-0005-0000-0000-00004B0E0000}"/>
    <cellStyle name="Normal 12 4 3 2 2" xfId="7643" xr:uid="{00000000-0005-0000-0000-00004C0E0000}"/>
    <cellStyle name="Normal 12 4 3 2 2 2" xfId="25409" xr:uid="{72D9C85C-44E0-4EB5-8F35-00B9AEE3D804}"/>
    <cellStyle name="Normal 12 4 3 2 2 3" xfId="16969" xr:uid="{70A8B34F-0A06-42F8-848A-63DFE91E278B}"/>
    <cellStyle name="Normal 12 4 3 2 3" xfId="21192" xr:uid="{1AC8A85A-AAF7-4C02-80F6-638970532A4E}"/>
    <cellStyle name="Normal 12 4 3 2 4" xfId="12752" xr:uid="{F96A5B42-C53B-41F1-8A6E-984B8E01A689}"/>
    <cellStyle name="Normal 12 4 3 3" xfId="5498" xr:uid="{00000000-0005-0000-0000-00004D0E0000}"/>
    <cellStyle name="Normal 12 4 3 3 2" xfId="23264" xr:uid="{6628A920-7A88-40FB-9E5A-B231C116CCEF}"/>
    <cellStyle name="Normal 12 4 3 3 3" xfId="14824" xr:uid="{BA8FF90C-0DE7-4BCF-A4F7-DC9ACBE0A368}"/>
    <cellStyle name="Normal 12 4 3 4" xfId="19047" xr:uid="{F5279466-6001-4EC3-8AEC-7B35E9C104CC}"/>
    <cellStyle name="Normal 12 4 3 5" xfId="10607" xr:uid="{483CDD23-26E5-48DB-9EAD-393D11EF9F4A}"/>
    <cellStyle name="Normal 12 4 4" xfId="1604" xr:uid="{00000000-0005-0000-0000-00004E0E0000}"/>
    <cellStyle name="Normal 12 4 4 2" xfId="3834" xr:uid="{00000000-0005-0000-0000-00004F0E0000}"/>
    <cellStyle name="Normal 12 4 4 2 2" xfId="8056" xr:uid="{00000000-0005-0000-0000-0000500E0000}"/>
    <cellStyle name="Normal 12 4 4 2 2 2" xfId="25822" xr:uid="{41CED83A-0D0A-4EA6-912E-BC6CFD7C95EB}"/>
    <cellStyle name="Normal 12 4 4 2 2 3" xfId="17382" xr:uid="{7FEF18CE-48E9-42C8-814B-200B0F425843}"/>
    <cellStyle name="Normal 12 4 4 2 3" xfId="21605" xr:uid="{D0705AB8-369F-4A22-9B33-6366A74FA37D}"/>
    <cellStyle name="Normal 12 4 4 2 4" xfId="13165" xr:uid="{650F36C9-0899-49EA-B0CA-C83193613C5E}"/>
    <cellStyle name="Normal 12 4 4 3" xfId="5911" xr:uid="{00000000-0005-0000-0000-0000510E0000}"/>
    <cellStyle name="Normal 12 4 4 3 2" xfId="23677" xr:uid="{3AB82530-D0E6-4986-8B49-F59545C159D7}"/>
    <cellStyle name="Normal 12 4 4 3 3" xfId="15237" xr:uid="{7895048C-2B1A-4B5C-A4BA-F880F826FD9F}"/>
    <cellStyle name="Normal 12 4 4 4" xfId="19460" xr:uid="{47E4E853-CD83-477A-87EF-F5466794AA5F}"/>
    <cellStyle name="Normal 12 4 4 5" xfId="11020" xr:uid="{C1474DFC-6562-4B05-A820-E6818F8244B4}"/>
    <cellStyle name="Normal 12 4 5" xfId="2018" xr:uid="{00000000-0005-0000-0000-0000520E0000}"/>
    <cellStyle name="Normal 12 4 5 2" xfId="4247" xr:uid="{00000000-0005-0000-0000-0000530E0000}"/>
    <cellStyle name="Normal 12 4 5 2 2" xfId="8469" xr:uid="{00000000-0005-0000-0000-0000540E0000}"/>
    <cellStyle name="Normal 12 4 5 2 2 2" xfId="26235" xr:uid="{DCE442B3-70A7-4F90-8304-7FBDF689F51F}"/>
    <cellStyle name="Normal 12 4 5 2 2 3" xfId="17795" xr:uid="{FB027B13-600E-45CC-B580-6CAD99544520}"/>
    <cellStyle name="Normal 12 4 5 2 3" xfId="22018" xr:uid="{84BA2E2F-EED1-4F8F-91B3-FA2BAFF542A3}"/>
    <cellStyle name="Normal 12 4 5 2 4" xfId="13578" xr:uid="{C38DDE4C-27BB-4191-BFFF-F8BFC3A3DF4C}"/>
    <cellStyle name="Normal 12 4 5 3" xfId="6324" xr:uid="{00000000-0005-0000-0000-0000550E0000}"/>
    <cellStyle name="Normal 12 4 5 3 2" xfId="24090" xr:uid="{704777CA-E882-4435-B61A-4D6FA8847D7D}"/>
    <cellStyle name="Normal 12 4 5 3 3" xfId="15650" xr:uid="{DB36B28F-5F4D-4DBB-8924-F3E497E905DF}"/>
    <cellStyle name="Normal 12 4 5 4" xfId="19873" xr:uid="{36DEE002-01E9-49FD-962E-EF5CC0A9D425}"/>
    <cellStyle name="Normal 12 4 5 5" xfId="11433" xr:uid="{D8AA9414-C9ED-40D0-B75F-77902321F43D}"/>
    <cellStyle name="Normal 12 4 6" xfId="2454" xr:uid="{00000000-0005-0000-0000-0000560E0000}"/>
    <cellStyle name="Normal 12 4 6 2" xfId="6737" xr:uid="{00000000-0005-0000-0000-0000570E0000}"/>
    <cellStyle name="Normal 12 4 6 2 2" xfId="24503" xr:uid="{C9097FB2-B22B-4DDC-A893-35C8159D040C}"/>
    <cellStyle name="Normal 12 4 6 2 3" xfId="16063" xr:uid="{1C3C6D6D-E08E-46EB-9680-14809FC07D80}"/>
    <cellStyle name="Normal 12 4 6 3" xfId="20286" xr:uid="{5C99D474-4BDE-4D01-A86F-066C4EC80FF7}"/>
    <cellStyle name="Normal 12 4 6 4" xfId="11846" xr:uid="{D534BFC5-E2E1-4796-B871-F6B7E0F05782}"/>
    <cellStyle name="Normal 12 4 7" xfId="4671" xr:uid="{00000000-0005-0000-0000-0000580E0000}"/>
    <cellStyle name="Normal 12 4 7 2" xfId="22437" xr:uid="{14119AB4-4733-4370-AB26-60C1E9208756}"/>
    <cellStyle name="Normal 12 4 7 3" xfId="13997" xr:uid="{A1C1300F-CF9A-4B74-9C10-8C4BC7D34E30}"/>
    <cellStyle name="Normal 12 4 8" xfId="8977" xr:uid="{5BFFE5F3-99F6-4DA1-A3EF-BF749B3B7ACB}"/>
    <cellStyle name="Normal 12 4 8 2" xfId="18220" xr:uid="{E8679499-023E-4B84-92B7-DFF52A92AC72}"/>
    <cellStyle name="Normal 12 4 9" xfId="9780" xr:uid="{48D529F6-0DA9-463B-B76E-89361822F31C}"/>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24989" xr:uid="{B4787AF1-8C2E-4C57-A0A8-24C0AC6512D2}"/>
    <cellStyle name="Normal 12 6 2 2 3" xfId="16549" xr:uid="{F07173CB-EC46-4B15-AA5B-A8CDF24F45B6}"/>
    <cellStyle name="Normal 12 6 2 3" xfId="20772" xr:uid="{D7C1CF46-9791-40B6-88C3-6F39B9B2D995}"/>
    <cellStyle name="Normal 12 6 2 4" xfId="12332" xr:uid="{F81D3849-6996-4F43-B9B1-E578B0B7D89B}"/>
    <cellStyle name="Normal 12 6 3" xfId="5078" xr:uid="{00000000-0005-0000-0000-00005D0E0000}"/>
    <cellStyle name="Normal 12 6 3 2" xfId="22844" xr:uid="{DB889A4D-627D-4947-A710-F5F4D2EAF27B}"/>
    <cellStyle name="Normal 12 6 3 3" xfId="14404" xr:uid="{07C2C5FD-3C04-4E2B-9B51-3BF74419D5F8}"/>
    <cellStyle name="Normal 12 6 4" xfId="9194" xr:uid="{92D32932-3865-4F6F-A551-9A99EC116A43}"/>
    <cellStyle name="Normal 12 6 4 2" xfId="18627" xr:uid="{DC02F355-FDDE-4428-A0B7-0A6ABAFDEB3A}"/>
    <cellStyle name="Normal 12 6 5" xfId="10187" xr:uid="{03AD101F-D3A0-4276-A0FB-2C532E77F542}"/>
    <cellStyle name="Normal 12 7" xfId="1183" xr:uid="{00000000-0005-0000-0000-00005E0E0000}"/>
    <cellStyle name="Normal 12 7 2" xfId="3414" xr:uid="{00000000-0005-0000-0000-00005F0E0000}"/>
    <cellStyle name="Normal 12 7 2 2" xfId="7636" xr:uid="{00000000-0005-0000-0000-0000600E0000}"/>
    <cellStyle name="Normal 12 7 2 2 2" xfId="25402" xr:uid="{995D2CE6-59FB-47E7-8450-8685CE42D3A5}"/>
    <cellStyle name="Normal 12 7 2 2 3" xfId="16962" xr:uid="{C19F2981-6D7A-4177-94FA-42B218B78F92}"/>
    <cellStyle name="Normal 12 7 2 3" xfId="21185" xr:uid="{130B5030-151B-4AAD-9ECF-7F7423927464}"/>
    <cellStyle name="Normal 12 7 2 4" xfId="12745" xr:uid="{6713DB4C-69C6-4273-AD12-C028609662F8}"/>
    <cellStyle name="Normal 12 7 3" xfId="5491" xr:uid="{00000000-0005-0000-0000-0000610E0000}"/>
    <cellStyle name="Normal 12 7 3 2" xfId="23257" xr:uid="{6DC8E1B9-9C42-4582-885C-A71C94A3CAB0}"/>
    <cellStyle name="Normal 12 7 3 3" xfId="14817" xr:uid="{63B984AB-FA81-4EFE-BE45-7DEF10B2F010}"/>
    <cellStyle name="Normal 12 7 4" xfId="19040" xr:uid="{F98540FA-9A63-4D8E-91E1-FCE85CF7C8BA}"/>
    <cellStyle name="Normal 12 7 5" xfId="10600" xr:uid="{BE3C1760-ABD2-4895-8000-BA3937C1FBD4}"/>
    <cellStyle name="Normal 12 8" xfId="1597" xr:uid="{00000000-0005-0000-0000-0000620E0000}"/>
    <cellStyle name="Normal 12 8 2" xfId="3827" xr:uid="{00000000-0005-0000-0000-0000630E0000}"/>
    <cellStyle name="Normal 12 8 2 2" xfId="8049" xr:uid="{00000000-0005-0000-0000-0000640E0000}"/>
    <cellStyle name="Normal 12 8 2 2 2" xfId="25815" xr:uid="{2E673E7A-BAD4-4931-B4C2-9E88DE1B4135}"/>
    <cellStyle name="Normal 12 8 2 2 3" xfId="17375" xr:uid="{8622B7D1-32D5-4EDE-A307-E3222DE10807}"/>
    <cellStyle name="Normal 12 8 2 3" xfId="21598" xr:uid="{01B98796-7E38-4362-9C60-3398EF36C3FB}"/>
    <cellStyle name="Normal 12 8 2 4" xfId="13158" xr:uid="{631F8AA8-FC1D-4896-9408-A4AFDC99AD14}"/>
    <cellStyle name="Normal 12 8 3" xfId="5904" xr:uid="{00000000-0005-0000-0000-0000650E0000}"/>
    <cellStyle name="Normal 12 8 3 2" xfId="23670" xr:uid="{A396789C-81A7-42ED-943D-A34F00F03B20}"/>
    <cellStyle name="Normal 12 8 3 3" xfId="15230" xr:uid="{C021168C-E3C8-40DB-BA01-2703C4E9CF79}"/>
    <cellStyle name="Normal 12 8 4" xfId="19453" xr:uid="{17649110-0F22-4116-9E56-28B066ADD3D9}"/>
    <cellStyle name="Normal 12 8 5" xfId="11013" xr:uid="{66F78CDB-7EE3-49A7-AD1D-CEA74FC68781}"/>
    <cellStyle name="Normal 12 9" xfId="2011" xr:uid="{00000000-0005-0000-0000-0000660E0000}"/>
    <cellStyle name="Normal 12 9 2" xfId="4240" xr:uid="{00000000-0005-0000-0000-0000670E0000}"/>
    <cellStyle name="Normal 12 9 2 2" xfId="8462" xr:uid="{00000000-0005-0000-0000-0000680E0000}"/>
    <cellStyle name="Normal 12 9 2 2 2" xfId="26228" xr:uid="{2CA6985A-B482-4977-8117-7CA1226B261D}"/>
    <cellStyle name="Normal 12 9 2 2 3" xfId="17788" xr:uid="{F36ADAA7-BD00-4C28-8F4C-A45CE1A20772}"/>
    <cellStyle name="Normal 12 9 2 3" xfId="22011" xr:uid="{F2AFA735-D268-4F45-A5B6-0E95FE02CA61}"/>
    <cellStyle name="Normal 12 9 2 4" xfId="13571" xr:uid="{E71662D9-8373-43BE-961A-84624E37B03A}"/>
    <cellStyle name="Normal 12 9 3" xfId="6317" xr:uid="{00000000-0005-0000-0000-0000690E0000}"/>
    <cellStyle name="Normal 12 9 3 2" xfId="24083" xr:uid="{02310ADD-1E6D-45C3-8CE8-4147BB82CCF3}"/>
    <cellStyle name="Normal 12 9 3 3" xfId="15643" xr:uid="{30513A5E-567F-44E3-9B16-6C72B4AE2A78}"/>
    <cellStyle name="Normal 12 9 4" xfId="19866" xr:uid="{08AA7E71-FA56-4313-957D-4A724B92E2A4}"/>
    <cellStyle name="Normal 12 9 5" xfId="11426" xr:uid="{D190A734-5294-4631-8AB8-ECADB50D0A4C}"/>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24997" xr:uid="{D21E03C9-EF07-4BA3-8C0A-EEF41F6F445E}"/>
    <cellStyle name="Normal 14 2 2 2 3" xfId="16557" xr:uid="{D986D17D-FB87-4AEA-B597-908073D38E33}"/>
    <cellStyle name="Normal 14 2 2 3" xfId="20780" xr:uid="{8B3BF9C4-B65E-455A-BB30-C9C3FFC6A63E}"/>
    <cellStyle name="Normal 14 2 2 4" xfId="12340" xr:uid="{77D0E4A2-D2F7-4F2F-9AC8-F3E1B7F81F67}"/>
    <cellStyle name="Normal 14 2 3" xfId="5086" xr:uid="{00000000-0005-0000-0000-0000700E0000}"/>
    <cellStyle name="Normal 14 2 3 2" xfId="22852" xr:uid="{97B5A622-133C-47BA-8417-6EB19ED9EA2B}"/>
    <cellStyle name="Normal 14 2 3 3" xfId="14412" xr:uid="{004471F3-69ED-455E-B920-DD433656D878}"/>
    <cellStyle name="Normal 14 2 4" xfId="9371" xr:uid="{E1AFB5B4-F468-480A-B09F-3374B2F03BDA}"/>
    <cellStyle name="Normal 14 2 4 2" xfId="18635" xr:uid="{46291831-8520-41F6-93D8-85C5105B20A9}"/>
    <cellStyle name="Normal 14 2 5" xfId="10195" xr:uid="{07A77E74-7ABF-4F0A-961E-C53452B1E0D5}"/>
    <cellStyle name="Normal 14 3" xfId="1191" xr:uid="{00000000-0005-0000-0000-0000710E0000}"/>
    <cellStyle name="Normal 14 3 2" xfId="3422" xr:uid="{00000000-0005-0000-0000-0000720E0000}"/>
    <cellStyle name="Normal 14 3 2 2" xfId="7644" xr:uid="{00000000-0005-0000-0000-0000730E0000}"/>
    <cellStyle name="Normal 14 3 2 2 2" xfId="25410" xr:uid="{98257B6A-56DD-4D62-B02C-283AF3D4D7E1}"/>
    <cellStyle name="Normal 14 3 2 2 3" xfId="16970" xr:uid="{B9598B55-5952-4662-BF37-6ABCCABA6E62}"/>
    <cellStyle name="Normal 14 3 2 3" xfId="21193" xr:uid="{19B66D1E-A629-4FDC-B8E1-29E726B38E4E}"/>
    <cellStyle name="Normal 14 3 2 4" xfId="12753" xr:uid="{F0505F2F-6457-4525-9DB4-8138AF5DE504}"/>
    <cellStyle name="Normal 14 3 3" xfId="5499" xr:uid="{00000000-0005-0000-0000-0000740E0000}"/>
    <cellStyle name="Normal 14 3 3 2" xfId="23265" xr:uid="{79C1076C-09E4-4865-843B-A8C91E70F42D}"/>
    <cellStyle name="Normal 14 3 3 3" xfId="14825" xr:uid="{413A088B-FCD8-4DF3-8EBB-4658838ED4E2}"/>
    <cellStyle name="Normal 14 3 4" xfId="19048" xr:uid="{D37B082D-DF36-4F9A-9656-68E1050955F8}"/>
    <cellStyle name="Normal 14 3 5" xfId="10608" xr:uid="{6FD23494-3A5D-4606-B9C3-C286D1DE8698}"/>
    <cellStyle name="Normal 14 4" xfId="1605" xr:uid="{00000000-0005-0000-0000-0000750E0000}"/>
    <cellStyle name="Normal 14 4 2" xfId="3835" xr:uid="{00000000-0005-0000-0000-0000760E0000}"/>
    <cellStyle name="Normal 14 4 2 2" xfId="8057" xr:uid="{00000000-0005-0000-0000-0000770E0000}"/>
    <cellStyle name="Normal 14 4 2 2 2" xfId="25823" xr:uid="{208BE679-D233-4455-B280-76D76D4053B4}"/>
    <cellStyle name="Normal 14 4 2 2 3" xfId="17383" xr:uid="{0D85F671-5CC2-4D67-936D-D59488A12948}"/>
    <cellStyle name="Normal 14 4 2 3" xfId="21606" xr:uid="{A18254EC-A339-42E5-A358-D8005D1DD4B2}"/>
    <cellStyle name="Normal 14 4 2 4" xfId="13166" xr:uid="{08FD3592-8401-459A-9D9F-4D26F041BF74}"/>
    <cellStyle name="Normal 14 4 3" xfId="5912" xr:uid="{00000000-0005-0000-0000-0000780E0000}"/>
    <cellStyle name="Normal 14 4 3 2" xfId="23678" xr:uid="{C563C4B2-5127-422B-A238-8BD35DD787E1}"/>
    <cellStyle name="Normal 14 4 3 3" xfId="15238" xr:uid="{39880922-B2C0-4AF3-B9D8-BEEF528CF753}"/>
    <cellStyle name="Normal 14 4 4" xfId="19461" xr:uid="{EB761E9B-2B5C-40DC-8260-67CEC887657A}"/>
    <cellStyle name="Normal 14 4 5" xfId="11021" xr:uid="{0F3D00E3-0631-4F56-BFBA-EF722297872B}"/>
    <cellStyle name="Normal 14 5" xfId="2019" xr:uid="{00000000-0005-0000-0000-0000790E0000}"/>
    <cellStyle name="Normal 14 5 2" xfId="4248" xr:uid="{00000000-0005-0000-0000-00007A0E0000}"/>
    <cellStyle name="Normal 14 5 2 2" xfId="8470" xr:uid="{00000000-0005-0000-0000-00007B0E0000}"/>
    <cellStyle name="Normal 14 5 2 2 2" xfId="26236" xr:uid="{2A5ABD3E-4F9F-4BF8-9E2D-B0533976CF55}"/>
    <cellStyle name="Normal 14 5 2 2 3" xfId="17796" xr:uid="{A32AE766-9C8D-4B12-843F-C57B124DFB1F}"/>
    <cellStyle name="Normal 14 5 2 3" xfId="22019" xr:uid="{9CF21BF1-ADB4-4D07-A00E-31880E2B8BFD}"/>
    <cellStyle name="Normal 14 5 2 4" xfId="13579" xr:uid="{9DEEF79E-DC42-4E9D-923D-F1189866DB13}"/>
    <cellStyle name="Normal 14 5 3" xfId="6325" xr:uid="{00000000-0005-0000-0000-00007C0E0000}"/>
    <cellStyle name="Normal 14 5 3 2" xfId="24091" xr:uid="{856352FF-A9A2-4ABA-86B2-D6C911A00706}"/>
    <cellStyle name="Normal 14 5 3 3" xfId="15651" xr:uid="{98952A2C-07BF-48FC-8A18-160E0CCC81E4}"/>
    <cellStyle name="Normal 14 5 4" xfId="19874" xr:uid="{4FC35FCD-1C04-4827-9719-5B9C110339FE}"/>
    <cellStyle name="Normal 14 5 5" xfId="11434" xr:uid="{80A49771-21D6-495C-A72E-9E0395F454CD}"/>
    <cellStyle name="Normal 14 6" xfId="2455" xr:uid="{00000000-0005-0000-0000-00007D0E0000}"/>
    <cellStyle name="Normal 14 6 2" xfId="6738" xr:uid="{00000000-0005-0000-0000-00007E0E0000}"/>
    <cellStyle name="Normal 14 6 2 2" xfId="24504" xr:uid="{3BE5D6C3-DC99-488C-AE13-EFA911E4FF73}"/>
    <cellStyle name="Normal 14 6 2 3" xfId="16064" xr:uid="{F703BF87-5AD9-4212-9C1D-3BE0BFFDD51F}"/>
    <cellStyle name="Normal 14 6 3" xfId="20287" xr:uid="{972AFBEE-1430-4F1B-B311-760BB453EE1F}"/>
    <cellStyle name="Normal 14 6 4" xfId="11847" xr:uid="{CB73C834-712F-4C4B-8FC1-982CB3BC97ED}"/>
    <cellStyle name="Normal 14 7" xfId="4672" xr:uid="{00000000-0005-0000-0000-00007F0E0000}"/>
    <cellStyle name="Normal 14 7 2" xfId="22438" xr:uid="{9E8F5445-7467-438C-A7F9-AA1EB60872E7}"/>
    <cellStyle name="Normal 14 7 3" xfId="13998" xr:uid="{FE86BC63-FA1B-48BD-BACA-CC0733793E7B}"/>
    <cellStyle name="Normal 14 8" xfId="8946" xr:uid="{DD997A1C-6669-41AA-8AC1-78121AFC796C}"/>
    <cellStyle name="Normal 14 8 2" xfId="18221" xr:uid="{119D8025-00B4-4D38-B2E7-B4650957F063}"/>
    <cellStyle name="Normal 14 9" xfId="9781" xr:uid="{A2C319EC-192B-4D51-B791-AFECBCBDB722}"/>
    <cellStyle name="Normal 15" xfId="4496" xr:uid="{00000000-0005-0000-0000-0000800E0000}"/>
    <cellStyle name="Normal 15 2" xfId="9578" xr:uid="{99513E76-E7E2-49D8-ADC5-F882C61FFC79}"/>
    <cellStyle name="Normal 15 2 2" xfId="22264" xr:uid="{AB706FFE-E00F-49E7-B045-17C282FAED3C}"/>
    <cellStyle name="Normal 15 3" xfId="9155" xr:uid="{47700DD8-A88A-4CB4-BFAD-BA75A2D4FC8E}"/>
    <cellStyle name="Normal 15 4" xfId="13824" xr:uid="{1B687E62-9193-48DD-816D-FBF0B31723E4}"/>
    <cellStyle name="Normal 16" xfId="4500" xr:uid="{00000000-0005-0000-0000-0000810E0000}"/>
    <cellStyle name="Normal 16 2" xfId="8715" xr:uid="{00000000-0005-0000-0000-0000820E0000}"/>
    <cellStyle name="Normal 16 2 2" xfId="26481" xr:uid="{2A85A6C1-184A-4717-BA65-01C67E7A585E}"/>
    <cellStyle name="Normal 16 2 3" xfId="18041" xr:uid="{40EB3927-1086-4B66-8173-B487FB7914EB}"/>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3" xfId="26490" xr:uid="{2F1DBA14-C90F-4574-83B9-FC0FD2ACA2EE}"/>
    <cellStyle name="Normal 16 3 2 2 3" xfId="18050" xr:uid="{3E23F311-F230-42E4-91DA-8C593A339D6C}"/>
    <cellStyle name="Normal 16 3 2 3" xfId="26487" xr:uid="{5688253D-A14A-45F2-9E02-65E8DFA36F73}"/>
    <cellStyle name="Normal 16 3 2 4" xfId="18047" xr:uid="{CA2F63E7-937F-42E4-9F62-59EBDA9BEA00}"/>
    <cellStyle name="Normal 16 3 3" xfId="26484" xr:uid="{D2426BCF-8CB8-4C18-B593-0748DB958613}"/>
    <cellStyle name="Normal 16 3 4" xfId="18044" xr:uid="{A11C304C-40D3-40CB-8BA1-75D115C26075}"/>
    <cellStyle name="Normal 16 4" xfId="9612" xr:uid="{8729F6E8-3534-4DAE-B0B2-B2AF3CDCD313}"/>
    <cellStyle name="Normal 16 4 2" xfId="22267" xr:uid="{2F7C2EB9-0C59-446D-B704-F3362751FC73}"/>
    <cellStyle name="Normal 16 5" xfId="13827" xr:uid="{3C59B898-2638-4C23-B76A-E688C1340CD5}"/>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26237" xr:uid="{61B008E1-EADC-467B-8E0A-581AE69DFCCB}"/>
    <cellStyle name="Normal 2 4 2 10 2 2 3" xfId="17797" xr:uid="{1409B08E-CA22-4A85-986F-7F8FA63936CB}"/>
    <cellStyle name="Normal 2 4 2 10 2 3" xfId="22020" xr:uid="{FCA6B532-6652-49E5-ADAF-3EB4D3068CA6}"/>
    <cellStyle name="Normal 2 4 2 10 2 4" xfId="13580" xr:uid="{F8412D23-DB72-4E25-BF29-9F8B8D7EAE03}"/>
    <cellStyle name="Normal 2 4 2 10 3" xfId="6326" xr:uid="{00000000-0005-0000-0000-0000910E0000}"/>
    <cellStyle name="Normal 2 4 2 10 3 2" xfId="24092" xr:uid="{5CE30493-1186-4585-A688-CC0AF4032FD0}"/>
    <cellStyle name="Normal 2 4 2 10 3 3" xfId="15652" xr:uid="{DDEA75D6-E0C8-4E96-815A-56E769418A71}"/>
    <cellStyle name="Normal 2 4 2 10 4" xfId="19875" xr:uid="{FD2EAB89-8A40-4B93-B624-934292303149}"/>
    <cellStyle name="Normal 2 4 2 10 5" xfId="11435" xr:uid="{F47DFA9E-DFA4-4FE6-9AB0-86A8D84BA108}"/>
    <cellStyle name="Normal 2 4 2 11" xfId="2456" xr:uid="{00000000-0005-0000-0000-0000920E0000}"/>
    <cellStyle name="Normal 2 4 2 11 2" xfId="6739" xr:uid="{00000000-0005-0000-0000-0000930E0000}"/>
    <cellStyle name="Normal 2 4 2 11 2 2" xfId="24505" xr:uid="{3852240B-A0C6-4F4C-87D6-AE76A906D296}"/>
    <cellStyle name="Normal 2 4 2 11 2 3" xfId="16065" xr:uid="{F1207A7D-36D2-4D4E-B818-B982E70AB251}"/>
    <cellStyle name="Normal 2 4 2 11 3" xfId="20288" xr:uid="{92A28ACC-5718-4EAA-B5A1-493B3805064E}"/>
    <cellStyle name="Normal 2 4 2 11 4" xfId="11848" xr:uid="{36ADB241-4F2A-4498-BD94-AD680B920D90}"/>
    <cellStyle name="Normal 2 4 2 12" xfId="4673" xr:uid="{00000000-0005-0000-0000-0000940E0000}"/>
    <cellStyle name="Normal 2 4 2 12 2" xfId="22439" xr:uid="{67F8667B-7DBC-4D00-88C6-5383F0D6128B}"/>
    <cellStyle name="Normal 2 4 2 12 3" xfId="13999" xr:uid="{096E964B-0CB8-405A-AF84-3F8CFFDE81C3}"/>
    <cellStyle name="Normal 2 4 2 13" xfId="8757" xr:uid="{563A76DD-F7DD-49F0-A61E-0419F4C31301}"/>
    <cellStyle name="Normal 2 4 2 13 2" xfId="18222" xr:uid="{02035AAB-2723-4276-AF30-54361F8D04B9}"/>
    <cellStyle name="Normal 2 4 2 14" xfId="9782" xr:uid="{468CA75C-CD83-4752-B14F-6818E70AD95D}"/>
    <cellStyle name="Normal 2 4 2 2" xfId="280" xr:uid="{00000000-0005-0000-0000-0000950E0000}"/>
    <cellStyle name="Normal 2 4 2 3" xfId="281" xr:uid="{00000000-0005-0000-0000-0000960E0000}"/>
    <cellStyle name="Normal 2 4 2 3 10" xfId="4674" xr:uid="{00000000-0005-0000-0000-0000970E0000}"/>
    <cellStyle name="Normal 2 4 2 3 10 2" xfId="22440" xr:uid="{BDE2BE38-63E1-4BFB-9843-9AA8345CCFCC}"/>
    <cellStyle name="Normal 2 4 2 3 10 3" xfId="14000" xr:uid="{9A8A60A7-88FA-4561-87D0-A4F23E43FD48}"/>
    <cellStyle name="Normal 2 4 2 3 11" xfId="8788" xr:uid="{EAD3D227-C8EF-4F54-8D24-EE1EA1F017BB}"/>
    <cellStyle name="Normal 2 4 2 3 11 2" xfId="18223" xr:uid="{62B17B0D-56CA-48A0-B629-16702A7D6865}"/>
    <cellStyle name="Normal 2 4 2 3 12" xfId="9783" xr:uid="{13D7FB54-6AEF-4DC4-94C1-5F6C3B8DF51C}"/>
    <cellStyle name="Normal 2 4 2 3 2" xfId="282" xr:uid="{00000000-0005-0000-0000-0000980E0000}"/>
    <cellStyle name="Normal 2 4 2 3 2 10" xfId="8813" xr:uid="{C03AE35D-2438-4E07-AE9C-6D04EC6DA2B7}"/>
    <cellStyle name="Normal 2 4 2 3 2 10 2" xfId="18224" xr:uid="{AB8B4F3D-173D-43E3-8D2F-471C10B5EA14}"/>
    <cellStyle name="Normal 2 4 2 3 2 11" xfId="9784" xr:uid="{646D524A-75B2-4319-8B75-02DB85D51006}"/>
    <cellStyle name="Normal 2 4 2 3 2 2" xfId="283" xr:uid="{00000000-0005-0000-0000-0000990E0000}"/>
    <cellStyle name="Normal 2 4 2 3 2 2 10" xfId="9785" xr:uid="{AF3F8A10-09A8-4BDB-8773-B5F851CBF9AB}"/>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25002" xr:uid="{B0090A50-EB4C-447C-A201-D9CDB1CC96E1}"/>
    <cellStyle name="Normal 2 4 2 3 2 2 2 2 2 2 3" xfId="16562" xr:uid="{D49D08DD-2A47-43B0-B3F6-4EA7C7F2B0B4}"/>
    <cellStyle name="Normal 2 4 2 3 2 2 2 2 2 3" xfId="20785" xr:uid="{0C3856E4-BA49-4979-B57D-8A7A0F9A9764}"/>
    <cellStyle name="Normal 2 4 2 3 2 2 2 2 2 4" xfId="12345" xr:uid="{5EF5BF0C-64FE-49EE-9607-59D0CAD4932C}"/>
    <cellStyle name="Normal 2 4 2 3 2 2 2 2 3" xfId="5091" xr:uid="{00000000-0005-0000-0000-00009E0E0000}"/>
    <cellStyle name="Normal 2 4 2 3 2 2 2 2 3 2" xfId="22857" xr:uid="{8A6774A8-6D6E-46D2-998E-944B045A8D2C}"/>
    <cellStyle name="Normal 2 4 2 3 2 2 2 2 3 3" xfId="14417" xr:uid="{DE2DF43F-5106-4AD2-BD89-6EC70B851129}"/>
    <cellStyle name="Normal 2 4 2 3 2 2 2 2 4" xfId="9548" xr:uid="{29E7289E-B3F4-4F63-9B9C-B531B0E50CEB}"/>
    <cellStyle name="Normal 2 4 2 3 2 2 2 2 4 2" xfId="18640" xr:uid="{36A42543-413A-48DA-8D8C-C9A3060600CA}"/>
    <cellStyle name="Normal 2 4 2 3 2 2 2 2 5" xfId="10200" xr:uid="{B0196497-04E2-4E30-A45D-2B82EA2A8CAD}"/>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25415" xr:uid="{BEC996BB-5679-4541-853D-2FA459B2DDD2}"/>
    <cellStyle name="Normal 2 4 2 3 2 2 2 3 2 2 3" xfId="16975" xr:uid="{27308ECA-B4F6-4534-9612-9CE78B44E06C}"/>
    <cellStyle name="Normal 2 4 2 3 2 2 2 3 2 3" xfId="21198" xr:uid="{B82FB93B-BC0D-4A30-9AD6-D3C3F9CCE5B4}"/>
    <cellStyle name="Normal 2 4 2 3 2 2 2 3 2 4" xfId="12758" xr:uid="{D3531AE1-B190-48BC-8476-F635179D725F}"/>
    <cellStyle name="Normal 2 4 2 3 2 2 2 3 3" xfId="5504" xr:uid="{00000000-0005-0000-0000-0000A20E0000}"/>
    <cellStyle name="Normal 2 4 2 3 2 2 2 3 3 2" xfId="23270" xr:uid="{A647D204-4FC4-46FB-A245-32C63AEE32B8}"/>
    <cellStyle name="Normal 2 4 2 3 2 2 2 3 3 3" xfId="14830" xr:uid="{7B5716B3-5813-429A-BA31-52F99C8D77CD}"/>
    <cellStyle name="Normal 2 4 2 3 2 2 2 3 4" xfId="19053" xr:uid="{59D4A088-8771-40A2-9762-1E5F83D4E070}"/>
    <cellStyle name="Normal 2 4 2 3 2 2 2 3 5" xfId="10613" xr:uid="{7D65485C-2377-4F28-9574-85657C0235C5}"/>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25828" xr:uid="{7D10B4C1-60CF-41AA-BACA-874BFAAF84E8}"/>
    <cellStyle name="Normal 2 4 2 3 2 2 2 4 2 2 3" xfId="17388" xr:uid="{3FC579E7-A1A8-4CED-BB52-1B3F2B25672C}"/>
    <cellStyle name="Normal 2 4 2 3 2 2 2 4 2 3" xfId="21611" xr:uid="{46FC6D60-C825-4492-A7D5-3B20DF7607D0}"/>
    <cellStyle name="Normal 2 4 2 3 2 2 2 4 2 4" xfId="13171" xr:uid="{57E8492A-613B-4873-9108-9C37F319364A}"/>
    <cellStyle name="Normal 2 4 2 3 2 2 2 4 3" xfId="5917" xr:uid="{00000000-0005-0000-0000-0000A60E0000}"/>
    <cellStyle name="Normal 2 4 2 3 2 2 2 4 3 2" xfId="23683" xr:uid="{A3B7215D-D339-4F53-9A4A-A78E1AA54BDF}"/>
    <cellStyle name="Normal 2 4 2 3 2 2 2 4 3 3" xfId="15243" xr:uid="{A3A05307-ED3B-41A3-9E22-7657C9F1A4D7}"/>
    <cellStyle name="Normal 2 4 2 3 2 2 2 4 4" xfId="19466" xr:uid="{68F06F47-F47C-4973-B283-C76328DADDF0}"/>
    <cellStyle name="Normal 2 4 2 3 2 2 2 4 5" xfId="11026" xr:uid="{A073D85B-7A56-49B2-A824-223CED216711}"/>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26241" xr:uid="{9BDF0CE9-0E2A-4240-8082-A7B1400C044B}"/>
    <cellStyle name="Normal 2 4 2 3 2 2 2 5 2 2 3" xfId="17801" xr:uid="{2D29FA53-4475-461E-B29A-B99424E8B98B}"/>
    <cellStyle name="Normal 2 4 2 3 2 2 2 5 2 3" xfId="22024" xr:uid="{2BFFE80F-F6AD-4FF0-829C-9EDC76B9060D}"/>
    <cellStyle name="Normal 2 4 2 3 2 2 2 5 2 4" xfId="13584" xr:uid="{03F244AD-4CA0-4EB5-8A36-281D0175C194}"/>
    <cellStyle name="Normal 2 4 2 3 2 2 2 5 3" xfId="6330" xr:uid="{00000000-0005-0000-0000-0000AA0E0000}"/>
    <cellStyle name="Normal 2 4 2 3 2 2 2 5 3 2" xfId="24096" xr:uid="{750B3B5F-12FA-4858-9AAA-07A9FA71DEFA}"/>
    <cellStyle name="Normal 2 4 2 3 2 2 2 5 3 3" xfId="15656" xr:uid="{1D760BE5-9242-45D2-97D7-96328343335E}"/>
    <cellStyle name="Normal 2 4 2 3 2 2 2 5 4" xfId="19879" xr:uid="{9E4A17B8-7E3B-4900-927D-EFA85D639088}"/>
    <cellStyle name="Normal 2 4 2 3 2 2 2 5 5" xfId="11439" xr:uid="{AF9F1B77-59FB-4F96-A2F5-BCF6C9C741E3}"/>
    <cellStyle name="Normal 2 4 2 3 2 2 2 6" xfId="2460" xr:uid="{00000000-0005-0000-0000-0000AB0E0000}"/>
    <cellStyle name="Normal 2 4 2 3 2 2 2 6 2" xfId="6743" xr:uid="{00000000-0005-0000-0000-0000AC0E0000}"/>
    <cellStyle name="Normal 2 4 2 3 2 2 2 6 2 2" xfId="24509" xr:uid="{B1735A6B-B63D-4563-90FB-40966A156B16}"/>
    <cellStyle name="Normal 2 4 2 3 2 2 2 6 2 3" xfId="16069" xr:uid="{C701A79B-BB2D-4851-B5AC-829C28B7BBD9}"/>
    <cellStyle name="Normal 2 4 2 3 2 2 2 6 3" xfId="20292" xr:uid="{2D4D3684-5E87-487D-BA82-913996118894}"/>
    <cellStyle name="Normal 2 4 2 3 2 2 2 6 4" xfId="11852" xr:uid="{B2B235F6-34F0-4D9D-BDD5-A8BBFA8FF149}"/>
    <cellStyle name="Normal 2 4 2 3 2 2 2 7" xfId="4677" xr:uid="{00000000-0005-0000-0000-0000AD0E0000}"/>
    <cellStyle name="Normal 2 4 2 3 2 2 2 7 2" xfId="22443" xr:uid="{E00C1158-D2A9-4460-94C7-EFB8274ACFD0}"/>
    <cellStyle name="Normal 2 4 2 3 2 2 2 7 3" xfId="14003" xr:uid="{782FC21C-75A8-45C4-9089-4005AE3007D5}"/>
    <cellStyle name="Normal 2 4 2 3 2 2 2 8" xfId="9123" xr:uid="{9F0183A9-880D-46D9-BB7D-5696E4723F5F}"/>
    <cellStyle name="Normal 2 4 2 3 2 2 2 8 2" xfId="18226" xr:uid="{808B9E84-BB74-4DF8-87BE-829B6DE33991}"/>
    <cellStyle name="Normal 2 4 2 3 2 2 2 9" xfId="9786" xr:uid="{DCEC70A6-044E-4EC0-944A-43BBF5852177}"/>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25001" xr:uid="{6F6C53BC-0CE4-4F2D-9A74-E7BE6486D486}"/>
    <cellStyle name="Normal 2 4 2 3 2 2 3 2 2 3" xfId="16561" xr:uid="{2BB3C185-AA61-42ED-9FAD-4ABA2457076C}"/>
    <cellStyle name="Normal 2 4 2 3 2 2 3 2 3" xfId="20784" xr:uid="{6AA8D71C-4DB9-4E11-B56A-778CC1433502}"/>
    <cellStyle name="Normal 2 4 2 3 2 2 3 2 4" xfId="12344" xr:uid="{A6AD4FA7-1089-4B38-BED3-91BA65FFE471}"/>
    <cellStyle name="Normal 2 4 2 3 2 2 3 3" xfId="5090" xr:uid="{00000000-0005-0000-0000-0000B10E0000}"/>
    <cellStyle name="Normal 2 4 2 3 2 2 3 3 2" xfId="22856" xr:uid="{4EEC04E8-4322-427C-A720-2756967AD8A7}"/>
    <cellStyle name="Normal 2 4 2 3 2 2 3 3 3" xfId="14416" xr:uid="{094D5331-011C-4E8D-AA26-F40B92373F63}"/>
    <cellStyle name="Normal 2 4 2 3 2 2 3 4" xfId="9341" xr:uid="{4F113FF5-050D-47D1-A7D5-F829C93D993D}"/>
    <cellStyle name="Normal 2 4 2 3 2 2 3 4 2" xfId="18639" xr:uid="{67FBE4A4-464E-4914-A630-DAF0448C4051}"/>
    <cellStyle name="Normal 2 4 2 3 2 2 3 5" xfId="10199" xr:uid="{6A8D44C0-C721-4118-A12F-BEB7C9E1F0FA}"/>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25414" xr:uid="{58114ACB-E6C1-416E-A013-1F457870BB71}"/>
    <cellStyle name="Normal 2 4 2 3 2 2 4 2 2 3" xfId="16974" xr:uid="{370D4F2B-7A26-4836-BE4A-00D39A758AB4}"/>
    <cellStyle name="Normal 2 4 2 3 2 2 4 2 3" xfId="21197" xr:uid="{8D856629-CE35-491F-8B66-48D47AF38F98}"/>
    <cellStyle name="Normal 2 4 2 3 2 2 4 2 4" xfId="12757" xr:uid="{44E81E80-FA37-4B88-826B-3A2D12ED040B}"/>
    <cellStyle name="Normal 2 4 2 3 2 2 4 3" xfId="5503" xr:uid="{00000000-0005-0000-0000-0000B50E0000}"/>
    <cellStyle name="Normal 2 4 2 3 2 2 4 3 2" xfId="23269" xr:uid="{580126F2-6045-481B-A422-CEF594AD4BC1}"/>
    <cellStyle name="Normal 2 4 2 3 2 2 4 3 3" xfId="14829" xr:uid="{E45388EE-5E72-4C71-A90C-CBC246403713}"/>
    <cellStyle name="Normal 2 4 2 3 2 2 4 4" xfId="19052" xr:uid="{17D7F090-F6E9-4EA9-A04E-1D01693094B5}"/>
    <cellStyle name="Normal 2 4 2 3 2 2 4 5" xfId="10612" xr:uid="{6C6A9A48-1BD2-4E5F-A45A-DEE540F36C2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25827" xr:uid="{599A7F00-17FB-4EC6-8615-33154BF95BAE}"/>
    <cellStyle name="Normal 2 4 2 3 2 2 5 2 2 3" xfId="17387" xr:uid="{72444D83-28B2-4E5A-BEDD-339FBB3F0C33}"/>
    <cellStyle name="Normal 2 4 2 3 2 2 5 2 3" xfId="21610" xr:uid="{2396BBD0-9F3F-446F-B3F9-22886CB49508}"/>
    <cellStyle name="Normal 2 4 2 3 2 2 5 2 4" xfId="13170" xr:uid="{3969930A-2F76-4E9F-A18C-08993B3EC1A8}"/>
    <cellStyle name="Normal 2 4 2 3 2 2 5 3" xfId="5916" xr:uid="{00000000-0005-0000-0000-0000B90E0000}"/>
    <cellStyle name="Normal 2 4 2 3 2 2 5 3 2" xfId="23682" xr:uid="{C71716A0-24D5-44F1-BB97-C575E2BF3ADB}"/>
    <cellStyle name="Normal 2 4 2 3 2 2 5 3 3" xfId="15242" xr:uid="{2B11F754-CDAA-42A3-8202-DCC3FC0F9E1A}"/>
    <cellStyle name="Normal 2 4 2 3 2 2 5 4" xfId="19465" xr:uid="{5DC5D9EA-8399-4A76-A84A-69075A9544A6}"/>
    <cellStyle name="Normal 2 4 2 3 2 2 5 5" xfId="11025" xr:uid="{53297B6B-DA77-4826-B493-EF068BBA0706}"/>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26240" xr:uid="{732B370E-B2BE-409A-8E8C-CA0D9FBA989F}"/>
    <cellStyle name="Normal 2 4 2 3 2 2 6 2 2 3" xfId="17800" xr:uid="{B4DF6B55-4CB6-4CBC-9879-975480243E26}"/>
    <cellStyle name="Normal 2 4 2 3 2 2 6 2 3" xfId="22023" xr:uid="{A09432F2-551E-4DDE-AA4A-EB59A70440A4}"/>
    <cellStyle name="Normal 2 4 2 3 2 2 6 2 4" xfId="13583" xr:uid="{915F5010-23B5-47FB-A820-346618059DB5}"/>
    <cellStyle name="Normal 2 4 2 3 2 2 6 3" xfId="6329" xr:uid="{00000000-0005-0000-0000-0000BD0E0000}"/>
    <cellStyle name="Normal 2 4 2 3 2 2 6 3 2" xfId="24095" xr:uid="{A97701B8-5837-45AE-987E-E17F4B489A0B}"/>
    <cellStyle name="Normal 2 4 2 3 2 2 6 3 3" xfId="15655" xr:uid="{6587ED92-3613-4FDE-812D-8288567F7092}"/>
    <cellStyle name="Normal 2 4 2 3 2 2 6 4" xfId="19878" xr:uid="{B33FA659-87E2-4C4C-AF90-159E8443A415}"/>
    <cellStyle name="Normal 2 4 2 3 2 2 6 5" xfId="11438" xr:uid="{84FFEDC0-68F4-43FC-AD30-92E014E323EE}"/>
    <cellStyle name="Normal 2 4 2 3 2 2 7" xfId="2459" xr:uid="{00000000-0005-0000-0000-0000BE0E0000}"/>
    <cellStyle name="Normal 2 4 2 3 2 2 7 2" xfId="6742" xr:uid="{00000000-0005-0000-0000-0000BF0E0000}"/>
    <cellStyle name="Normal 2 4 2 3 2 2 7 2 2" xfId="24508" xr:uid="{5E708459-93D9-4525-A9A9-CE4C0CCC674B}"/>
    <cellStyle name="Normal 2 4 2 3 2 2 7 2 3" xfId="16068" xr:uid="{D81C6D60-F31E-4345-811C-49D2394FF68D}"/>
    <cellStyle name="Normal 2 4 2 3 2 2 7 3" xfId="20291" xr:uid="{6EAA8402-CBFC-42D9-966E-07EF44EAA8E0}"/>
    <cellStyle name="Normal 2 4 2 3 2 2 7 4" xfId="11851" xr:uid="{BEDE0F42-A506-4B4B-84B8-7D3DF58ADBAB}"/>
    <cellStyle name="Normal 2 4 2 3 2 2 8" xfId="4676" xr:uid="{00000000-0005-0000-0000-0000C00E0000}"/>
    <cellStyle name="Normal 2 4 2 3 2 2 8 2" xfId="22442" xr:uid="{D391B1A0-B84E-4458-B7D6-251846DF5533}"/>
    <cellStyle name="Normal 2 4 2 3 2 2 8 3" xfId="14002" xr:uid="{ACD88914-BC3D-4AFC-A031-4DBC212BF310}"/>
    <cellStyle name="Normal 2 4 2 3 2 2 9" xfId="8916" xr:uid="{1EF18CC7-44BB-43EB-8DB6-D193CEF128C1}"/>
    <cellStyle name="Normal 2 4 2 3 2 2 9 2" xfId="18225" xr:uid="{35C10120-CE67-468C-B814-09F9062BDAF3}"/>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25003" xr:uid="{9551F5EF-63ED-43CF-BBFF-00A11852270A}"/>
    <cellStyle name="Normal 2 4 2 3 2 3 2 2 2 3" xfId="16563" xr:uid="{517BC81C-76AB-4325-8D93-954FE91B9242}"/>
    <cellStyle name="Normal 2 4 2 3 2 3 2 2 3" xfId="20786" xr:uid="{5FC43D33-DD61-4B2F-BC64-7E49081C8EDF}"/>
    <cellStyle name="Normal 2 4 2 3 2 3 2 2 4" xfId="12346" xr:uid="{4A579143-1FDE-4E3C-A739-5431E054B505}"/>
    <cellStyle name="Normal 2 4 2 3 2 3 2 3" xfId="5092" xr:uid="{00000000-0005-0000-0000-0000C50E0000}"/>
    <cellStyle name="Normal 2 4 2 3 2 3 2 3 2" xfId="22858" xr:uid="{7B361BF1-4ABC-42E8-B404-22C47E37898D}"/>
    <cellStyle name="Normal 2 4 2 3 2 3 2 3 3" xfId="14418" xr:uid="{5B720AEF-1C15-4CCC-99DA-87D7A0F6AC74}"/>
    <cellStyle name="Normal 2 4 2 3 2 3 2 4" xfId="9445" xr:uid="{67F9E33C-8554-469D-8D7A-1147F632F3B0}"/>
    <cellStyle name="Normal 2 4 2 3 2 3 2 4 2" xfId="18641" xr:uid="{16920EEC-D7C3-4AAF-8F28-F1D7D8A97940}"/>
    <cellStyle name="Normal 2 4 2 3 2 3 2 5" xfId="10201" xr:uid="{1368EA22-8F56-469C-857C-A8B4BB7BA68C}"/>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25416" xr:uid="{BDF86C50-AA47-4777-9569-C6977601E15A}"/>
    <cellStyle name="Normal 2 4 2 3 2 3 3 2 2 3" xfId="16976" xr:uid="{81D28D19-0CAA-4FA0-BD38-644650E26875}"/>
    <cellStyle name="Normal 2 4 2 3 2 3 3 2 3" xfId="21199" xr:uid="{30E1BF55-3CFA-4CE5-84FF-AE3B534C0AA0}"/>
    <cellStyle name="Normal 2 4 2 3 2 3 3 2 4" xfId="12759" xr:uid="{725BEC74-E3B5-4727-A7B9-A4953A9738B4}"/>
    <cellStyle name="Normal 2 4 2 3 2 3 3 3" xfId="5505" xr:uid="{00000000-0005-0000-0000-0000C90E0000}"/>
    <cellStyle name="Normal 2 4 2 3 2 3 3 3 2" xfId="23271" xr:uid="{92B5A520-0E18-405E-9484-CA7565BB6299}"/>
    <cellStyle name="Normal 2 4 2 3 2 3 3 3 3" xfId="14831" xr:uid="{CC810130-6467-4958-876E-3394471E70CC}"/>
    <cellStyle name="Normal 2 4 2 3 2 3 3 4" xfId="19054" xr:uid="{6D2A8C9B-8C79-49CB-A517-4E872A106036}"/>
    <cellStyle name="Normal 2 4 2 3 2 3 3 5" xfId="10614" xr:uid="{EA207A6A-E462-4403-B45D-F20B3D3650E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25829" xr:uid="{44FB47F3-E60E-40D5-9BBC-F906257ED6B5}"/>
    <cellStyle name="Normal 2 4 2 3 2 3 4 2 2 3" xfId="17389" xr:uid="{1BE3BD93-4FF2-4E4D-9085-6507A41CBA45}"/>
    <cellStyle name="Normal 2 4 2 3 2 3 4 2 3" xfId="21612" xr:uid="{209EB9A5-76FB-46F7-9BC1-EE79B70D8C61}"/>
    <cellStyle name="Normal 2 4 2 3 2 3 4 2 4" xfId="13172" xr:uid="{107A1D03-70AB-4668-98C7-91E3787F5FF6}"/>
    <cellStyle name="Normal 2 4 2 3 2 3 4 3" xfId="5918" xr:uid="{00000000-0005-0000-0000-0000CD0E0000}"/>
    <cellStyle name="Normal 2 4 2 3 2 3 4 3 2" xfId="23684" xr:uid="{59BEE37E-6494-4756-AE5C-46369DFEFD7C}"/>
    <cellStyle name="Normal 2 4 2 3 2 3 4 3 3" xfId="15244" xr:uid="{9C9658B5-8C7A-463B-9233-E8B352F3ACD3}"/>
    <cellStyle name="Normal 2 4 2 3 2 3 4 4" xfId="19467" xr:uid="{D609DA64-FC6C-4299-9EF7-CFB775098534}"/>
    <cellStyle name="Normal 2 4 2 3 2 3 4 5" xfId="11027" xr:uid="{4E7E5667-A701-47EC-A47C-E6F9E6F0F8C5}"/>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26242" xr:uid="{80224C4B-F6C5-4E3D-B668-0079217B0906}"/>
    <cellStyle name="Normal 2 4 2 3 2 3 5 2 2 3" xfId="17802" xr:uid="{BB8C8D40-F94F-4312-A6FE-9016A78CB668}"/>
    <cellStyle name="Normal 2 4 2 3 2 3 5 2 3" xfId="22025" xr:uid="{3AFC6530-4DAF-4583-8DC2-77567D69E81E}"/>
    <cellStyle name="Normal 2 4 2 3 2 3 5 2 4" xfId="13585" xr:uid="{1D09D84E-75D8-4D4B-8AD0-1A2C4381BFBA}"/>
    <cellStyle name="Normal 2 4 2 3 2 3 5 3" xfId="6331" xr:uid="{00000000-0005-0000-0000-0000D10E0000}"/>
    <cellStyle name="Normal 2 4 2 3 2 3 5 3 2" xfId="24097" xr:uid="{48E28091-0F23-40E4-B3EB-74CBD3FE05DF}"/>
    <cellStyle name="Normal 2 4 2 3 2 3 5 3 3" xfId="15657" xr:uid="{65C3F5A3-FE1C-4466-8FD3-D098F5F72114}"/>
    <cellStyle name="Normal 2 4 2 3 2 3 5 4" xfId="19880" xr:uid="{1ECFB1D5-8E15-4838-9D6E-AD64EB30B3D2}"/>
    <cellStyle name="Normal 2 4 2 3 2 3 5 5" xfId="11440" xr:uid="{A7EF9CA9-0207-4D24-915F-A05FA6183867}"/>
    <cellStyle name="Normal 2 4 2 3 2 3 6" xfId="2461" xr:uid="{00000000-0005-0000-0000-0000D20E0000}"/>
    <cellStyle name="Normal 2 4 2 3 2 3 6 2" xfId="6744" xr:uid="{00000000-0005-0000-0000-0000D30E0000}"/>
    <cellStyle name="Normal 2 4 2 3 2 3 6 2 2" xfId="24510" xr:uid="{88E077B4-3D7D-486D-8053-F6D3E6A686AA}"/>
    <cellStyle name="Normal 2 4 2 3 2 3 6 2 3" xfId="16070" xr:uid="{3F4E5B7D-DC95-4A6A-ABCD-20E2CDAD9A59}"/>
    <cellStyle name="Normal 2 4 2 3 2 3 6 3" xfId="20293" xr:uid="{1E69C59A-90CF-422D-A336-0EA7250772DF}"/>
    <cellStyle name="Normal 2 4 2 3 2 3 6 4" xfId="11853" xr:uid="{244793A7-A3FD-41C4-9781-0E7BA80C0C4A}"/>
    <cellStyle name="Normal 2 4 2 3 2 3 7" xfId="4678" xr:uid="{00000000-0005-0000-0000-0000D40E0000}"/>
    <cellStyle name="Normal 2 4 2 3 2 3 7 2" xfId="22444" xr:uid="{92167354-D713-4C05-B044-708C2F80FD41}"/>
    <cellStyle name="Normal 2 4 2 3 2 3 7 3" xfId="14004" xr:uid="{215D9874-95F9-4FB7-AAD9-9500C306519B}"/>
    <cellStyle name="Normal 2 4 2 3 2 3 8" xfId="9020" xr:uid="{5718F785-8E2C-4B45-91D1-4597173D90A6}"/>
    <cellStyle name="Normal 2 4 2 3 2 3 8 2" xfId="18227" xr:uid="{7CA745DB-E68C-47D2-9092-D057E935E005}"/>
    <cellStyle name="Normal 2 4 2 3 2 3 9" xfId="9787" xr:uid="{A9B2CE32-3695-4E86-80E4-E86C092A6E1C}"/>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25000" xr:uid="{9C02EE48-3341-47F6-8276-93DA3CFFF4D6}"/>
    <cellStyle name="Normal 2 4 2 3 2 4 2 2 3" xfId="16560" xr:uid="{AC71993F-B1F9-4E5A-AE20-4429CC84AC11}"/>
    <cellStyle name="Normal 2 4 2 3 2 4 2 3" xfId="20783" xr:uid="{CC70399A-F82F-4B18-A380-FFC172178D40}"/>
    <cellStyle name="Normal 2 4 2 3 2 4 2 4" xfId="12343" xr:uid="{2588DB19-7E8F-4FF9-A44A-6193BB61D190}"/>
    <cellStyle name="Normal 2 4 2 3 2 4 3" xfId="5089" xr:uid="{00000000-0005-0000-0000-0000D80E0000}"/>
    <cellStyle name="Normal 2 4 2 3 2 4 3 2" xfId="22855" xr:uid="{3D7C5116-FD13-483B-B3A9-F9D9A1C1CEE4}"/>
    <cellStyle name="Normal 2 4 2 3 2 4 3 3" xfId="14415" xr:uid="{9CCD06BA-C813-45EB-A899-75C03EDBF6F0}"/>
    <cellStyle name="Normal 2 4 2 3 2 4 4" xfId="9238" xr:uid="{BC6E5A3D-C256-46E9-A109-D643C24AA206}"/>
    <cellStyle name="Normal 2 4 2 3 2 4 4 2" xfId="18638" xr:uid="{EC8FA224-4157-4868-B631-ED9D1D43A342}"/>
    <cellStyle name="Normal 2 4 2 3 2 4 5" xfId="10198" xr:uid="{3E309683-8416-4F44-9B97-8FB70C23C8E5}"/>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25413" xr:uid="{6281C3C5-437A-4577-A212-A41443C80864}"/>
    <cellStyle name="Normal 2 4 2 3 2 5 2 2 3" xfId="16973" xr:uid="{ED6B3C85-7A6C-40BC-A5A9-7F69185B6EFE}"/>
    <cellStyle name="Normal 2 4 2 3 2 5 2 3" xfId="21196" xr:uid="{ED98C48E-3866-4CD4-9580-6CFC56C78560}"/>
    <cellStyle name="Normal 2 4 2 3 2 5 2 4" xfId="12756" xr:uid="{BE79B513-583E-464B-A516-93322EA38C34}"/>
    <cellStyle name="Normal 2 4 2 3 2 5 3" xfId="5502" xr:uid="{00000000-0005-0000-0000-0000DC0E0000}"/>
    <cellStyle name="Normal 2 4 2 3 2 5 3 2" xfId="23268" xr:uid="{8BA7D175-9698-4EEB-91D7-8F1625C86C63}"/>
    <cellStyle name="Normal 2 4 2 3 2 5 3 3" xfId="14828" xr:uid="{341C1E3F-33E8-409A-AADE-C7A19D4A8AB3}"/>
    <cellStyle name="Normal 2 4 2 3 2 5 4" xfId="19051" xr:uid="{24831370-BC4B-48E3-AA2E-6E8C758D0024}"/>
    <cellStyle name="Normal 2 4 2 3 2 5 5" xfId="10611" xr:uid="{CE0C2EFB-EA02-4EFB-A42B-B0327C264846}"/>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25826" xr:uid="{5C4819DB-F2A0-4621-AFA2-23A9CD07B571}"/>
    <cellStyle name="Normal 2 4 2 3 2 6 2 2 3" xfId="17386" xr:uid="{B5F3BE0C-8158-4399-8B71-6A421E443588}"/>
    <cellStyle name="Normal 2 4 2 3 2 6 2 3" xfId="21609" xr:uid="{674B403F-621C-4B26-903D-BD3FF2197F0B}"/>
    <cellStyle name="Normal 2 4 2 3 2 6 2 4" xfId="13169" xr:uid="{4D9D1B6F-2295-43AE-B1B1-B00244441FAF}"/>
    <cellStyle name="Normal 2 4 2 3 2 6 3" xfId="5915" xr:uid="{00000000-0005-0000-0000-0000E00E0000}"/>
    <cellStyle name="Normal 2 4 2 3 2 6 3 2" xfId="23681" xr:uid="{C32847CB-A362-48BA-A7BA-D74372221493}"/>
    <cellStyle name="Normal 2 4 2 3 2 6 3 3" xfId="15241" xr:uid="{F6A92FF9-ACD8-4318-B567-9DA2D78F772A}"/>
    <cellStyle name="Normal 2 4 2 3 2 6 4" xfId="19464" xr:uid="{2BEE60F0-D7D7-424E-8C37-F55E786ABA73}"/>
    <cellStyle name="Normal 2 4 2 3 2 6 5" xfId="11024" xr:uid="{1BF6DDCF-FA39-40FD-B82C-4362ADB671C5}"/>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26239" xr:uid="{2127937B-65A4-452E-9A48-FEDFE68D755C}"/>
    <cellStyle name="Normal 2 4 2 3 2 7 2 2 3" xfId="17799" xr:uid="{37134F07-08C2-4F1F-9967-FB2C7DC5A811}"/>
    <cellStyle name="Normal 2 4 2 3 2 7 2 3" xfId="22022" xr:uid="{B8072536-83DD-47F9-AEDF-D9727D0E71EB}"/>
    <cellStyle name="Normal 2 4 2 3 2 7 2 4" xfId="13582" xr:uid="{288815A3-8212-4D4A-BEB4-D95123055B86}"/>
    <cellStyle name="Normal 2 4 2 3 2 7 3" xfId="6328" xr:uid="{00000000-0005-0000-0000-0000E40E0000}"/>
    <cellStyle name="Normal 2 4 2 3 2 7 3 2" xfId="24094" xr:uid="{FA343456-0DDA-4A57-9FD3-49C82C064726}"/>
    <cellStyle name="Normal 2 4 2 3 2 7 3 3" xfId="15654" xr:uid="{26DD5304-3255-4740-AE48-7EFEFB6D2F2A}"/>
    <cellStyle name="Normal 2 4 2 3 2 7 4" xfId="19877" xr:uid="{5EE8F4E2-A5AE-4B8E-9974-1092034B0717}"/>
    <cellStyle name="Normal 2 4 2 3 2 7 5" xfId="11437" xr:uid="{9D953170-7124-420F-94C7-BBE0980ACCDD}"/>
    <cellStyle name="Normal 2 4 2 3 2 8" xfId="2458" xr:uid="{00000000-0005-0000-0000-0000E50E0000}"/>
    <cellStyle name="Normal 2 4 2 3 2 8 2" xfId="6741" xr:uid="{00000000-0005-0000-0000-0000E60E0000}"/>
    <cellStyle name="Normal 2 4 2 3 2 8 2 2" xfId="24507" xr:uid="{1B380A08-F8BE-4C57-94E9-993C08E00ECA}"/>
    <cellStyle name="Normal 2 4 2 3 2 8 2 3" xfId="16067" xr:uid="{246508AA-CE8B-4F87-8F09-80B817CF2D4C}"/>
    <cellStyle name="Normal 2 4 2 3 2 8 3" xfId="20290" xr:uid="{CD17D6EF-4572-4D3F-8972-022472CE640F}"/>
    <cellStyle name="Normal 2 4 2 3 2 8 4" xfId="11850" xr:uid="{CEC4EDEB-E521-4E96-91AD-50367FB292EC}"/>
    <cellStyle name="Normal 2 4 2 3 2 9" xfId="4675" xr:uid="{00000000-0005-0000-0000-0000E70E0000}"/>
    <cellStyle name="Normal 2 4 2 3 2 9 2" xfId="22441" xr:uid="{6E922611-A698-4AEE-9522-491D2E358018}"/>
    <cellStyle name="Normal 2 4 2 3 2 9 3" xfId="14001" xr:uid="{7119D4AB-5A30-4FD4-AB13-3FDBABEE2D47}"/>
    <cellStyle name="Normal 2 4 2 3 3" xfId="286" xr:uid="{00000000-0005-0000-0000-0000E80E0000}"/>
    <cellStyle name="Normal 2 4 2 3 3 10" xfId="9788" xr:uid="{F0F5680B-72DB-40C0-9086-44F4351D758E}"/>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25005" xr:uid="{98377441-6A67-4B4B-8FB4-A4ECB437AC91}"/>
    <cellStyle name="Normal 2 4 2 3 3 2 2 2 2 3" xfId="16565" xr:uid="{120787C2-CE1A-42CF-92DB-7BED011EC725}"/>
    <cellStyle name="Normal 2 4 2 3 3 2 2 2 3" xfId="20788" xr:uid="{14AB2992-9364-426C-BD84-6994D8809C69}"/>
    <cellStyle name="Normal 2 4 2 3 3 2 2 2 4" xfId="12348" xr:uid="{8D40AE3F-F14E-4E7D-B437-95AD19F5746B}"/>
    <cellStyle name="Normal 2 4 2 3 3 2 2 3" xfId="5094" xr:uid="{00000000-0005-0000-0000-0000ED0E0000}"/>
    <cellStyle name="Normal 2 4 2 3 3 2 2 3 2" xfId="22860" xr:uid="{424B3675-BCE5-4A9D-96A1-B997EB9138E0}"/>
    <cellStyle name="Normal 2 4 2 3 3 2 2 3 3" xfId="14420" xr:uid="{A34921AD-1BEE-4490-B6ED-A3670EB7F1DF}"/>
    <cellStyle name="Normal 2 4 2 3 3 2 2 4" xfId="9523" xr:uid="{49BCB42B-3FEB-4D87-8E20-52FE775F87DD}"/>
    <cellStyle name="Normal 2 4 2 3 3 2 2 4 2" xfId="18643" xr:uid="{0431C4DB-97AB-4A51-8A58-2B50F9227A1D}"/>
    <cellStyle name="Normal 2 4 2 3 3 2 2 5" xfId="10203" xr:uid="{77AB7297-0D4C-4E4A-ACB4-57B0BB321BDB}"/>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25418" xr:uid="{805942D3-21C6-4363-A4D0-77A596A06842}"/>
    <cellStyle name="Normal 2 4 2 3 3 2 3 2 2 3" xfId="16978" xr:uid="{B457B31B-E2BF-46B0-95DF-65E1524826D4}"/>
    <cellStyle name="Normal 2 4 2 3 3 2 3 2 3" xfId="21201" xr:uid="{E9656560-BA5D-4D15-B3C3-5A55F4EA0AA2}"/>
    <cellStyle name="Normal 2 4 2 3 3 2 3 2 4" xfId="12761" xr:uid="{55DAE9AB-8DE3-4CB3-8B73-666DDE8F2125}"/>
    <cellStyle name="Normal 2 4 2 3 3 2 3 3" xfId="5507" xr:uid="{00000000-0005-0000-0000-0000F10E0000}"/>
    <cellStyle name="Normal 2 4 2 3 3 2 3 3 2" xfId="23273" xr:uid="{C25C91ED-EA2D-4B3B-8B6E-AF392D64B702}"/>
    <cellStyle name="Normal 2 4 2 3 3 2 3 3 3" xfId="14833" xr:uid="{6162F963-7444-4066-BA7E-9907C27FF967}"/>
    <cellStyle name="Normal 2 4 2 3 3 2 3 4" xfId="19056" xr:uid="{4C530555-687E-4CA1-9E56-2EFBF7389213}"/>
    <cellStyle name="Normal 2 4 2 3 3 2 3 5" xfId="10616" xr:uid="{E855025A-655E-43F9-90D6-69C80DBA545D}"/>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25831" xr:uid="{883B4579-2B3B-4BAF-BFBE-57DC0EA01C8A}"/>
    <cellStyle name="Normal 2 4 2 3 3 2 4 2 2 3" xfId="17391" xr:uid="{B58022EA-909B-4E61-92D1-A1E53DA30302}"/>
    <cellStyle name="Normal 2 4 2 3 3 2 4 2 3" xfId="21614" xr:uid="{B9880CD5-CD18-40C8-B64E-4BA7DE130A72}"/>
    <cellStyle name="Normal 2 4 2 3 3 2 4 2 4" xfId="13174" xr:uid="{301C4179-104B-4E5F-A9BA-CC7299235069}"/>
    <cellStyle name="Normal 2 4 2 3 3 2 4 3" xfId="5920" xr:uid="{00000000-0005-0000-0000-0000F50E0000}"/>
    <cellStyle name="Normal 2 4 2 3 3 2 4 3 2" xfId="23686" xr:uid="{6321E4F8-0384-49DA-AFED-2A764D08BA6E}"/>
    <cellStyle name="Normal 2 4 2 3 3 2 4 3 3" xfId="15246" xr:uid="{2CD89143-ADC7-4AB6-9202-1E674779D2B9}"/>
    <cellStyle name="Normal 2 4 2 3 3 2 4 4" xfId="19469" xr:uid="{45BAD55C-CEE0-4F4B-993B-F2F54EF9318A}"/>
    <cellStyle name="Normal 2 4 2 3 3 2 4 5" xfId="11029" xr:uid="{78BD0D71-2932-4DB1-8006-EC227E4FEBB4}"/>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26244" xr:uid="{2891868A-877D-48BE-9D5E-45F0025AC353}"/>
    <cellStyle name="Normal 2 4 2 3 3 2 5 2 2 3" xfId="17804" xr:uid="{8BF1ECE1-FDEC-4DFE-9D60-474D442B2A54}"/>
    <cellStyle name="Normal 2 4 2 3 3 2 5 2 3" xfId="22027" xr:uid="{9CAD0BDC-1257-4090-A210-E0191F4844D6}"/>
    <cellStyle name="Normal 2 4 2 3 3 2 5 2 4" xfId="13587" xr:uid="{1B82265F-B130-4A6B-A465-8DA953FC9DAB}"/>
    <cellStyle name="Normal 2 4 2 3 3 2 5 3" xfId="6333" xr:uid="{00000000-0005-0000-0000-0000F90E0000}"/>
    <cellStyle name="Normal 2 4 2 3 3 2 5 3 2" xfId="24099" xr:uid="{6ACC1A3A-C374-4859-BEC9-CC96C84A3037}"/>
    <cellStyle name="Normal 2 4 2 3 3 2 5 3 3" xfId="15659" xr:uid="{112634FC-280D-4475-80E6-88884633B641}"/>
    <cellStyle name="Normal 2 4 2 3 3 2 5 4" xfId="19882" xr:uid="{22036EFE-AD56-4D8D-8EE3-39A787DF018E}"/>
    <cellStyle name="Normal 2 4 2 3 3 2 5 5" xfId="11442" xr:uid="{92A670BF-E1FA-4787-B683-D100D67213DD}"/>
    <cellStyle name="Normal 2 4 2 3 3 2 6" xfId="2463" xr:uid="{00000000-0005-0000-0000-0000FA0E0000}"/>
    <cellStyle name="Normal 2 4 2 3 3 2 6 2" xfId="6746" xr:uid="{00000000-0005-0000-0000-0000FB0E0000}"/>
    <cellStyle name="Normal 2 4 2 3 3 2 6 2 2" xfId="24512" xr:uid="{0D7E60D2-2984-448D-AD52-49A71B5C4E39}"/>
    <cellStyle name="Normal 2 4 2 3 3 2 6 2 3" xfId="16072" xr:uid="{8C5F9225-FB31-4B2F-978D-D799628CCAAC}"/>
    <cellStyle name="Normal 2 4 2 3 3 2 6 3" xfId="20295" xr:uid="{E57C948F-5F21-4A05-B221-E58CCA8E2408}"/>
    <cellStyle name="Normal 2 4 2 3 3 2 6 4" xfId="11855" xr:uid="{318A6C68-7E90-4B2E-9D2F-8A85DDA84CA4}"/>
    <cellStyle name="Normal 2 4 2 3 3 2 7" xfId="4680" xr:uid="{00000000-0005-0000-0000-0000FC0E0000}"/>
    <cellStyle name="Normal 2 4 2 3 3 2 7 2" xfId="22446" xr:uid="{543E51D0-7CB0-46C2-9B2E-81D6A56FEB4C}"/>
    <cellStyle name="Normal 2 4 2 3 3 2 7 3" xfId="14006" xr:uid="{F2BC3503-08F9-4BB9-8536-B621EA2D9D84}"/>
    <cellStyle name="Normal 2 4 2 3 3 2 8" xfId="9098" xr:uid="{15335B31-FFDD-479D-88EC-FAB83DC4E6EC}"/>
    <cellStyle name="Normal 2 4 2 3 3 2 8 2" xfId="18229" xr:uid="{BEF409FD-B2AD-40BE-A137-44451728E9AC}"/>
    <cellStyle name="Normal 2 4 2 3 3 2 9" xfId="9789" xr:uid="{961E0101-DCF9-4D0E-A608-669D2DAFE31D}"/>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25004" xr:uid="{F5F669BA-FC4E-4C06-9F3D-551029523E46}"/>
    <cellStyle name="Normal 2 4 2 3 3 3 2 2 3" xfId="16564" xr:uid="{2FF0C5C4-6A24-4B21-8448-9D0622824578}"/>
    <cellStyle name="Normal 2 4 2 3 3 3 2 3" xfId="20787" xr:uid="{6C5974D1-FCF6-430D-9768-900259C0018C}"/>
    <cellStyle name="Normal 2 4 2 3 3 3 2 4" xfId="12347" xr:uid="{1172B6B2-4A23-4F5A-A399-22F106D8D59B}"/>
    <cellStyle name="Normal 2 4 2 3 3 3 3" xfId="5093" xr:uid="{00000000-0005-0000-0000-0000000F0000}"/>
    <cellStyle name="Normal 2 4 2 3 3 3 3 2" xfId="22859" xr:uid="{B419752B-91CE-4D22-8EB7-39977B1F9196}"/>
    <cellStyle name="Normal 2 4 2 3 3 3 3 3" xfId="14419" xr:uid="{578AF478-A472-496D-B549-D7E75CB14BD5}"/>
    <cellStyle name="Normal 2 4 2 3 3 3 4" xfId="9316" xr:uid="{C8C83D09-5A3A-4C90-8A04-9D7CD8C85B11}"/>
    <cellStyle name="Normal 2 4 2 3 3 3 4 2" xfId="18642" xr:uid="{C3FAB502-789B-4A81-B509-8EAACD689071}"/>
    <cellStyle name="Normal 2 4 2 3 3 3 5" xfId="10202" xr:uid="{5AC8F05B-59A7-413E-ABB6-519CF010B749}"/>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25417" xr:uid="{61443CEB-3A55-40FD-8C4F-D7B598D3AA2A}"/>
    <cellStyle name="Normal 2 4 2 3 3 4 2 2 3" xfId="16977" xr:uid="{103D054A-14EE-47E2-B9DE-760A1CE49942}"/>
    <cellStyle name="Normal 2 4 2 3 3 4 2 3" xfId="21200" xr:uid="{36F7AF6A-C569-48A9-9E21-370E5B2D2F48}"/>
    <cellStyle name="Normal 2 4 2 3 3 4 2 4" xfId="12760" xr:uid="{38AC5F73-09F1-4D08-98CD-B744D8CC8F14}"/>
    <cellStyle name="Normal 2 4 2 3 3 4 3" xfId="5506" xr:uid="{00000000-0005-0000-0000-0000040F0000}"/>
    <cellStyle name="Normal 2 4 2 3 3 4 3 2" xfId="23272" xr:uid="{657920D5-67F8-48C6-9D1A-E9ABF131DEE2}"/>
    <cellStyle name="Normal 2 4 2 3 3 4 3 3" xfId="14832" xr:uid="{FF15C979-4E34-46E5-B41C-486377DE82AC}"/>
    <cellStyle name="Normal 2 4 2 3 3 4 4" xfId="19055" xr:uid="{AA7EE783-C8D4-4903-A093-02067324B8F5}"/>
    <cellStyle name="Normal 2 4 2 3 3 4 5" xfId="10615" xr:uid="{CE119E61-DEC2-4873-BB86-6414AA101B08}"/>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25830" xr:uid="{CC100915-F6A1-4546-8087-815171326A79}"/>
    <cellStyle name="Normal 2 4 2 3 3 5 2 2 3" xfId="17390" xr:uid="{9BE52CFE-3574-4C0F-ABAB-2A3AD592CA15}"/>
    <cellStyle name="Normal 2 4 2 3 3 5 2 3" xfId="21613" xr:uid="{A7C934FB-7985-4C3E-AC60-0C36A14980F9}"/>
    <cellStyle name="Normal 2 4 2 3 3 5 2 4" xfId="13173" xr:uid="{4B8C05D8-5337-4622-B8DE-053D235EE3D4}"/>
    <cellStyle name="Normal 2 4 2 3 3 5 3" xfId="5919" xr:uid="{00000000-0005-0000-0000-0000080F0000}"/>
    <cellStyle name="Normal 2 4 2 3 3 5 3 2" xfId="23685" xr:uid="{9CB40CE7-744B-4920-B48F-6E591DD249BA}"/>
    <cellStyle name="Normal 2 4 2 3 3 5 3 3" xfId="15245" xr:uid="{A2527DDF-A75B-4231-86DE-C5C576CAAF3B}"/>
    <cellStyle name="Normal 2 4 2 3 3 5 4" xfId="19468" xr:uid="{5952AFEA-C787-4852-9DDD-ED0500892392}"/>
    <cellStyle name="Normal 2 4 2 3 3 5 5" xfId="11028" xr:uid="{7DDF284A-6E11-491E-AE75-48F57902410F}"/>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26243" xr:uid="{3A416A90-7C5F-4900-B608-517F266BAF6E}"/>
    <cellStyle name="Normal 2 4 2 3 3 6 2 2 3" xfId="17803" xr:uid="{4F3292E7-9598-49D0-9D5D-89052C579C3B}"/>
    <cellStyle name="Normal 2 4 2 3 3 6 2 3" xfId="22026" xr:uid="{EECB825F-0D22-403E-8E50-100557B5E063}"/>
    <cellStyle name="Normal 2 4 2 3 3 6 2 4" xfId="13586" xr:uid="{4C953EE0-CA10-497C-A176-488D58A69CC1}"/>
    <cellStyle name="Normal 2 4 2 3 3 6 3" xfId="6332" xr:uid="{00000000-0005-0000-0000-00000C0F0000}"/>
    <cellStyle name="Normal 2 4 2 3 3 6 3 2" xfId="24098" xr:uid="{78DFC8A0-E959-4F6D-A546-58A4D8DB0B4E}"/>
    <cellStyle name="Normal 2 4 2 3 3 6 3 3" xfId="15658" xr:uid="{6FAE268D-644D-4D0E-8D17-EFD5128D793C}"/>
    <cellStyle name="Normal 2 4 2 3 3 6 4" xfId="19881" xr:uid="{304EEDB5-4DDC-4635-9ADF-07C27C4FA503}"/>
    <cellStyle name="Normal 2 4 2 3 3 6 5" xfId="11441" xr:uid="{9804DD1D-FF9F-4C73-A840-3E41A8CF620B}"/>
    <cellStyle name="Normal 2 4 2 3 3 7" xfId="2462" xr:uid="{00000000-0005-0000-0000-00000D0F0000}"/>
    <cellStyle name="Normal 2 4 2 3 3 7 2" xfId="6745" xr:uid="{00000000-0005-0000-0000-00000E0F0000}"/>
    <cellStyle name="Normal 2 4 2 3 3 7 2 2" xfId="24511" xr:uid="{A277A47E-29BC-4C54-843E-23AE2B37B18F}"/>
    <cellStyle name="Normal 2 4 2 3 3 7 2 3" xfId="16071" xr:uid="{7A2B9F63-FB15-422F-A32E-2D847DE9DA72}"/>
    <cellStyle name="Normal 2 4 2 3 3 7 3" xfId="20294" xr:uid="{3A899469-38F7-4BBC-AC38-EAA2AA18FA2C}"/>
    <cellStyle name="Normal 2 4 2 3 3 7 4" xfId="11854" xr:uid="{7A5E03F5-0B50-4B67-AB97-E230F318A5CE}"/>
    <cellStyle name="Normal 2 4 2 3 3 8" xfId="4679" xr:uid="{00000000-0005-0000-0000-00000F0F0000}"/>
    <cellStyle name="Normal 2 4 2 3 3 8 2" xfId="22445" xr:uid="{E28BCE43-E229-4820-B1FF-631860A1BED1}"/>
    <cellStyle name="Normal 2 4 2 3 3 8 3" xfId="14005" xr:uid="{3142892F-88A7-4C4A-8A6D-002E2C5FA6C9}"/>
    <cellStyle name="Normal 2 4 2 3 3 9" xfId="8891" xr:uid="{D2DF60A1-A34B-4A3F-B29E-E581EFBA8360}"/>
    <cellStyle name="Normal 2 4 2 3 3 9 2" xfId="18228" xr:uid="{D7D7C32E-0EA5-4605-81F5-6D9E4A66844A}"/>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25006" xr:uid="{71663B50-DDC0-4372-9629-1581CBFEDFA1}"/>
    <cellStyle name="Normal 2 4 2 3 4 2 2 2 3" xfId="16566" xr:uid="{5C24507F-3F2A-4DD4-A015-5F9A1E0D0D18}"/>
    <cellStyle name="Normal 2 4 2 3 4 2 2 3" xfId="20789" xr:uid="{6903DB9D-FAFE-4E6E-8E3C-0A837BDB879A}"/>
    <cellStyle name="Normal 2 4 2 3 4 2 2 4" xfId="12349" xr:uid="{771FC8DD-E7CA-407B-A3FA-7F9D4B8A5F10}"/>
    <cellStyle name="Normal 2 4 2 3 4 2 3" xfId="5095" xr:uid="{00000000-0005-0000-0000-0000140F0000}"/>
    <cellStyle name="Normal 2 4 2 3 4 2 3 2" xfId="22861" xr:uid="{D7145BDD-3AE8-4C64-B23F-40744D3DE4CC}"/>
    <cellStyle name="Normal 2 4 2 3 4 2 3 3" xfId="14421" xr:uid="{BE8F1AFF-73C5-471F-BFC6-6D5D60D18C54}"/>
    <cellStyle name="Normal 2 4 2 3 4 2 4" xfId="9420" xr:uid="{49E252B3-99BC-416A-A0CB-FE2641ECFDE3}"/>
    <cellStyle name="Normal 2 4 2 3 4 2 4 2" xfId="18644" xr:uid="{2DB92F34-5A8D-4B6E-AE91-FCAFEAE5FCD5}"/>
    <cellStyle name="Normal 2 4 2 3 4 2 5" xfId="10204" xr:uid="{E88757C5-09F2-4378-B8CB-515675A3606C}"/>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25419" xr:uid="{FC7EE845-2C60-467C-A836-11C94FB34790}"/>
    <cellStyle name="Normal 2 4 2 3 4 3 2 2 3" xfId="16979" xr:uid="{9859D2BC-3330-45FF-8DB7-78C5ACAB6726}"/>
    <cellStyle name="Normal 2 4 2 3 4 3 2 3" xfId="21202" xr:uid="{D5B54276-05B8-4A7F-91E0-E779EE083AFF}"/>
    <cellStyle name="Normal 2 4 2 3 4 3 2 4" xfId="12762" xr:uid="{35537C98-AF36-430A-A83F-8653BF9F308E}"/>
    <cellStyle name="Normal 2 4 2 3 4 3 3" xfId="5508" xr:uid="{00000000-0005-0000-0000-0000180F0000}"/>
    <cellStyle name="Normal 2 4 2 3 4 3 3 2" xfId="23274" xr:uid="{DA8BBFD2-A6A3-4C10-A23D-3FA3C60742AA}"/>
    <cellStyle name="Normal 2 4 2 3 4 3 3 3" xfId="14834" xr:uid="{EDDCF980-21A9-4903-B8FC-FB2AA510F1A9}"/>
    <cellStyle name="Normal 2 4 2 3 4 3 4" xfId="19057" xr:uid="{5908A283-76CE-4695-A078-B67A8D039A52}"/>
    <cellStyle name="Normal 2 4 2 3 4 3 5" xfId="10617" xr:uid="{B83CA77C-E90A-4521-B1B6-905FF79C1B0A}"/>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25832" xr:uid="{F401F81B-390E-4527-84DC-93124221486D}"/>
    <cellStyle name="Normal 2 4 2 3 4 4 2 2 3" xfId="17392" xr:uid="{DEDBE048-9B4A-49A0-934C-183FEA1E0152}"/>
    <cellStyle name="Normal 2 4 2 3 4 4 2 3" xfId="21615" xr:uid="{0BB22E62-DEE5-4558-9677-C83AB475762A}"/>
    <cellStyle name="Normal 2 4 2 3 4 4 2 4" xfId="13175" xr:uid="{638AF432-78C3-4F59-9A2F-51C2FC61EB52}"/>
    <cellStyle name="Normal 2 4 2 3 4 4 3" xfId="5921" xr:uid="{00000000-0005-0000-0000-00001C0F0000}"/>
    <cellStyle name="Normal 2 4 2 3 4 4 3 2" xfId="23687" xr:uid="{DE4139F7-D62E-416F-AB9C-B764888F43FC}"/>
    <cellStyle name="Normal 2 4 2 3 4 4 3 3" xfId="15247" xr:uid="{647138C2-3BE6-4625-8578-FFF5410D92FD}"/>
    <cellStyle name="Normal 2 4 2 3 4 4 4" xfId="19470" xr:uid="{8E6B20BC-4548-4005-8F08-C5078DA9BD25}"/>
    <cellStyle name="Normal 2 4 2 3 4 4 5" xfId="11030" xr:uid="{B7D89D17-FDEE-4789-BAFE-AA8081994239}"/>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26245" xr:uid="{A42FA56D-1910-40AF-8F43-27CB30286407}"/>
    <cellStyle name="Normal 2 4 2 3 4 5 2 2 3" xfId="17805" xr:uid="{99FB7697-F9BD-46E6-A0EA-EFA2CE2D24FC}"/>
    <cellStyle name="Normal 2 4 2 3 4 5 2 3" xfId="22028" xr:uid="{7A0433C4-EB21-44A2-AF38-1CFAF5B32093}"/>
    <cellStyle name="Normal 2 4 2 3 4 5 2 4" xfId="13588" xr:uid="{D8F143AA-CE86-4778-900E-7D8CA630396E}"/>
    <cellStyle name="Normal 2 4 2 3 4 5 3" xfId="6334" xr:uid="{00000000-0005-0000-0000-0000200F0000}"/>
    <cellStyle name="Normal 2 4 2 3 4 5 3 2" xfId="24100" xr:uid="{B44EBA13-7FD7-46C3-8676-8BFB593BEF4B}"/>
    <cellStyle name="Normal 2 4 2 3 4 5 3 3" xfId="15660" xr:uid="{5C106C41-0F4D-4CBF-AE43-50CFD0C92F4B}"/>
    <cellStyle name="Normal 2 4 2 3 4 5 4" xfId="19883" xr:uid="{F17362E9-578E-4B7C-B59E-8DD3C2516FA2}"/>
    <cellStyle name="Normal 2 4 2 3 4 5 5" xfId="11443" xr:uid="{3E102437-003A-45E6-8378-0B8685FD4CB5}"/>
    <cellStyle name="Normal 2 4 2 3 4 6" xfId="2464" xr:uid="{00000000-0005-0000-0000-0000210F0000}"/>
    <cellStyle name="Normal 2 4 2 3 4 6 2" xfId="6747" xr:uid="{00000000-0005-0000-0000-0000220F0000}"/>
    <cellStyle name="Normal 2 4 2 3 4 6 2 2" xfId="24513" xr:uid="{D4C0EB07-A2B5-4505-9AA1-027D742E1B03}"/>
    <cellStyle name="Normal 2 4 2 3 4 6 2 3" xfId="16073" xr:uid="{6F3960FF-06DE-4253-AEEB-A4C57A62805C}"/>
    <cellStyle name="Normal 2 4 2 3 4 6 3" xfId="20296" xr:uid="{786AB3CD-FD11-4333-A360-4D4EEB8F4FB8}"/>
    <cellStyle name="Normal 2 4 2 3 4 6 4" xfId="11856" xr:uid="{787950FA-898E-4EB6-BA0E-40332E38FC67}"/>
    <cellStyle name="Normal 2 4 2 3 4 7" xfId="4681" xr:uid="{00000000-0005-0000-0000-0000230F0000}"/>
    <cellStyle name="Normal 2 4 2 3 4 7 2" xfId="22447" xr:uid="{96E784ED-E87B-45D6-8E00-15B886F79E9E}"/>
    <cellStyle name="Normal 2 4 2 3 4 7 3" xfId="14007" xr:uid="{6BC63C6A-1F50-41A9-8B0F-DCE60BB9A706}"/>
    <cellStyle name="Normal 2 4 2 3 4 8" xfId="8995" xr:uid="{EEE25A27-4C18-4948-8341-FF27707A7A86}"/>
    <cellStyle name="Normal 2 4 2 3 4 8 2" xfId="18230" xr:uid="{4AD7E502-04E4-4157-A7AE-741B679B1933}"/>
    <cellStyle name="Normal 2 4 2 3 4 9" xfId="9790" xr:uid="{F03846B1-CC15-429A-9F1D-795D6116BBFC}"/>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24999" xr:uid="{C227B2CE-525D-4210-8EEA-7CE6B1107A6D}"/>
    <cellStyle name="Normal 2 4 2 3 5 2 2 3" xfId="16559" xr:uid="{DAF53FAA-980A-4246-BF11-AF7EF20C047B}"/>
    <cellStyle name="Normal 2 4 2 3 5 2 3" xfId="20782" xr:uid="{CFF9C51B-804B-4989-AAF8-CB824CD7D533}"/>
    <cellStyle name="Normal 2 4 2 3 5 2 4" xfId="12342" xr:uid="{855153F4-741C-410B-B52D-F4F64CF94497}"/>
    <cellStyle name="Normal 2 4 2 3 5 3" xfId="5088" xr:uid="{00000000-0005-0000-0000-0000270F0000}"/>
    <cellStyle name="Normal 2 4 2 3 5 3 2" xfId="22854" xr:uid="{9ED37C4E-CDCD-4A47-81F1-88DF9A6F8250}"/>
    <cellStyle name="Normal 2 4 2 3 5 3 3" xfId="14414" xr:uid="{E2DCF9B1-B9C0-4BE3-94AA-F8225AD005CA}"/>
    <cellStyle name="Normal 2 4 2 3 5 4" xfId="9212" xr:uid="{39F1BF9F-C79C-4226-B2D8-665EAA6F3686}"/>
    <cellStyle name="Normal 2 4 2 3 5 4 2" xfId="18637" xr:uid="{86808AB5-5866-44F7-8BC8-349A8F942416}"/>
    <cellStyle name="Normal 2 4 2 3 5 5" xfId="10197" xr:uid="{990F1D0E-7AD8-403C-A09F-5A22D0CC21E7}"/>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25412" xr:uid="{FB6BA527-409B-4ECA-A413-89B5E834F43B}"/>
    <cellStyle name="Normal 2 4 2 3 6 2 2 3" xfId="16972" xr:uid="{912A0B32-1CC2-43A1-AB3F-300C10C529F4}"/>
    <cellStyle name="Normal 2 4 2 3 6 2 3" xfId="21195" xr:uid="{12ED9E99-5046-41EC-9EDB-0E292A42481E}"/>
    <cellStyle name="Normal 2 4 2 3 6 2 4" xfId="12755" xr:uid="{F93E6F89-9B66-45BE-8496-EC100B84FB3E}"/>
    <cellStyle name="Normal 2 4 2 3 6 3" xfId="5501" xr:uid="{00000000-0005-0000-0000-00002B0F0000}"/>
    <cellStyle name="Normal 2 4 2 3 6 3 2" xfId="23267" xr:uid="{02CD97CD-333F-4417-9389-FEDB78EFFACA}"/>
    <cellStyle name="Normal 2 4 2 3 6 3 3" xfId="14827" xr:uid="{A915BA31-B08E-4C16-9A4D-2FCF37EDA58A}"/>
    <cellStyle name="Normal 2 4 2 3 6 4" xfId="19050" xr:uid="{93EE5D06-CA34-4ABE-A473-A463A60C59A5}"/>
    <cellStyle name="Normal 2 4 2 3 6 5" xfId="10610" xr:uid="{3D129C6F-A45D-4CD5-B3A6-2AB82649EC4F}"/>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25825" xr:uid="{BE5B304F-423E-4DBF-969C-E5BC6B650E75}"/>
    <cellStyle name="Normal 2 4 2 3 7 2 2 3" xfId="17385" xr:uid="{1CA86C43-A2D2-495A-8AEE-BB91DD66CF5F}"/>
    <cellStyle name="Normal 2 4 2 3 7 2 3" xfId="21608" xr:uid="{6D6F61C6-C24F-42D8-9403-CA787D16EE8B}"/>
    <cellStyle name="Normal 2 4 2 3 7 2 4" xfId="13168" xr:uid="{47C7211C-1F50-4EC5-9F99-20FE5B9BD799}"/>
    <cellStyle name="Normal 2 4 2 3 7 3" xfId="5914" xr:uid="{00000000-0005-0000-0000-00002F0F0000}"/>
    <cellStyle name="Normal 2 4 2 3 7 3 2" xfId="23680" xr:uid="{CAE9FDFF-E824-4FB5-A565-E056320C7A72}"/>
    <cellStyle name="Normal 2 4 2 3 7 3 3" xfId="15240" xr:uid="{1359B3F4-FF3C-4B69-A6F6-266FA11683A5}"/>
    <cellStyle name="Normal 2 4 2 3 7 4" xfId="19463" xr:uid="{5F3A1DFC-EDDF-413D-BC66-F831BE298F3A}"/>
    <cellStyle name="Normal 2 4 2 3 7 5" xfId="11023" xr:uid="{359CC73B-8778-4C51-A3D7-3E2FF3DB80F9}"/>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26238" xr:uid="{6B793FCD-3C93-407C-B46E-0AF67D1D8EB8}"/>
    <cellStyle name="Normal 2 4 2 3 8 2 2 3" xfId="17798" xr:uid="{BAD81DD8-BC9D-4C34-B4F4-9CA6CAD5240F}"/>
    <cellStyle name="Normal 2 4 2 3 8 2 3" xfId="22021" xr:uid="{CD0C4B3C-4222-4774-A205-CFA362077F96}"/>
    <cellStyle name="Normal 2 4 2 3 8 2 4" xfId="13581" xr:uid="{5E99DFE2-B02B-4F7C-888B-81E15A2D3C98}"/>
    <cellStyle name="Normal 2 4 2 3 8 3" xfId="6327" xr:uid="{00000000-0005-0000-0000-0000330F0000}"/>
    <cellStyle name="Normal 2 4 2 3 8 3 2" xfId="24093" xr:uid="{CAA09AD9-5E1E-4EB8-AF9E-13E08FB79F29}"/>
    <cellStyle name="Normal 2 4 2 3 8 3 3" xfId="15653" xr:uid="{38A89CD8-B7A1-4892-ABD5-C055CF4FB08C}"/>
    <cellStyle name="Normal 2 4 2 3 8 4" xfId="19876" xr:uid="{CAE84746-531F-4604-B866-DD21058AFC02}"/>
    <cellStyle name="Normal 2 4 2 3 8 5" xfId="11436" xr:uid="{2E935C79-3175-4B30-8CE3-926A197BB982}"/>
    <cellStyle name="Normal 2 4 2 3 9" xfId="2457" xr:uid="{00000000-0005-0000-0000-0000340F0000}"/>
    <cellStyle name="Normal 2 4 2 3 9 2" xfId="6740" xr:uid="{00000000-0005-0000-0000-0000350F0000}"/>
    <cellStyle name="Normal 2 4 2 3 9 2 2" xfId="24506" xr:uid="{D1CA27A8-9019-47E1-A926-81E5F651E7B2}"/>
    <cellStyle name="Normal 2 4 2 3 9 2 3" xfId="16066" xr:uid="{C7B392DE-C355-495F-BB3E-84DB69894A8A}"/>
    <cellStyle name="Normal 2 4 2 3 9 3" xfId="20289" xr:uid="{C06107B1-3D2D-42EE-9251-E771FA6007B3}"/>
    <cellStyle name="Normal 2 4 2 3 9 4" xfId="11849" xr:uid="{0552F251-9710-4E39-8105-48D116742442}"/>
    <cellStyle name="Normal 2 4 2 4" xfId="289" xr:uid="{00000000-0005-0000-0000-0000360F0000}"/>
    <cellStyle name="Normal 2 4 2 4 10" xfId="8812" xr:uid="{C2E08BA7-2068-4F74-AFE2-E0AED0B82FE2}"/>
    <cellStyle name="Normal 2 4 2 4 10 2" xfId="18231" xr:uid="{88A7AFA0-CD84-477A-AB6D-DBCBD027E42E}"/>
    <cellStyle name="Normal 2 4 2 4 11" xfId="9791" xr:uid="{2B9185A4-4532-4DB1-9002-7FA56E04FB38}"/>
    <cellStyle name="Normal 2 4 2 4 2" xfId="290" xr:uid="{00000000-0005-0000-0000-0000370F0000}"/>
    <cellStyle name="Normal 2 4 2 4 2 10" xfId="9792" xr:uid="{FC1CA5CF-8217-420E-81F0-A50CBF573217}"/>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25009" xr:uid="{9E896B9D-7C83-4A52-BF3F-D16105371ACC}"/>
    <cellStyle name="Normal 2 4 2 4 2 2 2 2 2 3" xfId="16569" xr:uid="{BE833C0B-9DAC-442E-9B57-A945180F6DAB}"/>
    <cellStyle name="Normal 2 4 2 4 2 2 2 2 3" xfId="20792" xr:uid="{E4B4503E-36A4-46EC-9FB3-8FD13B0445B6}"/>
    <cellStyle name="Normal 2 4 2 4 2 2 2 2 4" xfId="12352" xr:uid="{EF0374B8-CE22-47A9-828D-363F8AEE0934}"/>
    <cellStyle name="Normal 2 4 2 4 2 2 2 3" xfId="5098" xr:uid="{00000000-0005-0000-0000-00003C0F0000}"/>
    <cellStyle name="Normal 2 4 2 4 2 2 2 3 2" xfId="22864" xr:uid="{895AE143-BBD9-44EE-8148-96723A95E3DA}"/>
    <cellStyle name="Normal 2 4 2 4 2 2 2 3 3" xfId="14424" xr:uid="{DF44A57B-3264-4329-9C38-1C75B8560845}"/>
    <cellStyle name="Normal 2 4 2 4 2 2 2 4" xfId="9547" xr:uid="{F8909421-8B16-4168-8B85-A5523C430C3C}"/>
    <cellStyle name="Normal 2 4 2 4 2 2 2 4 2" xfId="18647" xr:uid="{86030F33-D75F-45EB-ABD5-EFA9C0F6AAE9}"/>
    <cellStyle name="Normal 2 4 2 4 2 2 2 5" xfId="10207" xr:uid="{72BFF987-24EC-4116-A4FC-DD0541CA5E52}"/>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25422" xr:uid="{5FE12CDB-83A3-460B-A781-96452D5A2171}"/>
    <cellStyle name="Normal 2 4 2 4 2 2 3 2 2 3" xfId="16982" xr:uid="{806E634D-AB0F-4230-A7EC-349323E3D024}"/>
    <cellStyle name="Normal 2 4 2 4 2 2 3 2 3" xfId="21205" xr:uid="{FC60A3CA-F2D7-4133-A4EA-C9666873F833}"/>
    <cellStyle name="Normal 2 4 2 4 2 2 3 2 4" xfId="12765" xr:uid="{8D4F1648-9D15-4BCF-9A64-2A5448FFEF08}"/>
    <cellStyle name="Normal 2 4 2 4 2 2 3 3" xfId="5511" xr:uid="{00000000-0005-0000-0000-0000400F0000}"/>
    <cellStyle name="Normal 2 4 2 4 2 2 3 3 2" xfId="23277" xr:uid="{09BBD01E-8EB2-4DFD-AF96-CD89694F9BDF}"/>
    <cellStyle name="Normal 2 4 2 4 2 2 3 3 3" xfId="14837" xr:uid="{9E041E02-C69F-4A25-AB8F-AFF49FB88147}"/>
    <cellStyle name="Normal 2 4 2 4 2 2 3 4" xfId="19060" xr:uid="{6D300BC8-0ED7-43A8-B1E6-41B4D94DC04E}"/>
    <cellStyle name="Normal 2 4 2 4 2 2 3 5" xfId="10620" xr:uid="{DAE427E1-1246-415B-AC0B-5C683C306A6B}"/>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25835" xr:uid="{E7B44DAB-0E95-4E55-860F-16FC81C98D60}"/>
    <cellStyle name="Normal 2 4 2 4 2 2 4 2 2 3" xfId="17395" xr:uid="{BB951B12-6DDA-47BD-9E87-C5CBEE1C0180}"/>
    <cellStyle name="Normal 2 4 2 4 2 2 4 2 3" xfId="21618" xr:uid="{80BEDF8F-B4E9-4AE9-94C5-915FEF6403ED}"/>
    <cellStyle name="Normal 2 4 2 4 2 2 4 2 4" xfId="13178" xr:uid="{260BA3FC-F0AB-4899-96E7-38A41DC42AA2}"/>
    <cellStyle name="Normal 2 4 2 4 2 2 4 3" xfId="5924" xr:uid="{00000000-0005-0000-0000-0000440F0000}"/>
    <cellStyle name="Normal 2 4 2 4 2 2 4 3 2" xfId="23690" xr:uid="{2F4EC3DA-37B8-469B-8A97-3CAF896C0F96}"/>
    <cellStyle name="Normal 2 4 2 4 2 2 4 3 3" xfId="15250" xr:uid="{F9BD5243-ED12-4C7F-B82F-4919254A4714}"/>
    <cellStyle name="Normal 2 4 2 4 2 2 4 4" xfId="19473" xr:uid="{CB86D0B7-5407-4600-B936-3D6B31E73B38}"/>
    <cellStyle name="Normal 2 4 2 4 2 2 4 5" xfId="11033" xr:uid="{7BD80448-7719-4B83-A597-F7B0E1EF2CF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26248" xr:uid="{013E77E2-3410-4A84-A657-C93C2A2EEE49}"/>
    <cellStyle name="Normal 2 4 2 4 2 2 5 2 2 3" xfId="17808" xr:uid="{60797B8D-1ECF-4B23-B2F3-43E23CE90304}"/>
    <cellStyle name="Normal 2 4 2 4 2 2 5 2 3" xfId="22031" xr:uid="{4B77911A-1D74-49EE-9B12-18D91A9E535B}"/>
    <cellStyle name="Normal 2 4 2 4 2 2 5 2 4" xfId="13591" xr:uid="{45D80026-BA79-470E-90D8-9C6065746222}"/>
    <cellStyle name="Normal 2 4 2 4 2 2 5 3" xfId="6337" xr:uid="{00000000-0005-0000-0000-0000480F0000}"/>
    <cellStyle name="Normal 2 4 2 4 2 2 5 3 2" xfId="24103" xr:uid="{F0F59021-445A-4AD7-BF3B-DBD0D99005C2}"/>
    <cellStyle name="Normal 2 4 2 4 2 2 5 3 3" xfId="15663" xr:uid="{BE37A19C-90F9-41E5-925E-5DF69876C4D8}"/>
    <cellStyle name="Normal 2 4 2 4 2 2 5 4" xfId="19886" xr:uid="{42DA0376-73BC-4700-925B-A96A87A5228F}"/>
    <cellStyle name="Normal 2 4 2 4 2 2 5 5" xfId="11446" xr:uid="{75C7FC26-524E-4C04-A432-4EA2D6ED956C}"/>
    <cellStyle name="Normal 2 4 2 4 2 2 6" xfId="2467" xr:uid="{00000000-0005-0000-0000-0000490F0000}"/>
    <cellStyle name="Normal 2 4 2 4 2 2 6 2" xfId="6750" xr:uid="{00000000-0005-0000-0000-00004A0F0000}"/>
    <cellStyle name="Normal 2 4 2 4 2 2 6 2 2" xfId="24516" xr:uid="{11AFBBD7-8C8B-457D-9D68-F09C434D1BCE}"/>
    <cellStyle name="Normal 2 4 2 4 2 2 6 2 3" xfId="16076" xr:uid="{939114FC-1D66-44CA-896F-20185E14F15C}"/>
    <cellStyle name="Normal 2 4 2 4 2 2 6 3" xfId="20299" xr:uid="{A158A0DD-D9FB-4137-BA68-CE95DBE2CAA2}"/>
    <cellStyle name="Normal 2 4 2 4 2 2 6 4" xfId="11859" xr:uid="{3F4762EE-8CBE-4B84-A0DF-157F21401DD8}"/>
    <cellStyle name="Normal 2 4 2 4 2 2 7" xfId="4684" xr:uid="{00000000-0005-0000-0000-00004B0F0000}"/>
    <cellStyle name="Normal 2 4 2 4 2 2 7 2" xfId="22450" xr:uid="{0D378C12-1EE7-4F26-B07A-13F9C4EC80AB}"/>
    <cellStyle name="Normal 2 4 2 4 2 2 7 3" xfId="14010" xr:uid="{CBF082D0-7581-401C-8BC2-7498CA3497A7}"/>
    <cellStyle name="Normal 2 4 2 4 2 2 8" xfId="9122" xr:uid="{861CB008-611F-4F3F-9D09-5BCA5A4CB255}"/>
    <cellStyle name="Normal 2 4 2 4 2 2 8 2" xfId="18233" xr:uid="{C8C9B655-31DD-4662-8EE9-F38C890EA4EB}"/>
    <cellStyle name="Normal 2 4 2 4 2 2 9" xfId="9793" xr:uid="{FB231DCC-D1F0-49BF-9ADD-DA0A11525688}"/>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25008" xr:uid="{1C39320D-6DBF-4CEE-9DD0-F9BFAD33443B}"/>
    <cellStyle name="Normal 2 4 2 4 2 3 2 2 3" xfId="16568" xr:uid="{3000664C-99F2-4E00-A14C-B7E52A08AA27}"/>
    <cellStyle name="Normal 2 4 2 4 2 3 2 3" xfId="20791" xr:uid="{CF5C3468-773A-4BA3-BDD2-D44321FEA161}"/>
    <cellStyle name="Normal 2 4 2 4 2 3 2 4" xfId="12351" xr:uid="{D39C55B4-38B2-422C-8D16-136F6130A23D}"/>
    <cellStyle name="Normal 2 4 2 4 2 3 3" xfId="5097" xr:uid="{00000000-0005-0000-0000-00004F0F0000}"/>
    <cellStyle name="Normal 2 4 2 4 2 3 3 2" xfId="22863" xr:uid="{FBA8999C-37CF-491F-88FA-63124693A011}"/>
    <cellStyle name="Normal 2 4 2 4 2 3 3 3" xfId="14423" xr:uid="{9B7751E8-45B6-4C45-8140-3EA9433D382C}"/>
    <cellStyle name="Normal 2 4 2 4 2 3 4" xfId="9340" xr:uid="{2D1F2F91-F6E8-42AC-98D0-B8667E0ECE37}"/>
    <cellStyle name="Normal 2 4 2 4 2 3 4 2" xfId="18646" xr:uid="{638B7EAC-BDA2-4A50-B8A0-93AB174F14D7}"/>
    <cellStyle name="Normal 2 4 2 4 2 3 5" xfId="10206" xr:uid="{2A01B14C-06A9-4A30-AD8E-7C3FA162E198}"/>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25421" xr:uid="{71BC9798-C535-428D-BDBE-866F36A474D4}"/>
    <cellStyle name="Normal 2 4 2 4 2 4 2 2 3" xfId="16981" xr:uid="{4C66FC1D-BBF8-454C-A692-94F19F184277}"/>
    <cellStyle name="Normal 2 4 2 4 2 4 2 3" xfId="21204" xr:uid="{B2D430EE-1A12-4A9D-BF12-8CFBF53A62BA}"/>
    <cellStyle name="Normal 2 4 2 4 2 4 2 4" xfId="12764" xr:uid="{49122055-DF88-4A21-8A4B-99E4FF87AAF1}"/>
    <cellStyle name="Normal 2 4 2 4 2 4 3" xfId="5510" xr:uid="{00000000-0005-0000-0000-0000530F0000}"/>
    <cellStyle name="Normal 2 4 2 4 2 4 3 2" xfId="23276" xr:uid="{701CCB19-4A72-4D24-95D3-8BB1A7F172F3}"/>
    <cellStyle name="Normal 2 4 2 4 2 4 3 3" xfId="14836" xr:uid="{4F9A2BCD-3DEE-4ACB-89FD-95A4C24C866A}"/>
    <cellStyle name="Normal 2 4 2 4 2 4 4" xfId="19059" xr:uid="{089F14B3-A9B4-4F60-ACDD-4EBB22E02A77}"/>
    <cellStyle name="Normal 2 4 2 4 2 4 5" xfId="10619" xr:uid="{CB0A3CCA-6224-442B-AE51-CE616158D7D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25834" xr:uid="{30F3F529-0DD5-4714-89E4-0D02C84D6042}"/>
    <cellStyle name="Normal 2 4 2 4 2 5 2 2 3" xfId="17394" xr:uid="{A6790617-2D43-487C-B2A6-46D3BD6F5D81}"/>
    <cellStyle name="Normal 2 4 2 4 2 5 2 3" xfId="21617" xr:uid="{1328AA2D-14ED-4C31-A7D6-184A6A45262B}"/>
    <cellStyle name="Normal 2 4 2 4 2 5 2 4" xfId="13177" xr:uid="{1746F356-7FD0-41AB-A19B-170C6D4FC075}"/>
    <cellStyle name="Normal 2 4 2 4 2 5 3" xfId="5923" xr:uid="{00000000-0005-0000-0000-0000570F0000}"/>
    <cellStyle name="Normal 2 4 2 4 2 5 3 2" xfId="23689" xr:uid="{8758E7EF-3A0E-4E84-98D2-39C73AA92A9D}"/>
    <cellStyle name="Normal 2 4 2 4 2 5 3 3" xfId="15249" xr:uid="{E63B9477-965E-4893-954F-B450F1C29E71}"/>
    <cellStyle name="Normal 2 4 2 4 2 5 4" xfId="19472" xr:uid="{0B2A9EF6-A241-4F80-B3A7-F99ED4E9D184}"/>
    <cellStyle name="Normal 2 4 2 4 2 5 5" xfId="11032" xr:uid="{B2F4068D-AF9D-4659-82C9-01B7EDF66249}"/>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26247" xr:uid="{D9C2C30E-DF92-4135-BEC6-776C3D0693C0}"/>
    <cellStyle name="Normal 2 4 2 4 2 6 2 2 3" xfId="17807" xr:uid="{72FA79FD-C46B-4F14-BCF2-21141772DBD5}"/>
    <cellStyle name="Normal 2 4 2 4 2 6 2 3" xfId="22030" xr:uid="{FAD17274-131F-4A76-BC61-C99A33834E8B}"/>
    <cellStyle name="Normal 2 4 2 4 2 6 2 4" xfId="13590" xr:uid="{66CC33C2-8757-4D0C-8D0B-8BD03D464563}"/>
    <cellStyle name="Normal 2 4 2 4 2 6 3" xfId="6336" xr:uid="{00000000-0005-0000-0000-00005B0F0000}"/>
    <cellStyle name="Normal 2 4 2 4 2 6 3 2" xfId="24102" xr:uid="{907B22FC-9B51-4A8F-AB76-6D899F28876B}"/>
    <cellStyle name="Normal 2 4 2 4 2 6 3 3" xfId="15662" xr:uid="{09930B6D-6853-457C-9586-17E4F46F8B0A}"/>
    <cellStyle name="Normal 2 4 2 4 2 6 4" xfId="19885" xr:uid="{A150197C-10E1-4113-AE2E-46FB6F204519}"/>
    <cellStyle name="Normal 2 4 2 4 2 6 5" xfId="11445" xr:uid="{7F6FC32A-BC0E-4BFF-8F4F-BD45EF6A1BCB}"/>
    <cellStyle name="Normal 2 4 2 4 2 7" xfId="2466" xr:uid="{00000000-0005-0000-0000-00005C0F0000}"/>
    <cellStyle name="Normal 2 4 2 4 2 7 2" xfId="6749" xr:uid="{00000000-0005-0000-0000-00005D0F0000}"/>
    <cellStyle name="Normal 2 4 2 4 2 7 2 2" xfId="24515" xr:uid="{D1C9482E-5CE4-45EC-A910-CD8AEFF32D79}"/>
    <cellStyle name="Normal 2 4 2 4 2 7 2 3" xfId="16075" xr:uid="{7E978B3C-F377-4654-AEDF-59BC2ED0AC0C}"/>
    <cellStyle name="Normal 2 4 2 4 2 7 3" xfId="20298" xr:uid="{5681DA7C-63FB-4D3A-A5C4-F30DD2A98A19}"/>
    <cellStyle name="Normal 2 4 2 4 2 7 4" xfId="11858" xr:uid="{C6DDFF7B-EBA2-4BC6-B779-1F98381EE039}"/>
    <cellStyle name="Normal 2 4 2 4 2 8" xfId="4683" xr:uid="{00000000-0005-0000-0000-00005E0F0000}"/>
    <cellStyle name="Normal 2 4 2 4 2 8 2" xfId="22449" xr:uid="{D1EBCBCD-556E-4833-85D3-419ABC2D50DF}"/>
    <cellStyle name="Normal 2 4 2 4 2 8 3" xfId="14009" xr:uid="{BF38A627-E608-420B-9B49-A6A37F574B86}"/>
    <cellStyle name="Normal 2 4 2 4 2 9" xfId="8915" xr:uid="{2BEB15AA-2AFA-47D4-AC0E-63DAF2CFE119}"/>
    <cellStyle name="Normal 2 4 2 4 2 9 2" xfId="18232" xr:uid="{446576F6-4BF3-4BE2-A86F-364A7FDF30FB}"/>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25010" xr:uid="{6902AAA4-44AB-4679-8B04-AEF7E345B7A6}"/>
    <cellStyle name="Normal 2 4 2 4 3 2 2 2 3" xfId="16570" xr:uid="{C4FE5637-9C9C-4DB1-8504-1FEF0BA78E83}"/>
    <cellStyle name="Normal 2 4 2 4 3 2 2 3" xfId="20793" xr:uid="{479E8D99-8D31-48B3-8C7C-E640C747056C}"/>
    <cellStyle name="Normal 2 4 2 4 3 2 2 4" xfId="12353" xr:uid="{CF7F8087-971F-4E6F-B2CE-31F6887C1F51}"/>
    <cellStyle name="Normal 2 4 2 4 3 2 3" xfId="5099" xr:uid="{00000000-0005-0000-0000-0000630F0000}"/>
    <cellStyle name="Normal 2 4 2 4 3 2 3 2" xfId="22865" xr:uid="{62AA34A3-CD5D-452E-A9E5-737456A27705}"/>
    <cellStyle name="Normal 2 4 2 4 3 2 3 3" xfId="14425" xr:uid="{3C413CFF-1B3C-4251-8034-E96E526129C4}"/>
    <cellStyle name="Normal 2 4 2 4 3 2 4" xfId="9444" xr:uid="{807939DF-E7C0-4015-A3D8-AE9E56020172}"/>
    <cellStyle name="Normal 2 4 2 4 3 2 4 2" xfId="18648" xr:uid="{0417EF4B-B26B-4174-85A1-504C858C12C1}"/>
    <cellStyle name="Normal 2 4 2 4 3 2 5" xfId="10208" xr:uid="{AF8660E7-F3C5-4112-BAD1-7CFE335F9B5A}"/>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25423" xr:uid="{702FC944-5792-4482-9626-D4F9B3CDF15F}"/>
    <cellStyle name="Normal 2 4 2 4 3 3 2 2 3" xfId="16983" xr:uid="{51D9065F-8ED8-4FB2-A2ED-00E11BE858C1}"/>
    <cellStyle name="Normal 2 4 2 4 3 3 2 3" xfId="21206" xr:uid="{44C856C4-AC62-4D52-9DF9-926419290870}"/>
    <cellStyle name="Normal 2 4 2 4 3 3 2 4" xfId="12766" xr:uid="{6050FB63-A168-46B8-BB75-04E938555034}"/>
    <cellStyle name="Normal 2 4 2 4 3 3 3" xfId="5512" xr:uid="{00000000-0005-0000-0000-0000670F0000}"/>
    <cellStyle name="Normal 2 4 2 4 3 3 3 2" xfId="23278" xr:uid="{C8E86774-64FB-424D-9536-540A61480987}"/>
    <cellStyle name="Normal 2 4 2 4 3 3 3 3" xfId="14838" xr:uid="{A48EE29A-A23A-4926-B858-C8A173365878}"/>
    <cellStyle name="Normal 2 4 2 4 3 3 4" xfId="19061" xr:uid="{02784EF3-6F84-4E73-A86D-843435BF662C}"/>
    <cellStyle name="Normal 2 4 2 4 3 3 5" xfId="10621" xr:uid="{B80BB81B-F2B5-4057-9477-7503C4F0E772}"/>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25836" xr:uid="{AD3A1EC5-4B02-4155-A791-E1B6E53EE71A}"/>
    <cellStyle name="Normal 2 4 2 4 3 4 2 2 3" xfId="17396" xr:uid="{FECE161A-D8DB-4C56-9589-2622CF8B9618}"/>
    <cellStyle name="Normal 2 4 2 4 3 4 2 3" xfId="21619" xr:uid="{CE1DD51B-B5A8-41E9-85B3-11673F56D9BC}"/>
    <cellStyle name="Normal 2 4 2 4 3 4 2 4" xfId="13179" xr:uid="{3D7DE99E-C8E5-4690-BB8C-959222BBEA00}"/>
    <cellStyle name="Normal 2 4 2 4 3 4 3" xfId="5925" xr:uid="{00000000-0005-0000-0000-00006B0F0000}"/>
    <cellStyle name="Normal 2 4 2 4 3 4 3 2" xfId="23691" xr:uid="{E6B89AE5-EDBD-4773-AF58-C9B511B08720}"/>
    <cellStyle name="Normal 2 4 2 4 3 4 3 3" xfId="15251" xr:uid="{7FCD06B8-017E-43A3-91FE-4BD324B11D8E}"/>
    <cellStyle name="Normal 2 4 2 4 3 4 4" xfId="19474" xr:uid="{36671FDA-F61B-40E1-AF82-2FEE153BA3F3}"/>
    <cellStyle name="Normal 2 4 2 4 3 4 5" xfId="11034" xr:uid="{C273B8A4-7D7B-4F89-9EDD-4D6AC2EAF348}"/>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26249" xr:uid="{01054218-B5F4-4C32-8E07-314CA1F298B1}"/>
    <cellStyle name="Normal 2 4 2 4 3 5 2 2 3" xfId="17809" xr:uid="{C2806386-63CF-4E5C-8053-B5F1F3A3AB2D}"/>
    <cellStyle name="Normal 2 4 2 4 3 5 2 3" xfId="22032" xr:uid="{C9D87C1E-75D4-4C70-9192-5B3BD229B775}"/>
    <cellStyle name="Normal 2 4 2 4 3 5 2 4" xfId="13592" xr:uid="{BE8EF865-0A98-4367-9600-491899607593}"/>
    <cellStyle name="Normal 2 4 2 4 3 5 3" xfId="6338" xr:uid="{00000000-0005-0000-0000-00006F0F0000}"/>
    <cellStyle name="Normal 2 4 2 4 3 5 3 2" xfId="24104" xr:uid="{D13CCCD9-193E-4B43-A75C-E992F3D10FC1}"/>
    <cellStyle name="Normal 2 4 2 4 3 5 3 3" xfId="15664" xr:uid="{8A3FE9F8-6F62-4925-BEC7-F27B028C4D50}"/>
    <cellStyle name="Normal 2 4 2 4 3 5 4" xfId="19887" xr:uid="{7988A706-20EC-4250-A836-B5C44E52F564}"/>
    <cellStyle name="Normal 2 4 2 4 3 5 5" xfId="11447" xr:uid="{6CFFDEA3-67FD-48B8-9225-B79913E97606}"/>
    <cellStyle name="Normal 2 4 2 4 3 6" xfId="2468" xr:uid="{00000000-0005-0000-0000-0000700F0000}"/>
    <cellStyle name="Normal 2 4 2 4 3 6 2" xfId="6751" xr:uid="{00000000-0005-0000-0000-0000710F0000}"/>
    <cellStyle name="Normal 2 4 2 4 3 6 2 2" xfId="24517" xr:uid="{0E8C00D3-10D9-46C4-B246-A839FE6A26F5}"/>
    <cellStyle name="Normal 2 4 2 4 3 6 2 3" xfId="16077" xr:uid="{A82A5F5C-DFFE-495F-83E3-59A8389C5E89}"/>
    <cellStyle name="Normal 2 4 2 4 3 6 3" xfId="20300" xr:uid="{11DA67B9-7E47-459E-97B9-F230F893F972}"/>
    <cellStyle name="Normal 2 4 2 4 3 6 4" xfId="11860" xr:uid="{26C7C66A-69EF-4BA3-BB17-ADFC194CD3FE}"/>
    <cellStyle name="Normal 2 4 2 4 3 7" xfId="4685" xr:uid="{00000000-0005-0000-0000-0000720F0000}"/>
    <cellStyle name="Normal 2 4 2 4 3 7 2" xfId="22451" xr:uid="{2EC091E7-8FAA-495C-9630-DFFB9C433AC1}"/>
    <cellStyle name="Normal 2 4 2 4 3 7 3" xfId="14011" xr:uid="{2441EEBC-1DB6-4677-A92E-075970829021}"/>
    <cellStyle name="Normal 2 4 2 4 3 8" xfId="9019" xr:uid="{1F22810F-FF7D-4FF4-861A-F2BA8F253428}"/>
    <cellStyle name="Normal 2 4 2 4 3 8 2" xfId="18234" xr:uid="{8CB43682-CD81-4085-8926-DA82ED4A44D5}"/>
    <cellStyle name="Normal 2 4 2 4 3 9" xfId="9794" xr:uid="{7A1C80FB-87C5-4FD8-86CB-D2F52380A8E3}"/>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25007" xr:uid="{DEC0CCB6-6D4C-4E43-9CCD-5391507B6308}"/>
    <cellStyle name="Normal 2 4 2 4 4 2 2 3" xfId="16567" xr:uid="{128B54FB-8C7F-40FD-B1BB-683A80E70125}"/>
    <cellStyle name="Normal 2 4 2 4 4 2 3" xfId="20790" xr:uid="{52EE1FDF-1777-4BD7-8D4C-1C1A31601049}"/>
    <cellStyle name="Normal 2 4 2 4 4 2 4" xfId="12350" xr:uid="{271EAE42-7EE7-41BE-9F67-4383FE6D1EF7}"/>
    <cellStyle name="Normal 2 4 2 4 4 3" xfId="5096" xr:uid="{00000000-0005-0000-0000-0000760F0000}"/>
    <cellStyle name="Normal 2 4 2 4 4 3 2" xfId="22862" xr:uid="{F0201CE1-E802-4270-A627-7EF47C3122D7}"/>
    <cellStyle name="Normal 2 4 2 4 4 3 3" xfId="14422" xr:uid="{521E0AFC-1311-4058-B5A1-535078BD8D60}"/>
    <cellStyle name="Normal 2 4 2 4 4 4" xfId="9237" xr:uid="{FF4B133D-A40B-4895-9E3D-E727B18E66C8}"/>
    <cellStyle name="Normal 2 4 2 4 4 4 2" xfId="18645" xr:uid="{C042D468-FF44-41A8-B7A0-322EDE55E49C}"/>
    <cellStyle name="Normal 2 4 2 4 4 5" xfId="10205" xr:uid="{6697B0F5-028C-46E9-ADA3-8ABF30590F9B}"/>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25420" xr:uid="{528B81A6-1447-4446-93DD-6CD812925764}"/>
    <cellStyle name="Normal 2 4 2 4 5 2 2 3" xfId="16980" xr:uid="{5873F8FF-2B69-4843-998F-4F6830175D52}"/>
    <cellStyle name="Normal 2 4 2 4 5 2 3" xfId="21203" xr:uid="{6F6436D6-28B8-459B-B55F-E74C3D01FCA2}"/>
    <cellStyle name="Normal 2 4 2 4 5 2 4" xfId="12763" xr:uid="{AA6C1B1E-709C-458A-AC0E-6AA8B25A9941}"/>
    <cellStyle name="Normal 2 4 2 4 5 3" xfId="5509" xr:uid="{00000000-0005-0000-0000-00007A0F0000}"/>
    <cellStyle name="Normal 2 4 2 4 5 3 2" xfId="23275" xr:uid="{D4BDFD52-5D9E-4222-AEB6-BBEAFA52FEBB}"/>
    <cellStyle name="Normal 2 4 2 4 5 3 3" xfId="14835" xr:uid="{2C4C9338-976C-4F5B-A89E-CCC36F8FA55F}"/>
    <cellStyle name="Normal 2 4 2 4 5 4" xfId="19058" xr:uid="{2874445F-DD53-4CAB-A847-165A140D7A52}"/>
    <cellStyle name="Normal 2 4 2 4 5 5" xfId="10618" xr:uid="{BFA3742B-532B-4144-BDA9-9769C2F1BD67}"/>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25833" xr:uid="{4024E2DC-E83E-4A71-B192-7D5D3FFEC108}"/>
    <cellStyle name="Normal 2 4 2 4 6 2 2 3" xfId="17393" xr:uid="{58CA100D-E6E0-4FF0-B227-30AB6115EA53}"/>
    <cellStyle name="Normal 2 4 2 4 6 2 3" xfId="21616" xr:uid="{8F0C3391-C58E-42DE-9609-54D61A5F17BD}"/>
    <cellStyle name="Normal 2 4 2 4 6 2 4" xfId="13176" xr:uid="{93A959FB-295B-4913-9318-23EFBC57E4DA}"/>
    <cellStyle name="Normal 2 4 2 4 6 3" xfId="5922" xr:uid="{00000000-0005-0000-0000-00007E0F0000}"/>
    <cellStyle name="Normal 2 4 2 4 6 3 2" xfId="23688" xr:uid="{AC062354-774D-46C0-833B-75AAFF536C94}"/>
    <cellStyle name="Normal 2 4 2 4 6 3 3" xfId="15248" xr:uid="{CE01C572-C609-4776-A51C-F4629CBF8669}"/>
    <cellStyle name="Normal 2 4 2 4 6 4" xfId="19471" xr:uid="{475D0998-1E3B-40C8-8161-D6AD1F3DBA68}"/>
    <cellStyle name="Normal 2 4 2 4 6 5" xfId="11031" xr:uid="{0C6F4089-1D7C-4996-85CE-7E4346C2458B}"/>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26246" xr:uid="{A1A0C26A-F93C-4238-A7AD-CF7069B98E92}"/>
    <cellStyle name="Normal 2 4 2 4 7 2 2 3" xfId="17806" xr:uid="{3367C209-8753-4739-9C01-1A6AF15EC162}"/>
    <cellStyle name="Normal 2 4 2 4 7 2 3" xfId="22029" xr:uid="{B98DD568-B16C-4AF7-8764-7D52A144DE4D}"/>
    <cellStyle name="Normal 2 4 2 4 7 2 4" xfId="13589" xr:uid="{EDEA4E76-154B-4B83-A333-A1F1320223CD}"/>
    <cellStyle name="Normal 2 4 2 4 7 3" xfId="6335" xr:uid="{00000000-0005-0000-0000-0000820F0000}"/>
    <cellStyle name="Normal 2 4 2 4 7 3 2" xfId="24101" xr:uid="{B857BA8A-837F-431A-B0E8-0E70A5C94239}"/>
    <cellStyle name="Normal 2 4 2 4 7 3 3" xfId="15661" xr:uid="{CF5B18C1-D3A8-4049-8739-B22B3E9D47D1}"/>
    <cellStyle name="Normal 2 4 2 4 7 4" xfId="19884" xr:uid="{7E9E2248-15D0-48FF-88BF-708C91AE4327}"/>
    <cellStyle name="Normal 2 4 2 4 7 5" xfId="11444" xr:uid="{300187B7-ED14-4EEB-AFDC-78E78EDBD9A3}"/>
    <cellStyle name="Normal 2 4 2 4 8" xfId="2465" xr:uid="{00000000-0005-0000-0000-0000830F0000}"/>
    <cellStyle name="Normal 2 4 2 4 8 2" xfId="6748" xr:uid="{00000000-0005-0000-0000-0000840F0000}"/>
    <cellStyle name="Normal 2 4 2 4 8 2 2" xfId="24514" xr:uid="{1D0935C6-8E59-423F-950B-3208C3EE6EF4}"/>
    <cellStyle name="Normal 2 4 2 4 8 2 3" xfId="16074" xr:uid="{0E87CBD4-9758-48CD-8CF2-8A30598060D1}"/>
    <cellStyle name="Normal 2 4 2 4 8 3" xfId="20297" xr:uid="{38A3DB69-E0C4-4094-BE67-1F9B4C804FD8}"/>
    <cellStyle name="Normal 2 4 2 4 8 4" xfId="11857" xr:uid="{07D7E866-5F61-4F58-BE99-0E49B565B795}"/>
    <cellStyle name="Normal 2 4 2 4 9" xfId="4682" xr:uid="{00000000-0005-0000-0000-0000850F0000}"/>
    <cellStyle name="Normal 2 4 2 4 9 2" xfId="22448" xr:uid="{54D2094C-7606-4635-8638-B03F325E2892}"/>
    <cellStyle name="Normal 2 4 2 4 9 3" xfId="14008" xr:uid="{BBAA7A8F-9D7D-4FA4-9115-EB65262A38FC}"/>
    <cellStyle name="Normal 2 4 2 5" xfId="293" xr:uid="{00000000-0005-0000-0000-0000860F0000}"/>
    <cellStyle name="Normal 2 4 2 5 10" xfId="9795" xr:uid="{7E32E082-17B9-4EF5-85C9-B2039AF74396}"/>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25012" xr:uid="{6F530D92-F310-4D86-8D6C-623A67801CE5}"/>
    <cellStyle name="Normal 2 4 2 5 2 2 2 2 3" xfId="16572" xr:uid="{EC55D107-4669-4D2A-BC61-5E33A1695A36}"/>
    <cellStyle name="Normal 2 4 2 5 2 2 2 3" xfId="20795" xr:uid="{A0AD7BC4-993A-486B-BD58-CADE805DA04B}"/>
    <cellStyle name="Normal 2 4 2 5 2 2 2 4" xfId="12355" xr:uid="{966356E2-CB06-47BE-BD13-AF062569DF9D}"/>
    <cellStyle name="Normal 2 4 2 5 2 2 3" xfId="5101" xr:uid="{00000000-0005-0000-0000-00008B0F0000}"/>
    <cellStyle name="Normal 2 4 2 5 2 2 3 2" xfId="22867" xr:uid="{08325178-2726-4D96-8121-5DAC828BE8A1}"/>
    <cellStyle name="Normal 2 4 2 5 2 2 3 3" xfId="14427" xr:uid="{111225C2-52CE-4966-B941-906C236003C6}"/>
    <cellStyle name="Normal 2 4 2 5 2 2 4" xfId="9492" xr:uid="{07DC9204-2F52-408E-80EE-617A106DD9FD}"/>
    <cellStyle name="Normal 2 4 2 5 2 2 4 2" xfId="18650" xr:uid="{1ED2E8F3-82D5-4062-9C3B-7062950ECB99}"/>
    <cellStyle name="Normal 2 4 2 5 2 2 5" xfId="10210" xr:uid="{43ECDA4E-6740-4551-8F69-2918DA5A53BC}"/>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25425" xr:uid="{0FA7C935-4A20-4090-8D33-AB961AC5104E}"/>
    <cellStyle name="Normal 2 4 2 5 2 3 2 2 3" xfId="16985" xr:uid="{6FD100E8-1FC9-4931-AE46-818B7779970F}"/>
    <cellStyle name="Normal 2 4 2 5 2 3 2 3" xfId="21208" xr:uid="{7A4B94B3-DF43-4200-A215-84D96E2BC2E1}"/>
    <cellStyle name="Normal 2 4 2 5 2 3 2 4" xfId="12768" xr:uid="{D63B90A6-440A-429F-90F5-A3D83099169A}"/>
    <cellStyle name="Normal 2 4 2 5 2 3 3" xfId="5514" xr:uid="{00000000-0005-0000-0000-00008F0F0000}"/>
    <cellStyle name="Normal 2 4 2 5 2 3 3 2" xfId="23280" xr:uid="{8778E81B-B800-4CAC-8D06-76C8B6FD7F43}"/>
    <cellStyle name="Normal 2 4 2 5 2 3 3 3" xfId="14840" xr:uid="{6144D576-B172-496A-8065-F2F8719BBE1B}"/>
    <cellStyle name="Normal 2 4 2 5 2 3 4" xfId="19063" xr:uid="{8B1D433A-DF79-4FD2-B334-D64EEBDD188A}"/>
    <cellStyle name="Normal 2 4 2 5 2 3 5" xfId="10623" xr:uid="{AB01A88E-E48F-4458-9B7E-ED94EEDF4626}"/>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25838" xr:uid="{E96CDA95-83E4-4AA2-8316-BD4D966CE92D}"/>
    <cellStyle name="Normal 2 4 2 5 2 4 2 2 3" xfId="17398" xr:uid="{D9D69FAC-42BD-4AD7-8F6E-F29C104486E2}"/>
    <cellStyle name="Normal 2 4 2 5 2 4 2 3" xfId="21621" xr:uid="{14FECC90-953A-4DDB-A6D6-3416CA758DFF}"/>
    <cellStyle name="Normal 2 4 2 5 2 4 2 4" xfId="13181" xr:uid="{08288D45-D1A1-4B77-8E51-E5A4E53AAE37}"/>
    <cellStyle name="Normal 2 4 2 5 2 4 3" xfId="5927" xr:uid="{00000000-0005-0000-0000-0000930F0000}"/>
    <cellStyle name="Normal 2 4 2 5 2 4 3 2" xfId="23693" xr:uid="{8A0DD9DC-F94D-4444-8DD8-6F47305B97BF}"/>
    <cellStyle name="Normal 2 4 2 5 2 4 3 3" xfId="15253" xr:uid="{12263B95-56AF-419D-9B87-F92D1E5F6CE0}"/>
    <cellStyle name="Normal 2 4 2 5 2 4 4" xfId="19476" xr:uid="{BDC70BF6-E07B-4D54-9B2C-BDDAFBA03647}"/>
    <cellStyle name="Normal 2 4 2 5 2 4 5" xfId="11036" xr:uid="{59A05E54-E5C8-40D8-9B33-C8DA789C468C}"/>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26251" xr:uid="{F2FC198C-0987-444C-AD5A-6E19D234FDB2}"/>
    <cellStyle name="Normal 2 4 2 5 2 5 2 2 3" xfId="17811" xr:uid="{E1892091-B912-49F5-BE4C-62E7F2712310}"/>
    <cellStyle name="Normal 2 4 2 5 2 5 2 3" xfId="22034" xr:uid="{B3EEF9C6-8AD4-4049-85D5-C5B80215A433}"/>
    <cellStyle name="Normal 2 4 2 5 2 5 2 4" xfId="13594" xr:uid="{5491F193-3845-48CA-B852-CF1FC9FCC04F}"/>
    <cellStyle name="Normal 2 4 2 5 2 5 3" xfId="6340" xr:uid="{00000000-0005-0000-0000-0000970F0000}"/>
    <cellStyle name="Normal 2 4 2 5 2 5 3 2" xfId="24106" xr:uid="{657F1F24-ABE8-4C36-8E27-B957BE2EA456}"/>
    <cellStyle name="Normal 2 4 2 5 2 5 3 3" xfId="15666" xr:uid="{156B301F-836F-47FF-AB13-48D1A958D454}"/>
    <cellStyle name="Normal 2 4 2 5 2 5 4" xfId="19889" xr:uid="{AE81135B-4E48-40E5-9AD3-64B8D368DDEE}"/>
    <cellStyle name="Normal 2 4 2 5 2 5 5" xfId="11449" xr:uid="{998CE108-AF6D-4C3D-9CAD-4CF7C3B36E08}"/>
    <cellStyle name="Normal 2 4 2 5 2 6" xfId="2470" xr:uid="{00000000-0005-0000-0000-0000980F0000}"/>
    <cellStyle name="Normal 2 4 2 5 2 6 2" xfId="6753" xr:uid="{00000000-0005-0000-0000-0000990F0000}"/>
    <cellStyle name="Normal 2 4 2 5 2 6 2 2" xfId="24519" xr:uid="{B04D0CF7-8000-45EE-9E12-C59B93E70575}"/>
    <cellStyle name="Normal 2 4 2 5 2 6 2 3" xfId="16079" xr:uid="{A90B6B0E-B6C7-46F5-9527-D9D2AAAC8C70}"/>
    <cellStyle name="Normal 2 4 2 5 2 6 3" xfId="20302" xr:uid="{A83D5B40-7244-4309-8085-CE9FBB12AB24}"/>
    <cellStyle name="Normal 2 4 2 5 2 6 4" xfId="11862" xr:uid="{77D7EB9A-0177-42FE-9DC2-BA5A988337D2}"/>
    <cellStyle name="Normal 2 4 2 5 2 7" xfId="4687" xr:uid="{00000000-0005-0000-0000-00009A0F0000}"/>
    <cellStyle name="Normal 2 4 2 5 2 7 2" xfId="22453" xr:uid="{6040A78F-A293-412B-A7FB-A909A21B5E47}"/>
    <cellStyle name="Normal 2 4 2 5 2 7 3" xfId="14013" xr:uid="{C9907DB3-1A92-4525-AC9A-E0F61340BE8A}"/>
    <cellStyle name="Normal 2 4 2 5 2 8" xfId="9067" xr:uid="{89D5CB5A-ADE0-44B8-BC1E-FDE984B579C9}"/>
    <cellStyle name="Normal 2 4 2 5 2 8 2" xfId="18236" xr:uid="{2393B33C-0112-4938-9BA0-986A3E3F4F11}"/>
    <cellStyle name="Normal 2 4 2 5 2 9" xfId="9796" xr:uid="{602BBCDA-5426-4601-B2DE-76A4490A4C0F}"/>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25011" xr:uid="{0A87E85F-9BAA-4D90-B8A1-EEA04474352B}"/>
    <cellStyle name="Normal 2 4 2 5 3 2 2 3" xfId="16571" xr:uid="{47545F2D-5129-4FDE-A584-84079B67DBA3}"/>
    <cellStyle name="Normal 2 4 2 5 3 2 3" xfId="20794" xr:uid="{FF928ED7-D857-4723-8BFF-97C6F962783F}"/>
    <cellStyle name="Normal 2 4 2 5 3 2 4" xfId="12354" xr:uid="{33C513F6-8C7C-4E82-9C8F-A628711697FB}"/>
    <cellStyle name="Normal 2 4 2 5 3 3" xfId="5100" xr:uid="{00000000-0005-0000-0000-00009E0F0000}"/>
    <cellStyle name="Normal 2 4 2 5 3 3 2" xfId="22866" xr:uid="{AF036ACE-D19B-4F14-9A39-EDFC57692AB1}"/>
    <cellStyle name="Normal 2 4 2 5 3 3 3" xfId="14426" xr:uid="{4575DF29-0923-4694-8233-ABD3AC10B8E4}"/>
    <cellStyle name="Normal 2 4 2 5 3 4" xfId="9285" xr:uid="{5DA39FB9-904E-46D3-8E24-58BF2F19DA5B}"/>
    <cellStyle name="Normal 2 4 2 5 3 4 2" xfId="18649" xr:uid="{BB3BE839-3CEC-4D6F-9D40-F700C1931118}"/>
    <cellStyle name="Normal 2 4 2 5 3 5" xfId="10209" xr:uid="{18541A2D-3B99-4924-B9CD-B22D3DB20C3D}"/>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25424" xr:uid="{84E2FDA5-6CBF-4021-A4EF-BB1930E81827}"/>
    <cellStyle name="Normal 2 4 2 5 4 2 2 3" xfId="16984" xr:uid="{5EACD7B5-668B-4EEC-AC5D-F7866A4E016F}"/>
    <cellStyle name="Normal 2 4 2 5 4 2 3" xfId="21207" xr:uid="{A5F54A9E-253B-462F-9BFD-DC198D8BABBB}"/>
    <cellStyle name="Normal 2 4 2 5 4 2 4" xfId="12767" xr:uid="{99704ACC-1058-49D2-818C-FD84D79B8B17}"/>
    <cellStyle name="Normal 2 4 2 5 4 3" xfId="5513" xr:uid="{00000000-0005-0000-0000-0000A20F0000}"/>
    <cellStyle name="Normal 2 4 2 5 4 3 2" xfId="23279" xr:uid="{ABB81BCB-23F0-4A44-B0B9-609CCDE4B360}"/>
    <cellStyle name="Normal 2 4 2 5 4 3 3" xfId="14839" xr:uid="{0FE2675B-082B-4B68-8FB9-9170555326D2}"/>
    <cellStyle name="Normal 2 4 2 5 4 4" xfId="19062" xr:uid="{2545123D-BBBE-48FB-98D8-204C528E8F8F}"/>
    <cellStyle name="Normal 2 4 2 5 4 5" xfId="10622" xr:uid="{C757FCBB-9F8A-4ADD-A61C-DB69C3D04D4C}"/>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25837" xr:uid="{6CFDE93B-D445-49FB-AE90-8763C4F23E31}"/>
    <cellStyle name="Normal 2 4 2 5 5 2 2 3" xfId="17397" xr:uid="{7D526837-90D3-4469-B15E-342CCC357609}"/>
    <cellStyle name="Normal 2 4 2 5 5 2 3" xfId="21620" xr:uid="{EE59779C-8251-41B8-BD43-13AE6B75B9ED}"/>
    <cellStyle name="Normal 2 4 2 5 5 2 4" xfId="13180" xr:uid="{BBE1F856-967D-494C-9B94-7CF66D12E6CD}"/>
    <cellStyle name="Normal 2 4 2 5 5 3" xfId="5926" xr:uid="{00000000-0005-0000-0000-0000A60F0000}"/>
    <cellStyle name="Normal 2 4 2 5 5 3 2" xfId="23692" xr:uid="{5F34C97B-3D33-43C1-8C33-58D30B1FBFA6}"/>
    <cellStyle name="Normal 2 4 2 5 5 3 3" xfId="15252" xr:uid="{B4FAD1A8-7FF9-40D9-A522-0EB5FC157BFD}"/>
    <cellStyle name="Normal 2 4 2 5 5 4" xfId="19475" xr:uid="{BFB73F0A-B2E3-455D-8B4B-9DAC91211B66}"/>
    <cellStyle name="Normal 2 4 2 5 5 5" xfId="11035" xr:uid="{972033E7-BCE4-4607-9571-FD315D83EBA0}"/>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26250" xr:uid="{AADA737C-E09A-4CE7-A9E1-06F1857411AA}"/>
    <cellStyle name="Normal 2 4 2 5 6 2 2 3" xfId="17810" xr:uid="{DD6DADCE-362A-4ABC-9ADE-E22EF049A00B}"/>
    <cellStyle name="Normal 2 4 2 5 6 2 3" xfId="22033" xr:uid="{FAB2C87E-B1A1-4BE0-9165-A754AB1D1FE9}"/>
    <cellStyle name="Normal 2 4 2 5 6 2 4" xfId="13593" xr:uid="{C0C984F4-A56C-49AB-98A0-850E8FDD9AE8}"/>
    <cellStyle name="Normal 2 4 2 5 6 3" xfId="6339" xr:uid="{00000000-0005-0000-0000-0000AA0F0000}"/>
    <cellStyle name="Normal 2 4 2 5 6 3 2" xfId="24105" xr:uid="{263D6980-A20F-4CB5-B5ED-DD45CDEB8A5C}"/>
    <cellStyle name="Normal 2 4 2 5 6 3 3" xfId="15665" xr:uid="{BA541864-2B2D-49A1-B8BF-D93880DF5F37}"/>
    <cellStyle name="Normal 2 4 2 5 6 4" xfId="19888" xr:uid="{35EDE376-7B2D-495D-A61F-994BD468005A}"/>
    <cellStyle name="Normal 2 4 2 5 6 5" xfId="11448" xr:uid="{55A11FDE-9A45-4464-97FD-0B86A677F1E6}"/>
    <cellStyle name="Normal 2 4 2 5 7" xfId="2469" xr:uid="{00000000-0005-0000-0000-0000AB0F0000}"/>
    <cellStyle name="Normal 2 4 2 5 7 2" xfId="6752" xr:uid="{00000000-0005-0000-0000-0000AC0F0000}"/>
    <cellStyle name="Normal 2 4 2 5 7 2 2" xfId="24518" xr:uid="{FDB3CF17-024C-4FA7-BA3A-492CAF70078D}"/>
    <cellStyle name="Normal 2 4 2 5 7 2 3" xfId="16078" xr:uid="{C67319C6-C744-4917-A74F-E4C292E451B2}"/>
    <cellStyle name="Normal 2 4 2 5 7 3" xfId="20301" xr:uid="{06EBFD36-5D6B-4165-8ED7-246BB4AEE16E}"/>
    <cellStyle name="Normal 2 4 2 5 7 4" xfId="11861" xr:uid="{CD0865DA-ABEE-484C-A30E-0A64EEB13642}"/>
    <cellStyle name="Normal 2 4 2 5 8" xfId="4686" xr:uid="{00000000-0005-0000-0000-0000AD0F0000}"/>
    <cellStyle name="Normal 2 4 2 5 8 2" xfId="22452" xr:uid="{A4EBE29E-7331-4FBE-91EE-C87BC311E514}"/>
    <cellStyle name="Normal 2 4 2 5 8 3" xfId="14012" xr:uid="{9FCDFAB6-64E8-4C3A-81E0-B9165BCDF745}"/>
    <cellStyle name="Normal 2 4 2 5 9" xfId="8860" xr:uid="{5FAFEFC0-3249-464B-9F12-2B1DA137C588}"/>
    <cellStyle name="Normal 2 4 2 5 9 2" xfId="18235" xr:uid="{4E39040A-A8D7-41E5-A240-4286B0CE415D}"/>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25013" xr:uid="{1F96DDEA-1AAA-4416-8287-273880A8360D}"/>
    <cellStyle name="Normal 2 4 2 6 2 2 2 3" xfId="16573" xr:uid="{946F6FB8-B757-424F-AD26-CA15408130F4}"/>
    <cellStyle name="Normal 2 4 2 6 2 2 3" xfId="20796" xr:uid="{FA6B48DE-8A5B-4B7C-9EA2-00A3DF6A9589}"/>
    <cellStyle name="Normal 2 4 2 6 2 2 4" xfId="12356" xr:uid="{B80FF86E-8293-4AB4-982E-0DCBEED7C393}"/>
    <cellStyle name="Normal 2 4 2 6 2 3" xfId="5102" xr:uid="{00000000-0005-0000-0000-0000B20F0000}"/>
    <cellStyle name="Normal 2 4 2 6 2 3 2" xfId="22868" xr:uid="{58DD2F53-7289-42B2-A934-3A23E06F48D9}"/>
    <cellStyle name="Normal 2 4 2 6 2 3 3" xfId="14428" xr:uid="{8F65C6C8-6088-4F1B-B5E2-1807CC24F508}"/>
    <cellStyle name="Normal 2 4 2 6 2 4" xfId="9401" xr:uid="{C89DD342-23DD-474B-84C5-F9DED42F169B}"/>
    <cellStyle name="Normal 2 4 2 6 2 4 2" xfId="18651" xr:uid="{F32AD09A-5034-4869-A53E-AD30B60F95E4}"/>
    <cellStyle name="Normal 2 4 2 6 2 5" xfId="10211" xr:uid="{DE0FA856-7884-4B68-A714-228112FFC37D}"/>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25426" xr:uid="{AD284BAD-2087-4821-AF43-B3B6D179AEEC}"/>
    <cellStyle name="Normal 2 4 2 6 3 2 2 3" xfId="16986" xr:uid="{00E08911-0A7B-4717-8AED-6C24C8293EC4}"/>
    <cellStyle name="Normal 2 4 2 6 3 2 3" xfId="21209" xr:uid="{B1FA69BF-A449-4501-AF16-BC666F802473}"/>
    <cellStyle name="Normal 2 4 2 6 3 2 4" xfId="12769" xr:uid="{BB982A5A-D351-46C8-BED3-5F61D8026942}"/>
    <cellStyle name="Normal 2 4 2 6 3 3" xfId="5515" xr:uid="{00000000-0005-0000-0000-0000B60F0000}"/>
    <cellStyle name="Normal 2 4 2 6 3 3 2" xfId="23281" xr:uid="{AF313EC9-C645-469C-8F38-EF80E0AAB59D}"/>
    <cellStyle name="Normal 2 4 2 6 3 3 3" xfId="14841" xr:uid="{F14E65B2-F9FA-4C70-8720-7DF74C104A1A}"/>
    <cellStyle name="Normal 2 4 2 6 3 4" xfId="19064" xr:uid="{209D9359-E21B-4044-870F-3A07A1193611}"/>
    <cellStyle name="Normal 2 4 2 6 3 5" xfId="10624" xr:uid="{4619B168-04A7-4422-A6CE-75F8CBFE81D9}"/>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25839" xr:uid="{3FCFCE28-4EFA-42E0-B4AF-990865C9FE5E}"/>
    <cellStyle name="Normal 2 4 2 6 4 2 2 3" xfId="17399" xr:uid="{D002C2D8-3B27-4247-AEAA-922E4B94226A}"/>
    <cellStyle name="Normal 2 4 2 6 4 2 3" xfId="21622" xr:uid="{52193F57-E0AA-4FDC-9249-2981E3622949}"/>
    <cellStyle name="Normal 2 4 2 6 4 2 4" xfId="13182" xr:uid="{B61352C5-7862-48B4-85EB-8380C6FD204B}"/>
    <cellStyle name="Normal 2 4 2 6 4 3" xfId="5928" xr:uid="{00000000-0005-0000-0000-0000BA0F0000}"/>
    <cellStyle name="Normal 2 4 2 6 4 3 2" xfId="23694" xr:uid="{3B23C546-4F58-486F-9EDA-0E0D7DDCCCD5}"/>
    <cellStyle name="Normal 2 4 2 6 4 3 3" xfId="15254" xr:uid="{91179361-FC89-4940-A7D1-9B345380A6B1}"/>
    <cellStyle name="Normal 2 4 2 6 4 4" xfId="19477" xr:uid="{7B70E158-94F2-45B0-84FE-CE9F73FCE145}"/>
    <cellStyle name="Normal 2 4 2 6 4 5" xfId="11037" xr:uid="{E977ECEE-2FB7-4CF5-A55A-BD1E0D97A2C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26252" xr:uid="{630FABED-BF29-4E56-8022-506E93024CB5}"/>
    <cellStyle name="Normal 2 4 2 6 5 2 2 3" xfId="17812" xr:uid="{1BE598D6-A49A-4083-B1A1-862BED20366B}"/>
    <cellStyle name="Normal 2 4 2 6 5 2 3" xfId="22035" xr:uid="{9DB73C09-4B51-48B0-A62D-22EC4D80F6B6}"/>
    <cellStyle name="Normal 2 4 2 6 5 2 4" xfId="13595" xr:uid="{9E6908EA-7FC8-4322-8ED6-3661FB9AEED7}"/>
    <cellStyle name="Normal 2 4 2 6 5 3" xfId="6341" xr:uid="{00000000-0005-0000-0000-0000BE0F0000}"/>
    <cellStyle name="Normal 2 4 2 6 5 3 2" xfId="24107" xr:uid="{DF817265-3715-4BEB-8FCE-E675A01347B7}"/>
    <cellStyle name="Normal 2 4 2 6 5 3 3" xfId="15667" xr:uid="{12693FB6-99BF-4A08-A374-BE79F04573BF}"/>
    <cellStyle name="Normal 2 4 2 6 5 4" xfId="19890" xr:uid="{364A9F15-FA31-42CA-B642-36D041983320}"/>
    <cellStyle name="Normal 2 4 2 6 5 5" xfId="11450" xr:uid="{DCC1B62E-3B81-4C3E-B813-51C52F53D452}"/>
    <cellStyle name="Normal 2 4 2 6 6" xfId="2471" xr:uid="{00000000-0005-0000-0000-0000BF0F0000}"/>
    <cellStyle name="Normal 2 4 2 6 6 2" xfId="6754" xr:uid="{00000000-0005-0000-0000-0000C00F0000}"/>
    <cellStyle name="Normal 2 4 2 6 6 2 2" xfId="24520" xr:uid="{534BC4D2-7AB8-426D-A601-80204B9B3C9A}"/>
    <cellStyle name="Normal 2 4 2 6 6 2 3" xfId="16080" xr:uid="{F4E62858-4E45-4E90-B171-2A999D51D38D}"/>
    <cellStyle name="Normal 2 4 2 6 6 3" xfId="20303" xr:uid="{8ECB3879-D4B7-4F6D-B4A3-1E4072869791}"/>
    <cellStyle name="Normal 2 4 2 6 6 4" xfId="11863" xr:uid="{ED049FAE-C175-4BAE-9B4C-62FF19A9AAE1}"/>
    <cellStyle name="Normal 2 4 2 6 7" xfId="4688" xr:uid="{00000000-0005-0000-0000-0000C10F0000}"/>
    <cellStyle name="Normal 2 4 2 6 7 2" xfId="22454" xr:uid="{37DE8F72-F15B-495B-9EEC-9B2FA2D8D38E}"/>
    <cellStyle name="Normal 2 4 2 6 7 3" xfId="14014" xr:uid="{CAB6C402-30E2-4A54-8CCC-F9CFD6E4E720}"/>
    <cellStyle name="Normal 2 4 2 6 8" xfId="8976" xr:uid="{6DEAFF8C-68CB-4364-A161-479509F453AE}"/>
    <cellStyle name="Normal 2 4 2 6 8 2" xfId="18237" xr:uid="{018FB17D-B68F-4217-BC7F-373A09892B72}"/>
    <cellStyle name="Normal 2 4 2 6 9" xfId="9797" xr:uid="{C32DA9B8-8D2F-46B5-ACDA-BA02E45E9C45}"/>
    <cellStyle name="Normal 2 4 2 7" xfId="771" xr:uid="{00000000-0005-0000-0000-0000C20F0000}"/>
    <cellStyle name="Normal 2 4 2 7 2" xfId="3010" xr:uid="{00000000-0005-0000-0000-0000C30F0000}"/>
    <cellStyle name="Normal 2 4 2 7 2 2" xfId="7232" xr:uid="{00000000-0005-0000-0000-0000C40F0000}"/>
    <cellStyle name="Normal 2 4 2 7 2 2 2" xfId="24998" xr:uid="{4538D32E-FFFC-4514-9D8E-7375F93A9FF0}"/>
    <cellStyle name="Normal 2 4 2 7 2 2 3" xfId="16558" xr:uid="{F804E1E6-4FF1-4AED-983C-FDF9DD55856A}"/>
    <cellStyle name="Normal 2 4 2 7 2 3" xfId="20781" xr:uid="{A8D815CE-AF45-4FB7-B15F-A7A94966AB66}"/>
    <cellStyle name="Normal 2 4 2 7 2 4" xfId="12341" xr:uid="{7424B91F-6E14-4A9C-A9CE-D0DD8F447B0C}"/>
    <cellStyle name="Normal 2 4 2 7 3" xfId="5087" xr:uid="{00000000-0005-0000-0000-0000C50F0000}"/>
    <cellStyle name="Normal 2 4 2 7 3 2" xfId="22853" xr:uid="{04D5BE60-61EC-4B98-AC05-3C295F900BFA}"/>
    <cellStyle name="Normal 2 4 2 7 3 3" xfId="14413" xr:uid="{ECFFE166-1136-42F3-97D8-EB5AA98F5697}"/>
    <cellStyle name="Normal 2 4 2 7 4" xfId="9179" xr:uid="{D1C44CED-398E-43B3-AFA3-1E7DC60C5D92}"/>
    <cellStyle name="Normal 2 4 2 7 4 2" xfId="18636" xr:uid="{3EED4496-B962-409D-B0D4-5CE8AD6C942E}"/>
    <cellStyle name="Normal 2 4 2 7 5" xfId="10196" xr:uid="{0483BB7B-6DB8-4CFD-B880-2BD132E8B7DE}"/>
    <cellStyle name="Normal 2 4 2 8" xfId="1193" xr:uid="{00000000-0005-0000-0000-0000C60F0000}"/>
    <cellStyle name="Normal 2 4 2 8 2" xfId="3423" xr:uid="{00000000-0005-0000-0000-0000C70F0000}"/>
    <cellStyle name="Normal 2 4 2 8 2 2" xfId="7645" xr:uid="{00000000-0005-0000-0000-0000C80F0000}"/>
    <cellStyle name="Normal 2 4 2 8 2 2 2" xfId="25411" xr:uid="{2D72701C-A506-472C-AECA-74AE28DDF5C2}"/>
    <cellStyle name="Normal 2 4 2 8 2 2 3" xfId="16971" xr:uid="{5C969B55-BE95-4B0C-BB0B-49455E106BA5}"/>
    <cellStyle name="Normal 2 4 2 8 2 3" xfId="21194" xr:uid="{E331B704-0AEC-48D3-9933-12085E5C09AD}"/>
    <cellStyle name="Normal 2 4 2 8 2 4" xfId="12754" xr:uid="{48F2FBD1-0C95-40A9-8F86-10191C53488B}"/>
    <cellStyle name="Normal 2 4 2 8 3" xfId="5500" xr:uid="{00000000-0005-0000-0000-0000C90F0000}"/>
    <cellStyle name="Normal 2 4 2 8 3 2" xfId="23266" xr:uid="{5672014B-21CC-4051-AFA6-A8DB2EE2715E}"/>
    <cellStyle name="Normal 2 4 2 8 3 3" xfId="14826" xr:uid="{326A3C36-D376-44B6-B029-38CCEB82165F}"/>
    <cellStyle name="Normal 2 4 2 8 4" xfId="19049" xr:uid="{CFE7EFD2-7654-49A6-8E60-E2F0EE9F62FE}"/>
    <cellStyle name="Normal 2 4 2 8 5" xfId="10609" xr:uid="{8D20AABE-CB1A-4CDC-8DB6-6461864E64F2}"/>
    <cellStyle name="Normal 2 4 2 9" xfId="1606" xr:uid="{00000000-0005-0000-0000-0000CA0F0000}"/>
    <cellStyle name="Normal 2 4 2 9 2" xfId="3836" xr:uid="{00000000-0005-0000-0000-0000CB0F0000}"/>
    <cellStyle name="Normal 2 4 2 9 2 2" xfId="8058" xr:uid="{00000000-0005-0000-0000-0000CC0F0000}"/>
    <cellStyle name="Normal 2 4 2 9 2 2 2" xfId="25824" xr:uid="{B7BEC539-6095-4751-BACF-3240611EFB70}"/>
    <cellStyle name="Normal 2 4 2 9 2 2 3" xfId="17384" xr:uid="{C81370C0-2E93-41D9-B8A9-709ACC619209}"/>
    <cellStyle name="Normal 2 4 2 9 2 3" xfId="21607" xr:uid="{5A26439E-B53D-4421-AD4D-90833BA58A92}"/>
    <cellStyle name="Normal 2 4 2 9 2 4" xfId="13167" xr:uid="{0D2A2421-FE6C-471A-B245-9E9485E46596}"/>
    <cellStyle name="Normal 2 4 2 9 3" xfId="5913" xr:uid="{00000000-0005-0000-0000-0000CD0F0000}"/>
    <cellStyle name="Normal 2 4 2 9 3 2" xfId="23679" xr:uid="{712283CE-0679-4E57-A5FF-FA2BDEC9D0F9}"/>
    <cellStyle name="Normal 2 4 2 9 3 3" xfId="15239" xr:uid="{A201A545-E573-472B-ADCA-A76574AA02E0}"/>
    <cellStyle name="Normal 2 4 2 9 4" xfId="19462" xr:uid="{748CF277-A38C-4521-BA0D-20A540F7B54E}"/>
    <cellStyle name="Normal 2 4 2 9 5" xfId="11022" xr:uid="{D7A3D7A7-6643-4A45-AC4B-908C458B042A}"/>
    <cellStyle name="Normal 2 4 3" xfId="296" xr:uid="{00000000-0005-0000-0000-0000CE0F0000}"/>
    <cellStyle name="Normal 2 4 3 10" xfId="18238" xr:uid="{E219CE4D-25CC-4DC2-91FD-5D89055B12A5}"/>
    <cellStyle name="Normal 2 4 3 11" xfId="9798" xr:uid="{62D73765-48A4-40CD-A693-B7117577AFBA}"/>
    <cellStyle name="Normal 2 4 3 2" xfId="297" xr:uid="{00000000-0005-0000-0000-0000CF0F0000}"/>
    <cellStyle name="Normal 2 4 3 3" xfId="298" xr:uid="{00000000-0005-0000-0000-0000D00F0000}"/>
    <cellStyle name="Normal 2 4 3 3 10" xfId="8814" xr:uid="{F78EFD99-FCC5-4915-ACA3-DFC3FC0D45A5}"/>
    <cellStyle name="Normal 2 4 3 3 10 2" xfId="18239" xr:uid="{239082ED-BBCD-4FEC-93FC-DD4CFC76F84E}"/>
    <cellStyle name="Normal 2 4 3 3 11" xfId="9799" xr:uid="{49B501A1-C808-46E0-A2D5-911E61887393}"/>
    <cellStyle name="Normal 2 4 3 3 2" xfId="299" xr:uid="{00000000-0005-0000-0000-0000D10F0000}"/>
    <cellStyle name="Normal 2 4 3 3 2 10" xfId="9800" xr:uid="{DC92AFCD-F453-4382-A224-2C1CECFBE47F}"/>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25017" xr:uid="{DC460506-3F62-42F9-A45F-5F51BFD3C1AA}"/>
    <cellStyle name="Normal 2 4 3 3 2 2 2 2 2 3" xfId="16577" xr:uid="{2593B60D-7166-4804-BD44-D3EC9CF54BF8}"/>
    <cellStyle name="Normal 2 4 3 3 2 2 2 2 3" xfId="20800" xr:uid="{BCFFD668-B734-44CE-877B-BE074BDAE79C}"/>
    <cellStyle name="Normal 2 4 3 3 2 2 2 2 4" xfId="12360" xr:uid="{A0497B52-7D78-4B2A-BBB8-7CA0E9F0BE25}"/>
    <cellStyle name="Normal 2 4 3 3 2 2 2 3" xfId="5106" xr:uid="{00000000-0005-0000-0000-0000D60F0000}"/>
    <cellStyle name="Normal 2 4 3 3 2 2 2 3 2" xfId="22872" xr:uid="{F5C08132-2043-4EFA-A7D3-E5FD2A63D6AB}"/>
    <cellStyle name="Normal 2 4 3 3 2 2 2 3 3" xfId="14432" xr:uid="{328FB77F-B597-43FF-9F28-50661E9A5A56}"/>
    <cellStyle name="Normal 2 4 3 3 2 2 2 4" xfId="9549" xr:uid="{EA88B7BC-E37D-4688-A768-0D7FE5EF9F42}"/>
    <cellStyle name="Normal 2 4 3 3 2 2 2 4 2" xfId="18655" xr:uid="{C8BA9E9F-4809-486C-A711-7C735288C95C}"/>
    <cellStyle name="Normal 2 4 3 3 2 2 2 5" xfId="10215" xr:uid="{194C6A91-8DAC-4D4A-AF3C-A05C1AD7329C}"/>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25430" xr:uid="{3B00BA4B-2024-4E73-9D5A-2CC80AAE1F31}"/>
    <cellStyle name="Normal 2 4 3 3 2 2 3 2 2 3" xfId="16990" xr:uid="{63F404E5-464D-4173-933C-F947B3C62E90}"/>
    <cellStyle name="Normal 2 4 3 3 2 2 3 2 3" xfId="21213" xr:uid="{F9B7972A-11B1-41B1-9AA1-1883C114483F}"/>
    <cellStyle name="Normal 2 4 3 3 2 2 3 2 4" xfId="12773" xr:uid="{8089EB31-DD88-4ED8-9BC2-B15B29A6721E}"/>
    <cellStyle name="Normal 2 4 3 3 2 2 3 3" xfId="5519" xr:uid="{00000000-0005-0000-0000-0000DA0F0000}"/>
    <cellStyle name="Normal 2 4 3 3 2 2 3 3 2" xfId="23285" xr:uid="{374AB0C3-A5B6-414C-97A3-1D9724169A50}"/>
    <cellStyle name="Normal 2 4 3 3 2 2 3 3 3" xfId="14845" xr:uid="{AB53D3DB-70A5-4A12-A1F5-645F01310BFF}"/>
    <cellStyle name="Normal 2 4 3 3 2 2 3 4" xfId="19068" xr:uid="{6713991E-905C-4DFA-8646-38C0400C16FA}"/>
    <cellStyle name="Normal 2 4 3 3 2 2 3 5" xfId="10628" xr:uid="{77874E4E-5D75-406A-8E14-32427FB3EBC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25843" xr:uid="{C868024E-1CD8-457E-B24A-FBE7281A51D7}"/>
    <cellStyle name="Normal 2 4 3 3 2 2 4 2 2 3" xfId="17403" xr:uid="{53DA3581-1B6B-4BE4-9474-47A8E67A7DC6}"/>
    <cellStyle name="Normal 2 4 3 3 2 2 4 2 3" xfId="21626" xr:uid="{FC399450-EBD4-420D-B53E-26D36B896E26}"/>
    <cellStyle name="Normal 2 4 3 3 2 2 4 2 4" xfId="13186" xr:uid="{FA58A046-47AE-4B23-B094-CCCCBB23592A}"/>
    <cellStyle name="Normal 2 4 3 3 2 2 4 3" xfId="5932" xr:uid="{00000000-0005-0000-0000-0000DE0F0000}"/>
    <cellStyle name="Normal 2 4 3 3 2 2 4 3 2" xfId="23698" xr:uid="{AF1977DC-49DA-4D49-9F03-65EA4DE7531E}"/>
    <cellStyle name="Normal 2 4 3 3 2 2 4 3 3" xfId="15258" xr:uid="{1080DBF2-9974-4E7F-832D-BE974D4667A2}"/>
    <cellStyle name="Normal 2 4 3 3 2 2 4 4" xfId="19481" xr:uid="{5249308E-672E-4842-82A4-455621AAE732}"/>
    <cellStyle name="Normal 2 4 3 3 2 2 4 5" xfId="11041" xr:uid="{E6FE288E-B78D-46F5-9CF9-E0DF8AFC5536}"/>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26256" xr:uid="{B73FFB9F-71BB-4076-8E5A-73EBE01C2E5C}"/>
    <cellStyle name="Normal 2 4 3 3 2 2 5 2 2 3" xfId="17816" xr:uid="{4438D5E8-86E2-4A10-A17D-345E7FEF582E}"/>
    <cellStyle name="Normal 2 4 3 3 2 2 5 2 3" xfId="22039" xr:uid="{56EF5212-CE8E-47D1-A977-DC19DFD41301}"/>
    <cellStyle name="Normal 2 4 3 3 2 2 5 2 4" xfId="13599" xr:uid="{F09D39F9-90A8-427B-9B38-CD4A9F522202}"/>
    <cellStyle name="Normal 2 4 3 3 2 2 5 3" xfId="6345" xr:uid="{00000000-0005-0000-0000-0000E20F0000}"/>
    <cellStyle name="Normal 2 4 3 3 2 2 5 3 2" xfId="24111" xr:uid="{00AD48D2-B9AA-4CFD-992D-A47678A0736E}"/>
    <cellStyle name="Normal 2 4 3 3 2 2 5 3 3" xfId="15671" xr:uid="{FCCD0101-0D0B-42FB-955F-D2A13EF4AC07}"/>
    <cellStyle name="Normal 2 4 3 3 2 2 5 4" xfId="19894" xr:uid="{72A402E5-6C52-492D-AF1A-BE7FDA6ECD69}"/>
    <cellStyle name="Normal 2 4 3 3 2 2 5 5" xfId="11454" xr:uid="{2655EC8F-17FB-4FCC-8B0B-D5F2A77359FD}"/>
    <cellStyle name="Normal 2 4 3 3 2 2 6" xfId="2475" xr:uid="{00000000-0005-0000-0000-0000E30F0000}"/>
    <cellStyle name="Normal 2 4 3 3 2 2 6 2" xfId="6758" xr:uid="{00000000-0005-0000-0000-0000E40F0000}"/>
    <cellStyle name="Normal 2 4 3 3 2 2 6 2 2" xfId="24524" xr:uid="{D24987CE-712B-41F8-9199-6CE0962947EA}"/>
    <cellStyle name="Normal 2 4 3 3 2 2 6 2 3" xfId="16084" xr:uid="{AF0CF162-F6CA-483D-A9BE-13F1C51787CE}"/>
    <cellStyle name="Normal 2 4 3 3 2 2 6 3" xfId="20307" xr:uid="{85DA0B15-4E30-4D16-832E-BB9A42CDFB16}"/>
    <cellStyle name="Normal 2 4 3 3 2 2 6 4" xfId="11867" xr:uid="{25754AD0-D1E3-46C3-9A87-9F7397BB2FFD}"/>
    <cellStyle name="Normal 2 4 3 3 2 2 7" xfId="4692" xr:uid="{00000000-0005-0000-0000-0000E50F0000}"/>
    <cellStyle name="Normal 2 4 3 3 2 2 7 2" xfId="22458" xr:uid="{1ED41262-5350-4583-8419-2B058D4BBD15}"/>
    <cellStyle name="Normal 2 4 3 3 2 2 7 3" xfId="14018" xr:uid="{264F9ABC-F2FA-4A62-A62C-109ABA5E9A3D}"/>
    <cellStyle name="Normal 2 4 3 3 2 2 8" xfId="9124" xr:uid="{1FF2B195-09C8-4D7B-A363-E8AF809A669B}"/>
    <cellStyle name="Normal 2 4 3 3 2 2 8 2" xfId="18241" xr:uid="{94DEF959-F2B7-47C3-9638-35E82DBB7FFD}"/>
    <cellStyle name="Normal 2 4 3 3 2 2 9" xfId="9801" xr:uid="{AADE8F7A-C51C-476D-88D3-B9EA91EAA0D5}"/>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25016" xr:uid="{515F6E67-3643-470F-9CFF-8455B91E2AE8}"/>
    <cellStyle name="Normal 2 4 3 3 2 3 2 2 3" xfId="16576" xr:uid="{96510B68-F24E-447E-B620-B084166A845A}"/>
    <cellStyle name="Normal 2 4 3 3 2 3 2 3" xfId="20799" xr:uid="{D7AA5BEF-0670-4394-B1AF-82EFFA9B1343}"/>
    <cellStyle name="Normal 2 4 3 3 2 3 2 4" xfId="12359" xr:uid="{8C98BC55-7C91-467C-B365-6189FD9B7866}"/>
    <cellStyle name="Normal 2 4 3 3 2 3 3" xfId="5105" xr:uid="{00000000-0005-0000-0000-0000E90F0000}"/>
    <cellStyle name="Normal 2 4 3 3 2 3 3 2" xfId="22871" xr:uid="{ADBC6F47-DC1F-4D80-A971-4CEE0A0E69D9}"/>
    <cellStyle name="Normal 2 4 3 3 2 3 3 3" xfId="14431" xr:uid="{ABB784FB-2673-4AC8-8CDC-3B565C68E2D0}"/>
    <cellStyle name="Normal 2 4 3 3 2 3 4" xfId="9342" xr:uid="{41454CF9-47C1-4E8A-868A-8F39341308EB}"/>
    <cellStyle name="Normal 2 4 3 3 2 3 4 2" xfId="18654" xr:uid="{AACC7CA3-E5BB-4BE7-91AB-D7201BD3A22A}"/>
    <cellStyle name="Normal 2 4 3 3 2 3 5" xfId="10214" xr:uid="{8EBF41AA-3495-4964-8E9E-AD68C63F241C}"/>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25429" xr:uid="{20973C3F-3168-42E8-8667-125DDFB34F40}"/>
    <cellStyle name="Normal 2 4 3 3 2 4 2 2 3" xfId="16989" xr:uid="{7654AD07-AC8E-4F0C-AA02-72C60CBB1A08}"/>
    <cellStyle name="Normal 2 4 3 3 2 4 2 3" xfId="21212" xr:uid="{5E1D0C20-D970-40E6-90C4-BDAEE42609E6}"/>
    <cellStyle name="Normal 2 4 3 3 2 4 2 4" xfId="12772" xr:uid="{44B44017-8D1D-4981-860B-6B1288613393}"/>
    <cellStyle name="Normal 2 4 3 3 2 4 3" xfId="5518" xr:uid="{00000000-0005-0000-0000-0000ED0F0000}"/>
    <cellStyle name="Normal 2 4 3 3 2 4 3 2" xfId="23284" xr:uid="{299FE850-1C8F-48FB-832D-4982C8A5138B}"/>
    <cellStyle name="Normal 2 4 3 3 2 4 3 3" xfId="14844" xr:uid="{B639C29B-79E4-46D8-BA63-5664AD37DB3E}"/>
    <cellStyle name="Normal 2 4 3 3 2 4 4" xfId="19067" xr:uid="{D319986F-FA2B-49CE-95A7-3DCB789D1A35}"/>
    <cellStyle name="Normal 2 4 3 3 2 4 5" xfId="10627" xr:uid="{C0059424-5228-49CE-8CBA-34CCA7E7809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25842" xr:uid="{73201B01-2240-410A-9F4C-5264090882FE}"/>
    <cellStyle name="Normal 2 4 3 3 2 5 2 2 3" xfId="17402" xr:uid="{3EB83245-2532-45AA-89BE-0482F8BD3519}"/>
    <cellStyle name="Normal 2 4 3 3 2 5 2 3" xfId="21625" xr:uid="{CDBCBAB1-9CAA-4DD1-BBA9-577BFEBD9054}"/>
    <cellStyle name="Normal 2 4 3 3 2 5 2 4" xfId="13185" xr:uid="{69C61F0C-D8D7-442B-BDE7-47A95BD937A6}"/>
    <cellStyle name="Normal 2 4 3 3 2 5 3" xfId="5931" xr:uid="{00000000-0005-0000-0000-0000F10F0000}"/>
    <cellStyle name="Normal 2 4 3 3 2 5 3 2" xfId="23697" xr:uid="{7DBA06EB-5005-4080-8833-32713326A0BC}"/>
    <cellStyle name="Normal 2 4 3 3 2 5 3 3" xfId="15257" xr:uid="{8F799E2C-ECB1-4933-AB79-85DD382FD729}"/>
    <cellStyle name="Normal 2 4 3 3 2 5 4" xfId="19480" xr:uid="{B863CCA9-5D91-44C7-BB0C-A3AB740198A7}"/>
    <cellStyle name="Normal 2 4 3 3 2 5 5" xfId="11040" xr:uid="{32D1B870-A549-40E5-9983-86EC7C0A3A6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26255" xr:uid="{C7488081-62C7-4373-B2C9-EF84C94E7DB2}"/>
    <cellStyle name="Normal 2 4 3 3 2 6 2 2 3" xfId="17815" xr:uid="{58ADAB50-B6FB-4A11-9364-8AEA09AB7B70}"/>
    <cellStyle name="Normal 2 4 3 3 2 6 2 3" xfId="22038" xr:uid="{04324A06-15AE-4B61-B101-123EF6C1DA2C}"/>
    <cellStyle name="Normal 2 4 3 3 2 6 2 4" xfId="13598" xr:uid="{6DCD153F-4809-4727-A6B3-47D81800DCB3}"/>
    <cellStyle name="Normal 2 4 3 3 2 6 3" xfId="6344" xr:uid="{00000000-0005-0000-0000-0000F50F0000}"/>
    <cellStyle name="Normal 2 4 3 3 2 6 3 2" xfId="24110" xr:uid="{3BCB45AB-81F8-4D51-8A2E-6C992E0F7762}"/>
    <cellStyle name="Normal 2 4 3 3 2 6 3 3" xfId="15670" xr:uid="{2349CB43-3B21-4BAE-AA2D-1386ED2F2ADB}"/>
    <cellStyle name="Normal 2 4 3 3 2 6 4" xfId="19893" xr:uid="{03318C5C-2CE3-498F-BE63-6F6F3BCAFC01}"/>
    <cellStyle name="Normal 2 4 3 3 2 6 5" xfId="11453" xr:uid="{D0045EE0-B3CE-46ED-A6A8-FC18BBE2FE80}"/>
    <cellStyle name="Normal 2 4 3 3 2 7" xfId="2474" xr:uid="{00000000-0005-0000-0000-0000F60F0000}"/>
    <cellStyle name="Normal 2 4 3 3 2 7 2" xfId="6757" xr:uid="{00000000-0005-0000-0000-0000F70F0000}"/>
    <cellStyle name="Normal 2 4 3 3 2 7 2 2" xfId="24523" xr:uid="{AAFFD011-D11F-46DD-A66E-C1D34E99A412}"/>
    <cellStyle name="Normal 2 4 3 3 2 7 2 3" xfId="16083" xr:uid="{64E9089F-4B64-48DA-8664-7E051920671F}"/>
    <cellStyle name="Normal 2 4 3 3 2 7 3" xfId="20306" xr:uid="{CE437EDC-2053-4EDA-A58B-9B2FD0B3FC8A}"/>
    <cellStyle name="Normal 2 4 3 3 2 7 4" xfId="11866" xr:uid="{663CFB4F-25C8-4062-B788-9B0DE6098654}"/>
    <cellStyle name="Normal 2 4 3 3 2 8" xfId="4691" xr:uid="{00000000-0005-0000-0000-0000F80F0000}"/>
    <cellStyle name="Normal 2 4 3 3 2 8 2" xfId="22457" xr:uid="{5DED9371-4A85-4CA1-B705-A5121E56A174}"/>
    <cellStyle name="Normal 2 4 3 3 2 8 3" xfId="14017" xr:uid="{7BEA579C-ADB6-403C-B0E8-D51849EE078D}"/>
    <cellStyle name="Normal 2 4 3 3 2 9" xfId="8917" xr:uid="{1E22693C-F4B1-4678-80B0-65CF6DC31586}"/>
    <cellStyle name="Normal 2 4 3 3 2 9 2" xfId="18240" xr:uid="{65B09B33-D70E-433C-BC09-7E7DBC20BBB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25018" xr:uid="{93F79D60-B176-4A1B-A9A4-AD96211F640D}"/>
    <cellStyle name="Normal 2 4 3 3 3 2 2 2 3" xfId="16578" xr:uid="{77297E20-1D21-4F49-8492-6C036E6DDA2C}"/>
    <cellStyle name="Normal 2 4 3 3 3 2 2 3" xfId="20801" xr:uid="{233B2F75-8A93-4C52-9898-E8095E3D68C6}"/>
    <cellStyle name="Normal 2 4 3 3 3 2 2 4" xfId="12361" xr:uid="{346FA8FA-DD17-45BD-8534-471C22AD6825}"/>
    <cellStyle name="Normal 2 4 3 3 3 2 3" xfId="5107" xr:uid="{00000000-0005-0000-0000-0000FD0F0000}"/>
    <cellStyle name="Normal 2 4 3 3 3 2 3 2" xfId="22873" xr:uid="{CADCD9D9-1C28-45AB-85CF-EA2DFE61025B}"/>
    <cellStyle name="Normal 2 4 3 3 3 2 3 3" xfId="14433" xr:uid="{F1746ED4-4FDE-4B65-A0A1-3C21755A6838}"/>
    <cellStyle name="Normal 2 4 3 3 3 2 4" xfId="9446" xr:uid="{7ACDBBC8-943F-41CF-9832-96F56BCB3985}"/>
    <cellStyle name="Normal 2 4 3 3 3 2 4 2" xfId="18656" xr:uid="{69545BF9-ACD0-4725-8249-C0FF55921F09}"/>
    <cellStyle name="Normal 2 4 3 3 3 2 5" xfId="10216" xr:uid="{03A9C017-0988-4609-99A4-9DF52276E9B6}"/>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25431" xr:uid="{3E4E61AD-C602-4C01-9F55-F9277B2E0A48}"/>
    <cellStyle name="Normal 2 4 3 3 3 3 2 2 3" xfId="16991" xr:uid="{278BDBF1-D69C-4794-B563-0023ECB853C3}"/>
    <cellStyle name="Normal 2 4 3 3 3 3 2 3" xfId="21214" xr:uid="{B197EC58-9BD8-4D23-90F6-615403D5F892}"/>
    <cellStyle name="Normal 2 4 3 3 3 3 2 4" xfId="12774" xr:uid="{22C105A6-EEBE-4030-85C9-CA786EA2CF93}"/>
    <cellStyle name="Normal 2 4 3 3 3 3 3" xfId="5520" xr:uid="{00000000-0005-0000-0000-000001100000}"/>
    <cellStyle name="Normal 2 4 3 3 3 3 3 2" xfId="23286" xr:uid="{F64415E0-B054-4100-9CE5-42D824D93DE6}"/>
    <cellStyle name="Normal 2 4 3 3 3 3 3 3" xfId="14846" xr:uid="{050B2D1E-3FFE-4CF4-A1C1-232200628EE5}"/>
    <cellStyle name="Normal 2 4 3 3 3 3 4" xfId="19069" xr:uid="{A8ACDA59-6555-43DF-9F14-FEDDE0645BEB}"/>
    <cellStyle name="Normal 2 4 3 3 3 3 5" xfId="10629" xr:uid="{9D18FB3E-2B3A-47E8-B99C-222B007ABCC2}"/>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25844" xr:uid="{2CBCF779-335F-4005-97FB-CDA7FCFDCDB8}"/>
    <cellStyle name="Normal 2 4 3 3 3 4 2 2 3" xfId="17404" xr:uid="{85EDCD7F-BB28-48A7-ACD2-396DAC1B4C59}"/>
    <cellStyle name="Normal 2 4 3 3 3 4 2 3" xfId="21627" xr:uid="{4F11ED57-699B-4D55-B392-39CB874FED87}"/>
    <cellStyle name="Normal 2 4 3 3 3 4 2 4" xfId="13187" xr:uid="{B0975AF0-85D9-43BC-9B58-9260AAEF853C}"/>
    <cellStyle name="Normal 2 4 3 3 3 4 3" xfId="5933" xr:uid="{00000000-0005-0000-0000-000005100000}"/>
    <cellStyle name="Normal 2 4 3 3 3 4 3 2" xfId="23699" xr:uid="{2BEA392B-9AC7-4031-88CD-9D206EB959A1}"/>
    <cellStyle name="Normal 2 4 3 3 3 4 3 3" xfId="15259" xr:uid="{2A565565-9743-4728-85B2-78E359496065}"/>
    <cellStyle name="Normal 2 4 3 3 3 4 4" xfId="19482" xr:uid="{8876D201-6004-4E45-9CEC-FC9A18FAF2A4}"/>
    <cellStyle name="Normal 2 4 3 3 3 4 5" xfId="11042" xr:uid="{2F8B3297-18F9-4172-A01F-B0BFB9E326D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26257" xr:uid="{41EFB2FC-12EA-4B4E-86E2-65CFB06E17DD}"/>
    <cellStyle name="Normal 2 4 3 3 3 5 2 2 3" xfId="17817" xr:uid="{9A08E94E-508C-4588-9617-A72269777466}"/>
    <cellStyle name="Normal 2 4 3 3 3 5 2 3" xfId="22040" xr:uid="{8AD3478F-ED66-480C-A89D-EB7FD4507D86}"/>
    <cellStyle name="Normal 2 4 3 3 3 5 2 4" xfId="13600" xr:uid="{ED6F12D2-2951-42BA-A35A-0948FB4D1E9D}"/>
    <cellStyle name="Normal 2 4 3 3 3 5 3" xfId="6346" xr:uid="{00000000-0005-0000-0000-000009100000}"/>
    <cellStyle name="Normal 2 4 3 3 3 5 3 2" xfId="24112" xr:uid="{269BAEA5-E065-4C20-B145-AC3437D72D79}"/>
    <cellStyle name="Normal 2 4 3 3 3 5 3 3" xfId="15672" xr:uid="{D9CC2E07-C17A-40F0-828E-E4F70AA08990}"/>
    <cellStyle name="Normal 2 4 3 3 3 5 4" xfId="19895" xr:uid="{9CDA6CCF-EF5E-4CF7-838C-8B3ECC9E2F93}"/>
    <cellStyle name="Normal 2 4 3 3 3 5 5" xfId="11455" xr:uid="{B36BB042-F20C-4CD4-A857-F63C0099537F}"/>
    <cellStyle name="Normal 2 4 3 3 3 6" xfId="2476" xr:uid="{00000000-0005-0000-0000-00000A100000}"/>
    <cellStyle name="Normal 2 4 3 3 3 6 2" xfId="6759" xr:uid="{00000000-0005-0000-0000-00000B100000}"/>
    <cellStyle name="Normal 2 4 3 3 3 6 2 2" xfId="24525" xr:uid="{E16A43AE-9856-4B9A-85D1-0FB6B20368E1}"/>
    <cellStyle name="Normal 2 4 3 3 3 6 2 3" xfId="16085" xr:uid="{50B7C51E-F6E8-4771-8C0B-9E8FB944504D}"/>
    <cellStyle name="Normal 2 4 3 3 3 6 3" xfId="20308" xr:uid="{00E89611-B7A9-4A9B-9211-FCC57F92C6EA}"/>
    <cellStyle name="Normal 2 4 3 3 3 6 4" xfId="11868" xr:uid="{C1ECD969-7806-4892-88D7-80FFDB33C607}"/>
    <cellStyle name="Normal 2 4 3 3 3 7" xfId="4693" xr:uid="{00000000-0005-0000-0000-00000C100000}"/>
    <cellStyle name="Normal 2 4 3 3 3 7 2" xfId="22459" xr:uid="{CC358931-FF94-4C91-9460-B2619876A87F}"/>
    <cellStyle name="Normal 2 4 3 3 3 7 3" xfId="14019" xr:uid="{C118C133-4243-440E-AF76-3F05F0A780C8}"/>
    <cellStyle name="Normal 2 4 3 3 3 8" xfId="9021" xr:uid="{4EC0F035-DC07-4262-9C58-7142AC357944}"/>
    <cellStyle name="Normal 2 4 3 3 3 8 2" xfId="18242" xr:uid="{83588C43-8CBC-49F9-BE20-E473D6257E21}"/>
    <cellStyle name="Normal 2 4 3 3 3 9" xfId="9802" xr:uid="{909FE9DD-234A-4F63-B7DD-1D0379D03AA9}"/>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25015" xr:uid="{59880FB7-F858-43DB-A50A-39674F00D361}"/>
    <cellStyle name="Normal 2 4 3 3 4 2 2 3" xfId="16575" xr:uid="{BCB10BF4-6854-4394-95B3-082484551D0F}"/>
    <cellStyle name="Normal 2 4 3 3 4 2 3" xfId="20798" xr:uid="{3AF58D53-1FA5-45CC-B7CC-B1D0A25DDBB5}"/>
    <cellStyle name="Normal 2 4 3 3 4 2 4" xfId="12358" xr:uid="{FCA81C3F-27AA-4E49-88C4-61BBB0F9E200}"/>
    <cellStyle name="Normal 2 4 3 3 4 3" xfId="5104" xr:uid="{00000000-0005-0000-0000-000010100000}"/>
    <cellStyle name="Normal 2 4 3 3 4 3 2" xfId="22870" xr:uid="{DDFFAE9D-71EB-44F8-AE22-2A75AB890F70}"/>
    <cellStyle name="Normal 2 4 3 3 4 3 3" xfId="14430" xr:uid="{7511EA91-1112-47D7-AFF5-D18033B27500}"/>
    <cellStyle name="Normal 2 4 3 3 4 4" xfId="9239" xr:uid="{3DCBA9AF-C63D-4CA9-81B6-AC7CB7B67292}"/>
    <cellStyle name="Normal 2 4 3 3 4 4 2" xfId="18653" xr:uid="{D15ED9B6-8658-43C6-8111-E4E77B2B0191}"/>
    <cellStyle name="Normal 2 4 3 3 4 5" xfId="10213" xr:uid="{E10E171C-6D79-4653-862A-15422611E418}"/>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25428" xr:uid="{275B72B7-344A-4D82-886C-12381B5AD411}"/>
    <cellStyle name="Normal 2 4 3 3 5 2 2 3" xfId="16988" xr:uid="{6B47A195-E076-41C4-A275-54929D7CE184}"/>
    <cellStyle name="Normal 2 4 3 3 5 2 3" xfId="21211" xr:uid="{0191FC3B-D6CE-4839-A6B0-CBFD308DEF95}"/>
    <cellStyle name="Normal 2 4 3 3 5 2 4" xfId="12771" xr:uid="{CF6D768B-CE6C-4681-81FA-5CF840630566}"/>
    <cellStyle name="Normal 2 4 3 3 5 3" xfId="5517" xr:uid="{00000000-0005-0000-0000-000014100000}"/>
    <cellStyle name="Normal 2 4 3 3 5 3 2" xfId="23283" xr:uid="{55408569-9273-404D-A390-336FBEB5D008}"/>
    <cellStyle name="Normal 2 4 3 3 5 3 3" xfId="14843" xr:uid="{1687A5AE-8C00-4715-83C8-28C2E5AEBBA8}"/>
    <cellStyle name="Normal 2 4 3 3 5 4" xfId="19066" xr:uid="{4C425135-DEBF-43D8-85A2-1C4993E56410}"/>
    <cellStyle name="Normal 2 4 3 3 5 5" xfId="10626" xr:uid="{53E81C39-DCD6-4B7F-BE59-D9B49DD3CB20}"/>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25841" xr:uid="{D5B716E3-5E0E-4333-9D62-D5FC66EC3F1C}"/>
    <cellStyle name="Normal 2 4 3 3 6 2 2 3" xfId="17401" xr:uid="{D304404A-D52A-4C47-8DD8-5364B5395FF4}"/>
    <cellStyle name="Normal 2 4 3 3 6 2 3" xfId="21624" xr:uid="{C2E79306-ABF0-49E5-8628-918BCC480A5B}"/>
    <cellStyle name="Normal 2 4 3 3 6 2 4" xfId="13184" xr:uid="{0D5DD3CB-CB26-4E85-83C2-BB0F7B30C5E8}"/>
    <cellStyle name="Normal 2 4 3 3 6 3" xfId="5930" xr:uid="{00000000-0005-0000-0000-000018100000}"/>
    <cellStyle name="Normal 2 4 3 3 6 3 2" xfId="23696" xr:uid="{B8433741-17D5-473F-BBD1-70136AF725C2}"/>
    <cellStyle name="Normal 2 4 3 3 6 3 3" xfId="15256" xr:uid="{EE922503-54DF-420F-A3C6-1EBA8D15BFEE}"/>
    <cellStyle name="Normal 2 4 3 3 6 4" xfId="19479" xr:uid="{2BBD17FA-28E4-49F8-B62B-1427B7624D6A}"/>
    <cellStyle name="Normal 2 4 3 3 6 5" xfId="11039" xr:uid="{4E6FB22A-60CE-43DC-8EF9-64807CDD1C69}"/>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26254" xr:uid="{0105CEA8-97D8-4080-9847-AB01C69BCF69}"/>
    <cellStyle name="Normal 2 4 3 3 7 2 2 3" xfId="17814" xr:uid="{90849786-B61A-4B00-83A9-7E5C251F7CF9}"/>
    <cellStyle name="Normal 2 4 3 3 7 2 3" xfId="22037" xr:uid="{0AB2B3FB-5932-4B8E-9737-D21867D1371C}"/>
    <cellStyle name="Normal 2 4 3 3 7 2 4" xfId="13597" xr:uid="{CD36A11E-DB84-4A56-A5D4-BA273DDBCD16}"/>
    <cellStyle name="Normal 2 4 3 3 7 3" xfId="6343" xr:uid="{00000000-0005-0000-0000-00001C100000}"/>
    <cellStyle name="Normal 2 4 3 3 7 3 2" xfId="24109" xr:uid="{86200E46-F0F1-47E4-AD8D-07AAA2C60F94}"/>
    <cellStyle name="Normal 2 4 3 3 7 3 3" xfId="15669" xr:uid="{620E5149-FC6D-4FB7-ABF0-39930909A65C}"/>
    <cellStyle name="Normal 2 4 3 3 7 4" xfId="19892" xr:uid="{526C4A94-3FFF-4521-B390-17655710AE15}"/>
    <cellStyle name="Normal 2 4 3 3 7 5" xfId="11452" xr:uid="{4A479DC6-20E2-4A7B-85F2-D9D16B86629D}"/>
    <cellStyle name="Normal 2 4 3 3 8" xfId="2473" xr:uid="{00000000-0005-0000-0000-00001D100000}"/>
    <cellStyle name="Normal 2 4 3 3 8 2" xfId="6756" xr:uid="{00000000-0005-0000-0000-00001E100000}"/>
    <cellStyle name="Normal 2 4 3 3 8 2 2" xfId="24522" xr:uid="{1F8B1182-7561-440B-8708-BACDA78E3FC5}"/>
    <cellStyle name="Normal 2 4 3 3 8 2 3" xfId="16082" xr:uid="{2440EE3E-D166-4DAC-B22D-8E3C80C83BAC}"/>
    <cellStyle name="Normal 2 4 3 3 8 3" xfId="20305" xr:uid="{DDCF8E03-F296-4D78-9FB7-742D72B0F359}"/>
    <cellStyle name="Normal 2 4 3 3 8 4" xfId="11865" xr:uid="{52B91EEB-E17F-419D-9F55-1DB73589617C}"/>
    <cellStyle name="Normal 2 4 3 3 9" xfId="4690" xr:uid="{00000000-0005-0000-0000-00001F100000}"/>
    <cellStyle name="Normal 2 4 3 3 9 2" xfId="22456" xr:uid="{52A01339-91AA-46E9-BE42-1580FB23443B}"/>
    <cellStyle name="Normal 2 4 3 3 9 3" xfId="14016" xr:uid="{B56C655D-341B-406E-BC5E-EAF41C635694}"/>
    <cellStyle name="Normal 2 4 3 4" xfId="787" xr:uid="{00000000-0005-0000-0000-000020100000}"/>
    <cellStyle name="Normal 2 4 3 4 2" xfId="3026" xr:uid="{00000000-0005-0000-0000-000021100000}"/>
    <cellStyle name="Normal 2 4 3 4 2 2" xfId="7248" xr:uid="{00000000-0005-0000-0000-000022100000}"/>
    <cellStyle name="Normal 2 4 3 4 2 2 2" xfId="25014" xr:uid="{E80DA6BE-EC35-4488-8831-3776DFCC21E3}"/>
    <cellStyle name="Normal 2 4 3 4 2 2 3" xfId="16574" xr:uid="{189C7DD3-A1D6-457B-8920-119A718C6D3D}"/>
    <cellStyle name="Normal 2 4 3 4 2 3" xfId="20797" xr:uid="{5AAEB8EE-B778-4CD4-AD0D-3B2744C7E1B9}"/>
    <cellStyle name="Normal 2 4 3 4 2 4" xfId="12357" xr:uid="{0C90EB58-4C83-4287-8827-9F02D9E7C68A}"/>
    <cellStyle name="Normal 2 4 3 4 3" xfId="5103" xr:uid="{00000000-0005-0000-0000-000023100000}"/>
    <cellStyle name="Normal 2 4 3 4 3 2" xfId="22869" xr:uid="{15374A0A-21D0-4202-B607-5BB6139EF3C0}"/>
    <cellStyle name="Normal 2 4 3 4 3 3" xfId="14429" xr:uid="{F30A2CDA-9C4F-404D-A8DA-38E4BD4F59F3}"/>
    <cellStyle name="Normal 2 4 3 4 4" xfId="9605" xr:uid="{31B075F0-6828-4EC6-AC77-4B4B0626A722}"/>
    <cellStyle name="Normal 2 4 3 4 4 2" xfId="18652" xr:uid="{91D17D7B-793B-42BE-A1A9-CD0295BCE01B}"/>
    <cellStyle name="Normal 2 4 3 4 5" xfId="10212" xr:uid="{7F0E8058-788B-4A62-89C5-8BE6D95B1C30}"/>
    <cellStyle name="Normal 2 4 3 5" xfId="1209" xr:uid="{00000000-0005-0000-0000-000024100000}"/>
    <cellStyle name="Normal 2 4 3 5 2" xfId="3439" xr:uid="{00000000-0005-0000-0000-000025100000}"/>
    <cellStyle name="Normal 2 4 3 5 2 2" xfId="7661" xr:uid="{00000000-0005-0000-0000-000026100000}"/>
    <cellStyle name="Normal 2 4 3 5 2 2 2" xfId="25427" xr:uid="{379E1DD2-41AE-41FA-BB4E-9C9DBEB6C83C}"/>
    <cellStyle name="Normal 2 4 3 5 2 2 3" xfId="16987" xr:uid="{377EFA72-F425-43ED-98CD-F9279EFC6226}"/>
    <cellStyle name="Normal 2 4 3 5 2 3" xfId="21210" xr:uid="{9BC85E2C-F755-4BD6-8680-E896CF31A348}"/>
    <cellStyle name="Normal 2 4 3 5 2 4" xfId="12770" xr:uid="{E6184F17-59BC-427E-BED4-37AC262A965B}"/>
    <cellStyle name="Normal 2 4 3 5 3" xfId="5516" xr:uid="{00000000-0005-0000-0000-000027100000}"/>
    <cellStyle name="Normal 2 4 3 5 3 2" xfId="23282" xr:uid="{093A2F88-52BD-4407-A5B5-044B07C35C2F}"/>
    <cellStyle name="Normal 2 4 3 5 3 3" xfId="14842" xr:uid="{528CD10C-0911-44FC-A6F6-2615F280C10D}"/>
    <cellStyle name="Normal 2 4 3 5 4" xfId="19065" xr:uid="{5D333BD2-60DB-424F-BB51-01F4D41404AA}"/>
    <cellStyle name="Normal 2 4 3 5 5" xfId="10625" xr:uid="{B5AAD835-1AE7-434F-92C5-458CD3DEBFC7}"/>
    <cellStyle name="Normal 2 4 3 6" xfId="1622" xr:uid="{00000000-0005-0000-0000-000028100000}"/>
    <cellStyle name="Normal 2 4 3 6 2" xfId="3852" xr:uid="{00000000-0005-0000-0000-000029100000}"/>
    <cellStyle name="Normal 2 4 3 6 2 2" xfId="8074" xr:uid="{00000000-0005-0000-0000-00002A100000}"/>
    <cellStyle name="Normal 2 4 3 6 2 2 2" xfId="25840" xr:uid="{10585B95-3E7F-4C7D-B215-956F5357D839}"/>
    <cellStyle name="Normal 2 4 3 6 2 2 3" xfId="17400" xr:uid="{93C1BD65-BC7B-4235-A181-AB12566D924C}"/>
    <cellStyle name="Normal 2 4 3 6 2 3" xfId="21623" xr:uid="{2F3606A2-ABA8-4856-A88F-44B4E48BFCC2}"/>
    <cellStyle name="Normal 2 4 3 6 2 4" xfId="13183" xr:uid="{49180C82-8528-4EEC-B6FE-69D1EF9F4C01}"/>
    <cellStyle name="Normal 2 4 3 6 3" xfId="5929" xr:uid="{00000000-0005-0000-0000-00002B100000}"/>
    <cellStyle name="Normal 2 4 3 6 3 2" xfId="23695" xr:uid="{1B63A754-570A-4765-9F6B-A0A52A07CFDD}"/>
    <cellStyle name="Normal 2 4 3 6 3 3" xfId="15255" xr:uid="{07E28279-6D99-4560-86AA-6D04CC5BFB99}"/>
    <cellStyle name="Normal 2 4 3 6 4" xfId="19478" xr:uid="{BA31E20E-6AC4-4F00-9AF6-5B21AC3FE07E}"/>
    <cellStyle name="Normal 2 4 3 6 5" xfId="11038" xr:uid="{EF1064E5-584B-42D7-801E-71D4CA07AAED}"/>
    <cellStyle name="Normal 2 4 3 7" xfId="2036" xr:uid="{00000000-0005-0000-0000-00002C100000}"/>
    <cellStyle name="Normal 2 4 3 7 2" xfId="4265" xr:uid="{00000000-0005-0000-0000-00002D100000}"/>
    <cellStyle name="Normal 2 4 3 7 2 2" xfId="8487" xr:uid="{00000000-0005-0000-0000-00002E100000}"/>
    <cellStyle name="Normal 2 4 3 7 2 2 2" xfId="26253" xr:uid="{A5D4CE4F-67EE-475F-9A3D-71F7D60FA2C3}"/>
    <cellStyle name="Normal 2 4 3 7 2 2 3" xfId="17813" xr:uid="{6A8094A8-D5B6-42CD-ACE2-4CEF5F1FA96B}"/>
    <cellStyle name="Normal 2 4 3 7 2 3" xfId="22036" xr:uid="{2AC2AA23-E691-41C8-ADB8-FB7D6162DBEC}"/>
    <cellStyle name="Normal 2 4 3 7 2 4" xfId="13596" xr:uid="{0E574518-60C4-40BF-9662-AB4F9C6945CD}"/>
    <cellStyle name="Normal 2 4 3 7 3" xfId="6342" xr:uid="{00000000-0005-0000-0000-00002F100000}"/>
    <cellStyle name="Normal 2 4 3 7 3 2" xfId="24108" xr:uid="{9F0023CC-757D-4C08-8850-66C7DB859BED}"/>
    <cellStyle name="Normal 2 4 3 7 3 3" xfId="15668" xr:uid="{48FDF836-AEF9-47F5-B0FC-237B02AB2903}"/>
    <cellStyle name="Normal 2 4 3 7 4" xfId="19891" xr:uid="{7CB506C8-4D41-4450-BF5C-63CAB63DC4D9}"/>
    <cellStyle name="Normal 2 4 3 7 5" xfId="11451" xr:uid="{F84F0153-E549-4DBC-A5C6-2B0818719D19}"/>
    <cellStyle name="Normal 2 4 3 8" xfId="2472" xr:uid="{00000000-0005-0000-0000-000030100000}"/>
    <cellStyle name="Normal 2 4 3 8 2" xfId="6755" xr:uid="{00000000-0005-0000-0000-000031100000}"/>
    <cellStyle name="Normal 2 4 3 8 2 2" xfId="24521" xr:uid="{BA1259DD-9942-4AE0-8100-C06D817F26D0}"/>
    <cellStyle name="Normal 2 4 3 8 2 3" xfId="16081" xr:uid="{2481294A-0063-4257-8341-FF580DE7DDD3}"/>
    <cellStyle name="Normal 2 4 3 8 3" xfId="20304" xr:uid="{4A33966A-4C8F-4162-B1A9-401880A50D16}"/>
    <cellStyle name="Normal 2 4 3 8 4" xfId="11864" xr:uid="{94B249C0-308D-4C1A-9BAF-5C66B885273B}"/>
    <cellStyle name="Normal 2 4 3 9" xfId="4689" xr:uid="{00000000-0005-0000-0000-000032100000}"/>
    <cellStyle name="Normal 2 4 3 9 2" xfId="22455" xr:uid="{36252E79-D81A-4433-8960-5619699BF6AC}"/>
    <cellStyle name="Normal 2 4 3 9 3" xfId="14015" xr:uid="{CBD53AB7-2E8F-4A29-89CC-C603FC6CB182}"/>
    <cellStyle name="Normal 2 4 4" xfId="302" xr:uid="{00000000-0005-0000-0000-000033100000}"/>
    <cellStyle name="Normal 2 4 5" xfId="303" xr:uid="{00000000-0005-0000-0000-000034100000}"/>
    <cellStyle name="Normal 2 4 5 10" xfId="4694" xr:uid="{00000000-0005-0000-0000-000035100000}"/>
    <cellStyle name="Normal 2 4 5 10 2" xfId="22460" xr:uid="{4FA91FE7-41CF-43E0-AF74-8BC89F9C15AE}"/>
    <cellStyle name="Normal 2 4 5 10 3" xfId="14020" xr:uid="{BDCE301C-E9D8-4CA4-9A96-A4C138E594D9}"/>
    <cellStyle name="Normal 2 4 5 11" xfId="8780" xr:uid="{7650B30D-5C17-47F0-B17B-A5E27258C29E}"/>
    <cellStyle name="Normal 2 4 5 11 2" xfId="18243" xr:uid="{CC74826F-0DA0-44AF-8265-1F7705292111}"/>
    <cellStyle name="Normal 2 4 5 12" xfId="9803" xr:uid="{95DB1392-32B6-49F2-891E-3CD1D1392BA9}"/>
    <cellStyle name="Normal 2 4 5 2" xfId="304" xr:uid="{00000000-0005-0000-0000-000036100000}"/>
    <cellStyle name="Normal 2 4 5 2 10" xfId="8815" xr:uid="{40A5EFE5-2EC9-4F25-B9EC-CAF9321E00F7}"/>
    <cellStyle name="Normal 2 4 5 2 10 2" xfId="18244" xr:uid="{4BDCC7EA-115C-4E82-B221-5AA4FA95E700}"/>
    <cellStyle name="Normal 2 4 5 2 11" xfId="9804" xr:uid="{1F18D224-47CF-4A60-ACE0-0B5D56F49692}"/>
    <cellStyle name="Normal 2 4 5 2 2" xfId="305" xr:uid="{00000000-0005-0000-0000-000037100000}"/>
    <cellStyle name="Normal 2 4 5 2 2 10" xfId="9805" xr:uid="{C49864B6-7391-4EA8-9284-EB12887B1C33}"/>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25022" xr:uid="{64566DD4-4CA5-4E3D-B7CA-E7A0A5ED640B}"/>
    <cellStyle name="Normal 2 4 5 2 2 2 2 2 2 3" xfId="16582" xr:uid="{30AFAE88-A2D3-4678-B1E2-E634D6B1A197}"/>
    <cellStyle name="Normal 2 4 5 2 2 2 2 2 3" xfId="20805" xr:uid="{39810C62-4365-4370-B6C9-D9C9233B3397}"/>
    <cellStyle name="Normal 2 4 5 2 2 2 2 2 4" xfId="12365" xr:uid="{1D7A720C-8C63-4375-B6F6-594FB2074E84}"/>
    <cellStyle name="Normal 2 4 5 2 2 2 2 3" xfId="5111" xr:uid="{00000000-0005-0000-0000-00003C100000}"/>
    <cellStyle name="Normal 2 4 5 2 2 2 2 3 2" xfId="22877" xr:uid="{35BDA409-97B6-46C4-B9D7-171572E560E8}"/>
    <cellStyle name="Normal 2 4 5 2 2 2 2 3 3" xfId="14437" xr:uid="{4B52C0C0-CF9B-4F1B-AF9C-6ADE1E80F796}"/>
    <cellStyle name="Normal 2 4 5 2 2 2 2 4" xfId="9550" xr:uid="{8A7671EC-AB7E-4F51-9B1B-FE1F0FDC42A9}"/>
    <cellStyle name="Normal 2 4 5 2 2 2 2 4 2" xfId="18660" xr:uid="{7843DAEE-7AE9-412C-891C-2B4373844896}"/>
    <cellStyle name="Normal 2 4 5 2 2 2 2 5" xfId="10220" xr:uid="{F91C5D43-198F-4108-AAC2-E6EC808D2816}"/>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25435" xr:uid="{52E3771D-E3BC-4888-A5ED-E0D49D4DBD95}"/>
    <cellStyle name="Normal 2 4 5 2 2 2 3 2 2 3" xfId="16995" xr:uid="{68365816-6C0E-471F-BD9C-B5C9EFADEDB5}"/>
    <cellStyle name="Normal 2 4 5 2 2 2 3 2 3" xfId="21218" xr:uid="{2248878F-1820-4700-8782-F3E1062256FC}"/>
    <cellStyle name="Normal 2 4 5 2 2 2 3 2 4" xfId="12778" xr:uid="{E3059724-E7AF-4500-BA07-27E9601A766E}"/>
    <cellStyle name="Normal 2 4 5 2 2 2 3 3" xfId="5524" xr:uid="{00000000-0005-0000-0000-000040100000}"/>
    <cellStyle name="Normal 2 4 5 2 2 2 3 3 2" xfId="23290" xr:uid="{2663A487-EB73-4EAD-B228-E0532C3534F5}"/>
    <cellStyle name="Normal 2 4 5 2 2 2 3 3 3" xfId="14850" xr:uid="{E2EFB20D-1933-4084-B4E4-9FE37761282C}"/>
    <cellStyle name="Normal 2 4 5 2 2 2 3 4" xfId="19073" xr:uid="{C9FC7B7B-246D-4240-9CAD-F84636105BE9}"/>
    <cellStyle name="Normal 2 4 5 2 2 2 3 5" xfId="10633" xr:uid="{9B4C402F-ED3D-448A-8C72-5D7AA6A98A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25848" xr:uid="{A07A4A88-E29F-4C4A-B3D0-E94A458AD9F7}"/>
    <cellStyle name="Normal 2 4 5 2 2 2 4 2 2 3" xfId="17408" xr:uid="{45891D3D-93DD-4B4B-97E7-4097CD8B07C5}"/>
    <cellStyle name="Normal 2 4 5 2 2 2 4 2 3" xfId="21631" xr:uid="{723C2973-5859-40A3-9B0B-DFCA0B62E244}"/>
    <cellStyle name="Normal 2 4 5 2 2 2 4 2 4" xfId="13191" xr:uid="{9CD2F4D6-8EC0-4CE0-998E-5888BE7143EC}"/>
    <cellStyle name="Normal 2 4 5 2 2 2 4 3" xfId="5937" xr:uid="{00000000-0005-0000-0000-000044100000}"/>
    <cellStyle name="Normal 2 4 5 2 2 2 4 3 2" xfId="23703" xr:uid="{6882F01A-60D6-44E3-9A76-49312C6D25E0}"/>
    <cellStyle name="Normal 2 4 5 2 2 2 4 3 3" xfId="15263" xr:uid="{FD5FDDD9-E5EE-4D2A-9F93-0CFFCEB5947C}"/>
    <cellStyle name="Normal 2 4 5 2 2 2 4 4" xfId="19486" xr:uid="{1C9B8837-B254-47CE-A2E3-CA44EB577163}"/>
    <cellStyle name="Normal 2 4 5 2 2 2 4 5" xfId="11046" xr:uid="{B17638A4-01E6-4BEF-91A8-562DEF22038F}"/>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26261" xr:uid="{9D57470D-1DDD-45BA-815D-5424641C79E0}"/>
    <cellStyle name="Normal 2 4 5 2 2 2 5 2 2 3" xfId="17821" xr:uid="{F60641CD-0139-4ACF-9218-0D2980F4F03F}"/>
    <cellStyle name="Normal 2 4 5 2 2 2 5 2 3" xfId="22044" xr:uid="{FB0CC340-84C8-4368-9537-AF24FE509D3C}"/>
    <cellStyle name="Normal 2 4 5 2 2 2 5 2 4" xfId="13604" xr:uid="{2D765F24-834C-46F1-A7C2-FC51A7B8576F}"/>
    <cellStyle name="Normal 2 4 5 2 2 2 5 3" xfId="6350" xr:uid="{00000000-0005-0000-0000-000048100000}"/>
    <cellStyle name="Normal 2 4 5 2 2 2 5 3 2" xfId="24116" xr:uid="{AE91F466-B910-4F0D-BEA6-EF018AC48700}"/>
    <cellStyle name="Normal 2 4 5 2 2 2 5 3 3" xfId="15676" xr:uid="{BBBADDBB-D6FD-4C10-A6B0-766CB9387133}"/>
    <cellStyle name="Normal 2 4 5 2 2 2 5 4" xfId="19899" xr:uid="{C78E213F-14D6-43CE-AFE4-6246FFB4F480}"/>
    <cellStyle name="Normal 2 4 5 2 2 2 5 5" xfId="11459" xr:uid="{0F541B3B-7FC9-4E47-8E60-7744D331C65E}"/>
    <cellStyle name="Normal 2 4 5 2 2 2 6" xfId="2480" xr:uid="{00000000-0005-0000-0000-000049100000}"/>
    <cellStyle name="Normal 2 4 5 2 2 2 6 2" xfId="6763" xr:uid="{00000000-0005-0000-0000-00004A100000}"/>
    <cellStyle name="Normal 2 4 5 2 2 2 6 2 2" xfId="24529" xr:uid="{A39E4667-49B5-49CE-9DE8-4D7B6EC8EBE9}"/>
    <cellStyle name="Normal 2 4 5 2 2 2 6 2 3" xfId="16089" xr:uid="{9393198A-F6B2-4E46-A5B6-538F6E6F1D7B}"/>
    <cellStyle name="Normal 2 4 5 2 2 2 6 3" xfId="20312" xr:uid="{646669E7-4B93-440C-8EE0-B0E71E8D38FE}"/>
    <cellStyle name="Normal 2 4 5 2 2 2 6 4" xfId="11872" xr:uid="{9D7CC4F7-EDFD-47D9-AF1C-EF2AAD6586FB}"/>
    <cellStyle name="Normal 2 4 5 2 2 2 7" xfId="4697" xr:uid="{00000000-0005-0000-0000-00004B100000}"/>
    <cellStyle name="Normal 2 4 5 2 2 2 7 2" xfId="22463" xr:uid="{EAFE01F1-05B1-4CAC-BF1E-E3ABE978EBD9}"/>
    <cellStyle name="Normal 2 4 5 2 2 2 7 3" xfId="14023" xr:uid="{932D5192-563C-46A7-BD40-A55CF6FE11A1}"/>
    <cellStyle name="Normal 2 4 5 2 2 2 8" xfId="9125" xr:uid="{AE6B93A1-5C0B-49F1-AF15-6FC3FAFFE3B2}"/>
    <cellStyle name="Normal 2 4 5 2 2 2 8 2" xfId="18246" xr:uid="{EE576629-B486-43CB-8312-CFEB4434DD55}"/>
    <cellStyle name="Normal 2 4 5 2 2 2 9" xfId="9806" xr:uid="{17174097-186A-40E9-A34A-407987E0C4CE}"/>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25021" xr:uid="{13CB61EB-C60C-4E19-B2D4-62BB1487FB9A}"/>
    <cellStyle name="Normal 2 4 5 2 2 3 2 2 3" xfId="16581" xr:uid="{ADBA7265-5087-400B-A2CB-434DEE130BF7}"/>
    <cellStyle name="Normal 2 4 5 2 2 3 2 3" xfId="20804" xr:uid="{E6D06FE0-ADCF-45EB-BFD5-C6417DE0A277}"/>
    <cellStyle name="Normal 2 4 5 2 2 3 2 4" xfId="12364" xr:uid="{E888589E-FE8B-486C-91E0-BD707C1C4CF9}"/>
    <cellStyle name="Normal 2 4 5 2 2 3 3" xfId="5110" xr:uid="{00000000-0005-0000-0000-00004F100000}"/>
    <cellStyle name="Normal 2 4 5 2 2 3 3 2" xfId="22876" xr:uid="{9A52D813-E01B-43BA-BAE0-FA64AEA83BC8}"/>
    <cellStyle name="Normal 2 4 5 2 2 3 3 3" xfId="14436" xr:uid="{8D8FDD3F-79FF-451F-AFE5-2DFAB7747D1B}"/>
    <cellStyle name="Normal 2 4 5 2 2 3 4" xfId="9343" xr:uid="{FC4CD386-4202-45E2-8021-2A85CACF4E8B}"/>
    <cellStyle name="Normal 2 4 5 2 2 3 4 2" xfId="18659" xr:uid="{C97C9AE4-02B3-44BD-B58D-75437F5604EA}"/>
    <cellStyle name="Normal 2 4 5 2 2 3 5" xfId="10219" xr:uid="{ED08659A-D551-4EA9-A832-E14DCCD12E32}"/>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25434" xr:uid="{10CA814A-1307-4857-8511-289602E0BD5A}"/>
    <cellStyle name="Normal 2 4 5 2 2 4 2 2 3" xfId="16994" xr:uid="{706A2EA7-6C7E-4C8A-AB34-B2895C1117AE}"/>
    <cellStyle name="Normal 2 4 5 2 2 4 2 3" xfId="21217" xr:uid="{A362D3FC-1634-4CB0-A88E-F20FF2ACF7AD}"/>
    <cellStyle name="Normal 2 4 5 2 2 4 2 4" xfId="12777" xr:uid="{24EFBE1A-F2EA-41B3-A805-53802E8DFDD7}"/>
    <cellStyle name="Normal 2 4 5 2 2 4 3" xfId="5523" xr:uid="{00000000-0005-0000-0000-000053100000}"/>
    <cellStyle name="Normal 2 4 5 2 2 4 3 2" xfId="23289" xr:uid="{9F044965-82BC-4E3B-9E97-F3EA5ECCCD3D}"/>
    <cellStyle name="Normal 2 4 5 2 2 4 3 3" xfId="14849" xr:uid="{679C5715-729E-4D52-9B9D-A8C362549DEA}"/>
    <cellStyle name="Normal 2 4 5 2 2 4 4" xfId="19072" xr:uid="{9FA311D9-DDC5-44A2-B7F3-309686AD7A30}"/>
    <cellStyle name="Normal 2 4 5 2 2 4 5" xfId="10632" xr:uid="{6FB3BE90-AD7D-4E42-8CFD-E0326DBB477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25847" xr:uid="{3108D723-B7D9-4402-BC42-BC8A94B2DC19}"/>
    <cellStyle name="Normal 2 4 5 2 2 5 2 2 3" xfId="17407" xr:uid="{BFFD322E-02BF-49AB-9EAA-E1BAF822A85A}"/>
    <cellStyle name="Normal 2 4 5 2 2 5 2 3" xfId="21630" xr:uid="{81F7D45F-4C0A-4AB8-96DA-84B856F2904A}"/>
    <cellStyle name="Normal 2 4 5 2 2 5 2 4" xfId="13190" xr:uid="{197E48F4-9E28-4994-BAD5-7A981B6D0CAE}"/>
    <cellStyle name="Normal 2 4 5 2 2 5 3" xfId="5936" xr:uid="{00000000-0005-0000-0000-000057100000}"/>
    <cellStyle name="Normal 2 4 5 2 2 5 3 2" xfId="23702" xr:uid="{86A64DAE-E35A-4037-BF7A-0354DFA3C590}"/>
    <cellStyle name="Normal 2 4 5 2 2 5 3 3" xfId="15262" xr:uid="{FB9CFE5F-6DF3-4017-9071-F4C28A13CD70}"/>
    <cellStyle name="Normal 2 4 5 2 2 5 4" xfId="19485" xr:uid="{DBB1C0E2-176A-4D21-A24D-8F973F54C9C1}"/>
    <cellStyle name="Normal 2 4 5 2 2 5 5" xfId="11045" xr:uid="{43C9449D-80B6-4EA4-8B56-7DB1A19863CF}"/>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26260" xr:uid="{62C4D357-B46A-424B-8653-6BF939C0F4D7}"/>
    <cellStyle name="Normal 2 4 5 2 2 6 2 2 3" xfId="17820" xr:uid="{0F7E1580-18CB-4F88-8715-832B9A3EF822}"/>
    <cellStyle name="Normal 2 4 5 2 2 6 2 3" xfId="22043" xr:uid="{BAF66C53-FC00-4B03-A17A-088B44257574}"/>
    <cellStyle name="Normal 2 4 5 2 2 6 2 4" xfId="13603" xr:uid="{8424BFBB-2C14-4CD7-8D7F-BF0285B43264}"/>
    <cellStyle name="Normal 2 4 5 2 2 6 3" xfId="6349" xr:uid="{00000000-0005-0000-0000-00005B100000}"/>
    <cellStyle name="Normal 2 4 5 2 2 6 3 2" xfId="24115" xr:uid="{8DB33327-F2BD-4D97-968A-1A8F93952634}"/>
    <cellStyle name="Normal 2 4 5 2 2 6 3 3" xfId="15675" xr:uid="{9D1895D6-2F1C-4FE0-A9D0-D2A23E837E76}"/>
    <cellStyle name="Normal 2 4 5 2 2 6 4" xfId="19898" xr:uid="{86197ABD-3657-4550-9CD5-995E28545892}"/>
    <cellStyle name="Normal 2 4 5 2 2 6 5" xfId="11458" xr:uid="{1FBB97E6-F2D2-4E7A-9D55-93908EF7D9EB}"/>
    <cellStyle name="Normal 2 4 5 2 2 7" xfId="2479" xr:uid="{00000000-0005-0000-0000-00005C100000}"/>
    <cellStyle name="Normal 2 4 5 2 2 7 2" xfId="6762" xr:uid="{00000000-0005-0000-0000-00005D100000}"/>
    <cellStyle name="Normal 2 4 5 2 2 7 2 2" xfId="24528" xr:uid="{8CE58887-6F5F-4393-B37E-DFD7CF8A516D}"/>
    <cellStyle name="Normal 2 4 5 2 2 7 2 3" xfId="16088" xr:uid="{27516844-6964-4F6C-AB68-D8BD18ACA1F3}"/>
    <cellStyle name="Normal 2 4 5 2 2 7 3" xfId="20311" xr:uid="{BC08CC78-7B17-4EA5-85A1-A183CCE385F3}"/>
    <cellStyle name="Normal 2 4 5 2 2 7 4" xfId="11871" xr:uid="{A0508192-695B-4B8F-8767-9ADF24916EC8}"/>
    <cellStyle name="Normal 2 4 5 2 2 8" xfId="4696" xr:uid="{00000000-0005-0000-0000-00005E100000}"/>
    <cellStyle name="Normal 2 4 5 2 2 8 2" xfId="22462" xr:uid="{B29135D0-6B95-4718-9C8F-E969FF8AC9B2}"/>
    <cellStyle name="Normal 2 4 5 2 2 8 3" xfId="14022" xr:uid="{DC6EC577-1034-497F-9A90-84C1FC37B2EF}"/>
    <cellStyle name="Normal 2 4 5 2 2 9" xfId="8918" xr:uid="{C191AFB9-5B9B-45BF-8589-0BB68E370D0F}"/>
    <cellStyle name="Normal 2 4 5 2 2 9 2" xfId="18245" xr:uid="{9BB456A4-B7D9-4ECF-84E9-5B025998471C}"/>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25023" xr:uid="{A2A85801-5375-4685-A109-DD6988CBE92D}"/>
    <cellStyle name="Normal 2 4 5 2 3 2 2 2 3" xfId="16583" xr:uid="{C2D4D71D-47BE-494F-B94F-1D215980B67C}"/>
    <cellStyle name="Normal 2 4 5 2 3 2 2 3" xfId="20806" xr:uid="{444CE535-9491-42EB-BC10-2637ADA834FE}"/>
    <cellStyle name="Normal 2 4 5 2 3 2 2 4" xfId="12366" xr:uid="{9E0735D0-245C-4F58-8333-58A329DF62F5}"/>
    <cellStyle name="Normal 2 4 5 2 3 2 3" xfId="5112" xr:uid="{00000000-0005-0000-0000-000063100000}"/>
    <cellStyle name="Normal 2 4 5 2 3 2 3 2" xfId="22878" xr:uid="{DD8CF62B-7356-499B-96A1-25C3B6474F67}"/>
    <cellStyle name="Normal 2 4 5 2 3 2 3 3" xfId="14438" xr:uid="{4C0A223F-16A4-4F7E-8A11-83CE51C3EE4C}"/>
    <cellStyle name="Normal 2 4 5 2 3 2 4" xfId="9447" xr:uid="{5DAE67B2-15F6-4C7F-9310-B9C816D42F72}"/>
    <cellStyle name="Normal 2 4 5 2 3 2 4 2" xfId="18661" xr:uid="{219E463B-6446-4B56-9FBF-A1D9E9005CB7}"/>
    <cellStyle name="Normal 2 4 5 2 3 2 5" xfId="10221" xr:uid="{D8FEF6DB-217D-4740-B48D-40E457B8770C}"/>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25436" xr:uid="{E092EB21-0CC9-4A1A-8087-F570216EC174}"/>
    <cellStyle name="Normal 2 4 5 2 3 3 2 2 3" xfId="16996" xr:uid="{3E26E0B4-1AD5-4F47-A7CE-B6F078428296}"/>
    <cellStyle name="Normal 2 4 5 2 3 3 2 3" xfId="21219" xr:uid="{BFE63E79-6A5C-44DE-8E58-95542E393563}"/>
    <cellStyle name="Normal 2 4 5 2 3 3 2 4" xfId="12779" xr:uid="{E4F1C777-5A5E-4F7B-A5D4-F5CDE89D0BBF}"/>
    <cellStyle name="Normal 2 4 5 2 3 3 3" xfId="5525" xr:uid="{00000000-0005-0000-0000-000067100000}"/>
    <cellStyle name="Normal 2 4 5 2 3 3 3 2" xfId="23291" xr:uid="{10B48210-BBC4-45B4-B4FC-A30A9613E8AF}"/>
    <cellStyle name="Normal 2 4 5 2 3 3 3 3" xfId="14851" xr:uid="{E26E6212-3B1D-4760-8C47-F19BD2021079}"/>
    <cellStyle name="Normal 2 4 5 2 3 3 4" xfId="19074" xr:uid="{6939646D-E892-4C30-8C4C-A2756A29C434}"/>
    <cellStyle name="Normal 2 4 5 2 3 3 5" xfId="10634" xr:uid="{C1E57422-1C3F-4EE5-99FE-EA92B6BBE6B6}"/>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25849" xr:uid="{BB5493D5-9226-4159-8200-6AB8C29AFB9A}"/>
    <cellStyle name="Normal 2 4 5 2 3 4 2 2 3" xfId="17409" xr:uid="{01EE5CD6-30BC-4EC0-8C3A-F03B0A249AF5}"/>
    <cellStyle name="Normal 2 4 5 2 3 4 2 3" xfId="21632" xr:uid="{36110E0C-852F-4C58-92F9-250B782EF5BC}"/>
    <cellStyle name="Normal 2 4 5 2 3 4 2 4" xfId="13192" xr:uid="{91DB4A68-D6F4-46F7-8B36-8D11E7D6439C}"/>
    <cellStyle name="Normal 2 4 5 2 3 4 3" xfId="5938" xr:uid="{00000000-0005-0000-0000-00006B100000}"/>
    <cellStyle name="Normal 2 4 5 2 3 4 3 2" xfId="23704" xr:uid="{EE72DEA2-804D-4AF4-AC04-C3E391F2F9E8}"/>
    <cellStyle name="Normal 2 4 5 2 3 4 3 3" xfId="15264" xr:uid="{D7689ABF-BA86-4BD5-A32D-548CE8A19851}"/>
    <cellStyle name="Normal 2 4 5 2 3 4 4" xfId="19487" xr:uid="{D4244101-82EF-4C37-9DD7-AE93137280DE}"/>
    <cellStyle name="Normal 2 4 5 2 3 4 5" xfId="11047" xr:uid="{79DEEEDD-CAF8-42B5-B427-AD74D6B0E684}"/>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26262" xr:uid="{149CF801-9306-449E-BCA1-D455898B8857}"/>
    <cellStyle name="Normal 2 4 5 2 3 5 2 2 3" xfId="17822" xr:uid="{3E4E5E60-9266-4375-9374-A7D3260495F3}"/>
    <cellStyle name="Normal 2 4 5 2 3 5 2 3" xfId="22045" xr:uid="{1C7F32B7-2081-4EB5-BDAC-430AF08120A2}"/>
    <cellStyle name="Normal 2 4 5 2 3 5 2 4" xfId="13605" xr:uid="{62DE5399-3947-4F3B-B5B4-5796BD767146}"/>
    <cellStyle name="Normal 2 4 5 2 3 5 3" xfId="6351" xr:uid="{00000000-0005-0000-0000-00006F100000}"/>
    <cellStyle name="Normal 2 4 5 2 3 5 3 2" xfId="24117" xr:uid="{31A89288-B43F-45B3-BFB3-AC1BF47073A5}"/>
    <cellStyle name="Normal 2 4 5 2 3 5 3 3" xfId="15677" xr:uid="{E25593B2-1A5C-4BEF-8216-318D0B451A12}"/>
    <cellStyle name="Normal 2 4 5 2 3 5 4" xfId="19900" xr:uid="{E492C157-B2AF-42EB-BC1F-CC4955CA0799}"/>
    <cellStyle name="Normal 2 4 5 2 3 5 5" xfId="11460" xr:uid="{221132CB-6700-4B9A-B5B0-26A8EBBD5E39}"/>
    <cellStyle name="Normal 2 4 5 2 3 6" xfId="2481" xr:uid="{00000000-0005-0000-0000-000070100000}"/>
    <cellStyle name="Normal 2 4 5 2 3 6 2" xfId="6764" xr:uid="{00000000-0005-0000-0000-000071100000}"/>
    <cellStyle name="Normal 2 4 5 2 3 6 2 2" xfId="24530" xr:uid="{C2B0B2D4-AA0F-4D81-9668-0CFB89E90E90}"/>
    <cellStyle name="Normal 2 4 5 2 3 6 2 3" xfId="16090" xr:uid="{BBBB562B-6913-4508-B33E-B726804B856D}"/>
    <cellStyle name="Normal 2 4 5 2 3 6 3" xfId="20313" xr:uid="{D3452E50-1438-4C9F-A218-2BC6607410C6}"/>
    <cellStyle name="Normal 2 4 5 2 3 6 4" xfId="11873" xr:uid="{1135B39F-86D9-4DFD-A68C-5AC34D0BDA40}"/>
    <cellStyle name="Normal 2 4 5 2 3 7" xfId="4698" xr:uid="{00000000-0005-0000-0000-000072100000}"/>
    <cellStyle name="Normal 2 4 5 2 3 7 2" xfId="22464" xr:uid="{E2700038-8B5C-449D-A960-542E7E9B95DD}"/>
    <cellStyle name="Normal 2 4 5 2 3 7 3" xfId="14024" xr:uid="{188B8947-8677-4B48-B019-76D1FDF5729A}"/>
    <cellStyle name="Normal 2 4 5 2 3 8" xfId="9022" xr:uid="{B979F5DF-A88B-437D-B1B4-B92D08856DC7}"/>
    <cellStyle name="Normal 2 4 5 2 3 8 2" xfId="18247" xr:uid="{2F8F63C1-98E4-46C9-87F6-85CEDAF6C18F}"/>
    <cellStyle name="Normal 2 4 5 2 3 9" xfId="9807" xr:uid="{1FD8C570-E033-4061-B4FC-C26A7BE85568}"/>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25020" xr:uid="{BA578696-22B4-462A-A41A-53812A63F736}"/>
    <cellStyle name="Normal 2 4 5 2 4 2 2 3" xfId="16580" xr:uid="{A6972531-3599-4AA1-827E-0034A0BC5CD8}"/>
    <cellStyle name="Normal 2 4 5 2 4 2 3" xfId="20803" xr:uid="{70664978-05BA-49D5-9439-4D7F28380AE5}"/>
    <cellStyle name="Normal 2 4 5 2 4 2 4" xfId="12363" xr:uid="{FDDA97EB-F24F-4F43-AAD5-C630E2EA2044}"/>
    <cellStyle name="Normal 2 4 5 2 4 3" xfId="5109" xr:uid="{00000000-0005-0000-0000-000076100000}"/>
    <cellStyle name="Normal 2 4 5 2 4 3 2" xfId="22875" xr:uid="{29FB8B4A-2C4D-436D-8382-DC8C90F0711D}"/>
    <cellStyle name="Normal 2 4 5 2 4 3 3" xfId="14435" xr:uid="{5FF39357-C079-4A3F-8D53-4434A46EC2CD}"/>
    <cellStyle name="Normal 2 4 5 2 4 4" xfId="9240" xr:uid="{16FBE981-4867-4157-8C0D-9C1339DB5B3F}"/>
    <cellStyle name="Normal 2 4 5 2 4 4 2" xfId="18658" xr:uid="{3C96F4D1-C430-4B60-9FE9-30E12D0653E9}"/>
    <cellStyle name="Normal 2 4 5 2 4 5" xfId="10218" xr:uid="{90E95281-CB9B-427A-BEF7-8BD957A5D871}"/>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25433" xr:uid="{4E3B0AC3-1AD6-4177-964B-AF999674946F}"/>
    <cellStyle name="Normal 2 4 5 2 5 2 2 3" xfId="16993" xr:uid="{17CA4226-1B2A-4D48-9388-D99023E2A7E4}"/>
    <cellStyle name="Normal 2 4 5 2 5 2 3" xfId="21216" xr:uid="{6F502DB2-D7F8-46AE-B3AB-34AB5D1212B6}"/>
    <cellStyle name="Normal 2 4 5 2 5 2 4" xfId="12776" xr:uid="{9812B000-01D1-4897-8723-5CDCCCB03F5B}"/>
    <cellStyle name="Normal 2 4 5 2 5 3" xfId="5522" xr:uid="{00000000-0005-0000-0000-00007A100000}"/>
    <cellStyle name="Normal 2 4 5 2 5 3 2" xfId="23288" xr:uid="{24F6D8EB-CD72-4F34-89EC-C1D17152A84D}"/>
    <cellStyle name="Normal 2 4 5 2 5 3 3" xfId="14848" xr:uid="{2A1F3108-2554-437B-B720-732D8238640A}"/>
    <cellStyle name="Normal 2 4 5 2 5 4" xfId="19071" xr:uid="{EAD48720-3CBE-4D19-86E8-2ECC29DCB055}"/>
    <cellStyle name="Normal 2 4 5 2 5 5" xfId="10631" xr:uid="{BCAC0841-8616-4FE5-8573-2FB2FB55951E}"/>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25846" xr:uid="{440AC4C5-5E8B-4A73-81C4-19DB02E28125}"/>
    <cellStyle name="Normal 2 4 5 2 6 2 2 3" xfId="17406" xr:uid="{3D9066C1-619F-45B6-9512-6620EDC8B59F}"/>
    <cellStyle name="Normal 2 4 5 2 6 2 3" xfId="21629" xr:uid="{8898A110-84C5-40E0-BB5B-22C86B2BB8FA}"/>
    <cellStyle name="Normal 2 4 5 2 6 2 4" xfId="13189" xr:uid="{225F040C-23B1-431F-9168-DB50A135E478}"/>
    <cellStyle name="Normal 2 4 5 2 6 3" xfId="5935" xr:uid="{00000000-0005-0000-0000-00007E100000}"/>
    <cellStyle name="Normal 2 4 5 2 6 3 2" xfId="23701" xr:uid="{8CED285C-2CB3-46B1-848E-B255D4BF8EC5}"/>
    <cellStyle name="Normal 2 4 5 2 6 3 3" xfId="15261" xr:uid="{8E13153D-A081-45D3-9466-8796B5096529}"/>
    <cellStyle name="Normal 2 4 5 2 6 4" xfId="19484" xr:uid="{1DD591DE-6AB3-40A5-AA58-C27654300222}"/>
    <cellStyle name="Normal 2 4 5 2 6 5" xfId="11044" xr:uid="{75125641-1B79-4990-A472-37AA8FFDE87D}"/>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26259" xr:uid="{10BB572E-4D90-4D25-BF3C-D19CF9B42FE4}"/>
    <cellStyle name="Normal 2 4 5 2 7 2 2 3" xfId="17819" xr:uid="{4C7776B5-3D25-45C9-B40F-939C666D5D55}"/>
    <cellStyle name="Normal 2 4 5 2 7 2 3" xfId="22042" xr:uid="{149B6D23-C3C8-4EEA-84F9-84EBB05A1866}"/>
    <cellStyle name="Normal 2 4 5 2 7 2 4" xfId="13602" xr:uid="{8D89766D-BBD5-48B9-8460-3AD7EC03BC15}"/>
    <cellStyle name="Normal 2 4 5 2 7 3" xfId="6348" xr:uid="{00000000-0005-0000-0000-000082100000}"/>
    <cellStyle name="Normal 2 4 5 2 7 3 2" xfId="24114" xr:uid="{4E8EE791-B11D-4C10-B2B9-2009C99C60A6}"/>
    <cellStyle name="Normal 2 4 5 2 7 3 3" xfId="15674" xr:uid="{6300AF18-1A96-46C1-8A0B-C5159F404D81}"/>
    <cellStyle name="Normal 2 4 5 2 7 4" xfId="19897" xr:uid="{35535762-FF5F-4E63-8B7A-C6FD7763BF3C}"/>
    <cellStyle name="Normal 2 4 5 2 7 5" xfId="11457" xr:uid="{A385F6DF-933A-446E-AA77-0C46161F1918}"/>
    <cellStyle name="Normal 2 4 5 2 8" xfId="2478" xr:uid="{00000000-0005-0000-0000-000083100000}"/>
    <cellStyle name="Normal 2 4 5 2 8 2" xfId="6761" xr:uid="{00000000-0005-0000-0000-000084100000}"/>
    <cellStyle name="Normal 2 4 5 2 8 2 2" xfId="24527" xr:uid="{4E9E1CC6-8631-447A-A65A-73D8216A58E3}"/>
    <cellStyle name="Normal 2 4 5 2 8 2 3" xfId="16087" xr:uid="{1A4ADEB5-561D-4277-B208-C16B1FFCEB8A}"/>
    <cellStyle name="Normal 2 4 5 2 8 3" xfId="20310" xr:uid="{D82D2E21-DE0D-4D9D-A482-5CC638F09EAF}"/>
    <cellStyle name="Normal 2 4 5 2 8 4" xfId="11870" xr:uid="{17864A73-B2C2-49D3-9073-D22788F0CD06}"/>
    <cellStyle name="Normal 2 4 5 2 9" xfId="4695" xr:uid="{00000000-0005-0000-0000-000085100000}"/>
    <cellStyle name="Normal 2 4 5 2 9 2" xfId="22461" xr:uid="{48177133-7061-4325-B23D-50942673A9EE}"/>
    <cellStyle name="Normal 2 4 5 2 9 3" xfId="14021" xr:uid="{51E754F2-6AAE-4234-B4FF-49C6EE626CE7}"/>
    <cellStyle name="Normal 2 4 5 3" xfId="308" xr:uid="{00000000-0005-0000-0000-000086100000}"/>
    <cellStyle name="Normal 2 4 5 3 10" xfId="9808" xr:uid="{3793190E-E6D3-4842-B95C-57E627F7B5EA}"/>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25025" xr:uid="{4EC71DFE-078E-4B15-8A9F-5F661E92E00B}"/>
    <cellStyle name="Normal 2 4 5 3 2 2 2 2 3" xfId="16585" xr:uid="{797B7DD9-4C78-46DF-99FD-4C688DA7FC37}"/>
    <cellStyle name="Normal 2 4 5 3 2 2 2 3" xfId="20808" xr:uid="{B4802136-558A-4611-9379-44A869D89A4E}"/>
    <cellStyle name="Normal 2 4 5 3 2 2 2 4" xfId="12368" xr:uid="{DC1DA0DC-71BA-4A4B-A2CF-C4D90A7F37BE}"/>
    <cellStyle name="Normal 2 4 5 3 2 2 3" xfId="5114" xr:uid="{00000000-0005-0000-0000-00008B100000}"/>
    <cellStyle name="Normal 2 4 5 3 2 2 3 2" xfId="22880" xr:uid="{1FCB4A2E-BE7A-44C8-989B-544869AF7CCE}"/>
    <cellStyle name="Normal 2 4 5 3 2 2 3 3" xfId="14440" xr:uid="{B01D678D-A5BA-45F8-B886-12B989E5C7ED}"/>
    <cellStyle name="Normal 2 4 5 3 2 2 4" xfId="9515" xr:uid="{A1D6949C-773D-44DB-B26F-4DD01D24FF00}"/>
    <cellStyle name="Normal 2 4 5 3 2 2 4 2" xfId="18663" xr:uid="{CE52111A-7A87-4D00-B7EF-61E92F26CA75}"/>
    <cellStyle name="Normal 2 4 5 3 2 2 5" xfId="10223" xr:uid="{71A050CD-B8F1-4131-8574-37203AB2B79B}"/>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25438" xr:uid="{C4604449-9240-4F90-9E41-2B8BB248D937}"/>
    <cellStyle name="Normal 2 4 5 3 2 3 2 2 3" xfId="16998" xr:uid="{EB3C0C87-1ACC-492D-A647-4C21895768EF}"/>
    <cellStyle name="Normal 2 4 5 3 2 3 2 3" xfId="21221" xr:uid="{1292141D-E633-413C-B8D4-1FDCB4861287}"/>
    <cellStyle name="Normal 2 4 5 3 2 3 2 4" xfId="12781" xr:uid="{20CCF8ED-B97C-4503-A316-C74C277F4FD3}"/>
    <cellStyle name="Normal 2 4 5 3 2 3 3" xfId="5527" xr:uid="{00000000-0005-0000-0000-00008F100000}"/>
    <cellStyle name="Normal 2 4 5 3 2 3 3 2" xfId="23293" xr:uid="{2BF67968-1F6C-4549-B26A-B97E5CC221B5}"/>
    <cellStyle name="Normal 2 4 5 3 2 3 3 3" xfId="14853" xr:uid="{503088CC-0448-4B8F-BC1D-E95B0B3F4DDC}"/>
    <cellStyle name="Normal 2 4 5 3 2 3 4" xfId="19076" xr:uid="{448BA830-1042-4269-BCC3-EE348F77DDD1}"/>
    <cellStyle name="Normal 2 4 5 3 2 3 5" xfId="10636" xr:uid="{CD3A136B-D571-426E-81B6-B93292FBDF0E}"/>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25851" xr:uid="{ED4FE2B4-0E25-45DB-8B53-49C81D9AEAD1}"/>
    <cellStyle name="Normal 2 4 5 3 2 4 2 2 3" xfId="17411" xr:uid="{84655044-49E2-43B8-8BC4-3C70F11FB114}"/>
    <cellStyle name="Normal 2 4 5 3 2 4 2 3" xfId="21634" xr:uid="{FC48F916-ECEA-46F2-A45D-86B350BB07AF}"/>
    <cellStyle name="Normal 2 4 5 3 2 4 2 4" xfId="13194" xr:uid="{FC5734D4-C4B2-48F3-A639-F9D765577A3B}"/>
    <cellStyle name="Normal 2 4 5 3 2 4 3" xfId="5940" xr:uid="{00000000-0005-0000-0000-000093100000}"/>
    <cellStyle name="Normal 2 4 5 3 2 4 3 2" xfId="23706" xr:uid="{A6F3A15C-2DA7-4EEB-91C0-2C03F8B19927}"/>
    <cellStyle name="Normal 2 4 5 3 2 4 3 3" xfId="15266" xr:uid="{8D5BFE97-B711-46D6-97EE-FADB2085B055}"/>
    <cellStyle name="Normal 2 4 5 3 2 4 4" xfId="19489" xr:uid="{8AB29DD2-FAF5-42BC-B517-B59989DEFF10}"/>
    <cellStyle name="Normal 2 4 5 3 2 4 5" xfId="11049" xr:uid="{3A91F396-816A-4FCD-AFDA-7CE372E89D5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26264" xr:uid="{AE6CA4FA-EE87-49CA-82A8-31C92DC18843}"/>
    <cellStyle name="Normal 2 4 5 3 2 5 2 2 3" xfId="17824" xr:uid="{BA274E76-E299-4508-A7CF-D0B5BD05CE75}"/>
    <cellStyle name="Normal 2 4 5 3 2 5 2 3" xfId="22047" xr:uid="{3929D5AE-D5A9-4AA3-AF12-98F9CD1E9C20}"/>
    <cellStyle name="Normal 2 4 5 3 2 5 2 4" xfId="13607" xr:uid="{66EA6D7F-4147-41F2-A38F-07DE889F9078}"/>
    <cellStyle name="Normal 2 4 5 3 2 5 3" xfId="6353" xr:uid="{00000000-0005-0000-0000-000097100000}"/>
    <cellStyle name="Normal 2 4 5 3 2 5 3 2" xfId="24119" xr:uid="{BD70B6E8-E386-465D-A818-0805C4039095}"/>
    <cellStyle name="Normal 2 4 5 3 2 5 3 3" xfId="15679" xr:uid="{2E1FDA91-FE6F-4BC2-B9CE-942B3C410082}"/>
    <cellStyle name="Normal 2 4 5 3 2 5 4" xfId="19902" xr:uid="{71ADB138-683B-494B-BDD3-421E373CF1B5}"/>
    <cellStyle name="Normal 2 4 5 3 2 5 5" xfId="11462" xr:uid="{599FDEB5-E058-4C79-87AF-59D6B5FBBF7F}"/>
    <cellStyle name="Normal 2 4 5 3 2 6" xfId="2483" xr:uid="{00000000-0005-0000-0000-000098100000}"/>
    <cellStyle name="Normal 2 4 5 3 2 6 2" xfId="6766" xr:uid="{00000000-0005-0000-0000-000099100000}"/>
    <cellStyle name="Normal 2 4 5 3 2 6 2 2" xfId="24532" xr:uid="{F15733B8-1299-4FF0-8106-5E9ED8FD940D}"/>
    <cellStyle name="Normal 2 4 5 3 2 6 2 3" xfId="16092" xr:uid="{8D5802A0-126A-46A6-B9F9-48D859933B09}"/>
    <cellStyle name="Normal 2 4 5 3 2 6 3" xfId="20315" xr:uid="{AC338006-0930-4BBC-AFD7-957ACEB2ECD2}"/>
    <cellStyle name="Normal 2 4 5 3 2 6 4" xfId="11875" xr:uid="{956B386B-B636-4B74-B5DA-FEB662BEA83E}"/>
    <cellStyle name="Normal 2 4 5 3 2 7" xfId="4700" xr:uid="{00000000-0005-0000-0000-00009A100000}"/>
    <cellStyle name="Normal 2 4 5 3 2 7 2" xfId="22466" xr:uid="{0996B357-5274-4AC8-98DE-929888FC5B9B}"/>
    <cellStyle name="Normal 2 4 5 3 2 7 3" xfId="14026" xr:uid="{265E33B1-2DA2-46BE-B64B-2898C156D3F7}"/>
    <cellStyle name="Normal 2 4 5 3 2 8" xfId="9090" xr:uid="{4B64C5F8-5AC3-43D3-B94A-46850BBF79A5}"/>
    <cellStyle name="Normal 2 4 5 3 2 8 2" xfId="18249" xr:uid="{5B168C8A-27E8-41CD-AEAF-5933A08A2F0B}"/>
    <cellStyle name="Normal 2 4 5 3 2 9" xfId="9809" xr:uid="{68867059-90E1-4526-BF16-31CF494D3B67}"/>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25024" xr:uid="{BF8F05AF-DBAE-4540-8262-A5D5637F4F7C}"/>
    <cellStyle name="Normal 2 4 5 3 3 2 2 3" xfId="16584" xr:uid="{E5DCCCED-17D5-4C5E-9A08-E5F928F597D4}"/>
    <cellStyle name="Normal 2 4 5 3 3 2 3" xfId="20807" xr:uid="{F93B6413-414B-4F79-A02C-D085043475E7}"/>
    <cellStyle name="Normal 2 4 5 3 3 2 4" xfId="12367" xr:uid="{96C62D12-08AF-40FA-81EA-3A025DBA93B7}"/>
    <cellStyle name="Normal 2 4 5 3 3 3" xfId="5113" xr:uid="{00000000-0005-0000-0000-00009E100000}"/>
    <cellStyle name="Normal 2 4 5 3 3 3 2" xfId="22879" xr:uid="{1981CE4C-967B-46BE-9B1C-331EE55D4905}"/>
    <cellStyle name="Normal 2 4 5 3 3 3 3" xfId="14439" xr:uid="{63144F7C-8F08-4CB4-AB98-0977853E1C59}"/>
    <cellStyle name="Normal 2 4 5 3 3 4" xfId="9308" xr:uid="{40198FFA-4C90-42BE-90C8-42459F1A2A1C}"/>
    <cellStyle name="Normal 2 4 5 3 3 4 2" xfId="18662" xr:uid="{62E58923-EEC3-4BE2-80F8-9A68D6DA09FE}"/>
    <cellStyle name="Normal 2 4 5 3 3 5" xfId="10222" xr:uid="{CB23A228-2152-4016-B94E-DD7277514DF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25437" xr:uid="{314DEAF5-81EE-4EBB-921C-54879D22B9C8}"/>
    <cellStyle name="Normal 2 4 5 3 4 2 2 3" xfId="16997" xr:uid="{4BB3EAC2-3FFB-4AEE-8304-2FB52A90B6DC}"/>
    <cellStyle name="Normal 2 4 5 3 4 2 3" xfId="21220" xr:uid="{B031ADC8-2421-408C-BAAE-52B48B9A02AE}"/>
    <cellStyle name="Normal 2 4 5 3 4 2 4" xfId="12780" xr:uid="{E3F8375F-8B33-4BE3-B863-BEB20E5966F2}"/>
    <cellStyle name="Normal 2 4 5 3 4 3" xfId="5526" xr:uid="{00000000-0005-0000-0000-0000A2100000}"/>
    <cellStyle name="Normal 2 4 5 3 4 3 2" xfId="23292" xr:uid="{9DDA157A-123D-4B1A-A46F-DF803E69276B}"/>
    <cellStyle name="Normal 2 4 5 3 4 3 3" xfId="14852" xr:uid="{5EBC17BA-E7A9-4F0C-8D5E-D5E0D83D355D}"/>
    <cellStyle name="Normal 2 4 5 3 4 4" xfId="19075" xr:uid="{1F39659E-37E5-41C2-B1D7-9AB475788A42}"/>
    <cellStyle name="Normal 2 4 5 3 4 5" xfId="10635" xr:uid="{A2FCB324-4F37-4E4B-A22C-875125873F11}"/>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25850" xr:uid="{4AF40D0A-2A91-46FB-960F-999F58836B91}"/>
    <cellStyle name="Normal 2 4 5 3 5 2 2 3" xfId="17410" xr:uid="{17C6176D-A452-46AD-95C8-9A44742F62D3}"/>
    <cellStyle name="Normal 2 4 5 3 5 2 3" xfId="21633" xr:uid="{EFAD6188-387D-427F-A2C0-E453ABA66367}"/>
    <cellStyle name="Normal 2 4 5 3 5 2 4" xfId="13193" xr:uid="{62C291B0-0E9E-4CB1-A0CB-BE54022AE27C}"/>
    <cellStyle name="Normal 2 4 5 3 5 3" xfId="5939" xr:uid="{00000000-0005-0000-0000-0000A6100000}"/>
    <cellStyle name="Normal 2 4 5 3 5 3 2" xfId="23705" xr:uid="{0FEAB03F-C5A0-4A64-AEC2-90E01B8873CE}"/>
    <cellStyle name="Normal 2 4 5 3 5 3 3" xfId="15265" xr:uid="{C775873D-038E-4FEA-8CC7-7411BC9E773E}"/>
    <cellStyle name="Normal 2 4 5 3 5 4" xfId="19488" xr:uid="{120F46BA-E366-4F06-9E14-A25768600A22}"/>
    <cellStyle name="Normal 2 4 5 3 5 5" xfId="11048" xr:uid="{131C450C-51FD-4A61-A066-2B8550FFB0E8}"/>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26263" xr:uid="{764439AE-ACED-46DB-9462-CB30F6B24A5B}"/>
    <cellStyle name="Normal 2 4 5 3 6 2 2 3" xfId="17823" xr:uid="{F59F3A5B-0FF5-4A8B-B812-C81CFCCB51E0}"/>
    <cellStyle name="Normal 2 4 5 3 6 2 3" xfId="22046" xr:uid="{1B3A925F-2CB2-4B71-BD73-A1126AE6B2D8}"/>
    <cellStyle name="Normal 2 4 5 3 6 2 4" xfId="13606" xr:uid="{84AD6DE5-0E02-4446-BDFD-983AFF3C5902}"/>
    <cellStyle name="Normal 2 4 5 3 6 3" xfId="6352" xr:uid="{00000000-0005-0000-0000-0000AA100000}"/>
    <cellStyle name="Normal 2 4 5 3 6 3 2" xfId="24118" xr:uid="{AE675EC6-46D9-4B7B-BCE4-B53D0371CD61}"/>
    <cellStyle name="Normal 2 4 5 3 6 3 3" xfId="15678" xr:uid="{63CC8B1D-D701-4933-B759-78A8E2310EF8}"/>
    <cellStyle name="Normal 2 4 5 3 6 4" xfId="19901" xr:uid="{B3D0C338-457D-4AF1-853E-EC4B4D6F7816}"/>
    <cellStyle name="Normal 2 4 5 3 6 5" xfId="11461" xr:uid="{CAF02E17-D3DC-4F67-ADFA-82485C3EDBB4}"/>
    <cellStyle name="Normal 2 4 5 3 7" xfId="2482" xr:uid="{00000000-0005-0000-0000-0000AB100000}"/>
    <cellStyle name="Normal 2 4 5 3 7 2" xfId="6765" xr:uid="{00000000-0005-0000-0000-0000AC100000}"/>
    <cellStyle name="Normal 2 4 5 3 7 2 2" xfId="24531" xr:uid="{F8D2620F-7EEA-424C-8818-D049F71BBC09}"/>
    <cellStyle name="Normal 2 4 5 3 7 2 3" xfId="16091" xr:uid="{44FBF012-7126-4238-8851-FDEC19DDA603}"/>
    <cellStyle name="Normal 2 4 5 3 7 3" xfId="20314" xr:uid="{6B9DF997-ADCA-4CB8-800B-1C8CFE1CB13C}"/>
    <cellStyle name="Normal 2 4 5 3 7 4" xfId="11874" xr:uid="{791030B3-C6F4-457E-A1E9-A6179D1801CE}"/>
    <cellStyle name="Normal 2 4 5 3 8" xfId="4699" xr:uid="{00000000-0005-0000-0000-0000AD100000}"/>
    <cellStyle name="Normal 2 4 5 3 8 2" xfId="22465" xr:uid="{6139D615-6BD2-4380-92D6-9ED281F75FE8}"/>
    <cellStyle name="Normal 2 4 5 3 8 3" xfId="14025" xr:uid="{74759898-3C15-4470-90BB-775D8F65D4BF}"/>
    <cellStyle name="Normal 2 4 5 3 9" xfId="8883" xr:uid="{0A470B75-873E-4D74-A257-113E3E343E18}"/>
    <cellStyle name="Normal 2 4 5 3 9 2" xfId="18248" xr:uid="{D8F781BD-136B-4DFF-9290-CFC85EAD749F}"/>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25026" xr:uid="{A0BD3AAD-7B7E-4E9B-89C6-5A3378E774F5}"/>
    <cellStyle name="Normal 2 4 5 4 2 2 2 3" xfId="16586" xr:uid="{86E91ABD-AC04-4C19-BD2D-58D6050BE1D9}"/>
    <cellStyle name="Normal 2 4 5 4 2 2 3" xfId="20809" xr:uid="{E538A8DA-0E45-4562-A989-661ED0B179E2}"/>
    <cellStyle name="Normal 2 4 5 4 2 2 4" xfId="12369" xr:uid="{A62991C6-0D27-41EF-B1EA-510CDD1301F1}"/>
    <cellStyle name="Normal 2 4 5 4 2 3" xfId="5115" xr:uid="{00000000-0005-0000-0000-0000B2100000}"/>
    <cellStyle name="Normal 2 4 5 4 2 3 2" xfId="22881" xr:uid="{03D1DF02-1FE0-4A5B-A654-BE3E6F58CFF9}"/>
    <cellStyle name="Normal 2 4 5 4 2 3 3" xfId="14441" xr:uid="{D37CACA4-F2B8-40BB-918B-F50BAF3D7855}"/>
    <cellStyle name="Normal 2 4 5 4 2 4" xfId="9412" xr:uid="{0ECAC303-3EA0-4623-AA0F-854157CA32E5}"/>
    <cellStyle name="Normal 2 4 5 4 2 4 2" xfId="18664" xr:uid="{18C3D6C5-9B41-4D6A-8C63-D440C2B36C79}"/>
    <cellStyle name="Normal 2 4 5 4 2 5" xfId="10224" xr:uid="{E8D0EA55-7AEF-4CD3-877B-73065BC5A762}"/>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25439" xr:uid="{1C209BD8-9704-4FC5-93B1-BD34E22A05B5}"/>
    <cellStyle name="Normal 2 4 5 4 3 2 2 3" xfId="16999" xr:uid="{6B1B48A3-5434-4B06-8706-46BF495E983A}"/>
    <cellStyle name="Normal 2 4 5 4 3 2 3" xfId="21222" xr:uid="{5FC65617-2D2A-429E-AF71-2EF646457F9D}"/>
    <cellStyle name="Normal 2 4 5 4 3 2 4" xfId="12782" xr:uid="{87E72EC2-F18E-4E6E-8E38-1EEE3ACBF77F}"/>
    <cellStyle name="Normal 2 4 5 4 3 3" xfId="5528" xr:uid="{00000000-0005-0000-0000-0000B6100000}"/>
    <cellStyle name="Normal 2 4 5 4 3 3 2" xfId="23294" xr:uid="{DD2B0654-7357-4852-BBA7-9F363CAFDE11}"/>
    <cellStyle name="Normal 2 4 5 4 3 3 3" xfId="14854" xr:uid="{8CAC28F4-985A-45E7-924A-3E0B5349C470}"/>
    <cellStyle name="Normal 2 4 5 4 3 4" xfId="19077" xr:uid="{DE91AE96-1BA4-4EA7-882C-070AAB01041D}"/>
    <cellStyle name="Normal 2 4 5 4 3 5" xfId="10637" xr:uid="{EAA9E5D8-B8DE-4438-91CC-C3C95BC2044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25852" xr:uid="{3CEA206C-6F24-42F7-9E74-6936B9A24B63}"/>
    <cellStyle name="Normal 2 4 5 4 4 2 2 3" xfId="17412" xr:uid="{B17C9B56-F78E-44A4-B207-A34E7D353FE4}"/>
    <cellStyle name="Normal 2 4 5 4 4 2 3" xfId="21635" xr:uid="{CE6AF1D7-841F-40E6-8661-EE20CBCDA496}"/>
    <cellStyle name="Normal 2 4 5 4 4 2 4" xfId="13195" xr:uid="{FEC4E4F1-46C0-4C81-A060-55A470D05DAD}"/>
    <cellStyle name="Normal 2 4 5 4 4 3" xfId="5941" xr:uid="{00000000-0005-0000-0000-0000BA100000}"/>
    <cellStyle name="Normal 2 4 5 4 4 3 2" xfId="23707" xr:uid="{BB6D1AEF-9596-4C06-B063-61402D44F6C3}"/>
    <cellStyle name="Normal 2 4 5 4 4 3 3" xfId="15267" xr:uid="{BC0B3165-E7ED-4B11-8398-B9ADFB2C2784}"/>
    <cellStyle name="Normal 2 4 5 4 4 4" xfId="19490" xr:uid="{42DBC406-E521-457B-8E47-7F957445F2F1}"/>
    <cellStyle name="Normal 2 4 5 4 4 5" xfId="11050" xr:uid="{4BFD3CD5-CEC9-4294-9DA9-00D6D21B79C5}"/>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26265" xr:uid="{35B5C63F-3482-4957-858D-5775FED88295}"/>
    <cellStyle name="Normal 2 4 5 4 5 2 2 3" xfId="17825" xr:uid="{979FB39F-3B53-4FB3-828D-A2D739466A82}"/>
    <cellStyle name="Normal 2 4 5 4 5 2 3" xfId="22048" xr:uid="{67A091DA-1A41-416C-96E7-F9C30E97BA16}"/>
    <cellStyle name="Normal 2 4 5 4 5 2 4" xfId="13608" xr:uid="{F6B950D9-0555-44C0-BD1E-D3BC877E6C25}"/>
    <cellStyle name="Normal 2 4 5 4 5 3" xfId="6354" xr:uid="{00000000-0005-0000-0000-0000BE100000}"/>
    <cellStyle name="Normal 2 4 5 4 5 3 2" xfId="24120" xr:uid="{9E086E0A-DED1-4D1A-BDB6-2FA68F699F78}"/>
    <cellStyle name="Normal 2 4 5 4 5 3 3" xfId="15680" xr:uid="{E508955A-E937-477C-BB87-879C2ED4C250}"/>
    <cellStyle name="Normal 2 4 5 4 5 4" xfId="19903" xr:uid="{4F228124-A4EE-44A7-908E-7481C1EDF58A}"/>
    <cellStyle name="Normal 2 4 5 4 5 5" xfId="11463" xr:uid="{35808D87-2B56-4070-B3EE-971000CD6A71}"/>
    <cellStyle name="Normal 2 4 5 4 6" xfId="2484" xr:uid="{00000000-0005-0000-0000-0000BF100000}"/>
    <cellStyle name="Normal 2 4 5 4 6 2" xfId="6767" xr:uid="{00000000-0005-0000-0000-0000C0100000}"/>
    <cellStyle name="Normal 2 4 5 4 6 2 2" xfId="24533" xr:uid="{7A361CED-E485-4EE8-AD81-F77A05E12DD1}"/>
    <cellStyle name="Normal 2 4 5 4 6 2 3" xfId="16093" xr:uid="{CF44060F-8CAD-462A-8EED-BB1EE9C84E26}"/>
    <cellStyle name="Normal 2 4 5 4 6 3" xfId="20316" xr:uid="{F5E5F914-F008-4521-A1ED-DAA950BEF44E}"/>
    <cellStyle name="Normal 2 4 5 4 6 4" xfId="11876" xr:uid="{D9C9E2F1-202B-43C7-98DD-50B5567F26C2}"/>
    <cellStyle name="Normal 2 4 5 4 7" xfId="4701" xr:uid="{00000000-0005-0000-0000-0000C1100000}"/>
    <cellStyle name="Normal 2 4 5 4 7 2" xfId="22467" xr:uid="{D62BA6F1-A1B3-45F9-A17C-A73B1F3F8037}"/>
    <cellStyle name="Normal 2 4 5 4 7 3" xfId="14027" xr:uid="{814F8DD7-393D-4587-A2A6-CEC95504DAAA}"/>
    <cellStyle name="Normal 2 4 5 4 8" xfId="8987" xr:uid="{8DC2C01A-3078-41AD-BCFB-AA1CA8EE9C0A}"/>
    <cellStyle name="Normal 2 4 5 4 8 2" xfId="18250" xr:uid="{5A9DEE50-05D9-4E02-9C5C-8A632F4F714E}"/>
    <cellStyle name="Normal 2 4 5 4 9" xfId="9810" xr:uid="{549264BC-CBF1-4E4D-B210-319577BAE113}"/>
    <cellStyle name="Normal 2 4 5 5" xfId="792" xr:uid="{00000000-0005-0000-0000-0000C2100000}"/>
    <cellStyle name="Normal 2 4 5 5 2" xfId="3031" xr:uid="{00000000-0005-0000-0000-0000C3100000}"/>
    <cellStyle name="Normal 2 4 5 5 2 2" xfId="7253" xr:uid="{00000000-0005-0000-0000-0000C4100000}"/>
    <cellStyle name="Normal 2 4 5 5 2 2 2" xfId="25019" xr:uid="{C758DACC-F70C-4461-B512-4790D35EC776}"/>
    <cellStyle name="Normal 2 4 5 5 2 2 3" xfId="16579" xr:uid="{351BEE90-DC91-4136-AE9C-C7E77E80CF03}"/>
    <cellStyle name="Normal 2 4 5 5 2 3" xfId="20802" xr:uid="{F0B6CCA8-F688-48AE-B983-1F4C3C925B45}"/>
    <cellStyle name="Normal 2 4 5 5 2 4" xfId="12362" xr:uid="{038384D5-B8F1-449D-9C9E-E3195EADBDD9}"/>
    <cellStyle name="Normal 2 4 5 5 3" xfId="5108" xr:uid="{00000000-0005-0000-0000-0000C5100000}"/>
    <cellStyle name="Normal 2 4 5 5 3 2" xfId="22874" xr:uid="{F1B035DB-1662-40E9-9FE9-74AE9A44C07A}"/>
    <cellStyle name="Normal 2 4 5 5 3 3" xfId="14434" xr:uid="{6806A0E3-77ED-4DFF-AA61-9C4E1311F45E}"/>
    <cellStyle name="Normal 2 4 5 5 4" xfId="9204" xr:uid="{BE34B337-03EE-47D8-9E35-2EE6FAB30236}"/>
    <cellStyle name="Normal 2 4 5 5 4 2" xfId="18657" xr:uid="{F0348A73-35E7-425A-8E41-B13E04BBB5C1}"/>
    <cellStyle name="Normal 2 4 5 5 5" xfId="10217" xr:uid="{55F9D0AE-AAF0-4C67-8779-BFDAF12CDAF0}"/>
    <cellStyle name="Normal 2 4 5 6" xfId="1214" xr:uid="{00000000-0005-0000-0000-0000C6100000}"/>
    <cellStyle name="Normal 2 4 5 6 2" xfId="3444" xr:uid="{00000000-0005-0000-0000-0000C7100000}"/>
    <cellStyle name="Normal 2 4 5 6 2 2" xfId="7666" xr:uid="{00000000-0005-0000-0000-0000C8100000}"/>
    <cellStyle name="Normal 2 4 5 6 2 2 2" xfId="25432" xr:uid="{46E15F42-A1D9-4DB8-A516-24F7E3EC9722}"/>
    <cellStyle name="Normal 2 4 5 6 2 2 3" xfId="16992" xr:uid="{922B29BF-1DFB-4921-BB8B-71AA5395A43B}"/>
    <cellStyle name="Normal 2 4 5 6 2 3" xfId="21215" xr:uid="{DC84536F-4754-49ED-AF20-9B27D63FAFEA}"/>
    <cellStyle name="Normal 2 4 5 6 2 4" xfId="12775" xr:uid="{59DCD328-E7EA-460B-A1AC-D0D41DB652FF}"/>
    <cellStyle name="Normal 2 4 5 6 3" xfId="5521" xr:uid="{00000000-0005-0000-0000-0000C9100000}"/>
    <cellStyle name="Normal 2 4 5 6 3 2" xfId="23287" xr:uid="{208F2470-7439-4C2B-B5A0-A2B3CFF27097}"/>
    <cellStyle name="Normal 2 4 5 6 3 3" xfId="14847" xr:uid="{90D965CD-8B5F-4AC1-B0FC-BB52FAC33071}"/>
    <cellStyle name="Normal 2 4 5 6 4" xfId="19070" xr:uid="{25F6BB69-2015-4D3A-ACFD-C304EF312BFA}"/>
    <cellStyle name="Normal 2 4 5 6 5" xfId="10630" xr:uid="{3C480697-976F-492A-B70D-1EA1FE7F4CE7}"/>
    <cellStyle name="Normal 2 4 5 7" xfId="1627" xr:uid="{00000000-0005-0000-0000-0000CA100000}"/>
    <cellStyle name="Normal 2 4 5 7 2" xfId="3857" xr:uid="{00000000-0005-0000-0000-0000CB100000}"/>
    <cellStyle name="Normal 2 4 5 7 2 2" xfId="8079" xr:uid="{00000000-0005-0000-0000-0000CC100000}"/>
    <cellStyle name="Normal 2 4 5 7 2 2 2" xfId="25845" xr:uid="{07A9B26D-AF92-4CD8-8CDA-4B451C1DDBB6}"/>
    <cellStyle name="Normal 2 4 5 7 2 2 3" xfId="17405" xr:uid="{E9F670A0-4A95-4414-8BAE-C21817CDCCCF}"/>
    <cellStyle name="Normal 2 4 5 7 2 3" xfId="21628" xr:uid="{74955D5B-5C40-41FE-9F9F-8CAA3A04A19F}"/>
    <cellStyle name="Normal 2 4 5 7 2 4" xfId="13188" xr:uid="{B44FDB8E-45C0-4504-B126-F8555976C08F}"/>
    <cellStyle name="Normal 2 4 5 7 3" xfId="5934" xr:uid="{00000000-0005-0000-0000-0000CD100000}"/>
    <cellStyle name="Normal 2 4 5 7 3 2" xfId="23700" xr:uid="{CD7AC007-CF69-4AF5-9089-F3BADA035031}"/>
    <cellStyle name="Normal 2 4 5 7 3 3" xfId="15260" xr:uid="{E9EC50B6-494C-4C25-9336-48555B269A10}"/>
    <cellStyle name="Normal 2 4 5 7 4" xfId="19483" xr:uid="{2FFF629A-9FF4-47B1-96FE-825F07A98C64}"/>
    <cellStyle name="Normal 2 4 5 7 5" xfId="11043" xr:uid="{2E1DFBEC-5EC4-4E5D-90C3-7C747ACC2E08}"/>
    <cellStyle name="Normal 2 4 5 8" xfId="2041" xr:uid="{00000000-0005-0000-0000-0000CE100000}"/>
    <cellStyle name="Normal 2 4 5 8 2" xfId="4270" xr:uid="{00000000-0005-0000-0000-0000CF100000}"/>
    <cellStyle name="Normal 2 4 5 8 2 2" xfId="8492" xr:uid="{00000000-0005-0000-0000-0000D0100000}"/>
    <cellStyle name="Normal 2 4 5 8 2 2 2" xfId="26258" xr:uid="{06F01BA1-D7D6-4975-BF57-0C0D7BE9BAF5}"/>
    <cellStyle name="Normal 2 4 5 8 2 2 3" xfId="17818" xr:uid="{EB28EC86-5030-4F0D-9560-7B869F0B53CD}"/>
    <cellStyle name="Normal 2 4 5 8 2 3" xfId="22041" xr:uid="{C003900A-D753-494B-AD6D-B799188B6072}"/>
    <cellStyle name="Normal 2 4 5 8 2 4" xfId="13601" xr:uid="{5A86721B-CD91-43F4-AB06-ABFB8932751B}"/>
    <cellStyle name="Normal 2 4 5 8 3" xfId="6347" xr:uid="{00000000-0005-0000-0000-0000D1100000}"/>
    <cellStyle name="Normal 2 4 5 8 3 2" xfId="24113" xr:uid="{EB8D48BF-10B7-4401-BE96-756E401BFE08}"/>
    <cellStyle name="Normal 2 4 5 8 3 3" xfId="15673" xr:uid="{0BC59155-A0D3-4E0F-8F29-97A400E85DA2}"/>
    <cellStyle name="Normal 2 4 5 8 4" xfId="19896" xr:uid="{8E0FE8BC-F223-4936-B787-613983964FB6}"/>
    <cellStyle name="Normal 2 4 5 8 5" xfId="11456" xr:uid="{2DE3EFC2-7316-4119-B24A-FD83C97073EE}"/>
    <cellStyle name="Normal 2 4 5 9" xfId="2477" xr:uid="{00000000-0005-0000-0000-0000D2100000}"/>
    <cellStyle name="Normal 2 4 5 9 2" xfId="6760" xr:uid="{00000000-0005-0000-0000-0000D3100000}"/>
    <cellStyle name="Normal 2 4 5 9 2 2" xfId="24526" xr:uid="{34ACE616-9DB0-4DD1-8FF5-5249B9133403}"/>
    <cellStyle name="Normal 2 4 5 9 2 3" xfId="16086" xr:uid="{259B2449-CB13-4A24-A877-96195B252E5C}"/>
    <cellStyle name="Normal 2 4 5 9 3" xfId="20309" xr:uid="{6E786F6F-DD6D-44F7-8724-571B316B5C46}"/>
    <cellStyle name="Normal 2 4 5 9 4" xfId="11869" xr:uid="{6189A749-1C10-4F94-8E8C-052DF91E6B39}"/>
    <cellStyle name="Normal 2 4 6" xfId="311" xr:uid="{00000000-0005-0000-0000-0000D4100000}"/>
    <cellStyle name="Normal 2 4 7" xfId="312" xr:uid="{00000000-0005-0000-0000-0000D5100000}"/>
    <cellStyle name="Normal 2 4 7 10" xfId="9811" xr:uid="{3BFA98AE-C7C7-42FE-8AA0-B1ADEC37FA9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25028" xr:uid="{9ECF2AD7-7537-4869-A5D0-A5AFA5C756D5}"/>
    <cellStyle name="Normal 2 4 7 2 2 2 2 3" xfId="16588" xr:uid="{188EE2AB-C6DB-4806-8519-432E2A8ABEA9}"/>
    <cellStyle name="Normal 2 4 7 2 2 2 3" xfId="20811" xr:uid="{1F28C410-0A58-442A-9997-0B00890AFF23}"/>
    <cellStyle name="Normal 2 4 7 2 2 2 4" xfId="12371" xr:uid="{F2BB4CB0-0726-439C-8800-07871891B6C1}"/>
    <cellStyle name="Normal 2 4 7 2 2 3" xfId="5117" xr:uid="{00000000-0005-0000-0000-0000DA100000}"/>
    <cellStyle name="Normal 2 4 7 2 2 3 2" xfId="22883" xr:uid="{C5036DA7-7966-4994-9860-8B36126AB402}"/>
    <cellStyle name="Normal 2 4 7 2 2 3 3" xfId="14443" xr:uid="{2078FB49-99BB-4243-9C57-17B04988B9D9}"/>
    <cellStyle name="Normal 2 4 7 2 2 4" xfId="9483" xr:uid="{3D7EFF6F-050D-4214-91CB-DF2673F23584}"/>
    <cellStyle name="Normal 2 4 7 2 2 4 2" xfId="18666" xr:uid="{E45224AC-CD96-4834-9EAB-EA9271389152}"/>
    <cellStyle name="Normal 2 4 7 2 2 5" xfId="10226" xr:uid="{6B23887E-89B4-46D0-B086-E18C684DC5CF}"/>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25441" xr:uid="{56E177A8-54A3-44EF-8A0A-FE9E50807DAF}"/>
    <cellStyle name="Normal 2 4 7 2 3 2 2 3" xfId="17001" xr:uid="{1BDD4DBE-5EF0-415E-B903-625141A3B7DC}"/>
    <cellStyle name="Normal 2 4 7 2 3 2 3" xfId="21224" xr:uid="{4824E746-F08D-4379-B6B2-43E250056E40}"/>
    <cellStyle name="Normal 2 4 7 2 3 2 4" xfId="12784" xr:uid="{30CE765C-4316-4F30-A8B7-38836798FD1E}"/>
    <cellStyle name="Normal 2 4 7 2 3 3" xfId="5530" xr:uid="{00000000-0005-0000-0000-0000DE100000}"/>
    <cellStyle name="Normal 2 4 7 2 3 3 2" xfId="23296" xr:uid="{357F88EF-ABDE-4C66-8694-CD09AD823D22}"/>
    <cellStyle name="Normal 2 4 7 2 3 3 3" xfId="14856" xr:uid="{FACEE3CE-97D6-4F99-A648-8FD129C6F369}"/>
    <cellStyle name="Normal 2 4 7 2 3 4" xfId="19079" xr:uid="{122C20E8-E957-4A8C-A2A9-23463A5E3BFE}"/>
    <cellStyle name="Normal 2 4 7 2 3 5" xfId="10639" xr:uid="{815240AB-978E-47FB-89AD-1C4D8371662C}"/>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25854" xr:uid="{7694A362-A14D-4AFA-8E0A-4486091345CA}"/>
    <cellStyle name="Normal 2 4 7 2 4 2 2 3" xfId="17414" xr:uid="{44778F2F-A300-42D7-BCC3-FD6B91C807BD}"/>
    <cellStyle name="Normal 2 4 7 2 4 2 3" xfId="21637" xr:uid="{F0EDEBF9-A25F-4C89-BFAA-1360B02B7D05}"/>
    <cellStyle name="Normal 2 4 7 2 4 2 4" xfId="13197" xr:uid="{24D2C043-1334-430A-AE2A-1FAC856D0F2A}"/>
    <cellStyle name="Normal 2 4 7 2 4 3" xfId="5943" xr:uid="{00000000-0005-0000-0000-0000E2100000}"/>
    <cellStyle name="Normal 2 4 7 2 4 3 2" xfId="23709" xr:uid="{110ACB8D-932C-43A6-B594-516E2F3B2BBB}"/>
    <cellStyle name="Normal 2 4 7 2 4 3 3" xfId="15269" xr:uid="{8E77ED0F-DF73-4C2E-B919-D98B5537D56E}"/>
    <cellStyle name="Normal 2 4 7 2 4 4" xfId="19492" xr:uid="{DDBA2361-1628-4CC8-B23A-4BF7B4AA6910}"/>
    <cellStyle name="Normal 2 4 7 2 4 5" xfId="11052" xr:uid="{86BBCCDC-3CF2-4806-AA41-8132494A548D}"/>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26267" xr:uid="{484DA10E-9287-4953-8B8E-C8C25AE00EA0}"/>
    <cellStyle name="Normal 2 4 7 2 5 2 2 3" xfId="17827" xr:uid="{E00BCA6F-785A-4426-8429-97946D4877C4}"/>
    <cellStyle name="Normal 2 4 7 2 5 2 3" xfId="22050" xr:uid="{A9FA9E98-E857-46D6-9658-EA6F667C6B16}"/>
    <cellStyle name="Normal 2 4 7 2 5 2 4" xfId="13610" xr:uid="{FDB9E860-46F3-43C9-B355-EEA33EC63643}"/>
    <cellStyle name="Normal 2 4 7 2 5 3" xfId="6356" xr:uid="{00000000-0005-0000-0000-0000E6100000}"/>
    <cellStyle name="Normal 2 4 7 2 5 3 2" xfId="24122" xr:uid="{6C9FB3AE-7357-4AA3-82CB-782CDBB9079D}"/>
    <cellStyle name="Normal 2 4 7 2 5 3 3" xfId="15682" xr:uid="{D5CC6CB9-75DE-4015-944D-3902317509F8}"/>
    <cellStyle name="Normal 2 4 7 2 5 4" xfId="19905" xr:uid="{24CD3EC0-EA77-4BB5-A5AE-2D23671DF5CF}"/>
    <cellStyle name="Normal 2 4 7 2 5 5" xfId="11465" xr:uid="{7CB8047F-733F-4FB3-8358-0EEC1E828924}"/>
    <cellStyle name="Normal 2 4 7 2 6" xfId="2486" xr:uid="{00000000-0005-0000-0000-0000E7100000}"/>
    <cellStyle name="Normal 2 4 7 2 6 2" xfId="6769" xr:uid="{00000000-0005-0000-0000-0000E8100000}"/>
    <cellStyle name="Normal 2 4 7 2 6 2 2" xfId="24535" xr:uid="{BC14AE36-FE8A-4B65-BDB2-C37B8DC98B39}"/>
    <cellStyle name="Normal 2 4 7 2 6 2 3" xfId="16095" xr:uid="{EFF79204-C4F9-424B-AA5B-75A2E25295F2}"/>
    <cellStyle name="Normal 2 4 7 2 6 3" xfId="20318" xr:uid="{116A4F96-3111-46B8-AE59-E78081866567}"/>
    <cellStyle name="Normal 2 4 7 2 6 4" xfId="11878" xr:uid="{0E231165-7427-4AA1-A95B-0C671A695EA3}"/>
    <cellStyle name="Normal 2 4 7 2 7" xfId="4703" xr:uid="{00000000-0005-0000-0000-0000E9100000}"/>
    <cellStyle name="Normal 2 4 7 2 7 2" xfId="22469" xr:uid="{3A45B98B-3AAA-4272-BAF2-E7BF9C8B05BF}"/>
    <cellStyle name="Normal 2 4 7 2 7 3" xfId="14029" xr:uid="{13FFBFB2-6FFC-492F-8D6A-2D57D13F2DDA}"/>
    <cellStyle name="Normal 2 4 7 2 8" xfId="9058" xr:uid="{FCEC438E-EF6A-4A00-BFE3-0DA309169A82}"/>
    <cellStyle name="Normal 2 4 7 2 8 2" xfId="18252" xr:uid="{E9F8E275-590B-4B46-895B-7078A26BF46C}"/>
    <cellStyle name="Normal 2 4 7 2 9" xfId="9812" xr:uid="{8A1ADEF2-0C8F-4A0E-8526-4ACD99BA94D7}"/>
    <cellStyle name="Normal 2 4 7 3" xfId="800" xr:uid="{00000000-0005-0000-0000-0000EA100000}"/>
    <cellStyle name="Normal 2 4 7 3 2" xfId="3039" xr:uid="{00000000-0005-0000-0000-0000EB100000}"/>
    <cellStyle name="Normal 2 4 7 3 2 2" xfId="7261" xr:uid="{00000000-0005-0000-0000-0000EC100000}"/>
    <cellStyle name="Normal 2 4 7 3 2 2 2" xfId="25027" xr:uid="{24B131B1-01F1-4856-9E68-CF827448C3A0}"/>
    <cellStyle name="Normal 2 4 7 3 2 2 3" xfId="16587" xr:uid="{7D993D72-0EC5-4D3B-8645-BEE712FD56E0}"/>
    <cellStyle name="Normal 2 4 7 3 2 3" xfId="20810" xr:uid="{44C59571-F115-41C3-8447-C05BC8F5AD27}"/>
    <cellStyle name="Normal 2 4 7 3 2 4" xfId="12370" xr:uid="{F45CB51D-EB51-431B-95F1-64121E5DAC0F}"/>
    <cellStyle name="Normal 2 4 7 3 3" xfId="5116" xr:uid="{00000000-0005-0000-0000-0000ED100000}"/>
    <cellStyle name="Normal 2 4 7 3 3 2" xfId="22882" xr:uid="{67A94A38-084D-4AE9-BBF4-A97F8B3C5C4C}"/>
    <cellStyle name="Normal 2 4 7 3 3 3" xfId="14442" xr:uid="{8724B06E-41C7-449C-B910-984D3F3EB55F}"/>
    <cellStyle name="Normal 2 4 7 3 4" xfId="9276" xr:uid="{90A81E61-1719-41E4-8673-7681E805C2E0}"/>
    <cellStyle name="Normal 2 4 7 3 4 2" xfId="18665" xr:uid="{8A91A817-776F-4B33-A44A-BD6AA2040342}"/>
    <cellStyle name="Normal 2 4 7 3 5" xfId="10225" xr:uid="{EE5F222E-B9ED-480A-9FA3-E1F0A2BD7D86}"/>
    <cellStyle name="Normal 2 4 7 4" xfId="1222" xr:uid="{00000000-0005-0000-0000-0000EE100000}"/>
    <cellStyle name="Normal 2 4 7 4 2" xfId="3452" xr:uid="{00000000-0005-0000-0000-0000EF100000}"/>
    <cellStyle name="Normal 2 4 7 4 2 2" xfId="7674" xr:uid="{00000000-0005-0000-0000-0000F0100000}"/>
    <cellStyle name="Normal 2 4 7 4 2 2 2" xfId="25440" xr:uid="{6C6C4575-4630-4280-A6F6-461B32900EC3}"/>
    <cellStyle name="Normal 2 4 7 4 2 2 3" xfId="17000" xr:uid="{309EF996-44C0-493C-8B90-0A392EE40836}"/>
    <cellStyle name="Normal 2 4 7 4 2 3" xfId="21223" xr:uid="{BB386C86-E57B-48B8-9CA4-72DADBD18DE9}"/>
    <cellStyle name="Normal 2 4 7 4 2 4" xfId="12783" xr:uid="{B574901F-D589-40F7-86CE-0DDEFFF8B606}"/>
    <cellStyle name="Normal 2 4 7 4 3" xfId="5529" xr:uid="{00000000-0005-0000-0000-0000F1100000}"/>
    <cellStyle name="Normal 2 4 7 4 3 2" xfId="23295" xr:uid="{6FC14807-BDEB-41B8-A32C-5E18EBD7B8F3}"/>
    <cellStyle name="Normal 2 4 7 4 3 3" xfId="14855" xr:uid="{60F44FD4-27D0-4D5D-9794-D7238F0A4AC6}"/>
    <cellStyle name="Normal 2 4 7 4 4" xfId="19078" xr:uid="{6F0822A5-67EA-4153-8E09-CA8AF0ADC77A}"/>
    <cellStyle name="Normal 2 4 7 4 5" xfId="10638" xr:uid="{9B5F1A30-0535-497C-BD7C-9CCEA1DACFBC}"/>
    <cellStyle name="Normal 2 4 7 5" xfId="1635" xr:uid="{00000000-0005-0000-0000-0000F2100000}"/>
    <cellStyle name="Normal 2 4 7 5 2" xfId="3865" xr:uid="{00000000-0005-0000-0000-0000F3100000}"/>
    <cellStyle name="Normal 2 4 7 5 2 2" xfId="8087" xr:uid="{00000000-0005-0000-0000-0000F4100000}"/>
    <cellStyle name="Normal 2 4 7 5 2 2 2" xfId="25853" xr:uid="{BEB5CCBA-BE64-47DE-849B-B41F0A44CEDB}"/>
    <cellStyle name="Normal 2 4 7 5 2 2 3" xfId="17413" xr:uid="{10EF2A30-4845-4288-A77D-722E297CE6D7}"/>
    <cellStyle name="Normal 2 4 7 5 2 3" xfId="21636" xr:uid="{49F99245-3754-44E6-94E7-4A46AD2309FF}"/>
    <cellStyle name="Normal 2 4 7 5 2 4" xfId="13196" xr:uid="{678C8D3C-3AF3-4EAE-A069-558A51166590}"/>
    <cellStyle name="Normal 2 4 7 5 3" xfId="5942" xr:uid="{00000000-0005-0000-0000-0000F5100000}"/>
    <cellStyle name="Normal 2 4 7 5 3 2" xfId="23708" xr:uid="{C611B9FA-BEA9-4397-933C-DBEACC7BB041}"/>
    <cellStyle name="Normal 2 4 7 5 3 3" xfId="15268" xr:uid="{70F7AD8B-86B1-4C5B-84AB-6B9B358E5357}"/>
    <cellStyle name="Normal 2 4 7 5 4" xfId="19491" xr:uid="{4EAD0E85-E8C5-4275-96C6-A691B1870436}"/>
    <cellStyle name="Normal 2 4 7 5 5" xfId="11051" xr:uid="{593D21C1-3CF7-400E-A66E-D6B87F96C1FE}"/>
    <cellStyle name="Normal 2 4 7 6" xfId="2049" xr:uid="{00000000-0005-0000-0000-0000F6100000}"/>
    <cellStyle name="Normal 2 4 7 6 2" xfId="4278" xr:uid="{00000000-0005-0000-0000-0000F7100000}"/>
    <cellStyle name="Normal 2 4 7 6 2 2" xfId="8500" xr:uid="{00000000-0005-0000-0000-0000F8100000}"/>
    <cellStyle name="Normal 2 4 7 6 2 2 2" xfId="26266" xr:uid="{F9202798-5A26-47AE-8299-7895D20561DF}"/>
    <cellStyle name="Normal 2 4 7 6 2 2 3" xfId="17826" xr:uid="{FFFA96F3-F180-4C0D-96AC-C96F87C3595B}"/>
    <cellStyle name="Normal 2 4 7 6 2 3" xfId="22049" xr:uid="{5A1881A5-E791-489A-BEBD-985E5355CCDF}"/>
    <cellStyle name="Normal 2 4 7 6 2 4" xfId="13609" xr:uid="{FA3F2C69-8AF3-4BB8-B773-F258AA8DB574}"/>
    <cellStyle name="Normal 2 4 7 6 3" xfId="6355" xr:uid="{00000000-0005-0000-0000-0000F9100000}"/>
    <cellStyle name="Normal 2 4 7 6 3 2" xfId="24121" xr:uid="{9D5C733A-C119-45CB-9AAE-C99826360E04}"/>
    <cellStyle name="Normal 2 4 7 6 3 3" xfId="15681" xr:uid="{E5A11D01-4C6C-4DC8-B039-30BAEBFB9794}"/>
    <cellStyle name="Normal 2 4 7 6 4" xfId="19904" xr:uid="{8A461D1C-00B3-4438-B382-12BF7565722F}"/>
    <cellStyle name="Normal 2 4 7 6 5" xfId="11464" xr:uid="{43422AC3-F65F-4FB5-A6F8-6698CCD2EE59}"/>
    <cellStyle name="Normal 2 4 7 7" xfId="2485" xr:uid="{00000000-0005-0000-0000-0000FA100000}"/>
    <cellStyle name="Normal 2 4 7 7 2" xfId="6768" xr:uid="{00000000-0005-0000-0000-0000FB100000}"/>
    <cellStyle name="Normal 2 4 7 7 2 2" xfId="24534" xr:uid="{59B1F3CE-E3FD-459D-B24C-6B875A574B1F}"/>
    <cellStyle name="Normal 2 4 7 7 2 3" xfId="16094" xr:uid="{DE50368D-1DF4-4755-9454-2CA10CB70182}"/>
    <cellStyle name="Normal 2 4 7 7 3" xfId="20317" xr:uid="{E38DE3D6-1F63-4FBE-A5A6-6DF496D85721}"/>
    <cellStyle name="Normal 2 4 7 7 4" xfId="11877" xr:uid="{613A4ACD-91BC-4282-B6AE-72516CF42CC0}"/>
    <cellStyle name="Normal 2 4 7 8" xfId="4702" xr:uid="{00000000-0005-0000-0000-0000FC100000}"/>
    <cellStyle name="Normal 2 4 7 8 2" xfId="22468" xr:uid="{7E788D56-C2B6-440C-9AF6-2E674EA7E3AE}"/>
    <cellStyle name="Normal 2 4 7 8 3" xfId="14028" xr:uid="{80E8E658-0321-4228-B595-12ADCEE7AFFA}"/>
    <cellStyle name="Normal 2 4 7 9" xfId="8851" xr:uid="{6946A6C1-9296-4D8F-B36F-8F7964FD7AC6}"/>
    <cellStyle name="Normal 2 4 7 9 2" xfId="18251" xr:uid="{2E0379EE-3429-4EFB-B2CD-77BF493EFBD1}"/>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25029" xr:uid="{B9B85AC8-F54B-42E8-9D3E-B785EE71E2CE}"/>
    <cellStyle name="Normal 2 4 8 2 2 2 3" xfId="16589" xr:uid="{BC0863FA-316F-4A2F-BAF1-B90F5E0E4925}"/>
    <cellStyle name="Normal 2 4 8 2 2 3" xfId="20812" xr:uid="{53D31EC6-0361-4AC7-A6E0-111A82BCFED4}"/>
    <cellStyle name="Normal 2 4 8 2 2 4" xfId="12372" xr:uid="{D6E304C5-07E1-44E7-AC06-EF00CAA53905}"/>
    <cellStyle name="Normal 2 4 8 2 3" xfId="5118" xr:uid="{00000000-0005-0000-0000-000001110000}"/>
    <cellStyle name="Normal 2 4 8 2 3 2" xfId="22884" xr:uid="{FC78E941-DAD6-44C6-AA65-BD75F4AD2E77}"/>
    <cellStyle name="Normal 2 4 8 2 3 3" xfId="14444" xr:uid="{45A01AC1-78DE-4EA7-A4F5-1268D3F68963}"/>
    <cellStyle name="Normal 2 4 8 2 4" xfId="9392" xr:uid="{812B973E-E5C9-43CD-85B0-C8CA30BD9BF3}"/>
    <cellStyle name="Normal 2 4 8 2 4 2" xfId="18667" xr:uid="{F61A20F1-1765-43A9-AC86-FF5B79B1B6FD}"/>
    <cellStyle name="Normal 2 4 8 2 5" xfId="10227" xr:uid="{EBB0707D-F902-4E8B-9D5E-608285E23F26}"/>
    <cellStyle name="Normal 2 4 8 3" xfId="1224" xr:uid="{00000000-0005-0000-0000-000002110000}"/>
    <cellStyle name="Normal 2 4 8 3 2" xfId="3454" xr:uid="{00000000-0005-0000-0000-000003110000}"/>
    <cellStyle name="Normal 2 4 8 3 2 2" xfId="7676" xr:uid="{00000000-0005-0000-0000-000004110000}"/>
    <cellStyle name="Normal 2 4 8 3 2 2 2" xfId="25442" xr:uid="{F0015117-D05E-4CBB-B311-A20297C5C3DF}"/>
    <cellStyle name="Normal 2 4 8 3 2 2 3" xfId="17002" xr:uid="{0048157F-793B-431A-858F-3F06B575102E}"/>
    <cellStyle name="Normal 2 4 8 3 2 3" xfId="21225" xr:uid="{7494BA74-6B0F-4178-BC4A-78D6C3D7F34B}"/>
    <cellStyle name="Normal 2 4 8 3 2 4" xfId="12785" xr:uid="{C7C4916A-FFEE-44FF-86F9-163E3470873F}"/>
    <cellStyle name="Normal 2 4 8 3 3" xfId="5531" xr:uid="{00000000-0005-0000-0000-000005110000}"/>
    <cellStyle name="Normal 2 4 8 3 3 2" xfId="23297" xr:uid="{7698EB21-283A-40A5-9274-5300967B6FEF}"/>
    <cellStyle name="Normal 2 4 8 3 3 3" xfId="14857" xr:uid="{F44FB283-3124-4B5E-98E6-A2BB2FDF5BFC}"/>
    <cellStyle name="Normal 2 4 8 3 4" xfId="19080" xr:uid="{847CF571-7E8E-4413-BEE2-B229A420CBC2}"/>
    <cellStyle name="Normal 2 4 8 3 5" xfId="10640" xr:uid="{C81C0BDF-BBC7-4D41-A15D-BA876DCD4ACA}"/>
    <cellStyle name="Normal 2 4 8 4" xfId="1637" xr:uid="{00000000-0005-0000-0000-000006110000}"/>
    <cellStyle name="Normal 2 4 8 4 2" xfId="3867" xr:uid="{00000000-0005-0000-0000-000007110000}"/>
    <cellStyle name="Normal 2 4 8 4 2 2" xfId="8089" xr:uid="{00000000-0005-0000-0000-000008110000}"/>
    <cellStyle name="Normal 2 4 8 4 2 2 2" xfId="25855" xr:uid="{C0C5BAD0-6EC9-4974-8E2B-641992B16EFF}"/>
    <cellStyle name="Normal 2 4 8 4 2 2 3" xfId="17415" xr:uid="{B14B05EC-6A85-45F8-9691-8F678F887D25}"/>
    <cellStyle name="Normal 2 4 8 4 2 3" xfId="21638" xr:uid="{FE7D9419-70AA-479A-BAF2-7B5C6648BC00}"/>
    <cellStyle name="Normal 2 4 8 4 2 4" xfId="13198" xr:uid="{C55A3632-5137-4868-A2F5-40916B7F9198}"/>
    <cellStyle name="Normal 2 4 8 4 3" xfId="5944" xr:uid="{00000000-0005-0000-0000-000009110000}"/>
    <cellStyle name="Normal 2 4 8 4 3 2" xfId="23710" xr:uid="{731783D6-E971-4F5F-92C9-5D1FA5CC81E0}"/>
    <cellStyle name="Normal 2 4 8 4 3 3" xfId="15270" xr:uid="{BF6E5D7D-0565-45F4-B40E-11283413358E}"/>
    <cellStyle name="Normal 2 4 8 4 4" xfId="19493" xr:uid="{D07C84F7-F19D-4F19-9470-032B76E87646}"/>
    <cellStyle name="Normal 2 4 8 4 5" xfId="11053" xr:uid="{471EB031-1603-4AEE-8836-0FECD5D85395}"/>
    <cellStyle name="Normal 2 4 8 5" xfId="2051" xr:uid="{00000000-0005-0000-0000-00000A110000}"/>
    <cellStyle name="Normal 2 4 8 5 2" xfId="4280" xr:uid="{00000000-0005-0000-0000-00000B110000}"/>
    <cellStyle name="Normal 2 4 8 5 2 2" xfId="8502" xr:uid="{00000000-0005-0000-0000-00000C110000}"/>
    <cellStyle name="Normal 2 4 8 5 2 2 2" xfId="26268" xr:uid="{E2B222B8-AD97-445A-B700-A5D7AD23091A}"/>
    <cellStyle name="Normal 2 4 8 5 2 2 3" xfId="17828" xr:uid="{613B3EDD-7B4E-4510-B1B9-2CC882B5FE30}"/>
    <cellStyle name="Normal 2 4 8 5 2 3" xfId="22051" xr:uid="{2B557618-3297-496E-9B04-9AFCCB950BBA}"/>
    <cellStyle name="Normal 2 4 8 5 2 4" xfId="13611" xr:uid="{9079F037-0B9F-4ABF-9C71-0C4D9FDB98F6}"/>
    <cellStyle name="Normal 2 4 8 5 3" xfId="6357" xr:uid="{00000000-0005-0000-0000-00000D110000}"/>
    <cellStyle name="Normal 2 4 8 5 3 2" xfId="24123" xr:uid="{8C598B1B-4FFF-45B4-947D-3E259A7F24E3}"/>
    <cellStyle name="Normal 2 4 8 5 3 3" xfId="15683" xr:uid="{7E163993-BE82-4DDA-98A7-662F0341F067}"/>
    <cellStyle name="Normal 2 4 8 5 4" xfId="19906" xr:uid="{5478C880-88A8-45AC-B3DF-9728E9F03BD7}"/>
    <cellStyle name="Normal 2 4 8 5 5" xfId="11466" xr:uid="{5C2C29F6-D908-45A1-B075-6E4D771E8586}"/>
    <cellStyle name="Normal 2 4 8 6" xfId="2487" xr:uid="{00000000-0005-0000-0000-00000E110000}"/>
    <cellStyle name="Normal 2 4 8 6 2" xfId="6770" xr:uid="{00000000-0005-0000-0000-00000F110000}"/>
    <cellStyle name="Normal 2 4 8 6 2 2" xfId="24536" xr:uid="{A293E4CD-8CF4-4C56-9BF3-09E1960BC5A4}"/>
    <cellStyle name="Normal 2 4 8 6 2 3" xfId="16096" xr:uid="{FD586FCC-C181-4761-AA85-C5AECEF6539D}"/>
    <cellStyle name="Normal 2 4 8 6 3" xfId="20319" xr:uid="{B894EC45-884F-41CA-BC3A-70F9EA58206B}"/>
    <cellStyle name="Normal 2 4 8 6 4" xfId="11879" xr:uid="{DCD362C2-7B8F-49F2-A353-D5CFB857E67F}"/>
    <cellStyle name="Normal 2 4 8 7" xfId="4704" xr:uid="{00000000-0005-0000-0000-000010110000}"/>
    <cellStyle name="Normal 2 4 8 7 2" xfId="22470" xr:uid="{3C0C0A84-F34B-456E-9A08-A608CEFFF1A7}"/>
    <cellStyle name="Normal 2 4 8 7 3" xfId="14030" xr:uid="{11BD4CFA-8F66-40FD-9566-20E89E24F673}"/>
    <cellStyle name="Normal 2 4 8 8" xfId="8967" xr:uid="{32AC97CD-D3FD-4AE1-A8B2-07BEA9D5DE52}"/>
    <cellStyle name="Normal 2 4 8 8 2" xfId="18253" xr:uid="{2C8E09A0-B61E-41D0-B23C-DF26AF3488B5}"/>
    <cellStyle name="Normal 2 4 8 9" xfId="9813" xr:uid="{D42E6BD0-070C-47A1-9EE1-FE611D1BAC5C}"/>
    <cellStyle name="Normal 2 4 9" xfId="9170" xr:uid="{5569C060-E090-4551-A44D-517EC3FD1834}"/>
    <cellStyle name="Normal 2 5" xfId="315" xr:uid="{00000000-0005-0000-0000-000011110000}"/>
    <cellStyle name="Normal 2 5 10" xfId="4705" xr:uid="{00000000-0005-0000-0000-000012110000}"/>
    <cellStyle name="Normal 2 5 10 2" xfId="22471" xr:uid="{8BD4A91D-56AF-4374-A2C9-61275D294AF9}"/>
    <cellStyle name="Normal 2 5 10 3" xfId="14031" xr:uid="{EA84495E-656D-44F0-B6C7-09853A4A0199}"/>
    <cellStyle name="Normal 2 5 11" xfId="18254" xr:uid="{188105E0-FA45-4B9F-ABA5-11113E677DF1}"/>
    <cellStyle name="Normal 2 5 12" xfId="9814" xr:uid="{B99E003F-85A8-4E08-954C-EF631E32ABAA}"/>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255" xr:uid="{4C711617-774C-4ECD-B838-4C1BCBE38714}"/>
    <cellStyle name="Normal 2 5 4 11" xfId="9815" xr:uid="{83B049F1-486C-4823-AC3F-D279FEF2EE65}"/>
    <cellStyle name="Normal 2 5 4 2" xfId="319" xr:uid="{00000000-0005-0000-0000-000016110000}"/>
    <cellStyle name="Normal 2 5 4 2 10" xfId="9816" xr:uid="{A3547FAA-1225-4B8B-AE60-A19AA6FF44E4}"/>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25033" xr:uid="{895669F4-F29A-44AA-933B-21693EA076EB}"/>
    <cellStyle name="Normal 2 5 4 2 2 2 2 2 3" xfId="16593" xr:uid="{CFD78867-2382-4A11-8091-85FFCE720293}"/>
    <cellStyle name="Normal 2 5 4 2 2 2 2 3" xfId="20816" xr:uid="{D1A200EC-F71E-4270-B440-AC94908AA7BA}"/>
    <cellStyle name="Normal 2 5 4 2 2 2 2 4" xfId="12376" xr:uid="{12D08A5E-F47B-4ABC-A82C-82FDE23FB028}"/>
    <cellStyle name="Normal 2 5 4 2 2 2 3" xfId="5122" xr:uid="{00000000-0005-0000-0000-00001B110000}"/>
    <cellStyle name="Normal 2 5 4 2 2 2 3 2" xfId="22888" xr:uid="{FE3D6700-3556-4FFB-B8FC-0C4D2D3022B5}"/>
    <cellStyle name="Normal 2 5 4 2 2 2 3 3" xfId="14448" xr:uid="{FADE9A20-62EA-4072-8AAB-EE55943763DB}"/>
    <cellStyle name="Normal 2 5 4 2 2 2 4" xfId="9551" xr:uid="{392D7741-6781-4EA5-9C28-040053C1B05B}"/>
    <cellStyle name="Normal 2 5 4 2 2 2 4 2" xfId="18671" xr:uid="{5135D21D-25DE-4819-961B-C4469B2AEA87}"/>
    <cellStyle name="Normal 2 5 4 2 2 2 5" xfId="10231" xr:uid="{B400CC4F-805E-4EB2-99A2-A10411E32841}"/>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25446" xr:uid="{13103CBB-3C27-4AE7-8C23-6C8E11AB2EFB}"/>
    <cellStyle name="Normal 2 5 4 2 2 3 2 2 3" xfId="17006" xr:uid="{42321778-2C4A-4AA0-AC96-AB88D9676911}"/>
    <cellStyle name="Normal 2 5 4 2 2 3 2 3" xfId="21229" xr:uid="{01B4B1A3-AE4B-4CD7-85E3-BC86D19D8B93}"/>
    <cellStyle name="Normal 2 5 4 2 2 3 2 4" xfId="12789" xr:uid="{C41A1A82-EA61-414C-9160-E6ABD39FB55D}"/>
    <cellStyle name="Normal 2 5 4 2 2 3 3" xfId="5535" xr:uid="{00000000-0005-0000-0000-00001F110000}"/>
    <cellStyle name="Normal 2 5 4 2 2 3 3 2" xfId="23301" xr:uid="{01DA5527-A135-4806-94DD-EEF9FBF612FD}"/>
    <cellStyle name="Normal 2 5 4 2 2 3 3 3" xfId="14861" xr:uid="{09CC02C8-E1E5-4F4D-9909-0135DBAF1F54}"/>
    <cellStyle name="Normal 2 5 4 2 2 3 4" xfId="19084" xr:uid="{CEAF97F7-2326-4307-89EB-135363D0AA5B}"/>
    <cellStyle name="Normal 2 5 4 2 2 3 5" xfId="10644" xr:uid="{28617F80-041C-42B6-B105-E84E66743FE6}"/>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25859" xr:uid="{AD3FF1C1-839F-44E8-84A2-CD6ED169E847}"/>
    <cellStyle name="Normal 2 5 4 2 2 4 2 2 3" xfId="17419" xr:uid="{4AFB3FBC-6A9E-43E9-8D34-535CB383AC99}"/>
    <cellStyle name="Normal 2 5 4 2 2 4 2 3" xfId="21642" xr:uid="{770A07D9-F3FF-4318-9A7D-33357FB4E5F8}"/>
    <cellStyle name="Normal 2 5 4 2 2 4 2 4" xfId="13202" xr:uid="{26ACD07E-4F8E-4B63-8169-877D28862624}"/>
    <cellStyle name="Normal 2 5 4 2 2 4 3" xfId="5948" xr:uid="{00000000-0005-0000-0000-000023110000}"/>
    <cellStyle name="Normal 2 5 4 2 2 4 3 2" xfId="23714" xr:uid="{A268AE7D-D461-4A9C-88D5-33DB5765BF66}"/>
    <cellStyle name="Normal 2 5 4 2 2 4 3 3" xfId="15274" xr:uid="{30254092-39CE-4B60-A16F-6B5676161F3C}"/>
    <cellStyle name="Normal 2 5 4 2 2 4 4" xfId="19497" xr:uid="{BBE63613-A0F9-4089-BCBD-E40DF7D8E9A5}"/>
    <cellStyle name="Normal 2 5 4 2 2 4 5" xfId="11057" xr:uid="{46E16F63-F9E1-40D9-B2D4-4AE9E40FC5F1}"/>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26272" xr:uid="{90C13918-2B37-4433-92EF-C0312D495A58}"/>
    <cellStyle name="Normal 2 5 4 2 2 5 2 2 3" xfId="17832" xr:uid="{553E0342-9667-49EC-963C-819874980AEC}"/>
    <cellStyle name="Normal 2 5 4 2 2 5 2 3" xfId="22055" xr:uid="{6F3457A9-A74F-4926-BF7E-86109FDDD9F0}"/>
    <cellStyle name="Normal 2 5 4 2 2 5 2 4" xfId="13615" xr:uid="{C0CC1339-70DE-44E8-A17B-94E7A52BD777}"/>
    <cellStyle name="Normal 2 5 4 2 2 5 3" xfId="6361" xr:uid="{00000000-0005-0000-0000-000027110000}"/>
    <cellStyle name="Normal 2 5 4 2 2 5 3 2" xfId="24127" xr:uid="{CFAB6735-FB1E-463D-97C9-73D950D56FE1}"/>
    <cellStyle name="Normal 2 5 4 2 2 5 3 3" xfId="15687" xr:uid="{72B58475-2746-41D4-A541-9795D76DD667}"/>
    <cellStyle name="Normal 2 5 4 2 2 5 4" xfId="19910" xr:uid="{3EA71003-011D-45AC-98AC-63ECDD48EA34}"/>
    <cellStyle name="Normal 2 5 4 2 2 5 5" xfId="11470" xr:uid="{E918C77E-9FE1-497F-B62B-1068010E502E}"/>
    <cellStyle name="Normal 2 5 4 2 2 6" xfId="2491" xr:uid="{00000000-0005-0000-0000-000028110000}"/>
    <cellStyle name="Normal 2 5 4 2 2 6 2" xfId="6774" xr:uid="{00000000-0005-0000-0000-000029110000}"/>
    <cellStyle name="Normal 2 5 4 2 2 6 2 2" xfId="24540" xr:uid="{1BF4581E-B083-4AEE-8383-2C4F6BD2B7E7}"/>
    <cellStyle name="Normal 2 5 4 2 2 6 2 3" xfId="16100" xr:uid="{184C13AA-9929-492D-A861-31DF759D53AB}"/>
    <cellStyle name="Normal 2 5 4 2 2 6 3" xfId="20323" xr:uid="{4754BDBA-9033-4F32-9391-25E4D1586B37}"/>
    <cellStyle name="Normal 2 5 4 2 2 6 4" xfId="11883" xr:uid="{85795A50-799F-42B8-A100-79EAFC9C1629}"/>
    <cellStyle name="Normal 2 5 4 2 2 7" xfId="4708" xr:uid="{00000000-0005-0000-0000-00002A110000}"/>
    <cellStyle name="Normal 2 5 4 2 2 7 2" xfId="22474" xr:uid="{43636BF7-5F94-49FB-8A7F-8865784037D9}"/>
    <cellStyle name="Normal 2 5 4 2 2 7 3" xfId="14034" xr:uid="{0C7155D9-97FE-4E41-94EF-FCC44D05C379}"/>
    <cellStyle name="Normal 2 5 4 2 2 8" xfId="9126" xr:uid="{C2CF4AFD-4082-4555-941B-6E9759C32D63}"/>
    <cellStyle name="Normal 2 5 4 2 2 8 2" xfId="18257" xr:uid="{5ECE9CC4-F2F6-43F3-9043-81597C89BA0E}"/>
    <cellStyle name="Normal 2 5 4 2 2 9" xfId="9817" xr:uid="{7F02D8F7-8729-40EC-B34A-B6216369103F}"/>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25032" xr:uid="{9CB99DBD-1CE5-4778-ABEF-64AD115592A5}"/>
    <cellStyle name="Normal 2 5 4 2 3 2 2 3" xfId="16592" xr:uid="{1C708D27-E6D6-4021-BFAC-39CD562F170D}"/>
    <cellStyle name="Normal 2 5 4 2 3 2 3" xfId="20815" xr:uid="{1B69621F-BE6E-4E6C-894D-E8EFE6845F63}"/>
    <cellStyle name="Normal 2 5 4 2 3 2 4" xfId="12375" xr:uid="{58D60486-D5C0-49F6-B24D-8BF4A5F47D5B}"/>
    <cellStyle name="Normal 2 5 4 2 3 3" xfId="5121" xr:uid="{00000000-0005-0000-0000-00002E110000}"/>
    <cellStyle name="Normal 2 5 4 2 3 3 2" xfId="22887" xr:uid="{E3C936C1-91E5-470E-B130-84D102559C8D}"/>
    <cellStyle name="Normal 2 5 4 2 3 3 3" xfId="14447" xr:uid="{4EB850DE-FCEF-4AE2-85F0-DD6762D0FA2F}"/>
    <cellStyle name="Normal 2 5 4 2 3 4" xfId="9344" xr:uid="{207B8A34-09D9-4349-A9C7-5A5A998C6B6F}"/>
    <cellStyle name="Normal 2 5 4 2 3 4 2" xfId="18670" xr:uid="{BABA5F0B-D1C0-42F6-BC26-5914675041FB}"/>
    <cellStyle name="Normal 2 5 4 2 3 5" xfId="10230" xr:uid="{0D1347D8-047F-4CCD-9A6D-3D2F8DF30281}"/>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25445" xr:uid="{FBD5B9C0-2016-4DCB-B75F-F2E25323F843}"/>
    <cellStyle name="Normal 2 5 4 2 4 2 2 3" xfId="17005" xr:uid="{F0FF1D01-9F04-4380-92AC-8DBF41A5B4CD}"/>
    <cellStyle name="Normal 2 5 4 2 4 2 3" xfId="21228" xr:uid="{24064B84-5A38-4779-9EB1-D66DADD129EA}"/>
    <cellStyle name="Normal 2 5 4 2 4 2 4" xfId="12788" xr:uid="{5489395F-7C8D-4089-AE7E-1A3D9DD592CD}"/>
    <cellStyle name="Normal 2 5 4 2 4 3" xfId="5534" xr:uid="{00000000-0005-0000-0000-000032110000}"/>
    <cellStyle name="Normal 2 5 4 2 4 3 2" xfId="23300" xr:uid="{CD171D54-AA23-4566-9E99-DB8536D9CA1C}"/>
    <cellStyle name="Normal 2 5 4 2 4 3 3" xfId="14860" xr:uid="{4F193476-D578-4F95-AC7E-C46A385B4ACD}"/>
    <cellStyle name="Normal 2 5 4 2 4 4" xfId="19083" xr:uid="{79AE01B6-B41D-47E1-81E6-24E71BCF99B2}"/>
    <cellStyle name="Normal 2 5 4 2 4 5" xfId="10643" xr:uid="{FF71B9AC-1AE4-4274-9C5C-9B12C51028CA}"/>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25858" xr:uid="{D2B23873-B93B-4175-80A1-DF10B8687B51}"/>
    <cellStyle name="Normal 2 5 4 2 5 2 2 3" xfId="17418" xr:uid="{64D7B1C2-1AD6-42BA-AFA1-AF42A4729F43}"/>
    <cellStyle name="Normal 2 5 4 2 5 2 3" xfId="21641" xr:uid="{6652D2F6-17C0-488E-BA5D-4BAC4AFB4FF8}"/>
    <cellStyle name="Normal 2 5 4 2 5 2 4" xfId="13201" xr:uid="{1A2F88CA-D330-41D2-8D90-3D4D8B5BBE47}"/>
    <cellStyle name="Normal 2 5 4 2 5 3" xfId="5947" xr:uid="{00000000-0005-0000-0000-000036110000}"/>
    <cellStyle name="Normal 2 5 4 2 5 3 2" xfId="23713" xr:uid="{73612E53-E277-49C4-924B-F5CAB23AB6F1}"/>
    <cellStyle name="Normal 2 5 4 2 5 3 3" xfId="15273" xr:uid="{1AD2B0D9-B224-4026-8443-C11D26C196E6}"/>
    <cellStyle name="Normal 2 5 4 2 5 4" xfId="19496" xr:uid="{EC61DEC5-CE01-40B2-AC2A-0B2407AACB8E}"/>
    <cellStyle name="Normal 2 5 4 2 5 5" xfId="11056" xr:uid="{73673968-AF32-40E2-AE3D-19D6E6269A93}"/>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26271" xr:uid="{2BFE888C-8E8D-4C66-BDE3-90A248653231}"/>
    <cellStyle name="Normal 2 5 4 2 6 2 2 3" xfId="17831" xr:uid="{F4D783EF-48DF-41E7-AC34-2C62F658749C}"/>
    <cellStyle name="Normal 2 5 4 2 6 2 3" xfId="22054" xr:uid="{BFF1CDD4-597A-4193-929C-55439DF80CD0}"/>
    <cellStyle name="Normal 2 5 4 2 6 2 4" xfId="13614" xr:uid="{695FC6BC-6F8E-4F8E-8FE0-487AED17D83B}"/>
    <cellStyle name="Normal 2 5 4 2 6 3" xfId="6360" xr:uid="{00000000-0005-0000-0000-00003A110000}"/>
    <cellStyle name="Normal 2 5 4 2 6 3 2" xfId="24126" xr:uid="{A827FC78-904F-4FFB-AE0B-86C0C10024F7}"/>
    <cellStyle name="Normal 2 5 4 2 6 3 3" xfId="15686" xr:uid="{52C0F914-6C79-4DC7-BD33-93E827DCA253}"/>
    <cellStyle name="Normal 2 5 4 2 6 4" xfId="19909" xr:uid="{BA56078C-E2E8-4306-A4C4-98353EFEAF8D}"/>
    <cellStyle name="Normal 2 5 4 2 6 5" xfId="11469" xr:uid="{53920113-00CD-4A13-A336-9890BFDF8A2E}"/>
    <cellStyle name="Normal 2 5 4 2 7" xfId="2490" xr:uid="{00000000-0005-0000-0000-00003B110000}"/>
    <cellStyle name="Normal 2 5 4 2 7 2" xfId="6773" xr:uid="{00000000-0005-0000-0000-00003C110000}"/>
    <cellStyle name="Normal 2 5 4 2 7 2 2" xfId="24539" xr:uid="{E7E24CE5-5E53-4043-BFFE-BBE46129F4D4}"/>
    <cellStyle name="Normal 2 5 4 2 7 2 3" xfId="16099" xr:uid="{83D564AB-E04B-4B21-8874-5AF543C1DCC8}"/>
    <cellStyle name="Normal 2 5 4 2 7 3" xfId="20322" xr:uid="{0E3DAE3A-D95A-4C3C-A444-5E4A8B679107}"/>
    <cellStyle name="Normal 2 5 4 2 7 4" xfId="11882" xr:uid="{6638E871-4C9A-4B00-8215-9A7431A23893}"/>
    <cellStyle name="Normal 2 5 4 2 8" xfId="4707" xr:uid="{00000000-0005-0000-0000-00003D110000}"/>
    <cellStyle name="Normal 2 5 4 2 8 2" xfId="22473" xr:uid="{9758CFEC-63AE-480A-A686-15737E0C07DA}"/>
    <cellStyle name="Normal 2 5 4 2 8 3" xfId="14033" xr:uid="{CC0A88F1-6681-4AD8-989B-DD9FD001BD33}"/>
    <cellStyle name="Normal 2 5 4 2 9" xfId="8919" xr:uid="{2A8C96F6-0F22-4271-BCA3-7E5B2E35A54F}"/>
    <cellStyle name="Normal 2 5 4 2 9 2" xfId="18256" xr:uid="{6A577C19-E31B-4728-9652-E344D7A41EC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25034" xr:uid="{C85F2D34-CC30-4C64-91EF-E22AA6C78E7D}"/>
    <cellStyle name="Normal 2 5 4 3 2 2 2 3" xfId="16594" xr:uid="{BB722528-5EFE-4786-A790-8CEAE3BB86BB}"/>
    <cellStyle name="Normal 2 5 4 3 2 2 3" xfId="20817" xr:uid="{E7D06C2F-A67F-4848-889F-7BA5A6138FBC}"/>
    <cellStyle name="Normal 2 5 4 3 2 2 4" xfId="12377" xr:uid="{4412D835-596F-4C70-BFA5-CF0877067CD8}"/>
    <cellStyle name="Normal 2 5 4 3 2 3" xfId="5123" xr:uid="{00000000-0005-0000-0000-000042110000}"/>
    <cellStyle name="Normal 2 5 4 3 2 3 2" xfId="22889" xr:uid="{097BDF2E-7732-4D16-82C9-F898368B57C2}"/>
    <cellStyle name="Normal 2 5 4 3 2 3 3" xfId="14449" xr:uid="{459CE197-46A2-4F04-B8A2-210B9B16DEEF}"/>
    <cellStyle name="Normal 2 5 4 3 2 4" xfId="9448" xr:uid="{0C1738F2-697E-4430-8A3F-E67747B3EDB0}"/>
    <cellStyle name="Normal 2 5 4 3 2 4 2" xfId="18672" xr:uid="{C3A6F49D-F748-4D93-B2EF-D96EF740194D}"/>
    <cellStyle name="Normal 2 5 4 3 2 5" xfId="10232" xr:uid="{CA5C74EC-F9DF-4AF0-A496-73F00F2DDFE9}"/>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25447" xr:uid="{6535997F-1D0C-43F4-AAF2-0F5F1BE81301}"/>
    <cellStyle name="Normal 2 5 4 3 3 2 2 3" xfId="17007" xr:uid="{E67666AE-7E41-47D0-B391-2CBCB8FAC227}"/>
    <cellStyle name="Normal 2 5 4 3 3 2 3" xfId="21230" xr:uid="{D3CC6CBD-FCAB-49F8-BD28-281FF5C71284}"/>
    <cellStyle name="Normal 2 5 4 3 3 2 4" xfId="12790" xr:uid="{6C3C8A93-CD3E-4E49-A615-13195C79F486}"/>
    <cellStyle name="Normal 2 5 4 3 3 3" xfId="5536" xr:uid="{00000000-0005-0000-0000-000046110000}"/>
    <cellStyle name="Normal 2 5 4 3 3 3 2" xfId="23302" xr:uid="{A8778AAF-1DA0-4EB0-A607-8952388FC298}"/>
    <cellStyle name="Normal 2 5 4 3 3 3 3" xfId="14862" xr:uid="{6AFC4120-36E5-4DC8-AC26-A4B22BF46F48}"/>
    <cellStyle name="Normal 2 5 4 3 3 4" xfId="19085" xr:uid="{7718E54E-026C-444C-AE78-7140447C3525}"/>
    <cellStyle name="Normal 2 5 4 3 3 5" xfId="10645" xr:uid="{7F84F72D-EBB7-4B31-A012-94750AAB29FC}"/>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25860" xr:uid="{4B99B093-5DD9-48D1-A04E-9B56149A228A}"/>
    <cellStyle name="Normal 2 5 4 3 4 2 2 3" xfId="17420" xr:uid="{3B1B095F-ED86-410D-98D2-71DFB9C0296F}"/>
    <cellStyle name="Normal 2 5 4 3 4 2 3" xfId="21643" xr:uid="{CE980509-03A3-430F-8D29-C50090A30493}"/>
    <cellStyle name="Normal 2 5 4 3 4 2 4" xfId="13203" xr:uid="{6C6E32E1-61D9-40C6-9B50-AA37BC652A9D}"/>
    <cellStyle name="Normal 2 5 4 3 4 3" xfId="5949" xr:uid="{00000000-0005-0000-0000-00004A110000}"/>
    <cellStyle name="Normal 2 5 4 3 4 3 2" xfId="23715" xr:uid="{2684C5C7-0FBC-4FA5-8DF4-F8339D8685ED}"/>
    <cellStyle name="Normal 2 5 4 3 4 3 3" xfId="15275" xr:uid="{F6E5AB8C-68B8-4593-A261-6D6B245DCCBF}"/>
    <cellStyle name="Normal 2 5 4 3 4 4" xfId="19498" xr:uid="{322E98A1-EC74-4F68-98F2-6B7FE4C25272}"/>
    <cellStyle name="Normal 2 5 4 3 4 5" xfId="11058" xr:uid="{497B29D8-7469-4E96-B5C7-49F2764FAF49}"/>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26273" xr:uid="{3236F0B5-2EDF-4483-BC4E-D4C2A6C42467}"/>
    <cellStyle name="Normal 2 5 4 3 5 2 2 3" xfId="17833" xr:uid="{7DDE0981-EFC7-4AF0-AF77-69C50B05CC21}"/>
    <cellStyle name="Normal 2 5 4 3 5 2 3" xfId="22056" xr:uid="{8FEC984D-A871-4D8C-B5CF-C46063EA20A5}"/>
    <cellStyle name="Normal 2 5 4 3 5 2 4" xfId="13616" xr:uid="{6D727AAA-3B94-44C3-93B4-BB7E0B5FAFDD}"/>
    <cellStyle name="Normal 2 5 4 3 5 3" xfId="6362" xr:uid="{00000000-0005-0000-0000-00004E110000}"/>
    <cellStyle name="Normal 2 5 4 3 5 3 2" xfId="24128" xr:uid="{37D74409-B067-475E-BCCC-02AE082404C4}"/>
    <cellStyle name="Normal 2 5 4 3 5 3 3" xfId="15688" xr:uid="{61F7DCA7-F0AF-4003-813F-DB57EAC322B5}"/>
    <cellStyle name="Normal 2 5 4 3 5 4" xfId="19911" xr:uid="{9BB41AD2-0EA7-413D-8B5C-21C440190434}"/>
    <cellStyle name="Normal 2 5 4 3 5 5" xfId="11471" xr:uid="{E8D9BEEB-51F7-4AAD-BA34-DBD871C8D0E9}"/>
    <cellStyle name="Normal 2 5 4 3 6" xfId="2492" xr:uid="{00000000-0005-0000-0000-00004F110000}"/>
    <cellStyle name="Normal 2 5 4 3 6 2" xfId="6775" xr:uid="{00000000-0005-0000-0000-000050110000}"/>
    <cellStyle name="Normal 2 5 4 3 6 2 2" xfId="24541" xr:uid="{D470FDD4-EFD5-4121-BC2C-EAA2CE5E71FD}"/>
    <cellStyle name="Normal 2 5 4 3 6 2 3" xfId="16101" xr:uid="{23CF93C5-3919-431E-B4DF-661A731F087A}"/>
    <cellStyle name="Normal 2 5 4 3 6 3" xfId="20324" xr:uid="{BBA00EED-7D0A-4D80-A93C-E40D33762B67}"/>
    <cellStyle name="Normal 2 5 4 3 6 4" xfId="11884" xr:uid="{CBCA129D-77FF-4551-A2B7-B644D1B2A633}"/>
    <cellStyle name="Normal 2 5 4 3 7" xfId="4709" xr:uid="{00000000-0005-0000-0000-000051110000}"/>
    <cellStyle name="Normal 2 5 4 3 7 2" xfId="22475" xr:uid="{092F043F-76BA-4984-8C45-2BEF56FAA3AE}"/>
    <cellStyle name="Normal 2 5 4 3 7 3" xfId="14035" xr:uid="{911CDFA9-A429-4A4B-973B-9ECD6FC29EF5}"/>
    <cellStyle name="Normal 2 5 4 3 8" xfId="9023" xr:uid="{9B869639-3DD4-4511-AD70-D5125D34938F}"/>
    <cellStyle name="Normal 2 5 4 3 8 2" xfId="18258" xr:uid="{AABBDB3B-6329-4622-88CF-649E398258AE}"/>
    <cellStyle name="Normal 2 5 4 3 9" xfId="9818" xr:uid="{2FDEA274-A75C-49EF-886F-FD1A66FF92CB}"/>
    <cellStyle name="Normal 2 5 4 4" xfId="804" xr:uid="{00000000-0005-0000-0000-000052110000}"/>
    <cellStyle name="Normal 2 5 4 4 2" xfId="3043" xr:uid="{00000000-0005-0000-0000-000053110000}"/>
    <cellStyle name="Normal 2 5 4 4 2 2" xfId="7265" xr:uid="{00000000-0005-0000-0000-000054110000}"/>
    <cellStyle name="Normal 2 5 4 4 2 2 2" xfId="25031" xr:uid="{C2E36E37-8CAF-4296-938C-8B6BD8E9DAD3}"/>
    <cellStyle name="Normal 2 5 4 4 2 2 3" xfId="16591" xr:uid="{018B738A-535B-44C3-BA18-60056B3DA6B4}"/>
    <cellStyle name="Normal 2 5 4 4 2 3" xfId="20814" xr:uid="{D2633040-2E0E-44E2-A8B1-6315AE024411}"/>
    <cellStyle name="Normal 2 5 4 4 2 4" xfId="12374" xr:uid="{93555750-5D68-47A3-AE2C-C3EC1A782D48}"/>
    <cellStyle name="Normal 2 5 4 4 3" xfId="5120" xr:uid="{00000000-0005-0000-0000-000055110000}"/>
    <cellStyle name="Normal 2 5 4 4 3 2" xfId="22886" xr:uid="{FF9FA48D-6637-4B44-81FF-7BC9569EA64B}"/>
    <cellStyle name="Normal 2 5 4 4 3 3" xfId="14446" xr:uid="{81060B18-BF89-45FC-BCB3-6ECB543BE65C}"/>
    <cellStyle name="Normal 2 5 4 4 4" xfId="9241" xr:uid="{2BD2F05F-E4C9-46B4-B3C9-F0D081C1F38F}"/>
    <cellStyle name="Normal 2 5 4 4 4 2" xfId="18669" xr:uid="{9F42DF8A-A6FF-4734-8E48-882782D034B4}"/>
    <cellStyle name="Normal 2 5 4 4 5" xfId="10229" xr:uid="{7212FE29-0B67-4308-95AD-6859C9D73FC4}"/>
    <cellStyle name="Normal 2 5 4 5" xfId="1226" xr:uid="{00000000-0005-0000-0000-000056110000}"/>
    <cellStyle name="Normal 2 5 4 5 2" xfId="3456" xr:uid="{00000000-0005-0000-0000-000057110000}"/>
    <cellStyle name="Normal 2 5 4 5 2 2" xfId="7678" xr:uid="{00000000-0005-0000-0000-000058110000}"/>
    <cellStyle name="Normal 2 5 4 5 2 2 2" xfId="25444" xr:uid="{65187875-CE47-4C56-A3CB-342F5A7E6C27}"/>
    <cellStyle name="Normal 2 5 4 5 2 2 3" xfId="17004" xr:uid="{21565A55-A072-452A-8A74-18F4E398C9B7}"/>
    <cellStyle name="Normal 2 5 4 5 2 3" xfId="21227" xr:uid="{9DBA0548-46F7-46B0-930B-FEF6F611BFFF}"/>
    <cellStyle name="Normal 2 5 4 5 2 4" xfId="12787" xr:uid="{1185E11A-8150-4612-B0BC-7232FA3720D9}"/>
    <cellStyle name="Normal 2 5 4 5 3" xfId="5533" xr:uid="{00000000-0005-0000-0000-000059110000}"/>
    <cellStyle name="Normal 2 5 4 5 3 2" xfId="23299" xr:uid="{70791D2E-E77E-40E0-AB25-0891C6C5BAFE}"/>
    <cellStyle name="Normal 2 5 4 5 3 3" xfId="14859" xr:uid="{3BFA9554-29F9-4267-A89B-EB6AE83A6351}"/>
    <cellStyle name="Normal 2 5 4 5 4" xfId="19082" xr:uid="{8B05469B-9601-4E30-9EEC-8C3EBE81A38B}"/>
    <cellStyle name="Normal 2 5 4 5 5" xfId="10642" xr:uid="{08700DED-F57E-4B17-9791-55192C96F40B}"/>
    <cellStyle name="Normal 2 5 4 6" xfId="1639" xr:uid="{00000000-0005-0000-0000-00005A110000}"/>
    <cellStyle name="Normal 2 5 4 6 2" xfId="3869" xr:uid="{00000000-0005-0000-0000-00005B110000}"/>
    <cellStyle name="Normal 2 5 4 6 2 2" xfId="8091" xr:uid="{00000000-0005-0000-0000-00005C110000}"/>
    <cellStyle name="Normal 2 5 4 6 2 2 2" xfId="25857" xr:uid="{31C5A4EC-2CB6-4AA6-ADB3-478D5CACE988}"/>
    <cellStyle name="Normal 2 5 4 6 2 2 3" xfId="17417" xr:uid="{552403ED-884B-46B5-B4B5-5D97708F31D9}"/>
    <cellStyle name="Normal 2 5 4 6 2 3" xfId="21640" xr:uid="{2B3E5DCF-D729-420B-AEAD-C37B7AD01C70}"/>
    <cellStyle name="Normal 2 5 4 6 2 4" xfId="13200" xr:uid="{92315EAD-CBBC-4629-85A8-6748779F83D6}"/>
    <cellStyle name="Normal 2 5 4 6 3" xfId="5946" xr:uid="{00000000-0005-0000-0000-00005D110000}"/>
    <cellStyle name="Normal 2 5 4 6 3 2" xfId="23712" xr:uid="{D0FE52ED-2BC1-47FC-B2B6-B52318BA7DF9}"/>
    <cellStyle name="Normal 2 5 4 6 3 3" xfId="15272" xr:uid="{C6C7AC26-B321-4F11-A3B2-9B38017CF0D7}"/>
    <cellStyle name="Normal 2 5 4 6 4" xfId="19495" xr:uid="{A99AF023-566E-4A8F-BF00-4EE67065F381}"/>
    <cellStyle name="Normal 2 5 4 6 5" xfId="11055" xr:uid="{E3B5786E-03D6-4740-81EC-257D8B42A340}"/>
    <cellStyle name="Normal 2 5 4 7" xfId="2053" xr:uid="{00000000-0005-0000-0000-00005E110000}"/>
    <cellStyle name="Normal 2 5 4 7 2" xfId="4282" xr:uid="{00000000-0005-0000-0000-00005F110000}"/>
    <cellStyle name="Normal 2 5 4 7 2 2" xfId="8504" xr:uid="{00000000-0005-0000-0000-000060110000}"/>
    <cellStyle name="Normal 2 5 4 7 2 2 2" xfId="26270" xr:uid="{944419DB-F782-4236-9883-E9590E9AAA43}"/>
    <cellStyle name="Normal 2 5 4 7 2 2 3" xfId="17830" xr:uid="{126C9683-A8DC-48DB-AAA4-78B47CAF0498}"/>
    <cellStyle name="Normal 2 5 4 7 2 3" xfId="22053" xr:uid="{02010018-3072-4FEA-8E45-00FC036EEF01}"/>
    <cellStyle name="Normal 2 5 4 7 2 4" xfId="13613" xr:uid="{03B6585C-0465-41AA-83F2-C3BFF176C809}"/>
    <cellStyle name="Normal 2 5 4 7 3" xfId="6359" xr:uid="{00000000-0005-0000-0000-000061110000}"/>
    <cellStyle name="Normal 2 5 4 7 3 2" xfId="24125" xr:uid="{4F6919C4-A07F-4BCF-A509-5FD091FA40FD}"/>
    <cellStyle name="Normal 2 5 4 7 3 3" xfId="15685" xr:uid="{4DC41259-237F-441C-B4B0-7B24996B9587}"/>
    <cellStyle name="Normal 2 5 4 7 4" xfId="19908" xr:uid="{FF2F698D-8681-4844-B000-EF758CABD309}"/>
    <cellStyle name="Normal 2 5 4 7 5" xfId="11468" xr:uid="{2DE4D0B1-C90B-49FD-A531-3309F2C4E3B0}"/>
    <cellStyle name="Normal 2 5 4 8" xfId="2489" xr:uid="{00000000-0005-0000-0000-000062110000}"/>
    <cellStyle name="Normal 2 5 4 8 2" xfId="6772" xr:uid="{00000000-0005-0000-0000-000063110000}"/>
    <cellStyle name="Normal 2 5 4 8 2 2" xfId="24538" xr:uid="{BEAC7553-B7AF-4A40-BF50-57467676D849}"/>
    <cellStyle name="Normal 2 5 4 8 2 3" xfId="16098" xr:uid="{B833FB68-A5E4-4111-80F6-33225386DF65}"/>
    <cellStyle name="Normal 2 5 4 8 3" xfId="20321" xr:uid="{6D64EE9D-345E-42FF-85A4-23460F0CB9AE}"/>
    <cellStyle name="Normal 2 5 4 8 4" xfId="11881" xr:uid="{5C208719-ED0A-4C9D-A714-434ABDD273EA}"/>
    <cellStyle name="Normal 2 5 4 9" xfId="4706" xr:uid="{00000000-0005-0000-0000-000064110000}"/>
    <cellStyle name="Normal 2 5 4 9 2" xfId="22472" xr:uid="{DADE6D1E-BBCD-4713-BC8C-2B477539AFBF}"/>
    <cellStyle name="Normal 2 5 4 9 3" xfId="14032" xr:uid="{B3255C67-7DC9-433C-9664-EB14F93470C3}"/>
    <cellStyle name="Normal 2 5 5" xfId="803" xr:uid="{00000000-0005-0000-0000-000065110000}"/>
    <cellStyle name="Normal 2 5 5 2" xfId="3042" xr:uid="{00000000-0005-0000-0000-000066110000}"/>
    <cellStyle name="Normal 2 5 5 2 2" xfId="7264" xr:uid="{00000000-0005-0000-0000-000067110000}"/>
    <cellStyle name="Normal 2 5 5 2 2 2" xfId="25030" xr:uid="{18812F55-C850-4594-A744-2765918F6038}"/>
    <cellStyle name="Normal 2 5 5 2 2 3" xfId="16590" xr:uid="{4F7E8F9C-4FCF-4405-B1BC-BA5358F95F32}"/>
    <cellStyle name="Normal 2 5 5 2 3" xfId="20813" xr:uid="{C3C14B15-C843-441D-BCFE-AD7E56979B12}"/>
    <cellStyle name="Normal 2 5 5 2 4" xfId="12373" xr:uid="{05605691-3250-43F7-9DBE-364024A14A01}"/>
    <cellStyle name="Normal 2 5 5 3" xfId="5119" xr:uid="{00000000-0005-0000-0000-000068110000}"/>
    <cellStyle name="Normal 2 5 5 3 2" xfId="22885" xr:uid="{4FD27ED2-74D8-4C75-B8DE-A92E4B0AF231}"/>
    <cellStyle name="Normal 2 5 5 3 3" xfId="14445" xr:uid="{FB28E51B-D411-46D3-8E3F-54A325AFDFE6}"/>
    <cellStyle name="Normal 2 5 5 4" xfId="9606" xr:uid="{3AE4D77A-44EE-40C2-9F71-05FBDE2746B2}"/>
    <cellStyle name="Normal 2 5 5 4 2" xfId="18668" xr:uid="{B1667CF8-F1C6-468A-B5A5-47AC143AC22F}"/>
    <cellStyle name="Normal 2 5 5 5" xfId="10228" xr:uid="{1EBB7CC4-1796-46D4-8E10-4EA6B59F9F36}"/>
    <cellStyle name="Normal 2 5 6" xfId="1225" xr:uid="{00000000-0005-0000-0000-000069110000}"/>
    <cellStyle name="Normal 2 5 6 2" xfId="3455" xr:uid="{00000000-0005-0000-0000-00006A110000}"/>
    <cellStyle name="Normal 2 5 6 2 2" xfId="7677" xr:uid="{00000000-0005-0000-0000-00006B110000}"/>
    <cellStyle name="Normal 2 5 6 2 2 2" xfId="25443" xr:uid="{120A0702-A892-4323-82C6-10DE0685A70E}"/>
    <cellStyle name="Normal 2 5 6 2 2 3" xfId="17003" xr:uid="{D20EEBC1-E983-4C8D-8E78-2896CF44E4D2}"/>
    <cellStyle name="Normal 2 5 6 2 3" xfId="21226" xr:uid="{3B4E8979-55EA-4E9E-89FA-9A2C3E7B2C93}"/>
    <cellStyle name="Normal 2 5 6 2 4" xfId="12786" xr:uid="{8170A2B0-DFB7-42EC-8FBD-0734E535366A}"/>
    <cellStyle name="Normal 2 5 6 3" xfId="5532" xr:uid="{00000000-0005-0000-0000-00006C110000}"/>
    <cellStyle name="Normal 2 5 6 3 2" xfId="23298" xr:uid="{56D7C0EC-2C56-4D8A-B05A-5F34D67F4EF5}"/>
    <cellStyle name="Normal 2 5 6 3 3" xfId="14858" xr:uid="{8BC3F9EF-D0FE-4CBD-BFE4-A9D2AFD70598}"/>
    <cellStyle name="Normal 2 5 6 4" xfId="19081" xr:uid="{9112D454-4C43-480D-AF2A-2636CACA6E4B}"/>
    <cellStyle name="Normal 2 5 6 5" xfId="10641" xr:uid="{C743094F-AE96-4AF1-A921-A85544B28340}"/>
    <cellStyle name="Normal 2 5 7" xfId="1638" xr:uid="{00000000-0005-0000-0000-00006D110000}"/>
    <cellStyle name="Normal 2 5 7 2" xfId="3868" xr:uid="{00000000-0005-0000-0000-00006E110000}"/>
    <cellStyle name="Normal 2 5 7 2 2" xfId="8090" xr:uid="{00000000-0005-0000-0000-00006F110000}"/>
    <cellStyle name="Normal 2 5 7 2 2 2" xfId="25856" xr:uid="{55B6D89C-B1AD-4BA4-8EE3-FB92C08315BE}"/>
    <cellStyle name="Normal 2 5 7 2 2 3" xfId="17416" xr:uid="{5A547D35-8FC9-4D71-998D-E69465C237F0}"/>
    <cellStyle name="Normal 2 5 7 2 3" xfId="21639" xr:uid="{7F5486C5-FE0D-487E-96D4-6599C7772DEC}"/>
    <cellStyle name="Normal 2 5 7 2 4" xfId="13199" xr:uid="{437956C7-020A-4856-ABD2-58B5DB041CB7}"/>
    <cellStyle name="Normal 2 5 7 3" xfId="5945" xr:uid="{00000000-0005-0000-0000-000070110000}"/>
    <cellStyle name="Normal 2 5 7 3 2" xfId="23711" xr:uid="{ABBEAC7D-D994-470D-A567-69EC78917A57}"/>
    <cellStyle name="Normal 2 5 7 3 3" xfId="15271" xr:uid="{7C7AD488-1BA6-4217-B512-96E994552DE0}"/>
    <cellStyle name="Normal 2 5 7 4" xfId="19494" xr:uid="{9ABC6D19-C63D-4FE1-BFE7-1724A6FE1DF5}"/>
    <cellStyle name="Normal 2 5 7 5" xfId="11054" xr:uid="{BB4F1803-B757-44BC-B491-1B6F0EB39DD5}"/>
    <cellStyle name="Normal 2 5 8" xfId="2052" xr:uid="{00000000-0005-0000-0000-000071110000}"/>
    <cellStyle name="Normal 2 5 8 2" xfId="4281" xr:uid="{00000000-0005-0000-0000-000072110000}"/>
    <cellStyle name="Normal 2 5 8 2 2" xfId="8503" xr:uid="{00000000-0005-0000-0000-000073110000}"/>
    <cellStyle name="Normal 2 5 8 2 2 2" xfId="26269" xr:uid="{6CD9E51B-0DD4-4685-B4BB-5D5C91175E2F}"/>
    <cellStyle name="Normal 2 5 8 2 2 3" xfId="17829" xr:uid="{B29FC0C6-CA09-4BDA-9256-0188CFD91EEF}"/>
    <cellStyle name="Normal 2 5 8 2 3" xfId="22052" xr:uid="{D8F0EFFD-2C4F-4102-962C-602124A3C375}"/>
    <cellStyle name="Normal 2 5 8 2 4" xfId="13612" xr:uid="{BB520732-0B1A-4DBF-859B-8B44431526E7}"/>
    <cellStyle name="Normal 2 5 8 3" xfId="6358" xr:uid="{00000000-0005-0000-0000-000074110000}"/>
    <cellStyle name="Normal 2 5 8 3 2" xfId="24124" xr:uid="{2BC7D0E7-B3F3-40A4-9574-2F1170ECAE9A}"/>
    <cellStyle name="Normal 2 5 8 3 3" xfId="15684" xr:uid="{31E82DBD-3B3D-4E04-A88C-6DB2DE5F43EF}"/>
    <cellStyle name="Normal 2 5 8 4" xfId="19907" xr:uid="{5054DC18-6B9B-406F-AB61-02606B1314D1}"/>
    <cellStyle name="Normal 2 5 8 5" xfId="11467" xr:uid="{8ED55D2A-AF6B-45D6-A5C3-60C05477DF0B}"/>
    <cellStyle name="Normal 2 5 9" xfId="2488" xr:uid="{00000000-0005-0000-0000-000075110000}"/>
    <cellStyle name="Normal 2 5 9 2" xfId="6771" xr:uid="{00000000-0005-0000-0000-000076110000}"/>
    <cellStyle name="Normal 2 5 9 2 2" xfId="24537" xr:uid="{95748F03-E8D1-45A1-A84B-0CDFB3461B45}"/>
    <cellStyle name="Normal 2 5 9 2 3" xfId="16097" xr:uid="{B52ABBD6-C052-4A5B-86EA-02D7822E639F}"/>
    <cellStyle name="Normal 2 5 9 3" xfId="20320" xr:uid="{6B6973B0-F81F-4C86-8E61-6AF4576F9F6D}"/>
    <cellStyle name="Normal 2 5 9 4" xfId="11880" xr:uid="{479CB15E-826E-48B8-A12B-AFA64A873B46}"/>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18259" xr:uid="{958A91D2-E23E-4A60-9BA4-52912BC39321}"/>
    <cellStyle name="Normal 3 2 11" xfId="9819" xr:uid="{B32302EA-A6B7-4C58-B6CE-EEBE2F9E6495}"/>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260" xr:uid="{189AA75C-C5BE-46CE-952C-5487C8A0DCBB}"/>
    <cellStyle name="Normal 3 2 3 11" xfId="9820" xr:uid="{392D9123-826B-49FF-8000-19E212C35ECF}"/>
    <cellStyle name="Normal 3 2 3 2" xfId="327" xr:uid="{00000000-0005-0000-0000-00007F110000}"/>
    <cellStyle name="Normal 3 2 3 2 10" xfId="9821" xr:uid="{9A518024-0B3D-497E-86B5-B8EB6225B68B}"/>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25038" xr:uid="{A54D9CD4-7071-45D3-A6B5-BF830E042DA6}"/>
    <cellStyle name="Normal 3 2 3 2 2 2 2 2 3" xfId="16598" xr:uid="{19FD47C3-0E31-4DF2-BCF8-4BFCC8A80E1A}"/>
    <cellStyle name="Normal 3 2 3 2 2 2 2 3" xfId="20821" xr:uid="{AA16A7E9-AC92-4045-BA46-BAD7ED51F216}"/>
    <cellStyle name="Normal 3 2 3 2 2 2 2 4" xfId="12381" xr:uid="{EE3BAB9A-5342-477D-97AD-8FD0874F216C}"/>
    <cellStyle name="Normal 3 2 3 2 2 2 3" xfId="5127" xr:uid="{00000000-0005-0000-0000-000084110000}"/>
    <cellStyle name="Normal 3 2 3 2 2 2 3 2" xfId="22893" xr:uid="{EAAA5303-EE3E-4BA6-A9B9-2CE5ADD40705}"/>
    <cellStyle name="Normal 3 2 3 2 2 2 3 3" xfId="14453" xr:uid="{43532110-1041-41F9-9FBB-A3B343D5961A}"/>
    <cellStyle name="Normal 3 2 3 2 2 2 4" xfId="9552" xr:uid="{54198C1B-8B77-4C07-BFED-28C4D4E00A0C}"/>
    <cellStyle name="Normal 3 2 3 2 2 2 4 2" xfId="18676" xr:uid="{27C9EDFC-55B2-4721-BF63-1390D80BFA7E}"/>
    <cellStyle name="Normal 3 2 3 2 2 2 5" xfId="10236" xr:uid="{BDC74D8B-0197-4522-93F5-78F00357A24A}"/>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25451" xr:uid="{7D2AED0E-DCD9-4A94-9D21-1F7417956469}"/>
    <cellStyle name="Normal 3 2 3 2 2 3 2 2 3" xfId="17011" xr:uid="{0F82F7B9-AD21-4F53-BB1E-62D8EE70184F}"/>
    <cellStyle name="Normal 3 2 3 2 2 3 2 3" xfId="21234" xr:uid="{89BF2753-EE1A-4824-9856-BED7106D5D4A}"/>
    <cellStyle name="Normal 3 2 3 2 2 3 2 4" xfId="12794" xr:uid="{6C5DB170-7978-4B0D-8080-174A2EA4B14A}"/>
    <cellStyle name="Normal 3 2 3 2 2 3 3" xfId="5540" xr:uid="{00000000-0005-0000-0000-000088110000}"/>
    <cellStyle name="Normal 3 2 3 2 2 3 3 2" xfId="23306" xr:uid="{13B5A61C-267C-4958-82A1-FA864477D518}"/>
    <cellStyle name="Normal 3 2 3 2 2 3 3 3" xfId="14866" xr:uid="{7CBE6552-E8E0-42CC-99B3-3B825E7A3650}"/>
    <cellStyle name="Normal 3 2 3 2 2 3 4" xfId="19089" xr:uid="{BF9ACD0A-6526-4B8B-AB40-AEF3286AC778}"/>
    <cellStyle name="Normal 3 2 3 2 2 3 5" xfId="10649" xr:uid="{DB199DD3-E6A3-4986-BF9C-8BBE72F342C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25864" xr:uid="{1225C119-D6AF-4A89-A234-7633B484461A}"/>
    <cellStyle name="Normal 3 2 3 2 2 4 2 2 3" xfId="17424" xr:uid="{F1614DDF-D200-494A-B09B-79BD33ADE473}"/>
    <cellStyle name="Normal 3 2 3 2 2 4 2 3" xfId="21647" xr:uid="{2F9D0330-E7B6-42E2-AEAC-69EA8C386034}"/>
    <cellStyle name="Normal 3 2 3 2 2 4 2 4" xfId="13207" xr:uid="{57ACF702-D8D2-4AAE-B732-544697F7FD23}"/>
    <cellStyle name="Normal 3 2 3 2 2 4 3" xfId="5953" xr:uid="{00000000-0005-0000-0000-00008C110000}"/>
    <cellStyle name="Normal 3 2 3 2 2 4 3 2" xfId="23719" xr:uid="{A858822C-E782-47F4-A281-4DD09B034BBD}"/>
    <cellStyle name="Normal 3 2 3 2 2 4 3 3" xfId="15279" xr:uid="{239C6EB3-C509-48E7-B55F-67A52B7B2CE1}"/>
    <cellStyle name="Normal 3 2 3 2 2 4 4" xfId="19502" xr:uid="{B17EC1E2-E7A9-4A23-ACF2-6E77DDAAD8D3}"/>
    <cellStyle name="Normal 3 2 3 2 2 4 5" xfId="11062" xr:uid="{ACB3AC82-EB38-4BE3-9561-EB362E764685}"/>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26277" xr:uid="{A6CDA6CD-0987-420C-A482-B2A8A0F9D06A}"/>
    <cellStyle name="Normal 3 2 3 2 2 5 2 2 3" xfId="17837" xr:uid="{69D04DE8-E411-4247-9E97-9B44D14CE077}"/>
    <cellStyle name="Normal 3 2 3 2 2 5 2 3" xfId="22060" xr:uid="{A1304CC9-568B-43EB-BBD8-6A6E3C2A51F3}"/>
    <cellStyle name="Normal 3 2 3 2 2 5 2 4" xfId="13620" xr:uid="{81ED11F2-ACD1-48AF-AB05-1B49A96982F0}"/>
    <cellStyle name="Normal 3 2 3 2 2 5 3" xfId="6366" xr:uid="{00000000-0005-0000-0000-000090110000}"/>
    <cellStyle name="Normal 3 2 3 2 2 5 3 2" xfId="24132" xr:uid="{4E1544C3-2292-4AA8-8171-D2CA36D11CFB}"/>
    <cellStyle name="Normal 3 2 3 2 2 5 3 3" xfId="15692" xr:uid="{5C6D902C-F9A9-48E3-9057-68656483E0CB}"/>
    <cellStyle name="Normal 3 2 3 2 2 5 4" xfId="19915" xr:uid="{5EF3CDA2-547B-405A-98E3-59C9731379E0}"/>
    <cellStyle name="Normal 3 2 3 2 2 5 5" xfId="11475" xr:uid="{FA8914C8-C2EE-43F9-9F00-26913CFA7004}"/>
    <cellStyle name="Normal 3 2 3 2 2 6" xfId="2496" xr:uid="{00000000-0005-0000-0000-000091110000}"/>
    <cellStyle name="Normal 3 2 3 2 2 6 2" xfId="6779" xr:uid="{00000000-0005-0000-0000-000092110000}"/>
    <cellStyle name="Normal 3 2 3 2 2 6 2 2" xfId="24545" xr:uid="{4EF61521-CCD0-45BE-AFB1-B1F0A400DEDD}"/>
    <cellStyle name="Normal 3 2 3 2 2 6 2 3" xfId="16105" xr:uid="{074BBF1A-8685-4AB0-AB1E-AF174E177C05}"/>
    <cellStyle name="Normal 3 2 3 2 2 6 3" xfId="20328" xr:uid="{952B608C-4A42-4E53-B4BA-1820B4F9076A}"/>
    <cellStyle name="Normal 3 2 3 2 2 6 4" xfId="11888" xr:uid="{B19FCE07-EE31-46D4-9505-A9CDC8ACE82F}"/>
    <cellStyle name="Normal 3 2 3 2 2 7" xfId="4713" xr:uid="{00000000-0005-0000-0000-000093110000}"/>
    <cellStyle name="Normal 3 2 3 2 2 7 2" xfId="22479" xr:uid="{58D76333-6D16-4151-AB37-D632E2C0E19F}"/>
    <cellStyle name="Normal 3 2 3 2 2 7 3" xfId="14039" xr:uid="{764E9374-DDE5-4EAA-A57A-96E9EA372CB4}"/>
    <cellStyle name="Normal 3 2 3 2 2 8" xfId="9127" xr:uid="{0583B12A-AAD6-4358-9C0C-42D6EBC3DFD8}"/>
    <cellStyle name="Normal 3 2 3 2 2 8 2" xfId="18262" xr:uid="{3E0384BF-C9E9-48C9-8AF4-EC06A6CF035E}"/>
    <cellStyle name="Normal 3 2 3 2 2 9" xfId="9822" xr:uid="{AF0C31EC-1A1C-4C46-9D33-9D5D7CF7033A}"/>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25037" xr:uid="{58C191FB-2BA6-4739-849E-20B3075AACB7}"/>
    <cellStyle name="Normal 3 2 3 2 3 2 2 3" xfId="16597" xr:uid="{B1F0D9BE-CAD0-4421-A824-795FD684F736}"/>
    <cellStyle name="Normal 3 2 3 2 3 2 3" xfId="20820" xr:uid="{6028DD8F-2604-4352-BB62-03BAD586557E}"/>
    <cellStyle name="Normal 3 2 3 2 3 2 4" xfId="12380" xr:uid="{095E3907-2C23-4735-BC2A-5C578077FB73}"/>
    <cellStyle name="Normal 3 2 3 2 3 3" xfId="5126" xr:uid="{00000000-0005-0000-0000-000097110000}"/>
    <cellStyle name="Normal 3 2 3 2 3 3 2" xfId="22892" xr:uid="{0ACE3F71-AEA4-40F4-91DF-D611FDEB1405}"/>
    <cellStyle name="Normal 3 2 3 2 3 3 3" xfId="14452" xr:uid="{9BA7352C-157F-46C1-8677-A7A7F840EC7C}"/>
    <cellStyle name="Normal 3 2 3 2 3 4" xfId="9345" xr:uid="{C34A3811-3C7F-4E99-A17A-CCF74A426C86}"/>
    <cellStyle name="Normal 3 2 3 2 3 4 2" xfId="18675" xr:uid="{1C420877-759D-4BAD-9DC1-DB8EDBC90B31}"/>
    <cellStyle name="Normal 3 2 3 2 3 5" xfId="10235" xr:uid="{B77E884B-6D11-4283-B583-1D860E13A105}"/>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25450" xr:uid="{DB76A96F-7060-4A17-9EA5-473196622452}"/>
    <cellStyle name="Normal 3 2 3 2 4 2 2 3" xfId="17010" xr:uid="{95859E21-2B33-4D9A-ACAB-18D7B5AA0B12}"/>
    <cellStyle name="Normal 3 2 3 2 4 2 3" xfId="21233" xr:uid="{46E6459F-7802-4949-BCE7-AB708BD093B5}"/>
    <cellStyle name="Normal 3 2 3 2 4 2 4" xfId="12793" xr:uid="{6ECF0F65-0CFD-4E05-93F1-68A6B7A650DD}"/>
    <cellStyle name="Normal 3 2 3 2 4 3" xfId="5539" xr:uid="{00000000-0005-0000-0000-00009B110000}"/>
    <cellStyle name="Normal 3 2 3 2 4 3 2" xfId="23305" xr:uid="{D640F605-FD9A-4E78-A1AB-075313E99F2C}"/>
    <cellStyle name="Normal 3 2 3 2 4 3 3" xfId="14865" xr:uid="{3D5CBF65-93B5-4976-9560-85CA507583D0}"/>
    <cellStyle name="Normal 3 2 3 2 4 4" xfId="19088" xr:uid="{3D9CAFA4-19BA-4302-AC20-C1AB0E40BDE6}"/>
    <cellStyle name="Normal 3 2 3 2 4 5" xfId="10648" xr:uid="{C81E18DC-A601-4E01-A685-B2A213A62BA8}"/>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25863" xr:uid="{43C82688-3FD0-4319-A1C3-2A9A19255A2C}"/>
    <cellStyle name="Normal 3 2 3 2 5 2 2 3" xfId="17423" xr:uid="{819F7352-3A8B-487A-AACD-C06C339DAB4F}"/>
    <cellStyle name="Normal 3 2 3 2 5 2 3" xfId="21646" xr:uid="{14D53E39-DF6D-48B7-874B-D0A8F95A1142}"/>
    <cellStyle name="Normal 3 2 3 2 5 2 4" xfId="13206" xr:uid="{4D455BD5-703D-4F65-87FF-795D49B5A9FE}"/>
    <cellStyle name="Normal 3 2 3 2 5 3" xfId="5952" xr:uid="{00000000-0005-0000-0000-00009F110000}"/>
    <cellStyle name="Normal 3 2 3 2 5 3 2" xfId="23718" xr:uid="{8CCFC80A-86A5-49CD-A98B-662833DBAB7E}"/>
    <cellStyle name="Normal 3 2 3 2 5 3 3" xfId="15278" xr:uid="{B9134800-6C1D-4201-91FE-A43B39238AAD}"/>
    <cellStyle name="Normal 3 2 3 2 5 4" xfId="19501" xr:uid="{2725CFB8-23EA-4AAA-8291-A13FAFA26FCA}"/>
    <cellStyle name="Normal 3 2 3 2 5 5" xfId="11061" xr:uid="{A28A4C94-DDE0-4B3D-9C85-78E7421944C3}"/>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26276" xr:uid="{DB56CB9C-C95D-4736-8F46-12E6ACAD19E9}"/>
    <cellStyle name="Normal 3 2 3 2 6 2 2 3" xfId="17836" xr:uid="{E177106C-228A-45BF-9FE5-57392C4F6835}"/>
    <cellStyle name="Normal 3 2 3 2 6 2 3" xfId="22059" xr:uid="{0107B4D6-ED96-4B6E-983F-D57F2D1C6F97}"/>
    <cellStyle name="Normal 3 2 3 2 6 2 4" xfId="13619" xr:uid="{955A289B-DA3D-4F40-80C3-DC3B80F17E60}"/>
    <cellStyle name="Normal 3 2 3 2 6 3" xfId="6365" xr:uid="{00000000-0005-0000-0000-0000A3110000}"/>
    <cellStyle name="Normal 3 2 3 2 6 3 2" xfId="24131" xr:uid="{654760DD-8770-4F10-940F-481B76CCC9D2}"/>
    <cellStyle name="Normal 3 2 3 2 6 3 3" xfId="15691" xr:uid="{8A250E0C-45FC-4F19-A019-2198A6FAE325}"/>
    <cellStyle name="Normal 3 2 3 2 6 4" xfId="19914" xr:uid="{DBF76A2A-1C20-4386-8C79-9D755D47A018}"/>
    <cellStyle name="Normal 3 2 3 2 6 5" xfId="11474" xr:uid="{062A8395-DB5B-4C8B-B3A0-49729187B9A2}"/>
    <cellStyle name="Normal 3 2 3 2 7" xfId="2495" xr:uid="{00000000-0005-0000-0000-0000A4110000}"/>
    <cellStyle name="Normal 3 2 3 2 7 2" xfId="6778" xr:uid="{00000000-0005-0000-0000-0000A5110000}"/>
    <cellStyle name="Normal 3 2 3 2 7 2 2" xfId="24544" xr:uid="{387DC903-E9EF-475F-B51F-CAA6DC01DEA2}"/>
    <cellStyle name="Normal 3 2 3 2 7 2 3" xfId="16104" xr:uid="{6FBB2D58-4B37-4767-B503-35CA95F09E63}"/>
    <cellStyle name="Normal 3 2 3 2 7 3" xfId="20327" xr:uid="{DF7D1F8D-515C-4CB2-B98D-AB9A2D9818D6}"/>
    <cellStyle name="Normal 3 2 3 2 7 4" xfId="11887" xr:uid="{850AF0E2-2FD5-4176-9085-83B7191A3C8C}"/>
    <cellStyle name="Normal 3 2 3 2 8" xfId="4712" xr:uid="{00000000-0005-0000-0000-0000A6110000}"/>
    <cellStyle name="Normal 3 2 3 2 8 2" xfId="22478" xr:uid="{0FE3AB31-87A3-4901-9420-D4CCCB712E46}"/>
    <cellStyle name="Normal 3 2 3 2 8 3" xfId="14038" xr:uid="{CF4ED05D-6621-491D-8A4F-811FE56DB08B}"/>
    <cellStyle name="Normal 3 2 3 2 9" xfId="8920" xr:uid="{D9E0825A-068A-435C-BDBE-2C0571A11FAF}"/>
    <cellStyle name="Normal 3 2 3 2 9 2" xfId="18261" xr:uid="{E20F5FF5-5A52-478B-BC1D-9EA6E15AE38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25039" xr:uid="{F7DF913A-8A19-48BC-8344-52F56D390E3E}"/>
    <cellStyle name="Normal 3 2 3 3 2 2 2 3" xfId="16599" xr:uid="{533FC94B-55F9-41D1-A415-B87A02E35D0F}"/>
    <cellStyle name="Normal 3 2 3 3 2 2 3" xfId="20822" xr:uid="{2F0901DB-677C-4FD7-A4D8-C2210E3992A8}"/>
    <cellStyle name="Normal 3 2 3 3 2 2 4" xfId="12382" xr:uid="{DEFF29E7-320D-44AD-B859-3BCC3DA91226}"/>
    <cellStyle name="Normal 3 2 3 3 2 3" xfId="5128" xr:uid="{00000000-0005-0000-0000-0000AB110000}"/>
    <cellStyle name="Normal 3 2 3 3 2 3 2" xfId="22894" xr:uid="{A839F74C-0913-45F2-B134-93945AE51678}"/>
    <cellStyle name="Normal 3 2 3 3 2 3 3" xfId="14454" xr:uid="{B5CE0FD1-54E1-4300-B0FC-18BFDC4C7470}"/>
    <cellStyle name="Normal 3 2 3 3 2 4" xfId="9449" xr:uid="{7F58A2DC-DF16-44D1-8D09-04DD41EF4468}"/>
    <cellStyle name="Normal 3 2 3 3 2 4 2" xfId="18677" xr:uid="{8B594410-B6F6-4AFF-8572-C34EA1044C14}"/>
    <cellStyle name="Normal 3 2 3 3 2 5" xfId="10237" xr:uid="{6066703A-8631-44F5-9B0A-3A817337E06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25452" xr:uid="{C9D88F75-BB25-4714-AF68-67B56822FA09}"/>
    <cellStyle name="Normal 3 2 3 3 3 2 2 3" xfId="17012" xr:uid="{4E673866-A832-487B-95C6-64B0D9FCBC5B}"/>
    <cellStyle name="Normal 3 2 3 3 3 2 3" xfId="21235" xr:uid="{7A30C620-C210-437F-9850-49A6ECEC4FC2}"/>
    <cellStyle name="Normal 3 2 3 3 3 2 4" xfId="12795" xr:uid="{1E8AAF46-B82D-44F8-8AFA-B0C729868929}"/>
    <cellStyle name="Normal 3 2 3 3 3 3" xfId="5541" xr:uid="{00000000-0005-0000-0000-0000AF110000}"/>
    <cellStyle name="Normal 3 2 3 3 3 3 2" xfId="23307" xr:uid="{D11F18F7-425C-471D-A66C-144E75735F13}"/>
    <cellStyle name="Normal 3 2 3 3 3 3 3" xfId="14867" xr:uid="{9B6B1C83-853E-4E7B-802C-B2B6B401E0D9}"/>
    <cellStyle name="Normal 3 2 3 3 3 4" xfId="19090" xr:uid="{2BDC8534-3311-4E6B-8EE4-6EF364F7A7EC}"/>
    <cellStyle name="Normal 3 2 3 3 3 5" xfId="10650" xr:uid="{E4EC0C0D-9E8D-4246-82E6-808CCC94599B}"/>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25865" xr:uid="{F8AC7D06-5E2D-4FDE-8EAF-810C0016B6C7}"/>
    <cellStyle name="Normal 3 2 3 3 4 2 2 3" xfId="17425" xr:uid="{43CDA282-A0DA-432D-936F-92591CF3A3E1}"/>
    <cellStyle name="Normal 3 2 3 3 4 2 3" xfId="21648" xr:uid="{8086CDE0-A579-41B2-8F4C-E31D3C6439B2}"/>
    <cellStyle name="Normal 3 2 3 3 4 2 4" xfId="13208" xr:uid="{CD1798F6-21FA-48BC-8EB2-951EAD9C9DF7}"/>
    <cellStyle name="Normal 3 2 3 3 4 3" xfId="5954" xr:uid="{00000000-0005-0000-0000-0000B3110000}"/>
    <cellStyle name="Normal 3 2 3 3 4 3 2" xfId="23720" xr:uid="{D311E493-B028-403B-BC0F-7E765D00F7DB}"/>
    <cellStyle name="Normal 3 2 3 3 4 3 3" xfId="15280" xr:uid="{CE966AE1-FE87-453D-956C-AFCB53AE5D2C}"/>
    <cellStyle name="Normal 3 2 3 3 4 4" xfId="19503" xr:uid="{0297E6FA-CD0F-4C18-BD32-B6B6F0C9DF49}"/>
    <cellStyle name="Normal 3 2 3 3 4 5" xfId="11063" xr:uid="{6FD0061C-676A-4D42-BB36-EA6FAE301EE1}"/>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26278" xr:uid="{CA2E04D5-D707-4EF4-802B-9AC331F61F40}"/>
    <cellStyle name="Normal 3 2 3 3 5 2 2 3" xfId="17838" xr:uid="{CCA6914C-3FDD-4A0C-B8C2-391CFF62D46D}"/>
    <cellStyle name="Normal 3 2 3 3 5 2 3" xfId="22061" xr:uid="{709CEA4B-B09E-4FCA-B189-C2F2B47E1C04}"/>
    <cellStyle name="Normal 3 2 3 3 5 2 4" xfId="13621" xr:uid="{69239B0C-906C-4CCC-85F5-3AFD95E50DB4}"/>
    <cellStyle name="Normal 3 2 3 3 5 3" xfId="6367" xr:uid="{00000000-0005-0000-0000-0000B7110000}"/>
    <cellStyle name="Normal 3 2 3 3 5 3 2" xfId="24133" xr:uid="{8520C310-31B4-4CF1-94E2-E84D3E690A62}"/>
    <cellStyle name="Normal 3 2 3 3 5 3 3" xfId="15693" xr:uid="{843DF1BC-D115-49CC-BBE2-6858FB11954B}"/>
    <cellStyle name="Normal 3 2 3 3 5 4" xfId="19916" xr:uid="{9C6C1C1F-14B4-4753-ACB2-845315D61385}"/>
    <cellStyle name="Normal 3 2 3 3 5 5" xfId="11476" xr:uid="{95BA636B-C2A8-4684-ABDF-70D04AA22272}"/>
    <cellStyle name="Normal 3 2 3 3 6" xfId="2497" xr:uid="{00000000-0005-0000-0000-0000B8110000}"/>
    <cellStyle name="Normal 3 2 3 3 6 2" xfId="6780" xr:uid="{00000000-0005-0000-0000-0000B9110000}"/>
    <cellStyle name="Normal 3 2 3 3 6 2 2" xfId="24546" xr:uid="{D8FEF59D-8E02-49C5-9095-001A6EF501F4}"/>
    <cellStyle name="Normal 3 2 3 3 6 2 3" xfId="16106" xr:uid="{332015F7-C64A-45D6-8649-15F70D5E789F}"/>
    <cellStyle name="Normal 3 2 3 3 6 3" xfId="20329" xr:uid="{FE3F2CAD-BAF3-4ABF-9B81-A9631DC72803}"/>
    <cellStyle name="Normal 3 2 3 3 6 4" xfId="11889" xr:uid="{1CA54CFB-6E10-43A5-9D3A-AE2D21E7FBE6}"/>
    <cellStyle name="Normal 3 2 3 3 7" xfId="4714" xr:uid="{00000000-0005-0000-0000-0000BA110000}"/>
    <cellStyle name="Normal 3 2 3 3 7 2" xfId="22480" xr:uid="{AC2C3450-109A-4C73-BEFC-40EC667B379D}"/>
    <cellStyle name="Normal 3 2 3 3 7 3" xfId="14040" xr:uid="{3A30315C-FEB3-4C62-92D4-90BCDBF083E9}"/>
    <cellStyle name="Normal 3 2 3 3 8" xfId="9024" xr:uid="{AE2F680F-18A3-47B5-ADCF-6BEAD71D50CE}"/>
    <cellStyle name="Normal 3 2 3 3 8 2" xfId="18263" xr:uid="{1CD1625A-CBDD-4700-A660-564062C7A2BA}"/>
    <cellStyle name="Normal 3 2 3 3 9" xfId="9823" xr:uid="{93B82851-61A9-49AA-90BD-83CB43B6A91C}"/>
    <cellStyle name="Normal 3 2 3 4" xfId="811" xr:uid="{00000000-0005-0000-0000-0000BB110000}"/>
    <cellStyle name="Normal 3 2 3 4 2" xfId="3048" xr:uid="{00000000-0005-0000-0000-0000BC110000}"/>
    <cellStyle name="Normal 3 2 3 4 2 2" xfId="7270" xr:uid="{00000000-0005-0000-0000-0000BD110000}"/>
    <cellStyle name="Normal 3 2 3 4 2 2 2" xfId="25036" xr:uid="{B9850E96-BFDA-4FCD-85EB-0F726778CF41}"/>
    <cellStyle name="Normal 3 2 3 4 2 2 3" xfId="16596" xr:uid="{169B1A7B-BA51-43C7-916D-D3535D96C061}"/>
    <cellStyle name="Normal 3 2 3 4 2 3" xfId="20819" xr:uid="{834F5F51-76C2-481E-A975-D228DD169BE5}"/>
    <cellStyle name="Normal 3 2 3 4 2 4" xfId="12379" xr:uid="{929F7B06-1CF5-4F53-9339-02D54CF30AA9}"/>
    <cellStyle name="Normal 3 2 3 4 3" xfId="5125" xr:uid="{00000000-0005-0000-0000-0000BE110000}"/>
    <cellStyle name="Normal 3 2 3 4 3 2" xfId="22891" xr:uid="{A969A2FE-4253-4807-8BE8-CADE0A0E9204}"/>
    <cellStyle name="Normal 3 2 3 4 3 3" xfId="14451" xr:uid="{62D8E472-63F2-47DD-89AD-FCE0F2707408}"/>
    <cellStyle name="Normal 3 2 3 4 4" xfId="9242" xr:uid="{05AEEDFF-7EEB-40DB-B13D-145C971A771B}"/>
    <cellStyle name="Normal 3 2 3 4 4 2" xfId="18674" xr:uid="{24FA04A1-B158-41F5-868D-7B649FC5292D}"/>
    <cellStyle name="Normal 3 2 3 4 5" xfId="10234" xr:uid="{904BA32C-4289-4466-B095-BB04D2DF577F}"/>
    <cellStyle name="Normal 3 2 3 5" xfId="1231" xr:uid="{00000000-0005-0000-0000-0000BF110000}"/>
    <cellStyle name="Normal 3 2 3 5 2" xfId="3461" xr:uid="{00000000-0005-0000-0000-0000C0110000}"/>
    <cellStyle name="Normal 3 2 3 5 2 2" xfId="7683" xr:uid="{00000000-0005-0000-0000-0000C1110000}"/>
    <cellStyle name="Normal 3 2 3 5 2 2 2" xfId="25449" xr:uid="{E1C52C98-3028-482D-8A56-E099F13D4CFF}"/>
    <cellStyle name="Normal 3 2 3 5 2 2 3" xfId="17009" xr:uid="{7FDCBE59-533C-4F88-91D3-6B4151BBC3B9}"/>
    <cellStyle name="Normal 3 2 3 5 2 3" xfId="21232" xr:uid="{ED891599-EF10-41BC-911D-254B7838DDE3}"/>
    <cellStyle name="Normal 3 2 3 5 2 4" xfId="12792" xr:uid="{40859054-DECF-4B6F-A17D-07459B842F61}"/>
    <cellStyle name="Normal 3 2 3 5 3" xfId="5538" xr:uid="{00000000-0005-0000-0000-0000C2110000}"/>
    <cellStyle name="Normal 3 2 3 5 3 2" xfId="23304" xr:uid="{5FA224E7-AA9A-416D-AD73-3224E4FD8D1A}"/>
    <cellStyle name="Normal 3 2 3 5 3 3" xfId="14864" xr:uid="{65B29BC7-3C20-44A5-9E1A-C8C23E610953}"/>
    <cellStyle name="Normal 3 2 3 5 4" xfId="19087" xr:uid="{CCC3336E-6183-4808-9BCE-76C85F36BACC}"/>
    <cellStyle name="Normal 3 2 3 5 5" xfId="10647" xr:uid="{51C817FD-71C6-4567-AC26-09598E4F7BAC}"/>
    <cellStyle name="Normal 3 2 3 6" xfId="1644" xr:uid="{00000000-0005-0000-0000-0000C3110000}"/>
    <cellStyle name="Normal 3 2 3 6 2" xfId="3874" xr:uid="{00000000-0005-0000-0000-0000C4110000}"/>
    <cellStyle name="Normal 3 2 3 6 2 2" xfId="8096" xr:uid="{00000000-0005-0000-0000-0000C5110000}"/>
    <cellStyle name="Normal 3 2 3 6 2 2 2" xfId="25862" xr:uid="{7A07BBAC-557F-493B-878D-5436A5979439}"/>
    <cellStyle name="Normal 3 2 3 6 2 2 3" xfId="17422" xr:uid="{B54772C7-748B-43B1-BAFE-0357CC90A1A9}"/>
    <cellStyle name="Normal 3 2 3 6 2 3" xfId="21645" xr:uid="{EC03E9E6-3146-450E-BD86-B3BB620B6C9F}"/>
    <cellStyle name="Normal 3 2 3 6 2 4" xfId="13205" xr:uid="{9529AB18-36EC-4BAD-9F8C-326C30FB28D1}"/>
    <cellStyle name="Normal 3 2 3 6 3" xfId="5951" xr:uid="{00000000-0005-0000-0000-0000C6110000}"/>
    <cellStyle name="Normal 3 2 3 6 3 2" xfId="23717" xr:uid="{599A0409-2B8A-4949-8255-26DC64E8B696}"/>
    <cellStyle name="Normal 3 2 3 6 3 3" xfId="15277" xr:uid="{5E0AA920-484D-4137-9B29-B89763A53218}"/>
    <cellStyle name="Normal 3 2 3 6 4" xfId="19500" xr:uid="{7D86E4FE-4813-4BCC-B7EC-4FB79A402235}"/>
    <cellStyle name="Normal 3 2 3 6 5" xfId="11060" xr:uid="{B43358B5-A364-4813-8FB0-492CC4CEFE97}"/>
    <cellStyle name="Normal 3 2 3 7" xfId="2058" xr:uid="{00000000-0005-0000-0000-0000C7110000}"/>
    <cellStyle name="Normal 3 2 3 7 2" xfId="4287" xr:uid="{00000000-0005-0000-0000-0000C8110000}"/>
    <cellStyle name="Normal 3 2 3 7 2 2" xfId="8509" xr:uid="{00000000-0005-0000-0000-0000C9110000}"/>
    <cellStyle name="Normal 3 2 3 7 2 2 2" xfId="26275" xr:uid="{DBB00632-E8EB-4F39-944D-11F39366414D}"/>
    <cellStyle name="Normal 3 2 3 7 2 2 3" xfId="17835" xr:uid="{20D7FDAD-C6AE-4539-A624-2D9D787DA1BF}"/>
    <cellStyle name="Normal 3 2 3 7 2 3" xfId="22058" xr:uid="{3E63B3FE-4F23-4B76-805E-EFC79E98C4D6}"/>
    <cellStyle name="Normal 3 2 3 7 2 4" xfId="13618" xr:uid="{0005BCFE-08D8-4A82-A7AD-D8B7CAE7BC5F}"/>
    <cellStyle name="Normal 3 2 3 7 3" xfId="6364" xr:uid="{00000000-0005-0000-0000-0000CA110000}"/>
    <cellStyle name="Normal 3 2 3 7 3 2" xfId="24130" xr:uid="{B34CFFA6-2246-45CF-93E2-20C301A6A0B5}"/>
    <cellStyle name="Normal 3 2 3 7 3 3" xfId="15690" xr:uid="{0947767E-6996-45A1-8495-4DB8918FE409}"/>
    <cellStyle name="Normal 3 2 3 7 4" xfId="19913" xr:uid="{108DADAD-0D7E-45F7-AA96-B307FCD389F0}"/>
    <cellStyle name="Normal 3 2 3 7 5" xfId="11473" xr:uid="{012F26D4-B636-4281-85D1-EBFBDEA1B204}"/>
    <cellStyle name="Normal 3 2 3 8" xfId="2494" xr:uid="{00000000-0005-0000-0000-0000CB110000}"/>
    <cellStyle name="Normal 3 2 3 8 2" xfId="6777" xr:uid="{00000000-0005-0000-0000-0000CC110000}"/>
    <cellStyle name="Normal 3 2 3 8 2 2" xfId="24543" xr:uid="{3FEC6783-8DE9-4A0F-A268-8E3D651ED1AC}"/>
    <cellStyle name="Normal 3 2 3 8 2 3" xfId="16103" xr:uid="{86F87660-3D3B-496B-8862-5D6D50866203}"/>
    <cellStyle name="Normal 3 2 3 8 3" xfId="20326" xr:uid="{2F4C5A6B-CF8A-4DB1-BBFD-840CC7BF3A5E}"/>
    <cellStyle name="Normal 3 2 3 8 4" xfId="11886" xr:uid="{255127E2-1415-4093-A851-2ED8FCB9AA45}"/>
    <cellStyle name="Normal 3 2 3 9" xfId="4711" xr:uid="{00000000-0005-0000-0000-0000CD110000}"/>
    <cellStyle name="Normal 3 2 3 9 2" xfId="22477" xr:uid="{3372E0A8-A8B9-4F4B-B596-94F60560A9E0}"/>
    <cellStyle name="Normal 3 2 3 9 3" xfId="14037" xr:uid="{7B2D16DC-9B3F-4E32-9011-9EE994835521}"/>
    <cellStyle name="Normal 3 2 4" xfId="809" xr:uid="{00000000-0005-0000-0000-0000CE110000}"/>
    <cellStyle name="Normal 3 2 4 2" xfId="3047" xr:uid="{00000000-0005-0000-0000-0000CF110000}"/>
    <cellStyle name="Normal 3 2 4 2 2" xfId="7269" xr:uid="{00000000-0005-0000-0000-0000D0110000}"/>
    <cellStyle name="Normal 3 2 4 2 2 2" xfId="25035" xr:uid="{084F3147-08C8-4191-AA98-43F68E987636}"/>
    <cellStyle name="Normal 3 2 4 2 2 3" xfId="16595" xr:uid="{F306C6C6-61F4-4A24-A244-14AFB8FA4C7B}"/>
    <cellStyle name="Normal 3 2 4 2 3" xfId="20818" xr:uid="{481F9C64-D26F-4E72-83AD-AE6571CF596E}"/>
    <cellStyle name="Normal 3 2 4 2 4" xfId="12378" xr:uid="{A6E8249A-C21D-47B8-B82B-114DF77AE8FD}"/>
    <cellStyle name="Normal 3 2 4 3" xfId="5124" xr:uid="{00000000-0005-0000-0000-0000D1110000}"/>
    <cellStyle name="Normal 3 2 4 3 2" xfId="22890" xr:uid="{04AA2BC8-4B39-4139-B115-7BFEE4072A07}"/>
    <cellStyle name="Normal 3 2 4 3 3" xfId="14450" xr:uid="{4FAE2909-A879-443B-857A-100732DD67B7}"/>
    <cellStyle name="Normal 3 2 4 4" xfId="9607" xr:uid="{7D769806-7069-4B8D-8CAC-B3B91BBA8D64}"/>
    <cellStyle name="Normal 3 2 4 4 2" xfId="18673" xr:uid="{D3E8459F-3C62-4DB1-B7F8-5C2ACD7AA61F}"/>
    <cellStyle name="Normal 3 2 4 5" xfId="10233" xr:uid="{4E681C36-E1A3-43C0-A0E4-773CD49AECE8}"/>
    <cellStyle name="Normal 3 2 5" xfId="1230" xr:uid="{00000000-0005-0000-0000-0000D2110000}"/>
    <cellStyle name="Normal 3 2 5 2" xfId="3460" xr:uid="{00000000-0005-0000-0000-0000D3110000}"/>
    <cellStyle name="Normal 3 2 5 2 2" xfId="7682" xr:uid="{00000000-0005-0000-0000-0000D4110000}"/>
    <cellStyle name="Normal 3 2 5 2 2 2" xfId="25448" xr:uid="{D4B8BB83-676F-49B1-9A21-3F61BE351797}"/>
    <cellStyle name="Normal 3 2 5 2 2 3" xfId="17008" xr:uid="{F04AD9FE-A807-46BA-AC9B-64634B5E026E}"/>
    <cellStyle name="Normal 3 2 5 2 3" xfId="21231" xr:uid="{4CBB05F1-1B8F-4385-9A94-AE4EDD73E3EB}"/>
    <cellStyle name="Normal 3 2 5 2 4" xfId="12791" xr:uid="{3D352DD3-47E5-4068-A8EB-E2626711485B}"/>
    <cellStyle name="Normal 3 2 5 3" xfId="5537" xr:uid="{00000000-0005-0000-0000-0000D5110000}"/>
    <cellStyle name="Normal 3 2 5 3 2" xfId="23303" xr:uid="{AEDE71ED-FF5C-4DF1-A5F8-C2BC4032AA9B}"/>
    <cellStyle name="Normal 3 2 5 3 3" xfId="14863" xr:uid="{A6FD28DC-9B9F-46D4-9DB7-71A0CCC30127}"/>
    <cellStyle name="Normal 3 2 5 4" xfId="19086" xr:uid="{853FADD8-A117-4FB9-B18E-9687AB6B53BD}"/>
    <cellStyle name="Normal 3 2 5 5" xfId="10646" xr:uid="{87018246-C003-4083-9FBE-A982A259B427}"/>
    <cellStyle name="Normal 3 2 6" xfId="1643" xr:uid="{00000000-0005-0000-0000-0000D6110000}"/>
    <cellStyle name="Normal 3 2 6 2" xfId="3873" xr:uid="{00000000-0005-0000-0000-0000D7110000}"/>
    <cellStyle name="Normal 3 2 6 2 2" xfId="8095" xr:uid="{00000000-0005-0000-0000-0000D8110000}"/>
    <cellStyle name="Normal 3 2 6 2 2 2" xfId="25861" xr:uid="{D8FF20DD-0EC9-44D6-9F45-1F2FFB3BFED8}"/>
    <cellStyle name="Normal 3 2 6 2 2 3" xfId="17421" xr:uid="{616D9AB3-FB33-45E1-806E-768E67BE8B5A}"/>
    <cellStyle name="Normal 3 2 6 2 3" xfId="21644" xr:uid="{B602B702-1E64-4FF9-B4E1-091EE6ADBD7C}"/>
    <cellStyle name="Normal 3 2 6 2 4" xfId="13204" xr:uid="{F5335CA1-7A78-4513-911C-EA931AE68071}"/>
    <cellStyle name="Normal 3 2 6 3" xfId="5950" xr:uid="{00000000-0005-0000-0000-0000D9110000}"/>
    <cellStyle name="Normal 3 2 6 3 2" xfId="23716" xr:uid="{43F7C25D-3809-4942-80E7-59B4D9D18E60}"/>
    <cellStyle name="Normal 3 2 6 3 3" xfId="15276" xr:uid="{BE993BF9-AA81-46B4-8C4E-E69F001A496C}"/>
    <cellStyle name="Normal 3 2 6 4" xfId="19499" xr:uid="{B14DA778-5C44-4EA0-A284-2915AB0783B9}"/>
    <cellStyle name="Normal 3 2 6 5" xfId="11059" xr:uid="{3DEE8FAC-2D35-4E02-AAB3-8AAE4D0F1F90}"/>
    <cellStyle name="Normal 3 2 7" xfId="2057" xr:uid="{00000000-0005-0000-0000-0000DA110000}"/>
    <cellStyle name="Normal 3 2 7 2" xfId="4286" xr:uid="{00000000-0005-0000-0000-0000DB110000}"/>
    <cellStyle name="Normal 3 2 7 2 2" xfId="8508" xr:uid="{00000000-0005-0000-0000-0000DC110000}"/>
    <cellStyle name="Normal 3 2 7 2 2 2" xfId="26274" xr:uid="{958B6E2C-AC5F-46D0-9D0C-BE8CD7830A92}"/>
    <cellStyle name="Normal 3 2 7 2 2 3" xfId="17834" xr:uid="{D4A6DBC8-2625-40E0-931B-CFC1CDEA8EB8}"/>
    <cellStyle name="Normal 3 2 7 2 3" xfId="22057" xr:uid="{74178F0A-BF3D-4FDA-AFBB-D4999280D52C}"/>
    <cellStyle name="Normal 3 2 7 2 4" xfId="13617" xr:uid="{C52116D4-8486-42A7-8190-1BB55168900E}"/>
    <cellStyle name="Normal 3 2 7 3" xfId="6363" xr:uid="{00000000-0005-0000-0000-0000DD110000}"/>
    <cellStyle name="Normal 3 2 7 3 2" xfId="24129" xr:uid="{ECE3080C-F028-47FD-B06F-A625D48EE7C1}"/>
    <cellStyle name="Normal 3 2 7 3 3" xfId="15689" xr:uid="{F7060FE7-CC89-4311-BBAF-8443FAF6B37F}"/>
    <cellStyle name="Normal 3 2 7 4" xfId="19912" xr:uid="{7F47BB47-75DF-4741-BEFD-9CA1AE6B180D}"/>
    <cellStyle name="Normal 3 2 7 5" xfId="11472" xr:uid="{F89403E8-9E2E-4985-8F89-77D8F3EB28D3}"/>
    <cellStyle name="Normal 3 2 8" xfId="2493" xr:uid="{00000000-0005-0000-0000-0000DE110000}"/>
    <cellStyle name="Normal 3 2 8 2" xfId="6776" xr:uid="{00000000-0005-0000-0000-0000DF110000}"/>
    <cellStyle name="Normal 3 2 8 2 2" xfId="24542" xr:uid="{EAFAFB3B-570E-4D1D-9590-A53CA36269C4}"/>
    <cellStyle name="Normal 3 2 8 2 3" xfId="16102" xr:uid="{EB8DAACB-C144-400E-AB6B-9221E9B5B496}"/>
    <cellStyle name="Normal 3 2 8 3" xfId="20325" xr:uid="{7DB15FA5-AF30-4921-8409-3757E58AA871}"/>
    <cellStyle name="Normal 3 2 8 4" xfId="11885" xr:uid="{CBEAA729-7676-49BC-85F4-730335C0E8D8}"/>
    <cellStyle name="Normal 3 2 9" xfId="4710" xr:uid="{00000000-0005-0000-0000-0000E0110000}"/>
    <cellStyle name="Normal 3 2 9 2" xfId="22476" xr:uid="{CC3611F8-0351-45FA-8A0E-AD6C1250D520}"/>
    <cellStyle name="Normal 3 2 9 3" xfId="14036" xr:uid="{62FD86DC-D704-438A-A290-FCC4D602A43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264" xr:uid="{B9FE7096-C672-4F6E-A431-C87FB3520BA0}"/>
    <cellStyle name="Normal 4 11" xfId="9824" xr:uid="{B3EBF17E-3CD9-48B0-814F-6F8677C59409}"/>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26279" xr:uid="{4806113A-361E-47FA-A07C-C0941F399EF2}"/>
    <cellStyle name="Normal 4 2 2 10 2 2 3" xfId="17839" xr:uid="{B5713C6B-0D9C-47B6-91A7-13F0B965A192}"/>
    <cellStyle name="Normal 4 2 2 10 2 3" xfId="22062" xr:uid="{34698551-A9A7-4595-84CB-BA7E69A732A6}"/>
    <cellStyle name="Normal 4 2 2 10 2 4" xfId="13622" xr:uid="{30A891A6-4D60-4FD0-A708-A70B73B09C18}"/>
    <cellStyle name="Normal 4 2 2 10 3" xfId="6368" xr:uid="{00000000-0005-0000-0000-0000ED110000}"/>
    <cellStyle name="Normal 4 2 2 10 3 2" xfId="24134" xr:uid="{1D2EF304-3BB8-4B5B-BDBD-3BBC5ACF975C}"/>
    <cellStyle name="Normal 4 2 2 10 3 3" xfId="15694" xr:uid="{A62E9C11-6D0A-4960-AE9B-414E67678486}"/>
    <cellStyle name="Normal 4 2 2 10 4" xfId="19917" xr:uid="{74B1892B-A089-47C1-A94B-37F87254CF66}"/>
    <cellStyle name="Normal 4 2 2 10 5" xfId="11477" xr:uid="{2A17C83F-697B-4F24-BCF7-945DC94C1587}"/>
    <cellStyle name="Normal 4 2 2 11" xfId="2498" xr:uid="{00000000-0005-0000-0000-0000EE110000}"/>
    <cellStyle name="Normal 4 2 2 11 2" xfId="6781" xr:uid="{00000000-0005-0000-0000-0000EF110000}"/>
    <cellStyle name="Normal 4 2 2 11 2 2" xfId="24547" xr:uid="{3D2A43E3-8524-4D95-9A04-216089A93E25}"/>
    <cellStyle name="Normal 4 2 2 11 2 3" xfId="16107" xr:uid="{6982DCAC-BBEF-493C-BE01-3B57BB7424C9}"/>
    <cellStyle name="Normal 4 2 2 11 3" xfId="20330" xr:uid="{1B4BE194-35B3-4805-8513-D24E9A22CD43}"/>
    <cellStyle name="Normal 4 2 2 11 4" xfId="11890" xr:uid="{723D82C3-26A8-43D3-A651-248B1A0DCEF0}"/>
    <cellStyle name="Normal 4 2 2 12" xfId="4716" xr:uid="{00000000-0005-0000-0000-0000F0110000}"/>
    <cellStyle name="Normal 4 2 2 12 2" xfId="22482" xr:uid="{71BD9081-AE1F-4B33-BD86-69829D32DC7F}"/>
    <cellStyle name="Normal 4 2 2 12 3" xfId="14042" xr:uid="{565A6787-F356-4513-BA71-7419BD10AA10}"/>
    <cellStyle name="Normal 4 2 2 13" xfId="8752" xr:uid="{7B61EFAC-4165-4615-9A47-7AF5DAE027C9}"/>
    <cellStyle name="Normal 4 2 2 13 2" xfId="18265" xr:uid="{D76D24CB-2498-4D0B-AC13-ABBD2F92B4D5}"/>
    <cellStyle name="Normal 4 2 2 14" xfId="9825" xr:uid="{B76E17D6-2C43-4297-8DD2-A0C7AE2081BD}"/>
    <cellStyle name="Normal 4 2 2 2" xfId="338" xr:uid="{00000000-0005-0000-0000-0000F1110000}"/>
    <cellStyle name="Normal 4 2 2 3" xfId="339" xr:uid="{00000000-0005-0000-0000-0000F2110000}"/>
    <cellStyle name="Normal 4 2 2 3 10" xfId="4717" xr:uid="{00000000-0005-0000-0000-0000F3110000}"/>
    <cellStyle name="Normal 4 2 2 3 10 2" xfId="22483" xr:uid="{A36714FB-50B8-4EA7-8BC0-446BD71A535D}"/>
    <cellStyle name="Normal 4 2 2 3 10 3" xfId="14043" xr:uid="{AB2C7ECF-83C4-48E1-8338-4B2B0F46D7BD}"/>
    <cellStyle name="Normal 4 2 2 3 11" xfId="8784" xr:uid="{8AA3A883-811C-4C4A-AFFF-9AAED56BF228}"/>
    <cellStyle name="Normal 4 2 2 3 11 2" xfId="18266" xr:uid="{35BA7AA6-B8FB-484D-98D3-CA86C1F2CE3F}"/>
    <cellStyle name="Normal 4 2 2 3 12" xfId="9826" xr:uid="{17D32400-EDFC-4953-88ED-0DF1B87C7A99}"/>
    <cellStyle name="Normal 4 2 2 3 2" xfId="340" xr:uid="{00000000-0005-0000-0000-0000F4110000}"/>
    <cellStyle name="Normal 4 2 2 3 2 10" xfId="8819" xr:uid="{16629302-3759-4242-B07E-BB5D034B10E8}"/>
    <cellStyle name="Normal 4 2 2 3 2 10 2" xfId="18267" xr:uid="{191B97CF-1DF5-4F3B-8D8D-C8A16A45A4F9}"/>
    <cellStyle name="Normal 4 2 2 3 2 11" xfId="9827" xr:uid="{1156FD96-6B8C-4ABB-A7A3-4B05A874C3B2}"/>
    <cellStyle name="Normal 4 2 2 3 2 2" xfId="341" xr:uid="{00000000-0005-0000-0000-0000F5110000}"/>
    <cellStyle name="Normal 4 2 2 3 2 2 10" xfId="9828" xr:uid="{933BB81F-B1AC-495A-A709-AD468B355573}"/>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25044" xr:uid="{8D818A8E-960F-4BF4-B532-466055033239}"/>
    <cellStyle name="Normal 4 2 2 3 2 2 2 2 2 2 3" xfId="16604" xr:uid="{7118EB88-EC8C-45BC-9D8A-55E5D81CF226}"/>
    <cellStyle name="Normal 4 2 2 3 2 2 2 2 2 3" xfId="20827" xr:uid="{EA23F741-F536-470C-A0E1-C37D92446F68}"/>
    <cellStyle name="Normal 4 2 2 3 2 2 2 2 2 4" xfId="12387" xr:uid="{66F563B9-1466-43A9-8267-1059D5CD140E}"/>
    <cellStyle name="Normal 4 2 2 3 2 2 2 2 3" xfId="5133" xr:uid="{00000000-0005-0000-0000-0000FA110000}"/>
    <cellStyle name="Normal 4 2 2 3 2 2 2 2 3 2" xfId="22899" xr:uid="{F935F086-CE4B-4D39-90B0-DF0EC562BE4B}"/>
    <cellStyle name="Normal 4 2 2 3 2 2 2 2 3 3" xfId="14459" xr:uid="{5D4A77E7-A01C-4F37-A091-9536A3B86CBF}"/>
    <cellStyle name="Normal 4 2 2 3 2 2 2 2 4" xfId="9554" xr:uid="{BAC669EC-8948-4716-90C3-0688F03300CE}"/>
    <cellStyle name="Normal 4 2 2 3 2 2 2 2 4 2" xfId="18682" xr:uid="{62E4B1C8-0662-4946-8DD1-1F0E346E8181}"/>
    <cellStyle name="Normal 4 2 2 3 2 2 2 2 5" xfId="10242" xr:uid="{D0F82952-259A-45A2-9854-E8E632A0AB59}"/>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25457" xr:uid="{9F92D363-64EC-42B1-9B24-3B2A1D9B17E8}"/>
    <cellStyle name="Normal 4 2 2 3 2 2 2 3 2 2 3" xfId="17017" xr:uid="{33D34610-286D-4077-97AC-78EC67714E9F}"/>
    <cellStyle name="Normal 4 2 2 3 2 2 2 3 2 3" xfId="21240" xr:uid="{7DE1F6B2-8D84-43AD-A7F3-F6FA5E721249}"/>
    <cellStyle name="Normal 4 2 2 3 2 2 2 3 2 4" xfId="12800" xr:uid="{79A261E2-3E93-4D58-B898-47449B935078}"/>
    <cellStyle name="Normal 4 2 2 3 2 2 2 3 3" xfId="5546" xr:uid="{00000000-0005-0000-0000-0000FE110000}"/>
    <cellStyle name="Normal 4 2 2 3 2 2 2 3 3 2" xfId="23312" xr:uid="{F344636A-3A37-45E7-A4D0-338B0752D7C5}"/>
    <cellStyle name="Normal 4 2 2 3 2 2 2 3 3 3" xfId="14872" xr:uid="{87A44353-8489-4037-8BC6-83C467EEFC24}"/>
    <cellStyle name="Normal 4 2 2 3 2 2 2 3 4" xfId="19095" xr:uid="{B9D152FA-B902-45FE-BDD5-AEE0E6266E75}"/>
    <cellStyle name="Normal 4 2 2 3 2 2 2 3 5" xfId="10655" xr:uid="{BF97A1BF-942E-4FA4-8AD3-DAED6B3C0BEB}"/>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25870" xr:uid="{09F6BE7D-9E3E-4BDE-80DA-5179083318F8}"/>
    <cellStyle name="Normal 4 2 2 3 2 2 2 4 2 2 3" xfId="17430" xr:uid="{8C44EA51-05DE-426E-9523-A3296B4C3A22}"/>
    <cellStyle name="Normal 4 2 2 3 2 2 2 4 2 3" xfId="21653" xr:uid="{01F1CBED-D6EB-4480-B7CA-F0BFFD197B4D}"/>
    <cellStyle name="Normal 4 2 2 3 2 2 2 4 2 4" xfId="13213" xr:uid="{3625C047-AC98-41A6-9C2D-1444B3342EBF}"/>
    <cellStyle name="Normal 4 2 2 3 2 2 2 4 3" xfId="5959" xr:uid="{00000000-0005-0000-0000-000002120000}"/>
    <cellStyle name="Normal 4 2 2 3 2 2 2 4 3 2" xfId="23725" xr:uid="{D19A37F0-B5A7-4327-8EA1-875E43F11481}"/>
    <cellStyle name="Normal 4 2 2 3 2 2 2 4 3 3" xfId="15285" xr:uid="{FFC0492B-C5B2-46C8-88D0-07F169ABFD34}"/>
    <cellStyle name="Normal 4 2 2 3 2 2 2 4 4" xfId="19508" xr:uid="{31C3EF31-1455-4455-BF0D-28B877B77707}"/>
    <cellStyle name="Normal 4 2 2 3 2 2 2 4 5" xfId="11068" xr:uid="{E27FE887-FED0-4836-A3C5-DB877210658A}"/>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26283" xr:uid="{DDDB9F66-1FB9-497C-97F0-C68F91C5E20E}"/>
    <cellStyle name="Normal 4 2 2 3 2 2 2 5 2 2 3" xfId="17843" xr:uid="{2EAD5C93-30CD-41DC-9500-0FE41C1524D6}"/>
    <cellStyle name="Normal 4 2 2 3 2 2 2 5 2 3" xfId="22066" xr:uid="{33A2BD46-DFE1-4E83-91E5-034455E64E39}"/>
    <cellStyle name="Normal 4 2 2 3 2 2 2 5 2 4" xfId="13626" xr:uid="{D3541A92-2045-4E0C-9292-A0D18BF215D3}"/>
    <cellStyle name="Normal 4 2 2 3 2 2 2 5 3" xfId="6372" xr:uid="{00000000-0005-0000-0000-000006120000}"/>
    <cellStyle name="Normal 4 2 2 3 2 2 2 5 3 2" xfId="24138" xr:uid="{799255B7-5ECD-4BA5-9853-97B7FB451EBF}"/>
    <cellStyle name="Normal 4 2 2 3 2 2 2 5 3 3" xfId="15698" xr:uid="{3D654453-169E-4958-9320-F43F95848BC3}"/>
    <cellStyle name="Normal 4 2 2 3 2 2 2 5 4" xfId="19921" xr:uid="{F2734E1B-B838-4D0D-8B97-69B719275471}"/>
    <cellStyle name="Normal 4 2 2 3 2 2 2 5 5" xfId="11481" xr:uid="{A94CEB7D-621D-47A8-ADC5-6861A80CB2AC}"/>
    <cellStyle name="Normal 4 2 2 3 2 2 2 6" xfId="2502" xr:uid="{00000000-0005-0000-0000-000007120000}"/>
    <cellStyle name="Normal 4 2 2 3 2 2 2 6 2" xfId="6785" xr:uid="{00000000-0005-0000-0000-000008120000}"/>
    <cellStyle name="Normal 4 2 2 3 2 2 2 6 2 2" xfId="24551" xr:uid="{268BBB66-F8DC-4BDA-BAD8-2C7D7C7532FC}"/>
    <cellStyle name="Normal 4 2 2 3 2 2 2 6 2 3" xfId="16111" xr:uid="{43017995-DE35-42E2-8235-4D62770B8D37}"/>
    <cellStyle name="Normal 4 2 2 3 2 2 2 6 3" xfId="20334" xr:uid="{701141A0-2A2C-4134-A854-79157848B3E9}"/>
    <cellStyle name="Normal 4 2 2 3 2 2 2 6 4" xfId="11894" xr:uid="{84F25AB5-9496-46CF-AAAC-6008EE747527}"/>
    <cellStyle name="Normal 4 2 2 3 2 2 2 7" xfId="4720" xr:uid="{00000000-0005-0000-0000-000009120000}"/>
    <cellStyle name="Normal 4 2 2 3 2 2 2 7 2" xfId="22486" xr:uid="{1BC7EEE7-1750-4778-9C94-DCC690BBC10C}"/>
    <cellStyle name="Normal 4 2 2 3 2 2 2 7 3" xfId="14046" xr:uid="{AE3D6827-CD9C-4005-84AF-3E4DE9B5FFA7}"/>
    <cellStyle name="Normal 4 2 2 3 2 2 2 8" xfId="9129" xr:uid="{970F8072-C8D6-4D17-95D6-EBF431EAD262}"/>
    <cellStyle name="Normal 4 2 2 3 2 2 2 8 2" xfId="18269" xr:uid="{9793879A-DDCC-4040-925C-DDD616454F3F}"/>
    <cellStyle name="Normal 4 2 2 3 2 2 2 9" xfId="9829" xr:uid="{AF963B37-A2C1-468C-A955-72EB52F0CDB7}"/>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25043" xr:uid="{565953D8-ADC1-431D-9268-B9201F733E1E}"/>
    <cellStyle name="Normal 4 2 2 3 2 2 3 2 2 3" xfId="16603" xr:uid="{B9B47773-02D6-4738-A571-65A859051CDF}"/>
    <cellStyle name="Normal 4 2 2 3 2 2 3 2 3" xfId="20826" xr:uid="{2A4085AD-8E64-46F3-AAC6-1115755FAECE}"/>
    <cellStyle name="Normal 4 2 2 3 2 2 3 2 4" xfId="12386" xr:uid="{15F90BA1-B213-4668-8EA7-B336343A4713}"/>
    <cellStyle name="Normal 4 2 2 3 2 2 3 3" xfId="5132" xr:uid="{00000000-0005-0000-0000-00000D120000}"/>
    <cellStyle name="Normal 4 2 2 3 2 2 3 3 2" xfId="22898" xr:uid="{135BFFE7-D005-4247-9677-3115015D4113}"/>
    <cellStyle name="Normal 4 2 2 3 2 2 3 3 3" xfId="14458" xr:uid="{835DE3B0-6DC4-4871-8A47-49B03B1A0BAC}"/>
    <cellStyle name="Normal 4 2 2 3 2 2 3 4" xfId="9347" xr:uid="{8C9012CB-19BB-4242-9F43-373358B13B52}"/>
    <cellStyle name="Normal 4 2 2 3 2 2 3 4 2" xfId="18681" xr:uid="{97CC1F3F-EBB4-4C83-A9E0-61BD29D10F9A}"/>
    <cellStyle name="Normal 4 2 2 3 2 2 3 5" xfId="10241" xr:uid="{2C41C0E5-C899-4165-B9EE-BF67275DF666}"/>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25456" xr:uid="{11FF7C44-1A09-47C5-A673-9349639AE629}"/>
    <cellStyle name="Normal 4 2 2 3 2 2 4 2 2 3" xfId="17016" xr:uid="{DF41BB31-81E6-489B-A62F-15DFEBB0C995}"/>
    <cellStyle name="Normal 4 2 2 3 2 2 4 2 3" xfId="21239" xr:uid="{6FF7159D-B75D-4B10-ACC0-300AABB217AB}"/>
    <cellStyle name="Normal 4 2 2 3 2 2 4 2 4" xfId="12799" xr:uid="{A0992B4C-F511-44F7-A1E2-3B8FD5F9C878}"/>
    <cellStyle name="Normal 4 2 2 3 2 2 4 3" xfId="5545" xr:uid="{00000000-0005-0000-0000-000011120000}"/>
    <cellStyle name="Normal 4 2 2 3 2 2 4 3 2" xfId="23311" xr:uid="{FBD4517B-9BB1-4859-AF62-890C3BC65C61}"/>
    <cellStyle name="Normal 4 2 2 3 2 2 4 3 3" xfId="14871" xr:uid="{ED63D76D-BCC8-4B7D-A84F-143C54D43649}"/>
    <cellStyle name="Normal 4 2 2 3 2 2 4 4" xfId="19094" xr:uid="{450A9841-21A6-4335-A4FB-D35D00F86CDE}"/>
    <cellStyle name="Normal 4 2 2 3 2 2 4 5" xfId="10654" xr:uid="{4A65DA6E-4C10-4620-8750-777A3D01F90D}"/>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25869" xr:uid="{84EDF8BA-C68B-4321-A13A-6F11729F36F3}"/>
    <cellStyle name="Normal 4 2 2 3 2 2 5 2 2 3" xfId="17429" xr:uid="{FF6545CC-94D0-46C3-94CD-E1E85E7A7D23}"/>
    <cellStyle name="Normal 4 2 2 3 2 2 5 2 3" xfId="21652" xr:uid="{F32C51B9-C7F7-4552-A0A7-60DE43EAC46F}"/>
    <cellStyle name="Normal 4 2 2 3 2 2 5 2 4" xfId="13212" xr:uid="{30F10C3D-6F60-4BAE-BA47-562647B1EF2A}"/>
    <cellStyle name="Normal 4 2 2 3 2 2 5 3" xfId="5958" xr:uid="{00000000-0005-0000-0000-000015120000}"/>
    <cellStyle name="Normal 4 2 2 3 2 2 5 3 2" xfId="23724" xr:uid="{7B54670B-D0A1-49D0-8B42-F5471B5A7F94}"/>
    <cellStyle name="Normal 4 2 2 3 2 2 5 3 3" xfId="15284" xr:uid="{B6ED98F3-5AE9-4B08-89A7-0A6102B0DDB4}"/>
    <cellStyle name="Normal 4 2 2 3 2 2 5 4" xfId="19507" xr:uid="{7EA8E2DF-5240-470F-B91F-F3A66D98DB9D}"/>
    <cellStyle name="Normal 4 2 2 3 2 2 5 5" xfId="11067" xr:uid="{9B1B8946-AD8D-4F89-A701-C3BB3735918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26282" xr:uid="{A7CFAD9A-A7E6-45E1-BDA0-D0DBC5EDB410}"/>
    <cellStyle name="Normal 4 2 2 3 2 2 6 2 2 3" xfId="17842" xr:uid="{696272D5-8C4B-4DB8-9840-616CF9C18054}"/>
    <cellStyle name="Normal 4 2 2 3 2 2 6 2 3" xfId="22065" xr:uid="{E5AB9BA6-5E91-459F-B592-836A9766D29E}"/>
    <cellStyle name="Normal 4 2 2 3 2 2 6 2 4" xfId="13625" xr:uid="{566C6DB0-56AE-44B0-9AB7-64DA6EF7C433}"/>
    <cellStyle name="Normal 4 2 2 3 2 2 6 3" xfId="6371" xr:uid="{00000000-0005-0000-0000-000019120000}"/>
    <cellStyle name="Normal 4 2 2 3 2 2 6 3 2" xfId="24137" xr:uid="{0B260380-C391-4F24-A23E-FA85AD6875A0}"/>
    <cellStyle name="Normal 4 2 2 3 2 2 6 3 3" xfId="15697" xr:uid="{76446E4A-221E-4572-86CC-99BD9270E752}"/>
    <cellStyle name="Normal 4 2 2 3 2 2 6 4" xfId="19920" xr:uid="{7EB78368-788B-49CF-B4E3-83E0E5EC3695}"/>
    <cellStyle name="Normal 4 2 2 3 2 2 6 5" xfId="11480" xr:uid="{47C2F6C6-37DA-4576-91A9-65CC313FBD2A}"/>
    <cellStyle name="Normal 4 2 2 3 2 2 7" xfId="2501" xr:uid="{00000000-0005-0000-0000-00001A120000}"/>
    <cellStyle name="Normal 4 2 2 3 2 2 7 2" xfId="6784" xr:uid="{00000000-0005-0000-0000-00001B120000}"/>
    <cellStyle name="Normal 4 2 2 3 2 2 7 2 2" xfId="24550" xr:uid="{E82C2287-15FE-49A7-83C0-A8BD023D9E35}"/>
    <cellStyle name="Normal 4 2 2 3 2 2 7 2 3" xfId="16110" xr:uid="{1CF8BBC8-72B9-416C-9EED-F6486DC3AEFA}"/>
    <cellStyle name="Normal 4 2 2 3 2 2 7 3" xfId="20333" xr:uid="{C72E66D5-07DC-4F3D-814A-DDB6FA7B9CD7}"/>
    <cellStyle name="Normal 4 2 2 3 2 2 7 4" xfId="11893" xr:uid="{D6D49412-026D-4AD8-ADC0-42EE47C7FCE8}"/>
    <cellStyle name="Normal 4 2 2 3 2 2 8" xfId="4719" xr:uid="{00000000-0005-0000-0000-00001C120000}"/>
    <cellStyle name="Normal 4 2 2 3 2 2 8 2" xfId="22485" xr:uid="{C9702505-43F3-433E-B1BE-FBC83FF09813}"/>
    <cellStyle name="Normal 4 2 2 3 2 2 8 3" xfId="14045" xr:uid="{DC362604-5965-4553-8079-CF6D8D07E306}"/>
    <cellStyle name="Normal 4 2 2 3 2 2 9" xfId="8922" xr:uid="{32C9E21B-8C85-4874-B28C-82BF39BA84E2}"/>
    <cellStyle name="Normal 4 2 2 3 2 2 9 2" xfId="18268" xr:uid="{5751C4A3-CCC0-47A6-B7CA-3BE4725BB4DA}"/>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25045" xr:uid="{23B9DB77-9F8B-41D4-838A-8BDFA2DAD8C3}"/>
    <cellStyle name="Normal 4 2 2 3 2 3 2 2 2 3" xfId="16605" xr:uid="{45A94038-60F2-4DEE-BF21-99A4D4F1C1BB}"/>
    <cellStyle name="Normal 4 2 2 3 2 3 2 2 3" xfId="20828" xr:uid="{0ECBF921-D7E7-4913-B11D-D9AE72F46666}"/>
    <cellStyle name="Normal 4 2 2 3 2 3 2 2 4" xfId="12388" xr:uid="{7CC9F91A-B959-4B73-9A23-D2931D34D9D3}"/>
    <cellStyle name="Normal 4 2 2 3 2 3 2 3" xfId="5134" xr:uid="{00000000-0005-0000-0000-000021120000}"/>
    <cellStyle name="Normal 4 2 2 3 2 3 2 3 2" xfId="22900" xr:uid="{CB180862-59CF-4093-B59C-33640B07F11C}"/>
    <cellStyle name="Normal 4 2 2 3 2 3 2 3 3" xfId="14460" xr:uid="{489C05D8-AE07-48DC-9DD0-1ED9B1C976F7}"/>
    <cellStyle name="Normal 4 2 2 3 2 3 2 4" xfId="9451" xr:uid="{85AA9164-95F1-48F2-907A-54AD445D074F}"/>
    <cellStyle name="Normal 4 2 2 3 2 3 2 4 2" xfId="18683" xr:uid="{674354AB-3F14-4C08-8512-2B6F50749647}"/>
    <cellStyle name="Normal 4 2 2 3 2 3 2 5" xfId="10243" xr:uid="{79A1A086-FFF4-4779-9A8E-B7EDBD3B5055}"/>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25458" xr:uid="{E41AC0EE-0B6F-4B91-8635-6CF1482C514D}"/>
    <cellStyle name="Normal 4 2 2 3 2 3 3 2 2 3" xfId="17018" xr:uid="{04ABD739-8D64-463A-BB78-FFE12458D956}"/>
    <cellStyle name="Normal 4 2 2 3 2 3 3 2 3" xfId="21241" xr:uid="{8687F0E2-6D26-44E6-AF11-E66837A8DB58}"/>
    <cellStyle name="Normal 4 2 2 3 2 3 3 2 4" xfId="12801" xr:uid="{235CEFD4-C7A8-4D31-A882-197A48DC6956}"/>
    <cellStyle name="Normal 4 2 2 3 2 3 3 3" xfId="5547" xr:uid="{00000000-0005-0000-0000-000025120000}"/>
    <cellStyle name="Normal 4 2 2 3 2 3 3 3 2" xfId="23313" xr:uid="{90A79FCD-24AC-4930-AB91-5B1F842C2E6B}"/>
    <cellStyle name="Normal 4 2 2 3 2 3 3 3 3" xfId="14873" xr:uid="{6B58F01C-0874-45CF-BF57-CF000692D6EC}"/>
    <cellStyle name="Normal 4 2 2 3 2 3 3 4" xfId="19096" xr:uid="{0A2E8584-A7B2-48D0-AA67-D33CEA7112B1}"/>
    <cellStyle name="Normal 4 2 2 3 2 3 3 5" xfId="10656" xr:uid="{C15F37C4-827B-490F-BE25-3BD85CA18C72}"/>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25871" xr:uid="{66AA581B-838C-49C5-9E29-72D8CB26C02C}"/>
    <cellStyle name="Normal 4 2 2 3 2 3 4 2 2 3" xfId="17431" xr:uid="{E24094CF-B3E1-49AB-A1AB-B9188E215079}"/>
    <cellStyle name="Normal 4 2 2 3 2 3 4 2 3" xfId="21654" xr:uid="{5C02BBC4-B3B6-4771-BDD7-BEE994CED0D0}"/>
    <cellStyle name="Normal 4 2 2 3 2 3 4 2 4" xfId="13214" xr:uid="{285A089A-5C92-42A9-B4FD-D4A31E23916A}"/>
    <cellStyle name="Normal 4 2 2 3 2 3 4 3" xfId="5960" xr:uid="{00000000-0005-0000-0000-000029120000}"/>
    <cellStyle name="Normal 4 2 2 3 2 3 4 3 2" xfId="23726" xr:uid="{C39AF7DC-068A-4ADC-B843-3FEDAAA4D0F0}"/>
    <cellStyle name="Normal 4 2 2 3 2 3 4 3 3" xfId="15286" xr:uid="{61DABF71-0E0B-41F5-B1EC-E1E1FF4EB4FF}"/>
    <cellStyle name="Normal 4 2 2 3 2 3 4 4" xfId="19509" xr:uid="{0556C267-9AD7-4554-8E5D-2D742251A87C}"/>
    <cellStyle name="Normal 4 2 2 3 2 3 4 5" xfId="11069" xr:uid="{7BE57506-830B-4BBA-8485-8AF7CC455E11}"/>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26284" xr:uid="{821351A7-3DF0-4933-BF3D-BBFB868351D0}"/>
    <cellStyle name="Normal 4 2 2 3 2 3 5 2 2 3" xfId="17844" xr:uid="{A9232C26-FDA3-4AFD-8189-A602C9A3FA74}"/>
    <cellStyle name="Normal 4 2 2 3 2 3 5 2 3" xfId="22067" xr:uid="{D6A25D8D-6303-47E4-A773-7980154A7E55}"/>
    <cellStyle name="Normal 4 2 2 3 2 3 5 2 4" xfId="13627" xr:uid="{70E0695A-829E-4908-B34E-1BF05CE7A647}"/>
    <cellStyle name="Normal 4 2 2 3 2 3 5 3" xfId="6373" xr:uid="{00000000-0005-0000-0000-00002D120000}"/>
    <cellStyle name="Normal 4 2 2 3 2 3 5 3 2" xfId="24139" xr:uid="{BB5343C0-C847-4F4E-A1B7-890A4D716918}"/>
    <cellStyle name="Normal 4 2 2 3 2 3 5 3 3" xfId="15699" xr:uid="{F8535890-7F8F-4454-8AD5-DEAA629C18A7}"/>
    <cellStyle name="Normal 4 2 2 3 2 3 5 4" xfId="19922" xr:uid="{9D07DC13-3CF1-4EF9-BA00-A82ED884DB47}"/>
    <cellStyle name="Normal 4 2 2 3 2 3 5 5" xfId="11482" xr:uid="{BE9134E5-6A1A-400E-91E4-3624791D868F}"/>
    <cellStyle name="Normal 4 2 2 3 2 3 6" xfId="2503" xr:uid="{00000000-0005-0000-0000-00002E120000}"/>
    <cellStyle name="Normal 4 2 2 3 2 3 6 2" xfId="6786" xr:uid="{00000000-0005-0000-0000-00002F120000}"/>
    <cellStyle name="Normal 4 2 2 3 2 3 6 2 2" xfId="24552" xr:uid="{8D08272F-5796-4847-B755-1477DC7087AB}"/>
    <cellStyle name="Normal 4 2 2 3 2 3 6 2 3" xfId="16112" xr:uid="{DB4A416D-F75F-4516-89B2-44F9378FBD05}"/>
    <cellStyle name="Normal 4 2 2 3 2 3 6 3" xfId="20335" xr:uid="{D461141F-0F8C-4868-8D2B-A4D726E9EF3A}"/>
    <cellStyle name="Normal 4 2 2 3 2 3 6 4" xfId="11895" xr:uid="{C7EA52C8-1391-4A49-807F-C2BA045A5C00}"/>
    <cellStyle name="Normal 4 2 2 3 2 3 7" xfId="4721" xr:uid="{00000000-0005-0000-0000-000030120000}"/>
    <cellStyle name="Normal 4 2 2 3 2 3 7 2" xfId="22487" xr:uid="{901A0588-7D34-4036-8195-D58CB1434E10}"/>
    <cellStyle name="Normal 4 2 2 3 2 3 7 3" xfId="14047" xr:uid="{54481E94-4B1A-43EC-871D-AFAD630B3A22}"/>
    <cellStyle name="Normal 4 2 2 3 2 3 8" xfId="9026" xr:uid="{319D63D3-F71C-4F99-9FD1-E3D0665567E8}"/>
    <cellStyle name="Normal 4 2 2 3 2 3 8 2" xfId="18270" xr:uid="{CEB44D1A-70B9-41EB-8BE4-31051181FF59}"/>
    <cellStyle name="Normal 4 2 2 3 2 3 9" xfId="9830" xr:uid="{1B0FF576-5976-4E39-895E-DB6929FAB254}"/>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25042" xr:uid="{04D21CE3-5752-483D-B557-CE76BAB4B991}"/>
    <cellStyle name="Normal 4 2 2 3 2 4 2 2 3" xfId="16602" xr:uid="{C028E9B1-425C-4872-9980-F9B318F5B25F}"/>
    <cellStyle name="Normal 4 2 2 3 2 4 2 3" xfId="20825" xr:uid="{BDB7CEC0-4301-4969-9C4D-08FF9AC1D8F3}"/>
    <cellStyle name="Normal 4 2 2 3 2 4 2 4" xfId="12385" xr:uid="{729C0DE6-7D4E-4C27-AB1C-48735DB53695}"/>
    <cellStyle name="Normal 4 2 2 3 2 4 3" xfId="5131" xr:uid="{00000000-0005-0000-0000-000034120000}"/>
    <cellStyle name="Normal 4 2 2 3 2 4 3 2" xfId="22897" xr:uid="{1D353B5A-A8E1-4F6C-ABC0-FC678A6E351B}"/>
    <cellStyle name="Normal 4 2 2 3 2 4 3 3" xfId="14457" xr:uid="{0C99D265-B6E6-4089-8011-060976A844B5}"/>
    <cellStyle name="Normal 4 2 2 3 2 4 4" xfId="9244" xr:uid="{98623F27-324A-40DE-AA2B-56E1FCE087EE}"/>
    <cellStyle name="Normal 4 2 2 3 2 4 4 2" xfId="18680" xr:uid="{D2122DA2-0D4D-45C3-BBA0-1F1BE46753BF}"/>
    <cellStyle name="Normal 4 2 2 3 2 4 5" xfId="10240" xr:uid="{5E878443-F238-43B0-ABFB-B5F67BBFF72B}"/>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25455" xr:uid="{2E5D1EBB-ECAD-45E0-BC8F-992075F36B6E}"/>
    <cellStyle name="Normal 4 2 2 3 2 5 2 2 3" xfId="17015" xr:uid="{0AAAC6BA-C227-43B5-99C4-011568840735}"/>
    <cellStyle name="Normal 4 2 2 3 2 5 2 3" xfId="21238" xr:uid="{610EDE21-D82B-4995-800D-AEF17CBCBA24}"/>
    <cellStyle name="Normal 4 2 2 3 2 5 2 4" xfId="12798" xr:uid="{65CF6CAE-C75A-43CF-A105-2FFC2BBE1421}"/>
    <cellStyle name="Normal 4 2 2 3 2 5 3" xfId="5544" xr:uid="{00000000-0005-0000-0000-000038120000}"/>
    <cellStyle name="Normal 4 2 2 3 2 5 3 2" xfId="23310" xr:uid="{72B0FDCA-0486-4A3D-A7B8-E5804A379BE7}"/>
    <cellStyle name="Normal 4 2 2 3 2 5 3 3" xfId="14870" xr:uid="{E814C77E-D8C8-446C-88FA-F1E58AEEA192}"/>
    <cellStyle name="Normal 4 2 2 3 2 5 4" xfId="19093" xr:uid="{F1D4003E-9AE6-4AA8-BF0B-4B5FBD7031C4}"/>
    <cellStyle name="Normal 4 2 2 3 2 5 5" xfId="10653" xr:uid="{80B3B5B4-E19B-4D72-A46B-EC9CCA26DB26}"/>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25868" xr:uid="{71BAF836-1C55-4CCE-937A-CA44320CBFD1}"/>
    <cellStyle name="Normal 4 2 2 3 2 6 2 2 3" xfId="17428" xr:uid="{E8229FE2-E2BF-417B-92A0-D051EC8CAC4E}"/>
    <cellStyle name="Normal 4 2 2 3 2 6 2 3" xfId="21651" xr:uid="{51E05ED8-C227-4C57-988E-A5C87A9B9255}"/>
    <cellStyle name="Normal 4 2 2 3 2 6 2 4" xfId="13211" xr:uid="{412865F6-9684-4FEA-87E9-4E6D854DA5F2}"/>
    <cellStyle name="Normal 4 2 2 3 2 6 3" xfId="5957" xr:uid="{00000000-0005-0000-0000-00003C120000}"/>
    <cellStyle name="Normal 4 2 2 3 2 6 3 2" xfId="23723" xr:uid="{6DE4361F-68D4-4F9D-B65C-21D52A9ED91F}"/>
    <cellStyle name="Normal 4 2 2 3 2 6 3 3" xfId="15283" xr:uid="{F1E14504-47F4-4679-886C-C252CA627734}"/>
    <cellStyle name="Normal 4 2 2 3 2 6 4" xfId="19506" xr:uid="{8667DD2F-A547-4AC4-B5ED-516B90B7F90A}"/>
    <cellStyle name="Normal 4 2 2 3 2 6 5" xfId="11066" xr:uid="{F13C70D5-BF3F-4621-9B64-6D2C50FF8D05}"/>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26281" xr:uid="{A9C06EF8-DA9D-4326-8E47-28FA899A8637}"/>
    <cellStyle name="Normal 4 2 2 3 2 7 2 2 3" xfId="17841" xr:uid="{E27056ED-E6B8-4951-855A-BD36875FAF95}"/>
    <cellStyle name="Normal 4 2 2 3 2 7 2 3" xfId="22064" xr:uid="{386F293D-F65A-4103-B595-342D2C53F4CC}"/>
    <cellStyle name="Normal 4 2 2 3 2 7 2 4" xfId="13624" xr:uid="{1ACCBAFE-53D3-4CC7-9C0E-32AA0BE2B8E4}"/>
    <cellStyle name="Normal 4 2 2 3 2 7 3" xfId="6370" xr:uid="{00000000-0005-0000-0000-000040120000}"/>
    <cellStyle name="Normal 4 2 2 3 2 7 3 2" xfId="24136" xr:uid="{EDA6B21C-24FC-492F-9614-E435211A2C44}"/>
    <cellStyle name="Normal 4 2 2 3 2 7 3 3" xfId="15696" xr:uid="{655021E2-BE45-45E4-80AE-426272FEF99F}"/>
    <cellStyle name="Normal 4 2 2 3 2 7 4" xfId="19919" xr:uid="{B65A06DA-6A0A-4BDF-A773-233412DC870E}"/>
    <cellStyle name="Normal 4 2 2 3 2 7 5" xfId="11479" xr:uid="{DF96C3E2-6590-4A3F-9DAD-EC771B7CDA62}"/>
    <cellStyle name="Normal 4 2 2 3 2 8" xfId="2500" xr:uid="{00000000-0005-0000-0000-000041120000}"/>
    <cellStyle name="Normal 4 2 2 3 2 8 2" xfId="6783" xr:uid="{00000000-0005-0000-0000-000042120000}"/>
    <cellStyle name="Normal 4 2 2 3 2 8 2 2" xfId="24549" xr:uid="{A3BE2532-6D10-4CC8-ACD9-5D39387348A1}"/>
    <cellStyle name="Normal 4 2 2 3 2 8 2 3" xfId="16109" xr:uid="{BFC43325-C640-46D0-A28B-EED50D38A512}"/>
    <cellStyle name="Normal 4 2 2 3 2 8 3" xfId="20332" xr:uid="{0150F0B8-B7EB-485E-B71B-918B5E28F7E1}"/>
    <cellStyle name="Normal 4 2 2 3 2 8 4" xfId="11892" xr:uid="{A192D99D-8E68-45BB-8CA6-746A881BDE20}"/>
    <cellStyle name="Normal 4 2 2 3 2 9" xfId="4718" xr:uid="{00000000-0005-0000-0000-000043120000}"/>
    <cellStyle name="Normal 4 2 2 3 2 9 2" xfId="22484" xr:uid="{CF3E4E12-BCE7-4643-A676-C1BFF2B79CF2}"/>
    <cellStyle name="Normal 4 2 2 3 2 9 3" xfId="14044" xr:uid="{33A0CB5E-8375-4E1C-9389-3D2BA3DC3597}"/>
    <cellStyle name="Normal 4 2 2 3 3" xfId="344" xr:uid="{00000000-0005-0000-0000-000044120000}"/>
    <cellStyle name="Normal 4 2 2 3 3 10" xfId="9831" xr:uid="{82F30F67-15D8-4F13-884B-B2518F20A99D}"/>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25047" xr:uid="{2C627D04-1F19-4143-AF7A-2E155C0D6B8C}"/>
    <cellStyle name="Normal 4 2 2 3 3 2 2 2 2 3" xfId="16607" xr:uid="{A7988BB6-53AE-416F-B926-9E62A8C4803B}"/>
    <cellStyle name="Normal 4 2 2 3 3 2 2 2 3" xfId="20830" xr:uid="{13C75AD2-7B68-4306-8F92-0A394FC5F113}"/>
    <cellStyle name="Normal 4 2 2 3 3 2 2 2 4" xfId="12390" xr:uid="{718EA093-A0D7-402C-9A26-0A09594DDC99}"/>
    <cellStyle name="Normal 4 2 2 3 3 2 2 3" xfId="5136" xr:uid="{00000000-0005-0000-0000-000049120000}"/>
    <cellStyle name="Normal 4 2 2 3 3 2 2 3 2" xfId="22902" xr:uid="{72E62755-4D07-429D-BCB2-61A9DCB73500}"/>
    <cellStyle name="Normal 4 2 2 3 3 2 2 3 3" xfId="14462" xr:uid="{72D86DEB-4969-4FD9-9BD5-9E7DD59EE879}"/>
    <cellStyle name="Normal 4 2 2 3 3 2 2 4" xfId="9519" xr:uid="{FB4BBD6E-D73B-4ABD-8656-6C15D7932E02}"/>
    <cellStyle name="Normal 4 2 2 3 3 2 2 4 2" xfId="18685" xr:uid="{BF426732-B8C5-411A-BC13-B3C28A16128E}"/>
    <cellStyle name="Normal 4 2 2 3 3 2 2 5" xfId="10245" xr:uid="{69665393-9D38-46F1-AFF6-4B2452E26B9E}"/>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25460" xr:uid="{0B7D3C75-AE37-4AE9-B001-6E40A7215AF2}"/>
    <cellStyle name="Normal 4 2 2 3 3 2 3 2 2 3" xfId="17020" xr:uid="{05B91897-06DB-4E84-86B4-7A2B0D1F25C6}"/>
    <cellStyle name="Normal 4 2 2 3 3 2 3 2 3" xfId="21243" xr:uid="{DB5FA56B-BFD1-4FDB-B23E-390D2DB5C886}"/>
    <cellStyle name="Normal 4 2 2 3 3 2 3 2 4" xfId="12803" xr:uid="{E9E0666B-9301-44CC-BAC3-02E2383577C3}"/>
    <cellStyle name="Normal 4 2 2 3 3 2 3 3" xfId="5549" xr:uid="{00000000-0005-0000-0000-00004D120000}"/>
    <cellStyle name="Normal 4 2 2 3 3 2 3 3 2" xfId="23315" xr:uid="{07A14A23-7011-47CD-8C09-2D51D9177564}"/>
    <cellStyle name="Normal 4 2 2 3 3 2 3 3 3" xfId="14875" xr:uid="{243A5175-E8DE-4FC7-9F18-CA29DA72C446}"/>
    <cellStyle name="Normal 4 2 2 3 3 2 3 4" xfId="19098" xr:uid="{6058F82F-1599-4E20-A415-60D525118FFF}"/>
    <cellStyle name="Normal 4 2 2 3 3 2 3 5" xfId="10658" xr:uid="{D0961EA6-D28E-43FB-97F1-CA82569BFD21}"/>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25873" xr:uid="{BF7F6492-CE5C-4538-9B66-1DC6C2379D63}"/>
    <cellStyle name="Normal 4 2 2 3 3 2 4 2 2 3" xfId="17433" xr:uid="{A2E19A08-253F-495A-AE33-7C862A2F0437}"/>
    <cellStyle name="Normal 4 2 2 3 3 2 4 2 3" xfId="21656" xr:uid="{D488ACE6-D791-42A9-B313-F5F5E3FE6512}"/>
    <cellStyle name="Normal 4 2 2 3 3 2 4 2 4" xfId="13216" xr:uid="{F5138B76-0047-4839-8CCB-F95A8FEBC186}"/>
    <cellStyle name="Normal 4 2 2 3 3 2 4 3" xfId="5962" xr:uid="{00000000-0005-0000-0000-000051120000}"/>
    <cellStyle name="Normal 4 2 2 3 3 2 4 3 2" xfId="23728" xr:uid="{6F12280E-6746-4E8D-9CE5-B6BFCF17C492}"/>
    <cellStyle name="Normal 4 2 2 3 3 2 4 3 3" xfId="15288" xr:uid="{A5F46323-6DE8-4B7E-A9BA-EDE9D1D93D64}"/>
    <cellStyle name="Normal 4 2 2 3 3 2 4 4" xfId="19511" xr:uid="{181284F2-CF5F-4366-95FC-E194AB5AF16D}"/>
    <cellStyle name="Normal 4 2 2 3 3 2 4 5" xfId="11071" xr:uid="{06166C46-2A5C-4944-9E30-D85936312114}"/>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26286" xr:uid="{9AAC7CFD-9D4B-4966-BCFF-8504B797A7CA}"/>
    <cellStyle name="Normal 4 2 2 3 3 2 5 2 2 3" xfId="17846" xr:uid="{3A4268BD-1999-4737-B21E-FF425977C7CE}"/>
    <cellStyle name="Normal 4 2 2 3 3 2 5 2 3" xfId="22069" xr:uid="{01C7570A-BC32-4A85-8FEE-E73AF928246D}"/>
    <cellStyle name="Normal 4 2 2 3 3 2 5 2 4" xfId="13629" xr:uid="{FC7B8906-B925-4527-9A3A-AB2CEA652921}"/>
    <cellStyle name="Normal 4 2 2 3 3 2 5 3" xfId="6375" xr:uid="{00000000-0005-0000-0000-000055120000}"/>
    <cellStyle name="Normal 4 2 2 3 3 2 5 3 2" xfId="24141" xr:uid="{1CCAF2C6-A3D8-4FAF-9C44-2304DB403A96}"/>
    <cellStyle name="Normal 4 2 2 3 3 2 5 3 3" xfId="15701" xr:uid="{F4321029-D2F6-4F21-87AC-FD601FA958AF}"/>
    <cellStyle name="Normal 4 2 2 3 3 2 5 4" xfId="19924" xr:uid="{40AB9363-84C2-4A10-AAEE-DC6D7F8BF6F4}"/>
    <cellStyle name="Normal 4 2 2 3 3 2 5 5" xfId="11484" xr:uid="{272BCE5B-0042-4A2F-B93C-9FFE594B4994}"/>
    <cellStyle name="Normal 4 2 2 3 3 2 6" xfId="2505" xr:uid="{00000000-0005-0000-0000-000056120000}"/>
    <cellStyle name="Normal 4 2 2 3 3 2 6 2" xfId="6788" xr:uid="{00000000-0005-0000-0000-000057120000}"/>
    <cellStyle name="Normal 4 2 2 3 3 2 6 2 2" xfId="24554" xr:uid="{3059BE79-3375-4166-8B05-73ADED8F5944}"/>
    <cellStyle name="Normal 4 2 2 3 3 2 6 2 3" xfId="16114" xr:uid="{7BC0FB63-4BE8-4FB3-B4D3-DFE2F3E9517D}"/>
    <cellStyle name="Normal 4 2 2 3 3 2 6 3" xfId="20337" xr:uid="{731ED241-15CB-4800-AA1C-B690C99E0F6E}"/>
    <cellStyle name="Normal 4 2 2 3 3 2 6 4" xfId="11897" xr:uid="{BD3AF457-FB9B-484F-AD5C-C558C602C360}"/>
    <cellStyle name="Normal 4 2 2 3 3 2 7" xfId="4723" xr:uid="{00000000-0005-0000-0000-000058120000}"/>
    <cellStyle name="Normal 4 2 2 3 3 2 7 2" xfId="22489" xr:uid="{A5DA898C-A140-4571-886E-F899551212CE}"/>
    <cellStyle name="Normal 4 2 2 3 3 2 7 3" xfId="14049" xr:uid="{A3F255FB-CAB4-436C-AD92-66F3D3BD7614}"/>
    <cellStyle name="Normal 4 2 2 3 3 2 8" xfId="9094" xr:uid="{1333D468-E252-4686-88C1-38A56B910A8E}"/>
    <cellStyle name="Normal 4 2 2 3 3 2 8 2" xfId="18272" xr:uid="{286736A4-C30D-4975-8A27-B8B94BCA4222}"/>
    <cellStyle name="Normal 4 2 2 3 3 2 9" xfId="9832" xr:uid="{9EF68BC1-1F41-4D69-B195-482D6DBAFF91}"/>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25046" xr:uid="{D039BE36-743A-4861-8C1C-B00842C341DD}"/>
    <cellStyle name="Normal 4 2 2 3 3 3 2 2 3" xfId="16606" xr:uid="{5CE2CDC2-0F73-48A2-80BD-5F0692C6AE65}"/>
    <cellStyle name="Normal 4 2 2 3 3 3 2 3" xfId="20829" xr:uid="{74B72E19-5883-4A49-85E5-8FF85588E596}"/>
    <cellStyle name="Normal 4 2 2 3 3 3 2 4" xfId="12389" xr:uid="{E8F725AD-E7D4-4798-8FE6-A3DDBF1FE94A}"/>
    <cellStyle name="Normal 4 2 2 3 3 3 3" xfId="5135" xr:uid="{00000000-0005-0000-0000-00005C120000}"/>
    <cellStyle name="Normal 4 2 2 3 3 3 3 2" xfId="22901" xr:uid="{FE84757B-D890-40F9-9BC3-3842A060298A}"/>
    <cellStyle name="Normal 4 2 2 3 3 3 3 3" xfId="14461" xr:uid="{97B53A52-F418-4998-84A6-9EAA3FE33EC0}"/>
    <cellStyle name="Normal 4 2 2 3 3 3 4" xfId="9312" xr:uid="{0065946C-778C-4913-8F8B-68BBB1A30769}"/>
    <cellStyle name="Normal 4 2 2 3 3 3 4 2" xfId="18684" xr:uid="{ADDE8724-B2D9-420E-9317-9227479B019C}"/>
    <cellStyle name="Normal 4 2 2 3 3 3 5" xfId="10244" xr:uid="{B7FB41C1-6DD9-4816-97BE-A5411696DE11}"/>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25459" xr:uid="{1FA315D4-376F-4DB5-800C-2104E4FF309E}"/>
    <cellStyle name="Normal 4 2 2 3 3 4 2 2 3" xfId="17019" xr:uid="{004755D0-65D8-4517-8C60-D3704CBC2E53}"/>
    <cellStyle name="Normal 4 2 2 3 3 4 2 3" xfId="21242" xr:uid="{9D18B658-B538-4F61-AF8C-6C7D679FF8AC}"/>
    <cellStyle name="Normal 4 2 2 3 3 4 2 4" xfId="12802" xr:uid="{AB55A751-BEDA-4CBE-86FC-D1F272639544}"/>
    <cellStyle name="Normal 4 2 2 3 3 4 3" xfId="5548" xr:uid="{00000000-0005-0000-0000-000060120000}"/>
    <cellStyle name="Normal 4 2 2 3 3 4 3 2" xfId="23314" xr:uid="{8A89A26E-C6B3-4D7B-802C-0B9D06E839D7}"/>
    <cellStyle name="Normal 4 2 2 3 3 4 3 3" xfId="14874" xr:uid="{B77A7563-6FE2-4002-8739-627F707CEAB7}"/>
    <cellStyle name="Normal 4 2 2 3 3 4 4" xfId="19097" xr:uid="{69A52206-AC31-4A14-9A15-2D70E1E80682}"/>
    <cellStyle name="Normal 4 2 2 3 3 4 5" xfId="10657" xr:uid="{96C55C94-DD11-481C-9CFA-ACE646C0D35C}"/>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25872" xr:uid="{F8AD54A3-E178-4196-8468-F9F1AF9E2B7A}"/>
    <cellStyle name="Normal 4 2 2 3 3 5 2 2 3" xfId="17432" xr:uid="{41D19B7B-0C69-41CF-A741-4660DBF734D7}"/>
    <cellStyle name="Normal 4 2 2 3 3 5 2 3" xfId="21655" xr:uid="{41E83C5D-E185-4CA5-9152-538E0E65218D}"/>
    <cellStyle name="Normal 4 2 2 3 3 5 2 4" xfId="13215" xr:uid="{2F222C60-D484-45C8-BB24-9E24E915E55B}"/>
    <cellStyle name="Normal 4 2 2 3 3 5 3" xfId="5961" xr:uid="{00000000-0005-0000-0000-000064120000}"/>
    <cellStyle name="Normal 4 2 2 3 3 5 3 2" xfId="23727" xr:uid="{C1F1ED0F-0FA0-4EF8-A0AB-3AE2C69D2B4F}"/>
    <cellStyle name="Normal 4 2 2 3 3 5 3 3" xfId="15287" xr:uid="{9C6DC580-6D12-48B9-840D-EAB76EC52015}"/>
    <cellStyle name="Normal 4 2 2 3 3 5 4" xfId="19510" xr:uid="{8BAD93C9-5039-4A01-A891-B57CC758E40C}"/>
    <cellStyle name="Normal 4 2 2 3 3 5 5" xfId="11070" xr:uid="{B1D44249-D207-4B4C-8AB1-9328EB14939E}"/>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26285" xr:uid="{1E146F7D-61A0-4B85-94DE-99BA31822056}"/>
    <cellStyle name="Normal 4 2 2 3 3 6 2 2 3" xfId="17845" xr:uid="{AA625C4E-84E0-483F-A4CE-29C8C3109588}"/>
    <cellStyle name="Normal 4 2 2 3 3 6 2 3" xfId="22068" xr:uid="{93D67AE6-A3E9-49E9-B927-2A3179788054}"/>
    <cellStyle name="Normal 4 2 2 3 3 6 2 4" xfId="13628" xr:uid="{C3F5DDC2-73E7-4F2B-A526-D9F4E7D7D27B}"/>
    <cellStyle name="Normal 4 2 2 3 3 6 3" xfId="6374" xr:uid="{00000000-0005-0000-0000-000068120000}"/>
    <cellStyle name="Normal 4 2 2 3 3 6 3 2" xfId="24140" xr:uid="{BC2D469F-D465-430C-8CED-466B20BB27D5}"/>
    <cellStyle name="Normal 4 2 2 3 3 6 3 3" xfId="15700" xr:uid="{D271736C-D7BF-47CB-8012-7F173544AB80}"/>
    <cellStyle name="Normal 4 2 2 3 3 6 4" xfId="19923" xr:uid="{503A57D2-ADBA-4459-902C-B34A5B734DD0}"/>
    <cellStyle name="Normal 4 2 2 3 3 6 5" xfId="11483" xr:uid="{BB19372F-EC57-4FCC-80D1-135FAE094034}"/>
    <cellStyle name="Normal 4 2 2 3 3 7" xfId="2504" xr:uid="{00000000-0005-0000-0000-000069120000}"/>
    <cellStyle name="Normal 4 2 2 3 3 7 2" xfId="6787" xr:uid="{00000000-0005-0000-0000-00006A120000}"/>
    <cellStyle name="Normal 4 2 2 3 3 7 2 2" xfId="24553" xr:uid="{4EA4A449-A72C-416B-B70B-DAA96E2FC1B4}"/>
    <cellStyle name="Normal 4 2 2 3 3 7 2 3" xfId="16113" xr:uid="{A1E9EF04-050E-4ADD-985F-2AEDD766E953}"/>
    <cellStyle name="Normal 4 2 2 3 3 7 3" xfId="20336" xr:uid="{1E26966D-F753-447E-AB3B-66A2C531D77F}"/>
    <cellStyle name="Normal 4 2 2 3 3 7 4" xfId="11896" xr:uid="{9C959818-5141-43D1-B51C-DB474BBBE882}"/>
    <cellStyle name="Normal 4 2 2 3 3 8" xfId="4722" xr:uid="{00000000-0005-0000-0000-00006B120000}"/>
    <cellStyle name="Normal 4 2 2 3 3 8 2" xfId="22488" xr:uid="{E1DFC45D-B9A2-4DD6-8A76-13172F94C99B}"/>
    <cellStyle name="Normal 4 2 2 3 3 8 3" xfId="14048" xr:uid="{DA5D927B-1064-4F58-8AE4-3DAEADC6CDA3}"/>
    <cellStyle name="Normal 4 2 2 3 3 9" xfId="8887" xr:uid="{FD79599D-FD4F-44F4-A7A6-B948A2C15DD2}"/>
    <cellStyle name="Normal 4 2 2 3 3 9 2" xfId="18271" xr:uid="{998A342F-E0AB-47E1-AD25-A4C516491BAA}"/>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25048" xr:uid="{83BBBD06-ECF8-4072-A41A-D90B104D2B97}"/>
    <cellStyle name="Normal 4 2 2 3 4 2 2 2 3" xfId="16608" xr:uid="{F2176ECE-C70A-459B-97AB-A12BD1D64E10}"/>
    <cellStyle name="Normal 4 2 2 3 4 2 2 3" xfId="20831" xr:uid="{0461FB5C-5DFD-423D-85D2-030D3490EBE7}"/>
    <cellStyle name="Normal 4 2 2 3 4 2 2 4" xfId="12391" xr:uid="{BD72D236-F18A-4CD2-B146-C5FD91503E70}"/>
    <cellStyle name="Normal 4 2 2 3 4 2 3" xfId="5137" xr:uid="{00000000-0005-0000-0000-000070120000}"/>
    <cellStyle name="Normal 4 2 2 3 4 2 3 2" xfId="22903" xr:uid="{4F80D553-09F5-4ED7-9CC5-E7E24AA758DD}"/>
    <cellStyle name="Normal 4 2 2 3 4 2 3 3" xfId="14463" xr:uid="{07652860-1F96-46B5-8FD4-970693859D93}"/>
    <cellStyle name="Normal 4 2 2 3 4 2 4" xfId="9416" xr:uid="{B0F1A5CD-0EDE-48A7-9669-6902681F696C}"/>
    <cellStyle name="Normal 4 2 2 3 4 2 4 2" xfId="18686" xr:uid="{5BFBB9B7-1BD7-4686-AFCB-74FD145100E2}"/>
    <cellStyle name="Normal 4 2 2 3 4 2 5" xfId="10246" xr:uid="{F3F47C76-3557-4741-9071-2D9D883DD679}"/>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25461" xr:uid="{5C666A31-4937-4FA7-9EEE-A833DFF752C6}"/>
    <cellStyle name="Normal 4 2 2 3 4 3 2 2 3" xfId="17021" xr:uid="{7F6D51FB-F33E-4AA4-AF50-BFFF05658607}"/>
    <cellStyle name="Normal 4 2 2 3 4 3 2 3" xfId="21244" xr:uid="{32EEBE49-C756-421A-A329-24F36A065BEA}"/>
    <cellStyle name="Normal 4 2 2 3 4 3 2 4" xfId="12804" xr:uid="{317D34AC-008A-45B3-A70F-21D68EE375F7}"/>
    <cellStyle name="Normal 4 2 2 3 4 3 3" xfId="5550" xr:uid="{00000000-0005-0000-0000-000074120000}"/>
    <cellStyle name="Normal 4 2 2 3 4 3 3 2" xfId="23316" xr:uid="{4233A38B-5FE2-4D94-AD9C-BD9CDE58B36F}"/>
    <cellStyle name="Normal 4 2 2 3 4 3 3 3" xfId="14876" xr:uid="{07FE04B3-9BAB-4848-9574-63A581B9DE40}"/>
    <cellStyle name="Normal 4 2 2 3 4 3 4" xfId="19099" xr:uid="{B3ECA609-90AB-4775-820B-39365CEFB797}"/>
    <cellStyle name="Normal 4 2 2 3 4 3 5" xfId="10659" xr:uid="{9BB1E609-2DC2-4AA5-9DF0-D9004A08B6C2}"/>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25874" xr:uid="{D2CE4E33-FAF8-494A-83DF-B06925DEB8D6}"/>
    <cellStyle name="Normal 4 2 2 3 4 4 2 2 3" xfId="17434" xr:uid="{6C3EC30B-53A7-438F-9829-F05FE225F6EF}"/>
    <cellStyle name="Normal 4 2 2 3 4 4 2 3" xfId="21657" xr:uid="{9BB2C25F-D257-4D39-B808-E0BB63534F5C}"/>
    <cellStyle name="Normal 4 2 2 3 4 4 2 4" xfId="13217" xr:uid="{17B2CD72-C869-4BF2-97F0-A2AC561277B0}"/>
    <cellStyle name="Normal 4 2 2 3 4 4 3" xfId="5963" xr:uid="{00000000-0005-0000-0000-000078120000}"/>
    <cellStyle name="Normal 4 2 2 3 4 4 3 2" xfId="23729" xr:uid="{A64F289E-C719-409F-868D-6C5EAA51467D}"/>
    <cellStyle name="Normal 4 2 2 3 4 4 3 3" xfId="15289" xr:uid="{07FAFDD3-36A0-42C8-9A7E-3C133D1527A8}"/>
    <cellStyle name="Normal 4 2 2 3 4 4 4" xfId="19512" xr:uid="{81292BBA-64A6-4460-BF30-3A8DE28D55F1}"/>
    <cellStyle name="Normal 4 2 2 3 4 4 5" xfId="11072" xr:uid="{804BF174-DD09-4370-9D80-5803DE64304F}"/>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26287" xr:uid="{003130FE-5553-49CD-839F-DF84C39DB30A}"/>
    <cellStyle name="Normal 4 2 2 3 4 5 2 2 3" xfId="17847" xr:uid="{6D19E37D-3CC3-4B5F-A785-C7989D868CBE}"/>
    <cellStyle name="Normal 4 2 2 3 4 5 2 3" xfId="22070" xr:uid="{65CCC84E-AE6D-4820-966F-CB10AC8F2948}"/>
    <cellStyle name="Normal 4 2 2 3 4 5 2 4" xfId="13630" xr:uid="{0DA39A6C-6536-433C-9AE4-E940D23EDAE5}"/>
    <cellStyle name="Normal 4 2 2 3 4 5 3" xfId="6376" xr:uid="{00000000-0005-0000-0000-00007C120000}"/>
    <cellStyle name="Normal 4 2 2 3 4 5 3 2" xfId="24142" xr:uid="{5354A84C-893E-4143-9B4A-05ACB4587AF7}"/>
    <cellStyle name="Normal 4 2 2 3 4 5 3 3" xfId="15702" xr:uid="{688A42F6-6B0D-4137-A545-633F85928EE2}"/>
    <cellStyle name="Normal 4 2 2 3 4 5 4" xfId="19925" xr:uid="{F1C2A432-9897-469F-97C2-B76E906D002F}"/>
    <cellStyle name="Normal 4 2 2 3 4 5 5" xfId="11485" xr:uid="{341B1B9C-9DA5-418B-AA7B-5B8B88208892}"/>
    <cellStyle name="Normal 4 2 2 3 4 6" xfId="2506" xr:uid="{00000000-0005-0000-0000-00007D120000}"/>
    <cellStyle name="Normal 4 2 2 3 4 6 2" xfId="6789" xr:uid="{00000000-0005-0000-0000-00007E120000}"/>
    <cellStyle name="Normal 4 2 2 3 4 6 2 2" xfId="24555" xr:uid="{E98EC157-A1A0-486E-A86C-797C2E3E842C}"/>
    <cellStyle name="Normal 4 2 2 3 4 6 2 3" xfId="16115" xr:uid="{EB877BDE-9A3E-46B0-B4EC-73E6252EBEA2}"/>
    <cellStyle name="Normal 4 2 2 3 4 6 3" xfId="20338" xr:uid="{A9C842B7-8B83-4FF9-A4D4-FDDD270179DD}"/>
    <cellStyle name="Normal 4 2 2 3 4 6 4" xfId="11898" xr:uid="{260E1672-7ACB-420B-8049-788D80C2E316}"/>
    <cellStyle name="Normal 4 2 2 3 4 7" xfId="4724" xr:uid="{00000000-0005-0000-0000-00007F120000}"/>
    <cellStyle name="Normal 4 2 2 3 4 7 2" xfId="22490" xr:uid="{AB50074C-252A-4C74-8F3D-FBD76CB3AAFC}"/>
    <cellStyle name="Normal 4 2 2 3 4 7 3" xfId="14050" xr:uid="{7CC8613F-FC54-46BD-9A50-39EBC6D63592}"/>
    <cellStyle name="Normal 4 2 2 3 4 8" xfId="8991" xr:uid="{84464EC3-90C2-4B18-8399-135C935528F7}"/>
    <cellStyle name="Normal 4 2 2 3 4 8 2" xfId="18273" xr:uid="{E8FB69EA-18E9-433E-A63E-6B5FAA2DED0E}"/>
    <cellStyle name="Normal 4 2 2 3 4 9" xfId="9833" xr:uid="{895EDEE0-8E60-4EBB-9A1F-FBEB627B0C71}"/>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25041" xr:uid="{C43B3059-67FD-421F-A53A-0137BA2CC807}"/>
    <cellStyle name="Normal 4 2 2 3 5 2 2 3" xfId="16601" xr:uid="{C4291150-DA47-4C44-AD2B-A5BE189B4E8E}"/>
    <cellStyle name="Normal 4 2 2 3 5 2 3" xfId="20824" xr:uid="{2C181D62-5617-45C6-A929-66289072E946}"/>
    <cellStyle name="Normal 4 2 2 3 5 2 4" xfId="12384" xr:uid="{4DBE7BC9-2E9D-4AD7-87EC-3E41DAF34AB7}"/>
    <cellStyle name="Normal 4 2 2 3 5 3" xfId="5130" xr:uid="{00000000-0005-0000-0000-000083120000}"/>
    <cellStyle name="Normal 4 2 2 3 5 3 2" xfId="22896" xr:uid="{4F646F2F-EBC3-4CA3-9A7C-7B3893D28408}"/>
    <cellStyle name="Normal 4 2 2 3 5 3 3" xfId="14456" xr:uid="{63F1442D-A6B0-4F5F-920E-2F9B361BAFB8}"/>
    <cellStyle name="Normal 4 2 2 3 5 4" xfId="9208" xr:uid="{7BF9CD11-B90D-42F2-928D-A8BE344C6F46}"/>
    <cellStyle name="Normal 4 2 2 3 5 4 2" xfId="18679" xr:uid="{6E056BEB-8877-404A-A1AA-011544C9CBAD}"/>
    <cellStyle name="Normal 4 2 2 3 5 5" xfId="10239" xr:uid="{E3520EBE-2D53-4A14-9D23-7BE269443E8B}"/>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25454" xr:uid="{F71E2373-C019-48EF-B106-DD5E3D446E94}"/>
    <cellStyle name="Normal 4 2 2 3 6 2 2 3" xfId="17014" xr:uid="{197ED1DB-A84D-4215-9EBC-D64AFB599BF2}"/>
    <cellStyle name="Normal 4 2 2 3 6 2 3" xfId="21237" xr:uid="{C525BDCB-E836-433C-A8AB-49F1D9C0E39D}"/>
    <cellStyle name="Normal 4 2 2 3 6 2 4" xfId="12797" xr:uid="{14A4EA12-1083-415C-B1D7-02010773F96B}"/>
    <cellStyle name="Normal 4 2 2 3 6 3" xfId="5543" xr:uid="{00000000-0005-0000-0000-000087120000}"/>
    <cellStyle name="Normal 4 2 2 3 6 3 2" xfId="23309" xr:uid="{3E90D3C5-CCAE-4BCF-98C4-555244579242}"/>
    <cellStyle name="Normal 4 2 2 3 6 3 3" xfId="14869" xr:uid="{17C8B0FE-73AB-4DC0-AE8A-E28C7C9366AC}"/>
    <cellStyle name="Normal 4 2 2 3 6 4" xfId="19092" xr:uid="{E1A5678F-3F85-40B7-81C6-F262AE27ED1D}"/>
    <cellStyle name="Normal 4 2 2 3 6 5" xfId="10652" xr:uid="{CAB8D0C7-96C9-4475-8D4A-037F4C7AC508}"/>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25867" xr:uid="{67C4822C-1F44-45A5-86F3-55DB014D39D5}"/>
    <cellStyle name="Normal 4 2 2 3 7 2 2 3" xfId="17427" xr:uid="{C81FF5BD-B8FC-4478-9689-E57524B9460D}"/>
    <cellStyle name="Normal 4 2 2 3 7 2 3" xfId="21650" xr:uid="{307CA634-84DB-4AE8-865D-8DEF08D15E76}"/>
    <cellStyle name="Normal 4 2 2 3 7 2 4" xfId="13210" xr:uid="{24D26F5C-D04A-452D-9C63-98D1D326FBAA}"/>
    <cellStyle name="Normal 4 2 2 3 7 3" xfId="5956" xr:uid="{00000000-0005-0000-0000-00008B120000}"/>
    <cellStyle name="Normal 4 2 2 3 7 3 2" xfId="23722" xr:uid="{B42835C6-E78D-4662-866B-9AB20DE4D959}"/>
    <cellStyle name="Normal 4 2 2 3 7 3 3" xfId="15282" xr:uid="{7AE437D7-73C7-4F54-B9F7-9B7C173A98D6}"/>
    <cellStyle name="Normal 4 2 2 3 7 4" xfId="19505" xr:uid="{F8609D7C-9CDC-4BEF-A82B-7C707AE98208}"/>
    <cellStyle name="Normal 4 2 2 3 7 5" xfId="11065" xr:uid="{B699CABC-134A-4821-87DC-C1D308ACB582}"/>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26280" xr:uid="{51F4DB80-7A4D-4627-9FFB-A0D6F1600AC1}"/>
    <cellStyle name="Normal 4 2 2 3 8 2 2 3" xfId="17840" xr:uid="{DB3C3024-5EF2-4D1C-B67B-BF4C5E71FADC}"/>
    <cellStyle name="Normal 4 2 2 3 8 2 3" xfId="22063" xr:uid="{64990DE3-6E2C-4078-AB2F-6AE74DAE6AF0}"/>
    <cellStyle name="Normal 4 2 2 3 8 2 4" xfId="13623" xr:uid="{0E0B4860-36C5-4D12-9E8C-985A73B5F417}"/>
    <cellStyle name="Normal 4 2 2 3 8 3" xfId="6369" xr:uid="{00000000-0005-0000-0000-00008F120000}"/>
    <cellStyle name="Normal 4 2 2 3 8 3 2" xfId="24135" xr:uid="{DE40539C-270B-4F97-AE56-CACF9DE4903F}"/>
    <cellStyle name="Normal 4 2 2 3 8 3 3" xfId="15695" xr:uid="{1444942D-B2EB-49AA-81B6-8D06B85DA846}"/>
    <cellStyle name="Normal 4 2 2 3 8 4" xfId="19918" xr:uid="{D33F45BE-ED7E-473F-B401-DD31FF83803C}"/>
    <cellStyle name="Normal 4 2 2 3 8 5" xfId="11478" xr:uid="{9D28DE63-F05C-4317-8EBC-30E1DF30D56C}"/>
    <cellStyle name="Normal 4 2 2 3 9" xfId="2499" xr:uid="{00000000-0005-0000-0000-000090120000}"/>
    <cellStyle name="Normal 4 2 2 3 9 2" xfId="6782" xr:uid="{00000000-0005-0000-0000-000091120000}"/>
    <cellStyle name="Normal 4 2 2 3 9 2 2" xfId="24548" xr:uid="{C3010F8D-75A8-4AAD-8E0E-7A93FDBE252F}"/>
    <cellStyle name="Normal 4 2 2 3 9 2 3" xfId="16108" xr:uid="{647D48B5-649A-445F-BEC2-9B1458533935}"/>
    <cellStyle name="Normal 4 2 2 3 9 3" xfId="20331" xr:uid="{91772CD6-F3B2-4612-AAD5-9DA0C909B894}"/>
    <cellStyle name="Normal 4 2 2 3 9 4" xfId="11891" xr:uid="{FC8CB5BB-5365-4E56-AF8D-AE8A0F38F2BA}"/>
    <cellStyle name="Normal 4 2 2 4" xfId="347" xr:uid="{00000000-0005-0000-0000-000092120000}"/>
    <cellStyle name="Normal 4 2 2 4 10" xfId="8818" xr:uid="{A73977A7-52C6-4368-9F59-166E1B99BBDE}"/>
    <cellStyle name="Normal 4 2 2 4 10 2" xfId="18274" xr:uid="{B3592621-9A69-4577-9E5D-C50D254A26B1}"/>
    <cellStyle name="Normal 4 2 2 4 11" xfId="9834" xr:uid="{A842464E-A76A-41DC-B968-A7EB49D3E5AB}"/>
    <cellStyle name="Normal 4 2 2 4 2" xfId="348" xr:uid="{00000000-0005-0000-0000-000093120000}"/>
    <cellStyle name="Normal 4 2 2 4 2 10" xfId="9835" xr:uid="{60F0C01A-4116-45A4-9C07-043385CE3F14}"/>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25051" xr:uid="{555AAA34-E589-435F-B421-CDBC3D6306AA}"/>
    <cellStyle name="Normal 4 2 2 4 2 2 2 2 2 3" xfId="16611" xr:uid="{B5E372CD-B827-420C-9595-138F8B3F8C20}"/>
    <cellStyle name="Normal 4 2 2 4 2 2 2 2 3" xfId="20834" xr:uid="{D8C37A67-DC60-4933-9450-E31FB9C40B78}"/>
    <cellStyle name="Normal 4 2 2 4 2 2 2 2 4" xfId="12394" xr:uid="{6B2C2E64-44B8-4C6C-8327-CFF30F13A323}"/>
    <cellStyle name="Normal 4 2 2 4 2 2 2 3" xfId="5140" xr:uid="{00000000-0005-0000-0000-000098120000}"/>
    <cellStyle name="Normal 4 2 2 4 2 2 2 3 2" xfId="22906" xr:uid="{3E786B14-D3CF-497C-B812-D448D1998CDF}"/>
    <cellStyle name="Normal 4 2 2 4 2 2 2 3 3" xfId="14466" xr:uid="{02E16840-FA97-4A69-9EDD-CAFD8B8D762D}"/>
    <cellStyle name="Normal 4 2 2 4 2 2 2 4" xfId="9553" xr:uid="{7FCAF883-2374-4470-BA95-AD8EB054639C}"/>
    <cellStyle name="Normal 4 2 2 4 2 2 2 4 2" xfId="18689" xr:uid="{ABA25FEF-9857-4F67-8CD4-F240D7BC1A82}"/>
    <cellStyle name="Normal 4 2 2 4 2 2 2 5" xfId="10249" xr:uid="{6FC76D64-8B48-4DC1-A4EB-F582AB5A2904}"/>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25464" xr:uid="{DE3C97C8-F74C-4403-9F0D-41CEA60BA969}"/>
    <cellStyle name="Normal 4 2 2 4 2 2 3 2 2 3" xfId="17024" xr:uid="{9A4E3DEF-2C6F-414E-8FDB-47050BDFCEDE}"/>
    <cellStyle name="Normal 4 2 2 4 2 2 3 2 3" xfId="21247" xr:uid="{526811DF-CBC5-4A0A-8E86-4DB25CA9E70E}"/>
    <cellStyle name="Normal 4 2 2 4 2 2 3 2 4" xfId="12807" xr:uid="{20A2807B-38A7-47B0-ACA1-96B012BED11D}"/>
    <cellStyle name="Normal 4 2 2 4 2 2 3 3" xfId="5553" xr:uid="{00000000-0005-0000-0000-00009C120000}"/>
    <cellStyle name="Normal 4 2 2 4 2 2 3 3 2" xfId="23319" xr:uid="{17D15F45-393C-43C7-A478-1C167E447947}"/>
    <cellStyle name="Normal 4 2 2 4 2 2 3 3 3" xfId="14879" xr:uid="{7DCE41C7-762F-43A7-9BA1-CED2CB24A68D}"/>
    <cellStyle name="Normal 4 2 2 4 2 2 3 4" xfId="19102" xr:uid="{3993F7F9-2A44-4EC6-804A-8FB8FA3CFD39}"/>
    <cellStyle name="Normal 4 2 2 4 2 2 3 5" xfId="10662" xr:uid="{23C616E7-DAF7-4F14-8B1F-E45BCA8FB2E6}"/>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25877" xr:uid="{393A54D1-B1C0-40E4-81F4-7B7F9D2FAE91}"/>
    <cellStyle name="Normal 4 2 2 4 2 2 4 2 2 3" xfId="17437" xr:uid="{B5EFBA58-7493-45B1-A283-313AD8F4E071}"/>
    <cellStyle name="Normal 4 2 2 4 2 2 4 2 3" xfId="21660" xr:uid="{5BF2E4CF-3E42-43AD-9B60-D3D7947C0B05}"/>
    <cellStyle name="Normal 4 2 2 4 2 2 4 2 4" xfId="13220" xr:uid="{4F24AA24-0775-4CD8-8C90-95776294BA6D}"/>
    <cellStyle name="Normal 4 2 2 4 2 2 4 3" xfId="5966" xr:uid="{00000000-0005-0000-0000-0000A0120000}"/>
    <cellStyle name="Normal 4 2 2 4 2 2 4 3 2" xfId="23732" xr:uid="{7C9CBA4C-DDD2-4213-ABF3-C079850DC74B}"/>
    <cellStyle name="Normal 4 2 2 4 2 2 4 3 3" xfId="15292" xr:uid="{7F467042-8215-4351-97F4-23CDEADBA729}"/>
    <cellStyle name="Normal 4 2 2 4 2 2 4 4" xfId="19515" xr:uid="{F21DE8D0-4E8B-4126-AAD2-1D0DAB5B2D49}"/>
    <cellStyle name="Normal 4 2 2 4 2 2 4 5" xfId="11075" xr:uid="{3B6DA2D5-99EA-433C-9FB7-49DA9B2C1514}"/>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26290" xr:uid="{1CDBEB79-B88D-4C30-B5DC-34F7A9602336}"/>
    <cellStyle name="Normal 4 2 2 4 2 2 5 2 2 3" xfId="17850" xr:uid="{F95A4FF0-4304-4F37-AF23-BFFF00D0F0ED}"/>
    <cellStyle name="Normal 4 2 2 4 2 2 5 2 3" xfId="22073" xr:uid="{410699F6-39B6-44C2-8279-74037FF38390}"/>
    <cellStyle name="Normal 4 2 2 4 2 2 5 2 4" xfId="13633" xr:uid="{D8B8415A-6FB8-48C1-81EA-A213250281FB}"/>
    <cellStyle name="Normal 4 2 2 4 2 2 5 3" xfId="6379" xr:uid="{00000000-0005-0000-0000-0000A4120000}"/>
    <cellStyle name="Normal 4 2 2 4 2 2 5 3 2" xfId="24145" xr:uid="{B06161EE-D202-4FFF-832D-4A9286547B8D}"/>
    <cellStyle name="Normal 4 2 2 4 2 2 5 3 3" xfId="15705" xr:uid="{B8161246-E9CC-483D-BDDE-67D39FFD2067}"/>
    <cellStyle name="Normal 4 2 2 4 2 2 5 4" xfId="19928" xr:uid="{DD4164EC-CEF8-4FCE-93A0-8EE1A98E68F5}"/>
    <cellStyle name="Normal 4 2 2 4 2 2 5 5" xfId="11488" xr:uid="{A8BE9666-E493-4E20-8EAB-7BD96C732F89}"/>
    <cellStyle name="Normal 4 2 2 4 2 2 6" xfId="2509" xr:uid="{00000000-0005-0000-0000-0000A5120000}"/>
    <cellStyle name="Normal 4 2 2 4 2 2 6 2" xfId="6792" xr:uid="{00000000-0005-0000-0000-0000A6120000}"/>
    <cellStyle name="Normal 4 2 2 4 2 2 6 2 2" xfId="24558" xr:uid="{19DB80CA-A9BB-4580-96A7-69DBAAB1DAFC}"/>
    <cellStyle name="Normal 4 2 2 4 2 2 6 2 3" xfId="16118" xr:uid="{EF6C942C-E98B-44C2-A943-F987C86194C4}"/>
    <cellStyle name="Normal 4 2 2 4 2 2 6 3" xfId="20341" xr:uid="{DC91A23B-AFCF-4EFE-9D3E-BD9EDFEDA3A9}"/>
    <cellStyle name="Normal 4 2 2 4 2 2 6 4" xfId="11901" xr:uid="{4849369B-DE8A-4138-9846-3B064C64227D}"/>
    <cellStyle name="Normal 4 2 2 4 2 2 7" xfId="4727" xr:uid="{00000000-0005-0000-0000-0000A7120000}"/>
    <cellStyle name="Normal 4 2 2 4 2 2 7 2" xfId="22493" xr:uid="{921ACC54-B1DD-4429-89BB-66027B3B388C}"/>
    <cellStyle name="Normal 4 2 2 4 2 2 7 3" xfId="14053" xr:uid="{8497C855-38F2-4543-A8EC-B4A25D87CB48}"/>
    <cellStyle name="Normal 4 2 2 4 2 2 8" xfId="9128" xr:uid="{3D9AD2A4-E3D1-4BAF-8F43-BFB1FE8E222D}"/>
    <cellStyle name="Normal 4 2 2 4 2 2 8 2" xfId="18276" xr:uid="{287A1740-7EEE-4D33-8617-D0BFFDFDB740}"/>
    <cellStyle name="Normal 4 2 2 4 2 2 9" xfId="9836" xr:uid="{2356FD50-A535-4E34-9C6F-DE866E568EC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25050" xr:uid="{2A4D4188-6260-416A-99C4-8892993ACC28}"/>
    <cellStyle name="Normal 4 2 2 4 2 3 2 2 3" xfId="16610" xr:uid="{1BBCC77C-E420-4859-8A94-999BC75FDE5D}"/>
    <cellStyle name="Normal 4 2 2 4 2 3 2 3" xfId="20833" xr:uid="{C706446C-376E-436D-B09F-77E3A1CAFD7C}"/>
    <cellStyle name="Normal 4 2 2 4 2 3 2 4" xfId="12393" xr:uid="{3A9D4B5D-3DA1-4E3F-A8CA-B11811BB7602}"/>
    <cellStyle name="Normal 4 2 2 4 2 3 3" xfId="5139" xr:uid="{00000000-0005-0000-0000-0000AB120000}"/>
    <cellStyle name="Normal 4 2 2 4 2 3 3 2" xfId="22905" xr:uid="{2573E712-78F1-44E3-AE1F-4DCD56796E3D}"/>
    <cellStyle name="Normal 4 2 2 4 2 3 3 3" xfId="14465" xr:uid="{5089366F-DE79-424C-AB1C-4BC147866567}"/>
    <cellStyle name="Normal 4 2 2 4 2 3 4" xfId="9346" xr:uid="{11110DEC-01F5-467C-B0F9-3286FF7E57CB}"/>
    <cellStyle name="Normal 4 2 2 4 2 3 4 2" xfId="18688" xr:uid="{69166A96-B1C3-430D-86FF-2417547340EA}"/>
    <cellStyle name="Normal 4 2 2 4 2 3 5" xfId="10248" xr:uid="{3AFD5B3A-1E5F-43AD-B637-5B790A9CD53F}"/>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25463" xr:uid="{DD1F71F3-58D3-44EA-97F4-AD9D0D0A9EBD}"/>
    <cellStyle name="Normal 4 2 2 4 2 4 2 2 3" xfId="17023" xr:uid="{A0F85F7B-1981-4A68-AEB0-D525A1011336}"/>
    <cellStyle name="Normal 4 2 2 4 2 4 2 3" xfId="21246" xr:uid="{E851F4F9-2021-4CBB-B365-4F4B409A9696}"/>
    <cellStyle name="Normal 4 2 2 4 2 4 2 4" xfId="12806" xr:uid="{547271D6-74AD-4E24-BE17-5478A3FB1400}"/>
    <cellStyle name="Normal 4 2 2 4 2 4 3" xfId="5552" xr:uid="{00000000-0005-0000-0000-0000AF120000}"/>
    <cellStyle name="Normal 4 2 2 4 2 4 3 2" xfId="23318" xr:uid="{F6F56F9E-BBC9-4E5F-B47A-263EECBA831F}"/>
    <cellStyle name="Normal 4 2 2 4 2 4 3 3" xfId="14878" xr:uid="{08DFD850-92FF-40B0-A4CE-C851951BC2AD}"/>
    <cellStyle name="Normal 4 2 2 4 2 4 4" xfId="19101" xr:uid="{BA6D6731-8F45-429A-8E4D-A56BA3E76077}"/>
    <cellStyle name="Normal 4 2 2 4 2 4 5" xfId="10661" xr:uid="{16699829-3BB5-45E2-A4B8-0332CA26D6D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25876" xr:uid="{1B1C7388-D7BE-470E-8B07-9EE6608AA35F}"/>
    <cellStyle name="Normal 4 2 2 4 2 5 2 2 3" xfId="17436" xr:uid="{75D9410A-7742-4649-912E-1BB53DD18EA4}"/>
    <cellStyle name="Normal 4 2 2 4 2 5 2 3" xfId="21659" xr:uid="{4B66580E-25A0-44CA-A63D-9DBC7B6161A4}"/>
    <cellStyle name="Normal 4 2 2 4 2 5 2 4" xfId="13219" xr:uid="{A20F6A7F-56D7-4C34-A70B-F07DECB0C15C}"/>
    <cellStyle name="Normal 4 2 2 4 2 5 3" xfId="5965" xr:uid="{00000000-0005-0000-0000-0000B3120000}"/>
    <cellStyle name="Normal 4 2 2 4 2 5 3 2" xfId="23731" xr:uid="{0C86C957-0C19-4AAF-A85E-03385558F391}"/>
    <cellStyle name="Normal 4 2 2 4 2 5 3 3" xfId="15291" xr:uid="{C23CC5F2-5DB1-43D9-8190-CE64E158EE85}"/>
    <cellStyle name="Normal 4 2 2 4 2 5 4" xfId="19514" xr:uid="{FBC3C3B4-C9ED-45CE-8963-268E95E66A2A}"/>
    <cellStyle name="Normal 4 2 2 4 2 5 5" xfId="11074" xr:uid="{1ED127EA-8A3F-4E89-BA37-3EE867380B61}"/>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26289" xr:uid="{6ADED5B0-CD33-4A59-BC64-605FD6DD5857}"/>
    <cellStyle name="Normal 4 2 2 4 2 6 2 2 3" xfId="17849" xr:uid="{A5126752-8C79-4CC9-89A4-8DE42001ED52}"/>
    <cellStyle name="Normal 4 2 2 4 2 6 2 3" xfId="22072" xr:uid="{8B2BD445-3E64-4A78-A57B-11C1F4806701}"/>
    <cellStyle name="Normal 4 2 2 4 2 6 2 4" xfId="13632" xr:uid="{490927B0-1C5F-4835-96B7-3BE1338EB152}"/>
    <cellStyle name="Normal 4 2 2 4 2 6 3" xfId="6378" xr:uid="{00000000-0005-0000-0000-0000B7120000}"/>
    <cellStyle name="Normal 4 2 2 4 2 6 3 2" xfId="24144" xr:uid="{E6D26A4E-F0FA-42E2-BB69-56BCCABB9552}"/>
    <cellStyle name="Normal 4 2 2 4 2 6 3 3" xfId="15704" xr:uid="{00C901E5-42BE-4BF4-8221-EA34C9E8FC88}"/>
    <cellStyle name="Normal 4 2 2 4 2 6 4" xfId="19927" xr:uid="{490A4C9D-DC5A-40D2-9955-BDE3FFD243C0}"/>
    <cellStyle name="Normal 4 2 2 4 2 6 5" xfId="11487" xr:uid="{3CD8DBFF-DCF7-4E53-A784-7F9A76846935}"/>
    <cellStyle name="Normal 4 2 2 4 2 7" xfId="2508" xr:uid="{00000000-0005-0000-0000-0000B8120000}"/>
    <cellStyle name="Normal 4 2 2 4 2 7 2" xfId="6791" xr:uid="{00000000-0005-0000-0000-0000B9120000}"/>
    <cellStyle name="Normal 4 2 2 4 2 7 2 2" xfId="24557" xr:uid="{09A3683A-ECD0-4616-9BDE-FDAF2602D784}"/>
    <cellStyle name="Normal 4 2 2 4 2 7 2 3" xfId="16117" xr:uid="{B0B7F06E-C3A0-4AB7-A248-B650A5C92ECE}"/>
    <cellStyle name="Normal 4 2 2 4 2 7 3" xfId="20340" xr:uid="{FD02607C-8549-43F9-A6A8-A8F97AC7FBF2}"/>
    <cellStyle name="Normal 4 2 2 4 2 7 4" xfId="11900" xr:uid="{CFAC7DAC-DB29-4807-BDFD-67F9C6FEB480}"/>
    <cellStyle name="Normal 4 2 2 4 2 8" xfId="4726" xr:uid="{00000000-0005-0000-0000-0000BA120000}"/>
    <cellStyle name="Normal 4 2 2 4 2 8 2" xfId="22492" xr:uid="{98BDD8A4-4666-4B91-B1CB-DD035FB84EA7}"/>
    <cellStyle name="Normal 4 2 2 4 2 8 3" xfId="14052" xr:uid="{55952822-0DF4-4696-A771-B0A0DC99C985}"/>
    <cellStyle name="Normal 4 2 2 4 2 9" xfId="8921" xr:uid="{43AA3CA1-A6D2-47CC-8276-CBFAB7238AA6}"/>
    <cellStyle name="Normal 4 2 2 4 2 9 2" xfId="18275" xr:uid="{44C0932F-6627-4F95-8631-F4EAC5058078}"/>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25052" xr:uid="{D31260CD-78CE-4BE7-AA4A-F938A175F1CC}"/>
    <cellStyle name="Normal 4 2 2 4 3 2 2 2 3" xfId="16612" xr:uid="{934E029B-6B3D-4C81-ADE9-9CBEEF43B204}"/>
    <cellStyle name="Normal 4 2 2 4 3 2 2 3" xfId="20835" xr:uid="{39679EC8-B624-4F3C-AAE8-12B2156994B2}"/>
    <cellStyle name="Normal 4 2 2 4 3 2 2 4" xfId="12395" xr:uid="{505D6447-1478-40EB-BDB4-A59449FDEE9D}"/>
    <cellStyle name="Normal 4 2 2 4 3 2 3" xfId="5141" xr:uid="{00000000-0005-0000-0000-0000BF120000}"/>
    <cellStyle name="Normal 4 2 2 4 3 2 3 2" xfId="22907" xr:uid="{54877873-5782-4540-A434-7D14541160A0}"/>
    <cellStyle name="Normal 4 2 2 4 3 2 3 3" xfId="14467" xr:uid="{236C8B7D-680B-4F27-8A85-F7254B4BDD33}"/>
    <cellStyle name="Normal 4 2 2 4 3 2 4" xfId="9450" xr:uid="{0F54578A-5DA3-4B6E-9E36-71CC7CD6BFE8}"/>
    <cellStyle name="Normal 4 2 2 4 3 2 4 2" xfId="18690" xr:uid="{CC995DB2-6AA4-422C-9EA5-6087BE550DD6}"/>
    <cellStyle name="Normal 4 2 2 4 3 2 5" xfId="10250" xr:uid="{E0D75B10-0995-474A-A70B-D215377D888A}"/>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25465" xr:uid="{FE187497-2246-4012-8A91-F4F2AB455512}"/>
    <cellStyle name="Normal 4 2 2 4 3 3 2 2 3" xfId="17025" xr:uid="{DBFC7498-3D24-4754-8B3D-9CFD85363076}"/>
    <cellStyle name="Normal 4 2 2 4 3 3 2 3" xfId="21248" xr:uid="{D2344D7D-6DF1-4877-A373-D21F901DA05D}"/>
    <cellStyle name="Normal 4 2 2 4 3 3 2 4" xfId="12808" xr:uid="{97D2FF57-3AB3-471D-83AB-4393067C546D}"/>
    <cellStyle name="Normal 4 2 2 4 3 3 3" xfId="5554" xr:uid="{00000000-0005-0000-0000-0000C3120000}"/>
    <cellStyle name="Normal 4 2 2 4 3 3 3 2" xfId="23320" xr:uid="{661B8524-2EE2-430D-8DFB-6347D2350741}"/>
    <cellStyle name="Normal 4 2 2 4 3 3 3 3" xfId="14880" xr:uid="{F1F3A723-C595-4FF8-968D-4F7D9F4A1937}"/>
    <cellStyle name="Normal 4 2 2 4 3 3 4" xfId="19103" xr:uid="{C46ED868-C5A2-4C32-A096-4C893CF4C12D}"/>
    <cellStyle name="Normal 4 2 2 4 3 3 5" xfId="10663" xr:uid="{0E4C3271-902C-42EB-BE7C-F78911A17329}"/>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25878" xr:uid="{1CC391F3-93FC-42F1-A52C-EB090FA3C5D2}"/>
    <cellStyle name="Normal 4 2 2 4 3 4 2 2 3" xfId="17438" xr:uid="{35AFC1E0-4511-458D-BB5F-7DC7B1A6B1C3}"/>
    <cellStyle name="Normal 4 2 2 4 3 4 2 3" xfId="21661" xr:uid="{8DF2BFB4-D22A-4983-91F3-BB8E660F6CA2}"/>
    <cellStyle name="Normal 4 2 2 4 3 4 2 4" xfId="13221" xr:uid="{96A199ED-EC06-499C-B363-0C8212B2CFE3}"/>
    <cellStyle name="Normal 4 2 2 4 3 4 3" xfId="5967" xr:uid="{00000000-0005-0000-0000-0000C7120000}"/>
    <cellStyle name="Normal 4 2 2 4 3 4 3 2" xfId="23733" xr:uid="{4F771C69-1D78-4F61-B931-27F0F46E7048}"/>
    <cellStyle name="Normal 4 2 2 4 3 4 3 3" xfId="15293" xr:uid="{B21697BC-C09D-4258-9333-38EE765F7297}"/>
    <cellStyle name="Normal 4 2 2 4 3 4 4" xfId="19516" xr:uid="{CF1F28D1-D3DB-487F-AC0E-AA94C0A046C7}"/>
    <cellStyle name="Normal 4 2 2 4 3 4 5" xfId="11076" xr:uid="{DE5AF8FF-1073-4475-9AA0-044B8D38749E}"/>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26291" xr:uid="{F8C35E75-CFCE-484C-A5F5-D33AB891DAC1}"/>
    <cellStyle name="Normal 4 2 2 4 3 5 2 2 3" xfId="17851" xr:uid="{5970DEB4-4D07-429D-8CE5-36E25858AEBE}"/>
    <cellStyle name="Normal 4 2 2 4 3 5 2 3" xfId="22074" xr:uid="{C4CBFAB8-0110-4057-92F5-98E0500BE685}"/>
    <cellStyle name="Normal 4 2 2 4 3 5 2 4" xfId="13634" xr:uid="{113C1C35-556B-4B99-B658-C987EA8D71E0}"/>
    <cellStyle name="Normal 4 2 2 4 3 5 3" xfId="6380" xr:uid="{00000000-0005-0000-0000-0000CB120000}"/>
    <cellStyle name="Normal 4 2 2 4 3 5 3 2" xfId="24146" xr:uid="{81979309-9A84-41D2-8B1A-5F05A1225818}"/>
    <cellStyle name="Normal 4 2 2 4 3 5 3 3" xfId="15706" xr:uid="{FE5B7914-201E-46B2-AEBE-476E2AB22313}"/>
    <cellStyle name="Normal 4 2 2 4 3 5 4" xfId="19929" xr:uid="{C76FB2E0-676D-4627-BDAB-938B03A88053}"/>
    <cellStyle name="Normal 4 2 2 4 3 5 5" xfId="11489" xr:uid="{8C184576-4430-4C19-81B1-C9A3869C0307}"/>
    <cellStyle name="Normal 4 2 2 4 3 6" xfId="2510" xr:uid="{00000000-0005-0000-0000-0000CC120000}"/>
    <cellStyle name="Normal 4 2 2 4 3 6 2" xfId="6793" xr:uid="{00000000-0005-0000-0000-0000CD120000}"/>
    <cellStyle name="Normal 4 2 2 4 3 6 2 2" xfId="24559" xr:uid="{83173268-0E60-484B-845C-6535DF8E93EF}"/>
    <cellStyle name="Normal 4 2 2 4 3 6 2 3" xfId="16119" xr:uid="{AEB22CF1-3DB0-49C7-8ED1-26C2046A7D42}"/>
    <cellStyle name="Normal 4 2 2 4 3 6 3" xfId="20342" xr:uid="{5152EA07-4EBA-4AA3-922E-5BE2CE62B3E8}"/>
    <cellStyle name="Normal 4 2 2 4 3 6 4" xfId="11902" xr:uid="{1DD6E9E7-40E7-4C19-AB1D-09F7BDA5B033}"/>
    <cellStyle name="Normal 4 2 2 4 3 7" xfId="4728" xr:uid="{00000000-0005-0000-0000-0000CE120000}"/>
    <cellStyle name="Normal 4 2 2 4 3 7 2" xfId="22494" xr:uid="{250D17BB-DB7A-4DE1-A6F2-D297BD854B1B}"/>
    <cellStyle name="Normal 4 2 2 4 3 7 3" xfId="14054" xr:uid="{520EDA57-01F0-4F60-85ED-5E6A53A3499D}"/>
    <cellStyle name="Normal 4 2 2 4 3 8" xfId="9025" xr:uid="{436CB353-A916-4AB2-B5E2-8C1BDAEA1182}"/>
    <cellStyle name="Normal 4 2 2 4 3 8 2" xfId="18277" xr:uid="{5B13E41B-A39B-4489-8B62-C35BE19642AC}"/>
    <cellStyle name="Normal 4 2 2 4 3 9" xfId="9837" xr:uid="{7CB95DED-6938-4331-910F-E5693276C88C}"/>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25049" xr:uid="{2F37B0F7-AD74-4E74-8990-2E41DB834E40}"/>
    <cellStyle name="Normal 4 2 2 4 4 2 2 3" xfId="16609" xr:uid="{8BF90E6A-837C-4348-B288-E0854F9B1884}"/>
    <cellStyle name="Normal 4 2 2 4 4 2 3" xfId="20832" xr:uid="{835F52CB-05C0-4B7C-829F-3CDD66B6DBE7}"/>
    <cellStyle name="Normal 4 2 2 4 4 2 4" xfId="12392" xr:uid="{5BA12579-CBDB-4606-946D-5F9D9C390B4C}"/>
    <cellStyle name="Normal 4 2 2 4 4 3" xfId="5138" xr:uid="{00000000-0005-0000-0000-0000D2120000}"/>
    <cellStyle name="Normal 4 2 2 4 4 3 2" xfId="22904" xr:uid="{AD02FA89-0043-4A64-9FA9-E00F012D451B}"/>
    <cellStyle name="Normal 4 2 2 4 4 3 3" xfId="14464" xr:uid="{9613EF56-3AA6-4647-8383-420AB2A66E1E}"/>
    <cellStyle name="Normal 4 2 2 4 4 4" xfId="9243" xr:uid="{FD46A281-F5BE-478B-950E-209D1D56FC0E}"/>
    <cellStyle name="Normal 4 2 2 4 4 4 2" xfId="18687" xr:uid="{4CED13C9-0669-4B00-A924-1B035B71CD8E}"/>
    <cellStyle name="Normal 4 2 2 4 4 5" xfId="10247" xr:uid="{F2F78A6A-1F81-4E7E-9780-0615C8D32629}"/>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25462" xr:uid="{B61B6F30-E559-4B6E-BD95-046529D466EE}"/>
    <cellStyle name="Normal 4 2 2 4 5 2 2 3" xfId="17022" xr:uid="{AD92165B-9E1C-4BC0-8E5D-8BC3CA670548}"/>
    <cellStyle name="Normal 4 2 2 4 5 2 3" xfId="21245" xr:uid="{807CE72D-072F-47C7-8A41-0A9D97928F78}"/>
    <cellStyle name="Normal 4 2 2 4 5 2 4" xfId="12805" xr:uid="{AB5BF600-D086-424E-B466-188B7C35456E}"/>
    <cellStyle name="Normal 4 2 2 4 5 3" xfId="5551" xr:uid="{00000000-0005-0000-0000-0000D6120000}"/>
    <cellStyle name="Normal 4 2 2 4 5 3 2" xfId="23317" xr:uid="{D8985C12-780F-4A7D-B96B-58FA8926C58E}"/>
    <cellStyle name="Normal 4 2 2 4 5 3 3" xfId="14877" xr:uid="{782D14ED-239B-43F0-AEB8-3A9DCFFF5652}"/>
    <cellStyle name="Normal 4 2 2 4 5 4" xfId="19100" xr:uid="{BC29CC45-E009-4C23-9DC9-6016C38D42C8}"/>
    <cellStyle name="Normal 4 2 2 4 5 5" xfId="10660" xr:uid="{1DD98355-5C86-4A72-8F0C-5C9EB5AF9AF6}"/>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25875" xr:uid="{3EBE9C0C-37C1-4DAA-9B6D-C634E0EDB438}"/>
    <cellStyle name="Normal 4 2 2 4 6 2 2 3" xfId="17435" xr:uid="{F60AA885-B038-4879-BC44-CD3F4C71A36B}"/>
    <cellStyle name="Normal 4 2 2 4 6 2 3" xfId="21658" xr:uid="{99817EF3-4A76-4773-92F0-6DA23B5942D2}"/>
    <cellStyle name="Normal 4 2 2 4 6 2 4" xfId="13218" xr:uid="{0740BFDA-C1BC-464D-98E2-E06DFCBC7607}"/>
    <cellStyle name="Normal 4 2 2 4 6 3" xfId="5964" xr:uid="{00000000-0005-0000-0000-0000DA120000}"/>
    <cellStyle name="Normal 4 2 2 4 6 3 2" xfId="23730" xr:uid="{88A63304-E40B-48DE-A745-7232380FD9E5}"/>
    <cellStyle name="Normal 4 2 2 4 6 3 3" xfId="15290" xr:uid="{F97A724B-B4DB-4F14-B7DB-89618E84A863}"/>
    <cellStyle name="Normal 4 2 2 4 6 4" xfId="19513" xr:uid="{922F8512-DC50-4E20-B7CD-4302D5C5EE4B}"/>
    <cellStyle name="Normal 4 2 2 4 6 5" xfId="11073" xr:uid="{2B138453-BB36-4817-A2D5-5F59E75D5042}"/>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26288" xr:uid="{814EDFCF-0EB4-4668-A43F-3F0DC4AE3416}"/>
    <cellStyle name="Normal 4 2 2 4 7 2 2 3" xfId="17848" xr:uid="{82FAA4BB-FAD3-4EB3-AF6A-410A279E5F19}"/>
    <cellStyle name="Normal 4 2 2 4 7 2 3" xfId="22071" xr:uid="{581A2CD5-FEB3-4667-B326-40B05D112421}"/>
    <cellStyle name="Normal 4 2 2 4 7 2 4" xfId="13631" xr:uid="{2D79E531-6512-4562-A344-E6A9680ECEE2}"/>
    <cellStyle name="Normal 4 2 2 4 7 3" xfId="6377" xr:uid="{00000000-0005-0000-0000-0000DE120000}"/>
    <cellStyle name="Normal 4 2 2 4 7 3 2" xfId="24143" xr:uid="{D4FEBB99-5315-4815-8E76-A3DE41D37261}"/>
    <cellStyle name="Normal 4 2 2 4 7 3 3" xfId="15703" xr:uid="{2369E572-E7DB-44CE-A697-54B6770EDA8B}"/>
    <cellStyle name="Normal 4 2 2 4 7 4" xfId="19926" xr:uid="{C818D772-582E-4131-9208-4721FDD4554B}"/>
    <cellStyle name="Normal 4 2 2 4 7 5" xfId="11486" xr:uid="{5E1F2CD9-088F-442F-841C-F76CAD29D27C}"/>
    <cellStyle name="Normal 4 2 2 4 8" xfId="2507" xr:uid="{00000000-0005-0000-0000-0000DF120000}"/>
    <cellStyle name="Normal 4 2 2 4 8 2" xfId="6790" xr:uid="{00000000-0005-0000-0000-0000E0120000}"/>
    <cellStyle name="Normal 4 2 2 4 8 2 2" xfId="24556" xr:uid="{0BCEEBBA-9B08-4C78-82F2-3653898FC1D4}"/>
    <cellStyle name="Normal 4 2 2 4 8 2 3" xfId="16116" xr:uid="{C8FD3E78-8A6D-4E0D-93BE-4C10F834A3D5}"/>
    <cellStyle name="Normal 4 2 2 4 8 3" xfId="20339" xr:uid="{49D160CD-E82A-403C-9B81-AB790B08ED96}"/>
    <cellStyle name="Normal 4 2 2 4 8 4" xfId="11899" xr:uid="{0B8C8468-3223-4465-9575-497E36B65651}"/>
    <cellStyle name="Normal 4 2 2 4 9" xfId="4725" xr:uid="{00000000-0005-0000-0000-0000E1120000}"/>
    <cellStyle name="Normal 4 2 2 4 9 2" xfId="22491" xr:uid="{B81608D2-0199-4F66-9283-3736914CC3AA}"/>
    <cellStyle name="Normal 4 2 2 4 9 3" xfId="14051" xr:uid="{D3395350-A8D5-4558-8E74-A5103E051678}"/>
    <cellStyle name="Normal 4 2 2 5" xfId="351" xr:uid="{00000000-0005-0000-0000-0000E2120000}"/>
    <cellStyle name="Normal 4 2 2 5 10" xfId="9838" xr:uid="{C0F4D645-21A2-440D-B253-3EB53667EED5}"/>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25054" xr:uid="{547308B4-45AD-4ACA-A0D9-4C92D481D5CF}"/>
    <cellStyle name="Normal 4 2 2 5 2 2 2 2 3" xfId="16614" xr:uid="{AEA7C4D7-311C-43F7-850F-300DCEF47440}"/>
    <cellStyle name="Normal 4 2 2 5 2 2 2 3" xfId="20837" xr:uid="{37A17678-8CFE-4CC8-A622-3855460F9DF0}"/>
    <cellStyle name="Normal 4 2 2 5 2 2 2 4" xfId="12397" xr:uid="{E61A5723-4390-47C9-AE19-BDBCBE96519D}"/>
    <cellStyle name="Normal 4 2 2 5 2 2 3" xfId="5143" xr:uid="{00000000-0005-0000-0000-0000E7120000}"/>
    <cellStyle name="Normal 4 2 2 5 2 2 3 2" xfId="22909" xr:uid="{4BA93060-2DDB-4FE2-B902-E42A8009071A}"/>
    <cellStyle name="Normal 4 2 2 5 2 2 3 3" xfId="14469" xr:uid="{E9E48A19-1450-4633-9109-BB0865B6B821}"/>
    <cellStyle name="Normal 4 2 2 5 2 2 4" xfId="9487" xr:uid="{83D2756E-B983-4EA9-AB48-FF4D3E821CE4}"/>
    <cellStyle name="Normal 4 2 2 5 2 2 4 2" xfId="18692" xr:uid="{E7B072E0-E087-4EC2-8160-E02F02E1944E}"/>
    <cellStyle name="Normal 4 2 2 5 2 2 5" xfId="10252" xr:uid="{9BF6DDB1-63FA-4469-B916-DBD22513E869}"/>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25467" xr:uid="{33BE7A73-FF2D-4AC2-9DF9-7A93C08428F1}"/>
    <cellStyle name="Normal 4 2 2 5 2 3 2 2 3" xfId="17027" xr:uid="{5C95B457-48AC-44F8-BFD6-2B5F542EF9C1}"/>
    <cellStyle name="Normal 4 2 2 5 2 3 2 3" xfId="21250" xr:uid="{A9D5EA8D-9AE6-4140-BE6C-2A3CC0CA3E48}"/>
    <cellStyle name="Normal 4 2 2 5 2 3 2 4" xfId="12810" xr:uid="{D25DDA2D-E2D2-414D-8E85-3275246B58DC}"/>
    <cellStyle name="Normal 4 2 2 5 2 3 3" xfId="5556" xr:uid="{00000000-0005-0000-0000-0000EB120000}"/>
    <cellStyle name="Normal 4 2 2 5 2 3 3 2" xfId="23322" xr:uid="{9ABC4E19-2B15-4874-A5B3-50B17B9495A5}"/>
    <cellStyle name="Normal 4 2 2 5 2 3 3 3" xfId="14882" xr:uid="{F71C72A7-3F47-435D-8559-04498B1B07EC}"/>
    <cellStyle name="Normal 4 2 2 5 2 3 4" xfId="19105" xr:uid="{9FFDCEC9-93D8-4AF8-B9E5-D0C1C0D9E962}"/>
    <cellStyle name="Normal 4 2 2 5 2 3 5" xfId="10665" xr:uid="{2405EA9D-4DAF-4249-ABA6-F2035B174A72}"/>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25880" xr:uid="{95FC0A26-09D7-4A10-9E2F-361593C4F21E}"/>
    <cellStyle name="Normal 4 2 2 5 2 4 2 2 3" xfId="17440" xr:uid="{35254BA7-8E01-44A6-AC25-AB04FBD9198D}"/>
    <cellStyle name="Normal 4 2 2 5 2 4 2 3" xfId="21663" xr:uid="{086DEF97-EC3C-4330-B213-2C96D57C4F7F}"/>
    <cellStyle name="Normal 4 2 2 5 2 4 2 4" xfId="13223" xr:uid="{FE1A9821-3201-426B-9C7D-61CDE92E633F}"/>
    <cellStyle name="Normal 4 2 2 5 2 4 3" xfId="5969" xr:uid="{00000000-0005-0000-0000-0000EF120000}"/>
    <cellStyle name="Normal 4 2 2 5 2 4 3 2" xfId="23735" xr:uid="{04641141-73F4-4C22-A4F5-5D9FEB236B4F}"/>
    <cellStyle name="Normal 4 2 2 5 2 4 3 3" xfId="15295" xr:uid="{816A6D51-AF6B-462A-94DD-659820DF90BE}"/>
    <cellStyle name="Normal 4 2 2 5 2 4 4" xfId="19518" xr:uid="{6872BCA3-9D67-47BF-BB7E-F3C1FBEB26DC}"/>
    <cellStyle name="Normal 4 2 2 5 2 4 5" xfId="11078" xr:uid="{FFEE96D1-D11C-4D5D-BDE4-8B25B52E45EC}"/>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26293" xr:uid="{438CC50E-5B88-43B3-B2A3-1ABEA992DC00}"/>
    <cellStyle name="Normal 4 2 2 5 2 5 2 2 3" xfId="17853" xr:uid="{142034DF-E6BE-43BA-BC38-460FE7A6421C}"/>
    <cellStyle name="Normal 4 2 2 5 2 5 2 3" xfId="22076" xr:uid="{1415467A-6DF6-4AAA-8570-49864211ECD5}"/>
    <cellStyle name="Normal 4 2 2 5 2 5 2 4" xfId="13636" xr:uid="{3F58C570-9CC5-47A2-B22D-539E3678225A}"/>
    <cellStyle name="Normal 4 2 2 5 2 5 3" xfId="6382" xr:uid="{00000000-0005-0000-0000-0000F3120000}"/>
    <cellStyle name="Normal 4 2 2 5 2 5 3 2" xfId="24148" xr:uid="{89531E38-3D03-4508-B195-30EC8AADC52B}"/>
    <cellStyle name="Normal 4 2 2 5 2 5 3 3" xfId="15708" xr:uid="{1987BD1F-1C20-43E3-B671-39DA999D0E38}"/>
    <cellStyle name="Normal 4 2 2 5 2 5 4" xfId="19931" xr:uid="{FA0B16A8-D903-4B04-B4EE-B6B4926203F5}"/>
    <cellStyle name="Normal 4 2 2 5 2 5 5" xfId="11491" xr:uid="{A4E5DE78-1F21-4ED0-894F-999C9F28A963}"/>
    <cellStyle name="Normal 4 2 2 5 2 6" xfId="2512" xr:uid="{00000000-0005-0000-0000-0000F4120000}"/>
    <cellStyle name="Normal 4 2 2 5 2 6 2" xfId="6795" xr:uid="{00000000-0005-0000-0000-0000F5120000}"/>
    <cellStyle name="Normal 4 2 2 5 2 6 2 2" xfId="24561" xr:uid="{ABF1E37D-4B1B-4C86-9BE5-17FC40DF15B8}"/>
    <cellStyle name="Normal 4 2 2 5 2 6 2 3" xfId="16121" xr:uid="{A89D884E-8C17-4455-9B4F-545258C86086}"/>
    <cellStyle name="Normal 4 2 2 5 2 6 3" xfId="20344" xr:uid="{744FE879-DECA-44BB-9286-4CB14E361FE5}"/>
    <cellStyle name="Normal 4 2 2 5 2 6 4" xfId="11904" xr:uid="{4E0703E0-FDF1-4DA6-905B-2C18CDDA5AFE}"/>
    <cellStyle name="Normal 4 2 2 5 2 7" xfId="4730" xr:uid="{00000000-0005-0000-0000-0000F6120000}"/>
    <cellStyle name="Normal 4 2 2 5 2 7 2" xfId="22496" xr:uid="{36C17670-28A9-43A4-B4B6-4E219FB05EF4}"/>
    <cellStyle name="Normal 4 2 2 5 2 7 3" xfId="14056" xr:uid="{CE00DEEE-A402-45B7-8A86-A06316648670}"/>
    <cellStyle name="Normal 4 2 2 5 2 8" xfId="9062" xr:uid="{FED54422-C2E5-44B3-AA7C-C6088F47A385}"/>
    <cellStyle name="Normal 4 2 2 5 2 8 2" xfId="18279" xr:uid="{ED35C80B-A035-4AE1-A29B-2A7BD082D3F1}"/>
    <cellStyle name="Normal 4 2 2 5 2 9" xfId="9839" xr:uid="{1A6D187A-0FEC-4FAF-8827-1A5563FA5389}"/>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25053" xr:uid="{E42126BD-4475-4B60-A406-F105AFCA193C}"/>
    <cellStyle name="Normal 4 2 2 5 3 2 2 3" xfId="16613" xr:uid="{784AFFC2-456C-47A0-B777-1FC3BDF9C856}"/>
    <cellStyle name="Normal 4 2 2 5 3 2 3" xfId="20836" xr:uid="{422A9D70-0D39-4894-98BD-3026F6E7247A}"/>
    <cellStyle name="Normal 4 2 2 5 3 2 4" xfId="12396" xr:uid="{B2338813-2187-4F89-B88B-5670235FEAAD}"/>
    <cellStyle name="Normal 4 2 2 5 3 3" xfId="5142" xr:uid="{00000000-0005-0000-0000-0000FA120000}"/>
    <cellStyle name="Normal 4 2 2 5 3 3 2" xfId="22908" xr:uid="{5C6D22F8-D222-4E3D-B710-13D5F26A5A6E}"/>
    <cellStyle name="Normal 4 2 2 5 3 3 3" xfId="14468" xr:uid="{F6DFE140-ADBA-4549-8818-685182F3B2BA}"/>
    <cellStyle name="Normal 4 2 2 5 3 4" xfId="9280" xr:uid="{C70B18D8-E279-4D37-82EF-3177E9FA554F}"/>
    <cellStyle name="Normal 4 2 2 5 3 4 2" xfId="18691" xr:uid="{98E310EE-D112-4BE8-B3CA-403E8FE87F89}"/>
    <cellStyle name="Normal 4 2 2 5 3 5" xfId="10251" xr:uid="{AE402C61-C859-42D4-ABA0-115D7648664F}"/>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25466" xr:uid="{69791373-750A-4ACD-89ED-F01D7628EBE8}"/>
    <cellStyle name="Normal 4 2 2 5 4 2 2 3" xfId="17026" xr:uid="{3AF8B5C3-F06F-47D6-842A-D92933436516}"/>
    <cellStyle name="Normal 4 2 2 5 4 2 3" xfId="21249" xr:uid="{3F4E3EFD-92F6-4B6A-92BA-A0EA5F5EBC5B}"/>
    <cellStyle name="Normal 4 2 2 5 4 2 4" xfId="12809" xr:uid="{A6B6039A-953B-477D-A04E-CD45B38DEA8E}"/>
    <cellStyle name="Normal 4 2 2 5 4 3" xfId="5555" xr:uid="{00000000-0005-0000-0000-0000FE120000}"/>
    <cellStyle name="Normal 4 2 2 5 4 3 2" xfId="23321" xr:uid="{C74B569B-2EC2-43B0-B2E7-78CDA4201A83}"/>
    <cellStyle name="Normal 4 2 2 5 4 3 3" xfId="14881" xr:uid="{76C643A9-B466-4449-A475-86A5706ECD0D}"/>
    <cellStyle name="Normal 4 2 2 5 4 4" xfId="19104" xr:uid="{6FEC5BD4-1779-4913-95E0-5ED3E7253B5E}"/>
    <cellStyle name="Normal 4 2 2 5 4 5" xfId="10664" xr:uid="{6FBAEE5C-61ED-4551-A2F0-BFF6DD65A2E8}"/>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25879" xr:uid="{48ABEB4C-7EA6-4119-9A15-918976D69BA1}"/>
    <cellStyle name="Normal 4 2 2 5 5 2 2 3" xfId="17439" xr:uid="{2C2D8158-A79A-492F-8C02-34014DC6D439}"/>
    <cellStyle name="Normal 4 2 2 5 5 2 3" xfId="21662" xr:uid="{EE2F31CB-50FA-4498-A482-44BBC6585614}"/>
    <cellStyle name="Normal 4 2 2 5 5 2 4" xfId="13222" xr:uid="{5CFCCCA8-BBAE-4E60-A3D6-EEF3665C13AB}"/>
    <cellStyle name="Normal 4 2 2 5 5 3" xfId="5968" xr:uid="{00000000-0005-0000-0000-000002130000}"/>
    <cellStyle name="Normal 4 2 2 5 5 3 2" xfId="23734" xr:uid="{113E4911-C566-46CB-8774-B177C5A1428D}"/>
    <cellStyle name="Normal 4 2 2 5 5 3 3" xfId="15294" xr:uid="{64B1F060-8397-4AF4-8663-7D44F13B0A64}"/>
    <cellStyle name="Normal 4 2 2 5 5 4" xfId="19517" xr:uid="{23CD290A-CBAC-42E9-B9CE-AD2F151D42F6}"/>
    <cellStyle name="Normal 4 2 2 5 5 5" xfId="11077" xr:uid="{8BC09B5D-DEE3-4ED6-A3EB-024D22DFAC4F}"/>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26292" xr:uid="{C00F30EA-F957-4B95-ADB2-CAF6EACE0E85}"/>
    <cellStyle name="Normal 4 2 2 5 6 2 2 3" xfId="17852" xr:uid="{51BAA3A6-5DE7-4A8F-9B02-E80C2705A672}"/>
    <cellStyle name="Normal 4 2 2 5 6 2 3" xfId="22075" xr:uid="{B88638FD-B9AB-46E3-A1DF-F84CBC92D588}"/>
    <cellStyle name="Normal 4 2 2 5 6 2 4" xfId="13635" xr:uid="{0912126A-2DA7-4660-9911-3BF0FD025D49}"/>
    <cellStyle name="Normal 4 2 2 5 6 3" xfId="6381" xr:uid="{00000000-0005-0000-0000-000006130000}"/>
    <cellStyle name="Normal 4 2 2 5 6 3 2" xfId="24147" xr:uid="{A8669873-C802-4FA0-B1C7-93A0E10B1F43}"/>
    <cellStyle name="Normal 4 2 2 5 6 3 3" xfId="15707" xr:uid="{301ACC51-D0F1-40E5-9EEA-55ABAD1A7303}"/>
    <cellStyle name="Normal 4 2 2 5 6 4" xfId="19930" xr:uid="{76576042-E389-4170-8574-0A4A0CEFC40B}"/>
    <cellStyle name="Normal 4 2 2 5 6 5" xfId="11490" xr:uid="{594B3717-67BE-486D-8D27-D1BDF2FDD4A8}"/>
    <cellStyle name="Normal 4 2 2 5 7" xfId="2511" xr:uid="{00000000-0005-0000-0000-000007130000}"/>
    <cellStyle name="Normal 4 2 2 5 7 2" xfId="6794" xr:uid="{00000000-0005-0000-0000-000008130000}"/>
    <cellStyle name="Normal 4 2 2 5 7 2 2" xfId="24560" xr:uid="{ED411016-70A2-44A6-9099-0A4969DD2FB1}"/>
    <cellStyle name="Normal 4 2 2 5 7 2 3" xfId="16120" xr:uid="{4CCD7363-AC9E-4D2A-B589-E4723B70B934}"/>
    <cellStyle name="Normal 4 2 2 5 7 3" xfId="20343" xr:uid="{62D5E6CE-2A84-42E9-806A-D0EE1F01B498}"/>
    <cellStyle name="Normal 4 2 2 5 7 4" xfId="11903" xr:uid="{6F758F61-62FC-4780-9733-639BB0A89CCA}"/>
    <cellStyle name="Normal 4 2 2 5 8" xfId="4729" xr:uid="{00000000-0005-0000-0000-000009130000}"/>
    <cellStyle name="Normal 4 2 2 5 8 2" xfId="22495" xr:uid="{186FEBCE-9C64-46BA-8FB3-2EDD092BD49C}"/>
    <cellStyle name="Normal 4 2 2 5 8 3" xfId="14055" xr:uid="{7E360C75-A7E5-42F5-B4F4-1A61EF668C41}"/>
    <cellStyle name="Normal 4 2 2 5 9" xfId="8855" xr:uid="{894DEE8B-A5CD-4C4E-B41D-DCEB92717109}"/>
    <cellStyle name="Normal 4 2 2 5 9 2" xfId="18278" xr:uid="{00353A8F-AB1C-48F2-8880-E3E15B2B37D7}"/>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25055" xr:uid="{9B29DA14-E645-4D69-A564-71527A694CDA}"/>
    <cellStyle name="Normal 4 2 2 6 2 2 2 3" xfId="16615" xr:uid="{46ADBC8C-C3E1-4A63-A875-247D344D8AEC}"/>
    <cellStyle name="Normal 4 2 2 6 2 2 3" xfId="20838" xr:uid="{86237084-112F-477F-80A5-B3E8359556A4}"/>
    <cellStyle name="Normal 4 2 2 6 2 2 4" xfId="12398" xr:uid="{9673FFB8-8F98-4B0B-B240-BF4A2A891BDA}"/>
    <cellStyle name="Normal 4 2 2 6 2 3" xfId="5144" xr:uid="{00000000-0005-0000-0000-00000E130000}"/>
    <cellStyle name="Normal 4 2 2 6 2 3 2" xfId="22910" xr:uid="{40E0CC8A-6875-4CD1-9939-EB79703F2DE7}"/>
    <cellStyle name="Normal 4 2 2 6 2 3 3" xfId="14470" xr:uid="{2272C015-344D-4031-A099-303BA595EA90}"/>
    <cellStyle name="Normal 4 2 2 6 2 4" xfId="9396" xr:uid="{5B10E6C6-987A-4149-BB81-321A07C7666F}"/>
    <cellStyle name="Normal 4 2 2 6 2 4 2" xfId="18693" xr:uid="{7D7DAB56-1622-4654-836D-E7AA0367F3CF}"/>
    <cellStyle name="Normal 4 2 2 6 2 5" xfId="10253" xr:uid="{EE80D275-34C0-4BCB-86D1-7A48C6717662}"/>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25468" xr:uid="{EA860A2E-E6FD-491A-B5FE-C10E6A618BBB}"/>
    <cellStyle name="Normal 4 2 2 6 3 2 2 3" xfId="17028" xr:uid="{302A904A-926A-4DD8-A137-50A30E9326E1}"/>
    <cellStyle name="Normal 4 2 2 6 3 2 3" xfId="21251" xr:uid="{6B8CE65C-0EEF-4698-9C49-A3AE7FE10340}"/>
    <cellStyle name="Normal 4 2 2 6 3 2 4" xfId="12811" xr:uid="{67E11C47-8989-4409-B4F2-33BA4EE82DEF}"/>
    <cellStyle name="Normal 4 2 2 6 3 3" xfId="5557" xr:uid="{00000000-0005-0000-0000-000012130000}"/>
    <cellStyle name="Normal 4 2 2 6 3 3 2" xfId="23323" xr:uid="{99BAC379-6DEB-4697-8005-D388668FFBC7}"/>
    <cellStyle name="Normal 4 2 2 6 3 3 3" xfId="14883" xr:uid="{958B4F42-AD53-43B1-864B-105EBCF862EB}"/>
    <cellStyle name="Normal 4 2 2 6 3 4" xfId="19106" xr:uid="{EE24C6B0-F7EA-47A7-AF65-09B1515675D7}"/>
    <cellStyle name="Normal 4 2 2 6 3 5" xfId="10666" xr:uid="{5C4FA36A-ED55-45EB-8FA9-0C4BFA9F66AA}"/>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25881" xr:uid="{B33DB685-1F87-4929-9311-9E79B1559350}"/>
    <cellStyle name="Normal 4 2 2 6 4 2 2 3" xfId="17441" xr:uid="{346A4701-6B80-4D39-A9EB-B84148444349}"/>
    <cellStyle name="Normal 4 2 2 6 4 2 3" xfId="21664" xr:uid="{3CE5C7C6-5EDF-4764-8F30-9C1D3BE53134}"/>
    <cellStyle name="Normal 4 2 2 6 4 2 4" xfId="13224" xr:uid="{165A0C2D-6C5E-423B-9E61-5A36295D0F9A}"/>
    <cellStyle name="Normal 4 2 2 6 4 3" xfId="5970" xr:uid="{00000000-0005-0000-0000-000016130000}"/>
    <cellStyle name="Normal 4 2 2 6 4 3 2" xfId="23736" xr:uid="{ADEB5390-CF87-4DAB-950A-06A7D1931DA9}"/>
    <cellStyle name="Normal 4 2 2 6 4 3 3" xfId="15296" xr:uid="{E999EBD6-1624-4E94-9C9D-DAA41C16FD08}"/>
    <cellStyle name="Normal 4 2 2 6 4 4" xfId="19519" xr:uid="{FFC28440-FEFB-4129-A958-55C530D5FAB8}"/>
    <cellStyle name="Normal 4 2 2 6 4 5" xfId="11079" xr:uid="{60E87653-39DA-4922-8EEC-8D5D165F814A}"/>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26294" xr:uid="{8C664F13-4405-4E72-B848-B2D95655A972}"/>
    <cellStyle name="Normal 4 2 2 6 5 2 2 3" xfId="17854" xr:uid="{F9DF33B2-7E24-4A91-A01C-F627D0BFE8D2}"/>
    <cellStyle name="Normal 4 2 2 6 5 2 3" xfId="22077" xr:uid="{7A5A5772-F946-42BC-BBAD-1DECC3637934}"/>
    <cellStyle name="Normal 4 2 2 6 5 2 4" xfId="13637" xr:uid="{6D92805C-09DE-4A10-8E15-CA2D3CD9664F}"/>
    <cellStyle name="Normal 4 2 2 6 5 3" xfId="6383" xr:uid="{00000000-0005-0000-0000-00001A130000}"/>
    <cellStyle name="Normal 4 2 2 6 5 3 2" xfId="24149" xr:uid="{3043E417-F74C-4615-A409-9614F74D7CB3}"/>
    <cellStyle name="Normal 4 2 2 6 5 3 3" xfId="15709" xr:uid="{8D004E1A-7FA6-408E-99C8-F615FF8E4BC7}"/>
    <cellStyle name="Normal 4 2 2 6 5 4" xfId="19932" xr:uid="{7BF36E30-6F9E-48C4-A34E-B10FA2BF7535}"/>
    <cellStyle name="Normal 4 2 2 6 5 5" xfId="11492" xr:uid="{8C35DCEF-EED0-480A-8674-1C5A78A31AE9}"/>
    <cellStyle name="Normal 4 2 2 6 6" xfId="2513" xr:uid="{00000000-0005-0000-0000-00001B130000}"/>
    <cellStyle name="Normal 4 2 2 6 6 2" xfId="6796" xr:uid="{00000000-0005-0000-0000-00001C130000}"/>
    <cellStyle name="Normal 4 2 2 6 6 2 2" xfId="24562" xr:uid="{35B2D135-AB52-424A-B960-F6D926757D4A}"/>
    <cellStyle name="Normal 4 2 2 6 6 2 3" xfId="16122" xr:uid="{043A7DEF-B360-449B-BE38-72BEEBB310CC}"/>
    <cellStyle name="Normal 4 2 2 6 6 3" xfId="20345" xr:uid="{AE5AA54F-19E1-4824-B741-29F53FF70ADA}"/>
    <cellStyle name="Normal 4 2 2 6 6 4" xfId="11905" xr:uid="{357660A2-315E-4482-AED9-A699AB2E12C6}"/>
    <cellStyle name="Normal 4 2 2 6 7" xfId="4731" xr:uid="{00000000-0005-0000-0000-00001D130000}"/>
    <cellStyle name="Normal 4 2 2 6 7 2" xfId="22497" xr:uid="{8F67CA20-9D35-48F7-8993-5FCA9052BE08}"/>
    <cellStyle name="Normal 4 2 2 6 7 3" xfId="14057" xr:uid="{81E69071-45CF-4F49-9E85-01A9E9D6136E}"/>
    <cellStyle name="Normal 4 2 2 6 8" xfId="8971" xr:uid="{7BBA3CD4-2D32-439A-A2D5-9F7EB5E5A47E}"/>
    <cellStyle name="Normal 4 2 2 6 8 2" xfId="18280" xr:uid="{6BEABDC2-768F-4027-AE6D-7B4921B4DB4C}"/>
    <cellStyle name="Normal 4 2 2 6 9" xfId="9840" xr:uid="{67DFC667-F9C1-4664-8101-931F86FB2E07}"/>
    <cellStyle name="Normal 4 2 2 7" xfId="815" xr:uid="{00000000-0005-0000-0000-00001E130000}"/>
    <cellStyle name="Normal 4 2 2 7 2" xfId="3052" xr:uid="{00000000-0005-0000-0000-00001F130000}"/>
    <cellStyle name="Normal 4 2 2 7 2 2" xfId="7274" xr:uid="{00000000-0005-0000-0000-000020130000}"/>
    <cellStyle name="Normal 4 2 2 7 2 2 2" xfId="25040" xr:uid="{ED65F03E-1219-427C-8910-44C70CCB87C4}"/>
    <cellStyle name="Normal 4 2 2 7 2 2 3" xfId="16600" xr:uid="{E77C9A7E-C5F0-475A-8144-2AEDA2C4150E}"/>
    <cellStyle name="Normal 4 2 2 7 2 3" xfId="20823" xr:uid="{B13F3F97-A17A-4273-892E-78C0EE8AEBF4}"/>
    <cellStyle name="Normal 4 2 2 7 2 4" xfId="12383" xr:uid="{117E3F84-DF8D-4AA6-AC03-F9D51B9C4D2D}"/>
    <cellStyle name="Normal 4 2 2 7 3" xfId="5129" xr:uid="{00000000-0005-0000-0000-000021130000}"/>
    <cellStyle name="Normal 4 2 2 7 3 2" xfId="22895" xr:uid="{DA801DE5-B00B-489F-AA6B-AAFC8AE028A3}"/>
    <cellStyle name="Normal 4 2 2 7 3 3" xfId="14455" xr:uid="{EC8945A6-E1FB-4C26-B61E-4C04E270F9C7}"/>
    <cellStyle name="Normal 4 2 2 7 4" xfId="9174" xr:uid="{5FB177AF-8B2E-4B7E-A1B7-4F6E323AF880}"/>
    <cellStyle name="Normal 4 2 2 7 4 2" xfId="18678" xr:uid="{428CBD42-2083-4095-9FBC-9CD5049700FB}"/>
    <cellStyle name="Normal 4 2 2 7 5" xfId="10238" xr:uid="{D371AE63-D89E-4B78-A5EA-0A7D28EE6359}"/>
    <cellStyle name="Normal 4 2 2 8" xfId="1235" xr:uid="{00000000-0005-0000-0000-000022130000}"/>
    <cellStyle name="Normal 4 2 2 8 2" xfId="3465" xr:uid="{00000000-0005-0000-0000-000023130000}"/>
    <cellStyle name="Normal 4 2 2 8 2 2" xfId="7687" xr:uid="{00000000-0005-0000-0000-000024130000}"/>
    <cellStyle name="Normal 4 2 2 8 2 2 2" xfId="25453" xr:uid="{19C4709F-9394-4EE1-879B-5D9EE12C6A73}"/>
    <cellStyle name="Normal 4 2 2 8 2 2 3" xfId="17013" xr:uid="{5960B3F6-CD92-4E7C-9797-C8FA09D16890}"/>
    <cellStyle name="Normal 4 2 2 8 2 3" xfId="21236" xr:uid="{E4765175-5327-4B00-B200-176599452D10}"/>
    <cellStyle name="Normal 4 2 2 8 2 4" xfId="12796" xr:uid="{0EE39DCB-0104-47B6-9C51-83FAC4FE9FB3}"/>
    <cellStyle name="Normal 4 2 2 8 3" xfId="5542" xr:uid="{00000000-0005-0000-0000-000025130000}"/>
    <cellStyle name="Normal 4 2 2 8 3 2" xfId="23308" xr:uid="{E6DF69B8-3FD8-4829-89B7-6A9FCF3ED6FA}"/>
    <cellStyle name="Normal 4 2 2 8 3 3" xfId="14868" xr:uid="{352BDAF4-E8BF-4ED0-A9F9-3BD59AC3928D}"/>
    <cellStyle name="Normal 4 2 2 8 4" xfId="19091" xr:uid="{24409767-B7C1-424A-9894-9B48F45B18A1}"/>
    <cellStyle name="Normal 4 2 2 8 5" xfId="10651" xr:uid="{46066D2D-8E24-42A8-B1BD-DC6CB1E92A99}"/>
    <cellStyle name="Normal 4 2 2 9" xfId="1648" xr:uid="{00000000-0005-0000-0000-000026130000}"/>
    <cellStyle name="Normal 4 2 2 9 2" xfId="3878" xr:uid="{00000000-0005-0000-0000-000027130000}"/>
    <cellStyle name="Normal 4 2 2 9 2 2" xfId="8100" xr:uid="{00000000-0005-0000-0000-000028130000}"/>
    <cellStyle name="Normal 4 2 2 9 2 2 2" xfId="25866" xr:uid="{D323D6BC-4873-4DC5-A22E-C9F42A1C5070}"/>
    <cellStyle name="Normal 4 2 2 9 2 2 3" xfId="17426" xr:uid="{2011FC4E-BEDD-4A04-83B5-7410866D1C09}"/>
    <cellStyle name="Normal 4 2 2 9 2 3" xfId="21649" xr:uid="{24A6BAC8-7885-474C-8F2B-7B2D317E9715}"/>
    <cellStyle name="Normal 4 2 2 9 2 4" xfId="13209" xr:uid="{2F75CF4F-2F31-4CB2-9350-AB9BB8EF3A42}"/>
    <cellStyle name="Normal 4 2 2 9 3" xfId="5955" xr:uid="{00000000-0005-0000-0000-000029130000}"/>
    <cellStyle name="Normal 4 2 2 9 3 2" xfId="23721" xr:uid="{683B05F5-6001-404E-94AD-E33F575072E7}"/>
    <cellStyle name="Normal 4 2 2 9 3 3" xfId="15281" xr:uid="{4909BAB9-C24C-4461-8597-C6AC58B59F28}"/>
    <cellStyle name="Normal 4 2 2 9 4" xfId="19504" xr:uid="{F7972336-0904-4857-9B1F-4AD8696ABB14}"/>
    <cellStyle name="Normal 4 2 2 9 5" xfId="11064" xr:uid="{B95FC517-EE24-4F60-B7F2-1B4FBE0D3541}"/>
    <cellStyle name="Normal 4 2 3" xfId="354" xr:uid="{00000000-0005-0000-0000-00002A130000}"/>
    <cellStyle name="Normal 4 2 4" xfId="355" xr:uid="{00000000-0005-0000-0000-00002B130000}"/>
    <cellStyle name="Normal 4 2 4 10" xfId="4732" xr:uid="{00000000-0005-0000-0000-00002C130000}"/>
    <cellStyle name="Normal 4 2 4 10 2" xfId="22498" xr:uid="{4ABBBAED-C736-4E85-94BE-3F06D52709D2}"/>
    <cellStyle name="Normal 4 2 4 10 3" xfId="14058" xr:uid="{C7184A53-A273-4F37-A7B6-BDFA261C0CA6}"/>
    <cellStyle name="Normal 4 2 4 11" xfId="8775" xr:uid="{7AC259AB-9C32-4DC1-A787-2E2187A7C2D6}"/>
    <cellStyle name="Normal 4 2 4 11 2" xfId="18281" xr:uid="{DB1A9A5C-418F-482A-86EA-CBD15589AC99}"/>
    <cellStyle name="Normal 4 2 4 12" xfId="9841" xr:uid="{C19AE801-9521-4F4B-9DFA-BF87E3D186FB}"/>
    <cellStyle name="Normal 4 2 4 2" xfId="356" xr:uid="{00000000-0005-0000-0000-00002D130000}"/>
    <cellStyle name="Normal 4 2 4 2 10" xfId="8820" xr:uid="{8B50D4F4-4786-467C-8322-69D665B73C2B}"/>
    <cellStyle name="Normal 4 2 4 2 10 2" xfId="18282" xr:uid="{33770C52-4EE8-4D67-A43B-A163BA76C570}"/>
    <cellStyle name="Normal 4 2 4 2 11" xfId="9842" xr:uid="{2A247D06-F9FA-4C56-B137-B81BAA74E664}"/>
    <cellStyle name="Normal 4 2 4 2 2" xfId="357" xr:uid="{00000000-0005-0000-0000-00002E130000}"/>
    <cellStyle name="Normal 4 2 4 2 2 10" xfId="9843" xr:uid="{C6C8C042-4817-4FF5-BDE2-E8AA9DA34C02}"/>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25059" xr:uid="{68D10A99-5FD8-4204-9BF8-F5E5F8333639}"/>
    <cellStyle name="Normal 4 2 4 2 2 2 2 2 2 3" xfId="16619" xr:uid="{4F11CAAC-8D0A-4F9F-A67E-CAD94BA73644}"/>
    <cellStyle name="Normal 4 2 4 2 2 2 2 2 3" xfId="20842" xr:uid="{BDA3FCE2-E64F-43C4-B074-CB3565D03946}"/>
    <cellStyle name="Normal 4 2 4 2 2 2 2 2 4" xfId="12402" xr:uid="{35422748-DA2C-4102-ADBC-2B46C14D2210}"/>
    <cellStyle name="Normal 4 2 4 2 2 2 2 3" xfId="5148" xr:uid="{00000000-0005-0000-0000-000033130000}"/>
    <cellStyle name="Normal 4 2 4 2 2 2 2 3 2" xfId="22914" xr:uid="{5F259A57-9A21-472F-8BA0-D24F68C5CC80}"/>
    <cellStyle name="Normal 4 2 4 2 2 2 2 3 3" xfId="14474" xr:uid="{9C87F306-7EC0-4D2E-9606-02C7D06357D9}"/>
    <cellStyle name="Normal 4 2 4 2 2 2 2 4" xfId="9555" xr:uid="{31AE7BD4-4F26-4658-9939-15FCE733560E}"/>
    <cellStyle name="Normal 4 2 4 2 2 2 2 4 2" xfId="18697" xr:uid="{EA07DDA0-CECE-41DF-94EC-4A9EEB4F3DBF}"/>
    <cellStyle name="Normal 4 2 4 2 2 2 2 5" xfId="10257" xr:uid="{11491681-1685-47D2-802C-2DB445F929D2}"/>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25472" xr:uid="{F42B7BED-4043-4855-BD55-624B70E657E0}"/>
    <cellStyle name="Normal 4 2 4 2 2 2 3 2 2 3" xfId="17032" xr:uid="{7CF3919D-C2BA-44E1-B045-E13DAC3F980E}"/>
    <cellStyle name="Normal 4 2 4 2 2 2 3 2 3" xfId="21255" xr:uid="{A89D45CE-0116-4C4C-9EA5-35AEFB1E1081}"/>
    <cellStyle name="Normal 4 2 4 2 2 2 3 2 4" xfId="12815" xr:uid="{03F36FB3-5695-44D9-83B6-CB6D94C59A22}"/>
    <cellStyle name="Normal 4 2 4 2 2 2 3 3" xfId="5561" xr:uid="{00000000-0005-0000-0000-000037130000}"/>
    <cellStyle name="Normal 4 2 4 2 2 2 3 3 2" xfId="23327" xr:uid="{27ACC4D2-969B-4CD4-84B3-3084397E3D83}"/>
    <cellStyle name="Normal 4 2 4 2 2 2 3 3 3" xfId="14887" xr:uid="{E2858B63-0659-4F27-8A07-0CD012FE24E7}"/>
    <cellStyle name="Normal 4 2 4 2 2 2 3 4" xfId="19110" xr:uid="{02118EC6-ECC6-4842-B020-BEACA3D43D59}"/>
    <cellStyle name="Normal 4 2 4 2 2 2 3 5" xfId="10670" xr:uid="{DBCE2853-7BBE-40E7-99CE-7692C14F4EF9}"/>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25885" xr:uid="{A1801172-0BAC-480B-B6DE-35437FDD275B}"/>
    <cellStyle name="Normal 4 2 4 2 2 2 4 2 2 3" xfId="17445" xr:uid="{1D486766-8AD8-4F63-B971-2B804B10AE1A}"/>
    <cellStyle name="Normal 4 2 4 2 2 2 4 2 3" xfId="21668" xr:uid="{A594AFE0-48DD-4CF3-A5A0-943B72D57005}"/>
    <cellStyle name="Normal 4 2 4 2 2 2 4 2 4" xfId="13228" xr:uid="{84690171-E336-4DD7-B13F-CAB2E991822C}"/>
    <cellStyle name="Normal 4 2 4 2 2 2 4 3" xfId="5974" xr:uid="{00000000-0005-0000-0000-00003B130000}"/>
    <cellStyle name="Normal 4 2 4 2 2 2 4 3 2" xfId="23740" xr:uid="{1DFBAD72-FBF2-44A5-8CE3-5E6314E28234}"/>
    <cellStyle name="Normal 4 2 4 2 2 2 4 3 3" xfId="15300" xr:uid="{C01BB5DD-9DAF-4EA8-BF37-52E0E3FC6F33}"/>
    <cellStyle name="Normal 4 2 4 2 2 2 4 4" xfId="19523" xr:uid="{166B5266-2BE2-4BEB-8B01-9F15D87B3476}"/>
    <cellStyle name="Normal 4 2 4 2 2 2 4 5" xfId="11083" xr:uid="{72CC1CA7-DA9A-4444-A979-055A861D0DD8}"/>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26298" xr:uid="{F3B1FE34-0E3F-4CCE-8A7D-3337E8D10B34}"/>
    <cellStyle name="Normal 4 2 4 2 2 2 5 2 2 3" xfId="17858" xr:uid="{7F8453A9-45BE-4CD1-B4B5-03E99C59365F}"/>
    <cellStyle name="Normal 4 2 4 2 2 2 5 2 3" xfId="22081" xr:uid="{82765DBA-A622-44DB-8EDC-E00926C37AF1}"/>
    <cellStyle name="Normal 4 2 4 2 2 2 5 2 4" xfId="13641" xr:uid="{9CA8FD37-6104-4B1A-B710-4E224475E1FE}"/>
    <cellStyle name="Normal 4 2 4 2 2 2 5 3" xfId="6387" xr:uid="{00000000-0005-0000-0000-00003F130000}"/>
    <cellStyle name="Normal 4 2 4 2 2 2 5 3 2" xfId="24153" xr:uid="{5EC4A44B-4580-49AA-8BEF-053C826FB0F8}"/>
    <cellStyle name="Normal 4 2 4 2 2 2 5 3 3" xfId="15713" xr:uid="{F0B4F872-4AA1-4173-9816-C4A59B7A287B}"/>
    <cellStyle name="Normal 4 2 4 2 2 2 5 4" xfId="19936" xr:uid="{258A44A4-B6B8-4A01-A1C1-D0FEC62ABEB7}"/>
    <cellStyle name="Normal 4 2 4 2 2 2 5 5" xfId="11496" xr:uid="{8FB5ACDB-0803-47C5-9454-21EC705665FC}"/>
    <cellStyle name="Normal 4 2 4 2 2 2 6" xfId="2517" xr:uid="{00000000-0005-0000-0000-000040130000}"/>
    <cellStyle name="Normal 4 2 4 2 2 2 6 2" xfId="6800" xr:uid="{00000000-0005-0000-0000-000041130000}"/>
    <cellStyle name="Normal 4 2 4 2 2 2 6 2 2" xfId="24566" xr:uid="{99A7A22A-C9C7-49EF-94BB-BFDF31502E05}"/>
    <cellStyle name="Normal 4 2 4 2 2 2 6 2 3" xfId="16126" xr:uid="{9DA17C01-F0F5-41C8-B06F-244B76FC4614}"/>
    <cellStyle name="Normal 4 2 4 2 2 2 6 3" xfId="20349" xr:uid="{E360930D-B526-469A-9075-9CE40C8766BA}"/>
    <cellStyle name="Normal 4 2 4 2 2 2 6 4" xfId="11909" xr:uid="{12AB1923-20E5-420F-9AB2-62843BCA82BC}"/>
    <cellStyle name="Normal 4 2 4 2 2 2 7" xfId="4735" xr:uid="{00000000-0005-0000-0000-000042130000}"/>
    <cellStyle name="Normal 4 2 4 2 2 2 7 2" xfId="22501" xr:uid="{C0DE7B66-D4FD-44A8-9730-B2E23A4F116C}"/>
    <cellStyle name="Normal 4 2 4 2 2 2 7 3" xfId="14061" xr:uid="{78DDBDDD-0BA2-446D-B44F-592870026742}"/>
    <cellStyle name="Normal 4 2 4 2 2 2 8" xfId="9130" xr:uid="{E4AAEB37-D6CE-4BD9-A166-BE52F754DAC4}"/>
    <cellStyle name="Normal 4 2 4 2 2 2 8 2" xfId="18284" xr:uid="{6114A343-1ECC-45BD-AC73-287565308709}"/>
    <cellStyle name="Normal 4 2 4 2 2 2 9" xfId="9844" xr:uid="{D41451B6-E237-4530-9F2D-6473412F1129}"/>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25058" xr:uid="{3637A82A-4000-4894-A379-CFA23BB30D90}"/>
    <cellStyle name="Normal 4 2 4 2 2 3 2 2 3" xfId="16618" xr:uid="{E1CBAEE2-2C86-449B-9696-52BEE3BC44CA}"/>
    <cellStyle name="Normal 4 2 4 2 2 3 2 3" xfId="20841" xr:uid="{59110D96-4B8D-4AC6-9D08-FD9CD71EFC13}"/>
    <cellStyle name="Normal 4 2 4 2 2 3 2 4" xfId="12401" xr:uid="{47482ED1-202E-45EC-8761-416378F93ECC}"/>
    <cellStyle name="Normal 4 2 4 2 2 3 3" xfId="5147" xr:uid="{00000000-0005-0000-0000-000046130000}"/>
    <cellStyle name="Normal 4 2 4 2 2 3 3 2" xfId="22913" xr:uid="{B9C8D658-F749-4360-9265-7E7E17E3937E}"/>
    <cellStyle name="Normal 4 2 4 2 2 3 3 3" xfId="14473" xr:uid="{7AEDADB1-3E37-4108-8571-D0DD376CE01C}"/>
    <cellStyle name="Normal 4 2 4 2 2 3 4" xfId="9348" xr:uid="{E9E52CF6-B3CF-482F-B496-A22B0452951D}"/>
    <cellStyle name="Normal 4 2 4 2 2 3 4 2" xfId="18696" xr:uid="{554A9D1C-7C0D-430D-AB14-8201650942D7}"/>
    <cellStyle name="Normal 4 2 4 2 2 3 5" xfId="10256" xr:uid="{295A248A-9D2D-4BA7-9D32-7321917992E9}"/>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25471" xr:uid="{74C567A1-4CFA-4ADB-820E-BFDBBA47387D}"/>
    <cellStyle name="Normal 4 2 4 2 2 4 2 2 3" xfId="17031" xr:uid="{AD8F2A91-B2CC-41C6-8A8C-E0699EBF328F}"/>
    <cellStyle name="Normal 4 2 4 2 2 4 2 3" xfId="21254" xr:uid="{64EA6C0C-7183-4BCA-8EC9-F22B99F69CB4}"/>
    <cellStyle name="Normal 4 2 4 2 2 4 2 4" xfId="12814" xr:uid="{02C9B4FB-174C-46AC-B1D0-0EC2346716E0}"/>
    <cellStyle name="Normal 4 2 4 2 2 4 3" xfId="5560" xr:uid="{00000000-0005-0000-0000-00004A130000}"/>
    <cellStyle name="Normal 4 2 4 2 2 4 3 2" xfId="23326" xr:uid="{B50A01A6-6A5D-4C09-A573-8971E180229F}"/>
    <cellStyle name="Normal 4 2 4 2 2 4 3 3" xfId="14886" xr:uid="{3FF130F1-CFB3-4FDB-8CFB-0E8BA5188785}"/>
    <cellStyle name="Normal 4 2 4 2 2 4 4" xfId="19109" xr:uid="{9E594CC4-9826-472B-96FB-72288817CFE0}"/>
    <cellStyle name="Normal 4 2 4 2 2 4 5" xfId="10669" xr:uid="{EC6BD133-701F-4ECC-954F-CB1F109E67B4}"/>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25884" xr:uid="{EA66712C-75B2-4495-8F6F-F83026844A0B}"/>
    <cellStyle name="Normal 4 2 4 2 2 5 2 2 3" xfId="17444" xr:uid="{8D609E5B-0F01-43B5-B380-EDABF1AC67EA}"/>
    <cellStyle name="Normal 4 2 4 2 2 5 2 3" xfId="21667" xr:uid="{523BC6F1-9E63-4817-8911-399AFEDCE7A2}"/>
    <cellStyle name="Normal 4 2 4 2 2 5 2 4" xfId="13227" xr:uid="{5CDB862E-3600-450E-A240-A530E9D1D86B}"/>
    <cellStyle name="Normal 4 2 4 2 2 5 3" xfId="5973" xr:uid="{00000000-0005-0000-0000-00004E130000}"/>
    <cellStyle name="Normal 4 2 4 2 2 5 3 2" xfId="23739" xr:uid="{88B0227C-0782-4CA1-AF7D-16C03101CCD2}"/>
    <cellStyle name="Normal 4 2 4 2 2 5 3 3" xfId="15299" xr:uid="{51A339B8-681F-4FB8-B042-F1DBCDC7C508}"/>
    <cellStyle name="Normal 4 2 4 2 2 5 4" xfId="19522" xr:uid="{28861DC8-FE2B-4FDD-9267-EBB6E82DB614}"/>
    <cellStyle name="Normal 4 2 4 2 2 5 5" xfId="11082" xr:uid="{AD1A7652-B0F1-4AF2-B1C5-E706494CAA53}"/>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26297" xr:uid="{13EC5EF5-CA9C-46C7-8163-7213C09BC6C6}"/>
    <cellStyle name="Normal 4 2 4 2 2 6 2 2 3" xfId="17857" xr:uid="{9E15B76D-58D7-4529-9616-C7FEB954B4FD}"/>
    <cellStyle name="Normal 4 2 4 2 2 6 2 3" xfId="22080" xr:uid="{F41C9AFA-0965-495C-BD00-C0CB6A961728}"/>
    <cellStyle name="Normal 4 2 4 2 2 6 2 4" xfId="13640" xr:uid="{BABE0480-CC85-401B-AA36-5388CB08B0EA}"/>
    <cellStyle name="Normal 4 2 4 2 2 6 3" xfId="6386" xr:uid="{00000000-0005-0000-0000-000052130000}"/>
    <cellStyle name="Normal 4 2 4 2 2 6 3 2" xfId="24152" xr:uid="{407DBF89-681F-4759-828F-A3E95D91D24A}"/>
    <cellStyle name="Normal 4 2 4 2 2 6 3 3" xfId="15712" xr:uid="{28406799-98AC-4168-AD45-76C0CE6FDFDD}"/>
    <cellStyle name="Normal 4 2 4 2 2 6 4" xfId="19935" xr:uid="{F4990F5D-A602-4939-BC89-167AFA7C2AE2}"/>
    <cellStyle name="Normal 4 2 4 2 2 6 5" xfId="11495" xr:uid="{3BA33DC8-893A-42C3-BAC5-C64B08611618}"/>
    <cellStyle name="Normal 4 2 4 2 2 7" xfId="2516" xr:uid="{00000000-0005-0000-0000-000053130000}"/>
    <cellStyle name="Normal 4 2 4 2 2 7 2" xfId="6799" xr:uid="{00000000-0005-0000-0000-000054130000}"/>
    <cellStyle name="Normal 4 2 4 2 2 7 2 2" xfId="24565" xr:uid="{AED51067-A548-41B2-BA1C-02B18712D590}"/>
    <cellStyle name="Normal 4 2 4 2 2 7 2 3" xfId="16125" xr:uid="{C24C4DFC-8724-450C-A469-46B7471951FA}"/>
    <cellStyle name="Normal 4 2 4 2 2 7 3" xfId="20348" xr:uid="{73D4A980-AB3D-44CE-A119-1C3E5009FF22}"/>
    <cellStyle name="Normal 4 2 4 2 2 7 4" xfId="11908" xr:uid="{D8A67D90-26E8-464E-AEBA-2B4824C0144C}"/>
    <cellStyle name="Normal 4 2 4 2 2 8" xfId="4734" xr:uid="{00000000-0005-0000-0000-000055130000}"/>
    <cellStyle name="Normal 4 2 4 2 2 8 2" xfId="22500" xr:uid="{4902A91F-C25D-4126-8DDC-4D02819BEEDC}"/>
    <cellStyle name="Normal 4 2 4 2 2 8 3" xfId="14060" xr:uid="{E7DE1268-1989-4FF1-A36A-93F823E9F626}"/>
    <cellStyle name="Normal 4 2 4 2 2 9" xfId="8923" xr:uid="{2BBE6936-33B8-4624-9F85-2EE83C62ACB2}"/>
    <cellStyle name="Normal 4 2 4 2 2 9 2" xfId="18283" xr:uid="{E76D69A2-783C-4481-B851-DEE085884AFB}"/>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25060" xr:uid="{668095DB-5CCB-4625-B6F7-B26683BED009}"/>
    <cellStyle name="Normal 4 2 4 2 3 2 2 2 3" xfId="16620" xr:uid="{A4F16325-18B5-47D3-AC03-32E6A8921705}"/>
    <cellStyle name="Normal 4 2 4 2 3 2 2 3" xfId="20843" xr:uid="{D263F9F8-1D23-4964-9B88-68BB4B9202EA}"/>
    <cellStyle name="Normal 4 2 4 2 3 2 2 4" xfId="12403" xr:uid="{5FB808D6-43D1-4A55-BF51-238B5850123B}"/>
    <cellStyle name="Normal 4 2 4 2 3 2 3" xfId="5149" xr:uid="{00000000-0005-0000-0000-00005A130000}"/>
    <cellStyle name="Normal 4 2 4 2 3 2 3 2" xfId="22915" xr:uid="{EE083CF6-DA69-472E-874E-6AC007C7E649}"/>
    <cellStyle name="Normal 4 2 4 2 3 2 3 3" xfId="14475" xr:uid="{A754EEE3-5884-4A37-BD5B-61C0AD095378}"/>
    <cellStyle name="Normal 4 2 4 2 3 2 4" xfId="9452" xr:uid="{58F46659-8F00-4705-8554-54AEBE9B8A77}"/>
    <cellStyle name="Normal 4 2 4 2 3 2 4 2" xfId="18698" xr:uid="{AA16D4BB-4BA7-498C-B1DC-56C4BA350E79}"/>
    <cellStyle name="Normal 4 2 4 2 3 2 5" xfId="10258" xr:uid="{970DB954-D289-41D1-8F4E-6E569D18E315}"/>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25473" xr:uid="{3E43B755-72A9-4006-B5B7-B4F609445380}"/>
    <cellStyle name="Normal 4 2 4 2 3 3 2 2 3" xfId="17033" xr:uid="{7851A32E-F112-4CFA-B4A8-97333DE88961}"/>
    <cellStyle name="Normal 4 2 4 2 3 3 2 3" xfId="21256" xr:uid="{05449A70-B9D6-4B24-8B89-9C58645CC6F3}"/>
    <cellStyle name="Normal 4 2 4 2 3 3 2 4" xfId="12816" xr:uid="{00A14A5A-5049-422B-9050-548F6535D35A}"/>
    <cellStyle name="Normal 4 2 4 2 3 3 3" xfId="5562" xr:uid="{00000000-0005-0000-0000-00005E130000}"/>
    <cellStyle name="Normal 4 2 4 2 3 3 3 2" xfId="23328" xr:uid="{2DCB84F5-C27C-4B60-951E-6635D14F8F3C}"/>
    <cellStyle name="Normal 4 2 4 2 3 3 3 3" xfId="14888" xr:uid="{95EE93ED-B533-4172-9755-549BCEA992C0}"/>
    <cellStyle name="Normal 4 2 4 2 3 3 4" xfId="19111" xr:uid="{1A9814D4-D200-400E-B0EC-4EE7FF741E03}"/>
    <cellStyle name="Normal 4 2 4 2 3 3 5" xfId="10671" xr:uid="{5C41C752-E233-4F99-B1C3-45F55845D46B}"/>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25886" xr:uid="{539E7EFB-F095-4CCB-9096-ACA98E4ABEE0}"/>
    <cellStyle name="Normal 4 2 4 2 3 4 2 2 3" xfId="17446" xr:uid="{ED87E62E-DC54-4B3D-B851-59B68B6F2AC9}"/>
    <cellStyle name="Normal 4 2 4 2 3 4 2 3" xfId="21669" xr:uid="{66439D87-FCF0-4601-BA9E-1DFA162FC20E}"/>
    <cellStyle name="Normal 4 2 4 2 3 4 2 4" xfId="13229" xr:uid="{58D1B760-BD99-4A14-96FC-ABEBBD6605C7}"/>
    <cellStyle name="Normal 4 2 4 2 3 4 3" xfId="5975" xr:uid="{00000000-0005-0000-0000-000062130000}"/>
    <cellStyle name="Normal 4 2 4 2 3 4 3 2" xfId="23741" xr:uid="{9911B7FE-CAB0-4187-A796-65BCFFCDABFA}"/>
    <cellStyle name="Normal 4 2 4 2 3 4 3 3" xfId="15301" xr:uid="{451F28B6-BB84-4F5D-859C-A75E33B12DAF}"/>
    <cellStyle name="Normal 4 2 4 2 3 4 4" xfId="19524" xr:uid="{3FE437EF-64FB-49E9-83AB-F3E69E19AFCC}"/>
    <cellStyle name="Normal 4 2 4 2 3 4 5" xfId="11084" xr:uid="{D234530D-9E1D-44FF-9050-E53987769DE5}"/>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26299" xr:uid="{2998C06F-67D7-4D02-9462-30ACEC836C7B}"/>
    <cellStyle name="Normal 4 2 4 2 3 5 2 2 3" xfId="17859" xr:uid="{24647586-A8D3-4236-8AE8-48D8D1675331}"/>
    <cellStyle name="Normal 4 2 4 2 3 5 2 3" xfId="22082" xr:uid="{47301D4B-6265-49E9-BA25-46F17774D854}"/>
    <cellStyle name="Normal 4 2 4 2 3 5 2 4" xfId="13642" xr:uid="{AFDE3779-08DC-455C-BA95-7BC233428CC6}"/>
    <cellStyle name="Normal 4 2 4 2 3 5 3" xfId="6388" xr:uid="{00000000-0005-0000-0000-000066130000}"/>
    <cellStyle name="Normal 4 2 4 2 3 5 3 2" xfId="24154" xr:uid="{EFDE9557-7C5B-4C00-B2AF-2411AAFBD2E5}"/>
    <cellStyle name="Normal 4 2 4 2 3 5 3 3" xfId="15714" xr:uid="{9FDA933A-C5C3-4DE6-8779-58943EBE6474}"/>
    <cellStyle name="Normal 4 2 4 2 3 5 4" xfId="19937" xr:uid="{DF8A974A-E7BE-41D9-808A-EBD38ABABB54}"/>
    <cellStyle name="Normal 4 2 4 2 3 5 5" xfId="11497" xr:uid="{7186E158-B6B0-44F7-8780-9E7BA930D43B}"/>
    <cellStyle name="Normal 4 2 4 2 3 6" xfId="2518" xr:uid="{00000000-0005-0000-0000-000067130000}"/>
    <cellStyle name="Normal 4 2 4 2 3 6 2" xfId="6801" xr:uid="{00000000-0005-0000-0000-000068130000}"/>
    <cellStyle name="Normal 4 2 4 2 3 6 2 2" xfId="24567" xr:uid="{CFAA9C3B-27BD-45F0-A1E3-D0A4AC01ED8F}"/>
    <cellStyle name="Normal 4 2 4 2 3 6 2 3" xfId="16127" xr:uid="{68709EEF-D848-4931-9742-97F556400628}"/>
    <cellStyle name="Normal 4 2 4 2 3 6 3" xfId="20350" xr:uid="{27E3BBAB-1518-41D5-B1F8-EE7638318E29}"/>
    <cellStyle name="Normal 4 2 4 2 3 6 4" xfId="11910" xr:uid="{754A32CD-8F96-40CA-9AAE-4208D6E3AF3E}"/>
    <cellStyle name="Normal 4 2 4 2 3 7" xfId="4736" xr:uid="{00000000-0005-0000-0000-000069130000}"/>
    <cellStyle name="Normal 4 2 4 2 3 7 2" xfId="22502" xr:uid="{4C44FC4F-359C-41A6-A71B-5528639455AD}"/>
    <cellStyle name="Normal 4 2 4 2 3 7 3" xfId="14062" xr:uid="{CB78F51B-86A9-4586-B13D-23BC63F485EC}"/>
    <cellStyle name="Normal 4 2 4 2 3 8" xfId="9027" xr:uid="{DA430019-E492-48BB-ACD5-5BE853C50FBC}"/>
    <cellStyle name="Normal 4 2 4 2 3 8 2" xfId="18285" xr:uid="{F0A643A1-E691-4D31-93AC-28602E6C8243}"/>
    <cellStyle name="Normal 4 2 4 2 3 9" xfId="9845" xr:uid="{C00FCD20-55F7-4AB0-8694-EB37FDB40119}"/>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25057" xr:uid="{42A0D966-1E78-4C35-A4D6-CA769D273FBB}"/>
    <cellStyle name="Normal 4 2 4 2 4 2 2 3" xfId="16617" xr:uid="{A3FCE821-8811-4C70-AE21-7EEC4BC53C8F}"/>
    <cellStyle name="Normal 4 2 4 2 4 2 3" xfId="20840" xr:uid="{D9998430-E264-4E3C-AB70-A66795DCC51C}"/>
    <cellStyle name="Normal 4 2 4 2 4 2 4" xfId="12400" xr:uid="{996E513B-162B-470C-9637-7F9B796DAAA9}"/>
    <cellStyle name="Normal 4 2 4 2 4 3" xfId="5146" xr:uid="{00000000-0005-0000-0000-00006D130000}"/>
    <cellStyle name="Normal 4 2 4 2 4 3 2" xfId="22912" xr:uid="{4ADD14A1-474B-45AA-A467-7E24E8F4868B}"/>
    <cellStyle name="Normal 4 2 4 2 4 3 3" xfId="14472" xr:uid="{9E4B2576-7B40-4AC5-A427-83A9721E7BE9}"/>
    <cellStyle name="Normal 4 2 4 2 4 4" xfId="9245" xr:uid="{A0383DD8-843E-4601-922A-5CDD979D0589}"/>
    <cellStyle name="Normal 4 2 4 2 4 4 2" xfId="18695" xr:uid="{7EE0AD05-10DD-4E9C-B36C-24647C1D1603}"/>
    <cellStyle name="Normal 4 2 4 2 4 5" xfId="10255" xr:uid="{376352DA-3803-4633-8433-0867B76D5FCB}"/>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25470" xr:uid="{D3CA5FDE-9CDE-42EB-A08A-A19D162E880D}"/>
    <cellStyle name="Normal 4 2 4 2 5 2 2 3" xfId="17030" xr:uid="{E83A66D9-2B25-494D-995F-424C2B895103}"/>
    <cellStyle name="Normal 4 2 4 2 5 2 3" xfId="21253" xr:uid="{9B304484-45DB-4B6D-8B82-6722615537FE}"/>
    <cellStyle name="Normal 4 2 4 2 5 2 4" xfId="12813" xr:uid="{CB2CF32A-1CDD-4BA6-8967-388730F5C524}"/>
    <cellStyle name="Normal 4 2 4 2 5 3" xfId="5559" xr:uid="{00000000-0005-0000-0000-000071130000}"/>
    <cellStyle name="Normal 4 2 4 2 5 3 2" xfId="23325" xr:uid="{F49AD4C2-0A40-4D58-88FE-D3A223C89481}"/>
    <cellStyle name="Normal 4 2 4 2 5 3 3" xfId="14885" xr:uid="{4428FDE6-C7EF-4872-9EA8-2308DB188B0A}"/>
    <cellStyle name="Normal 4 2 4 2 5 4" xfId="19108" xr:uid="{7AB3D09E-9024-4D63-BBB3-08EBB65D4329}"/>
    <cellStyle name="Normal 4 2 4 2 5 5" xfId="10668" xr:uid="{CFD3DEBC-218E-4788-9DBB-FA475C5A4940}"/>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25883" xr:uid="{215ACB1E-8246-4BAB-B928-89449D168A36}"/>
    <cellStyle name="Normal 4 2 4 2 6 2 2 3" xfId="17443" xr:uid="{8922DB44-7B47-416D-AD2E-95AF1D1AF3A1}"/>
    <cellStyle name="Normal 4 2 4 2 6 2 3" xfId="21666" xr:uid="{7284F407-06AF-4742-9D8B-161ECA5B13D9}"/>
    <cellStyle name="Normal 4 2 4 2 6 2 4" xfId="13226" xr:uid="{E1E7F488-5452-4421-BA8C-B10620ED4A2F}"/>
    <cellStyle name="Normal 4 2 4 2 6 3" xfId="5972" xr:uid="{00000000-0005-0000-0000-000075130000}"/>
    <cellStyle name="Normal 4 2 4 2 6 3 2" xfId="23738" xr:uid="{2FF872DA-1228-4326-94C8-173A10892E1F}"/>
    <cellStyle name="Normal 4 2 4 2 6 3 3" xfId="15298" xr:uid="{77AD2B9B-F8B6-4ECB-87B7-CEC2CFD0E852}"/>
    <cellStyle name="Normal 4 2 4 2 6 4" xfId="19521" xr:uid="{3D9314CF-C7B3-413C-AE4B-CE3482D45069}"/>
    <cellStyle name="Normal 4 2 4 2 6 5" xfId="11081" xr:uid="{422B60F5-7A48-468D-A1B6-78813577A3E3}"/>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26296" xr:uid="{89192D77-A736-4682-B363-F89BC3DD680A}"/>
    <cellStyle name="Normal 4 2 4 2 7 2 2 3" xfId="17856" xr:uid="{36ADCB67-8C83-4359-9281-50DFC45D7937}"/>
    <cellStyle name="Normal 4 2 4 2 7 2 3" xfId="22079" xr:uid="{962810D2-A3C1-4D1D-A5A5-0872F3858F60}"/>
    <cellStyle name="Normal 4 2 4 2 7 2 4" xfId="13639" xr:uid="{428D09A2-AF37-4180-BCA4-36C453DF2FD1}"/>
    <cellStyle name="Normal 4 2 4 2 7 3" xfId="6385" xr:uid="{00000000-0005-0000-0000-000079130000}"/>
    <cellStyle name="Normal 4 2 4 2 7 3 2" xfId="24151" xr:uid="{F6E7300C-4370-446C-B0D3-DEE0EE7C7F9C}"/>
    <cellStyle name="Normal 4 2 4 2 7 3 3" xfId="15711" xr:uid="{53895B7B-3431-48DA-B149-F24FDE9D16D3}"/>
    <cellStyle name="Normal 4 2 4 2 7 4" xfId="19934" xr:uid="{703FF8ED-C3BE-404E-AC54-30AAC58D963A}"/>
    <cellStyle name="Normal 4 2 4 2 7 5" xfId="11494" xr:uid="{2806DC04-BA35-4907-A83E-28A67792395E}"/>
    <cellStyle name="Normal 4 2 4 2 8" xfId="2515" xr:uid="{00000000-0005-0000-0000-00007A130000}"/>
    <cellStyle name="Normal 4 2 4 2 8 2" xfId="6798" xr:uid="{00000000-0005-0000-0000-00007B130000}"/>
    <cellStyle name="Normal 4 2 4 2 8 2 2" xfId="24564" xr:uid="{76627257-1C12-47A5-8503-719580725CB3}"/>
    <cellStyle name="Normal 4 2 4 2 8 2 3" xfId="16124" xr:uid="{B6D3BDBD-92F4-46C8-8B65-46A24C888380}"/>
    <cellStyle name="Normal 4 2 4 2 8 3" xfId="20347" xr:uid="{AC35DEEC-0A9E-4E82-9668-1849860CCE30}"/>
    <cellStyle name="Normal 4 2 4 2 8 4" xfId="11907" xr:uid="{11013AB5-02A2-496D-B4DF-B56327B3E05B}"/>
    <cellStyle name="Normal 4 2 4 2 9" xfId="4733" xr:uid="{00000000-0005-0000-0000-00007C130000}"/>
    <cellStyle name="Normal 4 2 4 2 9 2" xfId="22499" xr:uid="{C749BAC3-ED3B-4B5D-AC93-D07687802DD0}"/>
    <cellStyle name="Normal 4 2 4 2 9 3" xfId="14059" xr:uid="{5F51A728-5B49-4423-BA9A-B9BF8E5A8835}"/>
    <cellStyle name="Normal 4 2 4 3" xfId="360" xr:uid="{00000000-0005-0000-0000-00007D130000}"/>
    <cellStyle name="Normal 4 2 4 3 10" xfId="9846" xr:uid="{6BC9A226-645F-4A9C-9428-D79CADFD4BDE}"/>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25062" xr:uid="{9A756402-B411-41A4-80A9-4821B2D3325F}"/>
    <cellStyle name="Normal 4 2 4 3 2 2 2 2 3" xfId="16622" xr:uid="{88E30AB6-CFB9-448D-B611-73BCECBBD951}"/>
    <cellStyle name="Normal 4 2 4 3 2 2 2 3" xfId="20845" xr:uid="{69A23106-4673-4AB3-8084-ED8272C82C88}"/>
    <cellStyle name="Normal 4 2 4 3 2 2 2 4" xfId="12405" xr:uid="{F93E3F72-40DD-43BF-A537-9B01312D6B8C}"/>
    <cellStyle name="Normal 4 2 4 3 2 2 3" xfId="5151" xr:uid="{00000000-0005-0000-0000-000082130000}"/>
    <cellStyle name="Normal 4 2 4 3 2 2 3 2" xfId="22917" xr:uid="{CCE75C83-4EA5-4849-B1B7-1A761702CA9D}"/>
    <cellStyle name="Normal 4 2 4 3 2 2 3 3" xfId="14477" xr:uid="{F133F075-3FCD-4B5C-A2ED-D51610E1035A}"/>
    <cellStyle name="Normal 4 2 4 3 2 2 4" xfId="9510" xr:uid="{AA534F18-B7F5-44D9-AE7D-03E6DE45E4F9}"/>
    <cellStyle name="Normal 4 2 4 3 2 2 4 2" xfId="18700" xr:uid="{C391CAD5-51BC-4792-ACBD-06444BCB7A25}"/>
    <cellStyle name="Normal 4 2 4 3 2 2 5" xfId="10260" xr:uid="{F0ADDC00-356E-4130-B539-1EDDB7BDD853}"/>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25475" xr:uid="{04EFBE1A-91F5-48E9-B0B0-91A805A1CE28}"/>
    <cellStyle name="Normal 4 2 4 3 2 3 2 2 3" xfId="17035" xr:uid="{70FB5A6D-3260-4270-B683-F5CBACF17663}"/>
    <cellStyle name="Normal 4 2 4 3 2 3 2 3" xfId="21258" xr:uid="{D5ED5963-840F-4842-BD78-88F3899B1C50}"/>
    <cellStyle name="Normal 4 2 4 3 2 3 2 4" xfId="12818" xr:uid="{7AD091CF-2CE7-4647-BFAF-561E776605E1}"/>
    <cellStyle name="Normal 4 2 4 3 2 3 3" xfId="5564" xr:uid="{00000000-0005-0000-0000-000086130000}"/>
    <cellStyle name="Normal 4 2 4 3 2 3 3 2" xfId="23330" xr:uid="{BC4B9FF4-4E4A-40CA-8B2F-E570D38EDF25}"/>
    <cellStyle name="Normal 4 2 4 3 2 3 3 3" xfId="14890" xr:uid="{E5363F24-FBB2-43D0-B4F8-059757D22C29}"/>
    <cellStyle name="Normal 4 2 4 3 2 3 4" xfId="19113" xr:uid="{BF1EA315-8F1B-4BF1-A320-DA42B3E0890A}"/>
    <cellStyle name="Normal 4 2 4 3 2 3 5" xfId="10673" xr:uid="{DE162C66-0221-4268-BFC4-FB3F770D3C69}"/>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25888" xr:uid="{14CDC5BF-1CD9-4E80-8B2C-4243D3670927}"/>
    <cellStyle name="Normal 4 2 4 3 2 4 2 2 3" xfId="17448" xr:uid="{A66602E3-F24F-4621-BF5A-8404356274E0}"/>
    <cellStyle name="Normal 4 2 4 3 2 4 2 3" xfId="21671" xr:uid="{EC553C7E-8C4C-4596-ADB4-3D7C5181B1F5}"/>
    <cellStyle name="Normal 4 2 4 3 2 4 2 4" xfId="13231" xr:uid="{92B26F80-E75D-49F7-9132-D5768E636467}"/>
    <cellStyle name="Normal 4 2 4 3 2 4 3" xfId="5977" xr:uid="{00000000-0005-0000-0000-00008A130000}"/>
    <cellStyle name="Normal 4 2 4 3 2 4 3 2" xfId="23743" xr:uid="{EB19FADE-D456-4A4E-A55C-93C811098331}"/>
    <cellStyle name="Normal 4 2 4 3 2 4 3 3" xfId="15303" xr:uid="{4CD708EC-0B65-437D-8DEA-5414FE62E616}"/>
    <cellStyle name="Normal 4 2 4 3 2 4 4" xfId="19526" xr:uid="{3F2D7420-964C-4AD2-946A-0AB55487A690}"/>
    <cellStyle name="Normal 4 2 4 3 2 4 5" xfId="11086" xr:uid="{F5CE188D-D5ED-48BE-8929-20BC421D7212}"/>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26301" xr:uid="{14A96DC8-2488-491E-8493-6C0695F51C31}"/>
    <cellStyle name="Normal 4 2 4 3 2 5 2 2 3" xfId="17861" xr:uid="{FDA80956-6DAC-427D-A6DC-8F2043BF15BB}"/>
    <cellStyle name="Normal 4 2 4 3 2 5 2 3" xfId="22084" xr:uid="{3C2FAB15-CDC0-4AD0-9D00-45989B9C8D16}"/>
    <cellStyle name="Normal 4 2 4 3 2 5 2 4" xfId="13644" xr:uid="{C0AE4F80-169E-43F3-B166-9839115B4D2B}"/>
    <cellStyle name="Normal 4 2 4 3 2 5 3" xfId="6390" xr:uid="{00000000-0005-0000-0000-00008E130000}"/>
    <cellStyle name="Normal 4 2 4 3 2 5 3 2" xfId="24156" xr:uid="{D007AFCA-C4B4-4B35-B17B-0C84C15C6B71}"/>
    <cellStyle name="Normal 4 2 4 3 2 5 3 3" xfId="15716" xr:uid="{10697F51-F3CA-43BB-83AC-5937D7827FC1}"/>
    <cellStyle name="Normal 4 2 4 3 2 5 4" xfId="19939" xr:uid="{6C40C351-976F-4A3D-B8AE-5613703E483F}"/>
    <cellStyle name="Normal 4 2 4 3 2 5 5" xfId="11499" xr:uid="{E8DD8644-DCCA-4B8F-BEBC-FBEAD69AC11E}"/>
    <cellStyle name="Normal 4 2 4 3 2 6" xfId="2520" xr:uid="{00000000-0005-0000-0000-00008F130000}"/>
    <cellStyle name="Normal 4 2 4 3 2 6 2" xfId="6803" xr:uid="{00000000-0005-0000-0000-000090130000}"/>
    <cellStyle name="Normal 4 2 4 3 2 6 2 2" xfId="24569" xr:uid="{9C6781BE-4029-4760-928E-32F7DB678920}"/>
    <cellStyle name="Normal 4 2 4 3 2 6 2 3" xfId="16129" xr:uid="{BE2E1636-535E-4B91-810F-5B56EB6C5B80}"/>
    <cellStyle name="Normal 4 2 4 3 2 6 3" xfId="20352" xr:uid="{CC7375D4-B860-4A69-A024-A5015C365004}"/>
    <cellStyle name="Normal 4 2 4 3 2 6 4" xfId="11912" xr:uid="{ED771556-AE56-4C8D-B769-4561A55E4C28}"/>
    <cellStyle name="Normal 4 2 4 3 2 7" xfId="4738" xr:uid="{00000000-0005-0000-0000-000091130000}"/>
    <cellStyle name="Normal 4 2 4 3 2 7 2" xfId="22504" xr:uid="{4A8EDD23-147E-4E3F-AED8-30DC5D95F6DC}"/>
    <cellStyle name="Normal 4 2 4 3 2 7 3" xfId="14064" xr:uid="{8587871E-BA89-413D-8CD2-3B894DB6ABD4}"/>
    <cellStyle name="Normal 4 2 4 3 2 8" xfId="9085" xr:uid="{0181E53C-86DC-4588-8447-D559FCF01541}"/>
    <cellStyle name="Normal 4 2 4 3 2 8 2" xfId="18287" xr:uid="{D98B09BC-AA37-4D54-9F1E-35BAB95E3315}"/>
    <cellStyle name="Normal 4 2 4 3 2 9" xfId="9847" xr:uid="{19391068-9F6A-40E5-A3FF-B7CB8B813E1C}"/>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25061" xr:uid="{911E7901-37F9-45EF-825F-8F191153EB43}"/>
    <cellStyle name="Normal 4 2 4 3 3 2 2 3" xfId="16621" xr:uid="{F5EA0495-ACED-4D60-A3AF-70E58469FFEA}"/>
    <cellStyle name="Normal 4 2 4 3 3 2 3" xfId="20844" xr:uid="{EA7899DA-E891-4EA9-BFD3-AD5D1DBC78D9}"/>
    <cellStyle name="Normal 4 2 4 3 3 2 4" xfId="12404" xr:uid="{A12CCC93-D1DB-4F20-9DF3-A6AE198664A3}"/>
    <cellStyle name="Normal 4 2 4 3 3 3" xfId="5150" xr:uid="{00000000-0005-0000-0000-000095130000}"/>
    <cellStyle name="Normal 4 2 4 3 3 3 2" xfId="22916" xr:uid="{4B86C3E3-454A-403D-AE76-DC41128155C2}"/>
    <cellStyle name="Normal 4 2 4 3 3 3 3" xfId="14476" xr:uid="{AD444BD0-7789-4F46-9B5A-6956B4BB8BBF}"/>
    <cellStyle name="Normal 4 2 4 3 3 4" xfId="9303" xr:uid="{51CE977A-E9B9-47DD-B6CE-3ECF34A578F1}"/>
    <cellStyle name="Normal 4 2 4 3 3 4 2" xfId="18699" xr:uid="{562C3A96-2F01-4E90-B58D-C620097B1F82}"/>
    <cellStyle name="Normal 4 2 4 3 3 5" xfId="10259" xr:uid="{937B388F-E725-4C59-9B5E-4F2371BE86AE}"/>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25474" xr:uid="{6000E810-D3C4-46DE-AFD5-7EB83DA300D6}"/>
    <cellStyle name="Normal 4 2 4 3 4 2 2 3" xfId="17034" xr:uid="{841D3BA5-7B86-43EA-9C8E-591B6A2A1CFB}"/>
    <cellStyle name="Normal 4 2 4 3 4 2 3" xfId="21257" xr:uid="{56CDF9D8-924D-412C-9BDB-E4E9EA89E9D7}"/>
    <cellStyle name="Normal 4 2 4 3 4 2 4" xfId="12817" xr:uid="{9C6C6BC3-F2ED-4629-9445-36539E0BB7A0}"/>
    <cellStyle name="Normal 4 2 4 3 4 3" xfId="5563" xr:uid="{00000000-0005-0000-0000-000099130000}"/>
    <cellStyle name="Normal 4 2 4 3 4 3 2" xfId="23329" xr:uid="{493D94A8-F4E9-49B9-8D2D-981D40E3C2DB}"/>
    <cellStyle name="Normal 4 2 4 3 4 3 3" xfId="14889" xr:uid="{5BA3FF14-D37A-4BA9-8293-E9216A7BD757}"/>
    <cellStyle name="Normal 4 2 4 3 4 4" xfId="19112" xr:uid="{95BCDC33-FDFC-4543-912C-D2642D0CC3D1}"/>
    <cellStyle name="Normal 4 2 4 3 4 5" xfId="10672" xr:uid="{CE2F36BA-E26E-48EB-9DDD-988977F20C75}"/>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25887" xr:uid="{7B3ED1E6-CCC2-48F8-AB62-EB2495E270F8}"/>
    <cellStyle name="Normal 4 2 4 3 5 2 2 3" xfId="17447" xr:uid="{5E34D2BA-FC40-4300-AE74-C8F9293E55A3}"/>
    <cellStyle name="Normal 4 2 4 3 5 2 3" xfId="21670" xr:uid="{B725863C-6F57-4553-BA25-ECFB0B3CB7B3}"/>
    <cellStyle name="Normal 4 2 4 3 5 2 4" xfId="13230" xr:uid="{35EA92C2-BAD4-4654-8B59-AD69AD624B79}"/>
    <cellStyle name="Normal 4 2 4 3 5 3" xfId="5976" xr:uid="{00000000-0005-0000-0000-00009D130000}"/>
    <cellStyle name="Normal 4 2 4 3 5 3 2" xfId="23742" xr:uid="{735BA68D-11D4-4699-A827-9D608E3AE5DE}"/>
    <cellStyle name="Normal 4 2 4 3 5 3 3" xfId="15302" xr:uid="{A70AD1D2-6A04-4DC8-B739-E01E978395EE}"/>
    <cellStyle name="Normal 4 2 4 3 5 4" xfId="19525" xr:uid="{68F3CCDD-CFED-44E1-AFB2-9B0208CF86F3}"/>
    <cellStyle name="Normal 4 2 4 3 5 5" xfId="11085" xr:uid="{B9DD4C81-9652-4902-ABAF-245448C80051}"/>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26300" xr:uid="{36979E3B-0B25-4DAA-9C62-0422CBA069F1}"/>
    <cellStyle name="Normal 4 2 4 3 6 2 2 3" xfId="17860" xr:uid="{462F15F1-B15E-4F69-AA2A-F4210B143E25}"/>
    <cellStyle name="Normal 4 2 4 3 6 2 3" xfId="22083" xr:uid="{26E46EC5-3A62-494C-A5CD-04ACB9259CB4}"/>
    <cellStyle name="Normal 4 2 4 3 6 2 4" xfId="13643" xr:uid="{3AA29805-53F2-40FE-A49D-623441E92D10}"/>
    <cellStyle name="Normal 4 2 4 3 6 3" xfId="6389" xr:uid="{00000000-0005-0000-0000-0000A1130000}"/>
    <cellStyle name="Normal 4 2 4 3 6 3 2" xfId="24155" xr:uid="{2AD2C504-73A1-4508-8C07-AD85CF23DF69}"/>
    <cellStyle name="Normal 4 2 4 3 6 3 3" xfId="15715" xr:uid="{DF22421F-A09D-41EA-A418-BF3AE890A703}"/>
    <cellStyle name="Normal 4 2 4 3 6 4" xfId="19938" xr:uid="{438E0C1D-2003-47E9-8A34-C62272D499FA}"/>
    <cellStyle name="Normal 4 2 4 3 6 5" xfId="11498" xr:uid="{AC60C92B-25D1-4AD9-9789-32A1B0772D0D}"/>
    <cellStyle name="Normal 4 2 4 3 7" xfId="2519" xr:uid="{00000000-0005-0000-0000-0000A2130000}"/>
    <cellStyle name="Normal 4 2 4 3 7 2" xfId="6802" xr:uid="{00000000-0005-0000-0000-0000A3130000}"/>
    <cellStyle name="Normal 4 2 4 3 7 2 2" xfId="24568" xr:uid="{2CFCF124-D750-49A1-BEAC-80E5771A5AB0}"/>
    <cellStyle name="Normal 4 2 4 3 7 2 3" xfId="16128" xr:uid="{6E4E7EB6-50AC-44CC-A9B2-8D4C7BE0D1C6}"/>
    <cellStyle name="Normal 4 2 4 3 7 3" xfId="20351" xr:uid="{9F18A3F1-A5D4-429B-86A5-64A8CF0E06DB}"/>
    <cellStyle name="Normal 4 2 4 3 7 4" xfId="11911" xr:uid="{A57B5044-FB7F-4F9B-9763-019A714C0D6B}"/>
    <cellStyle name="Normal 4 2 4 3 8" xfId="4737" xr:uid="{00000000-0005-0000-0000-0000A4130000}"/>
    <cellStyle name="Normal 4 2 4 3 8 2" xfId="22503" xr:uid="{E8D2CD86-CB13-4685-AF57-FD8ACECC49BE}"/>
    <cellStyle name="Normal 4 2 4 3 8 3" xfId="14063" xr:uid="{916F58B1-D2E8-40B2-B6BF-24229B3FEB55}"/>
    <cellStyle name="Normal 4 2 4 3 9" xfId="8878" xr:uid="{B73EE68A-BBFC-4E7A-B773-E14FCCFC8837}"/>
    <cellStyle name="Normal 4 2 4 3 9 2" xfId="18286" xr:uid="{FA0779BB-0D39-4790-A124-73531D2DE596}"/>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25063" xr:uid="{51A2B95C-AD57-4AC8-BBA8-2620729C532A}"/>
    <cellStyle name="Normal 4 2 4 4 2 2 2 3" xfId="16623" xr:uid="{19290273-E05B-44DD-9983-52726D69E3DC}"/>
    <cellStyle name="Normal 4 2 4 4 2 2 3" xfId="20846" xr:uid="{DD62CEA0-F289-487B-AE62-07477704CD82}"/>
    <cellStyle name="Normal 4 2 4 4 2 2 4" xfId="12406" xr:uid="{A11842BD-B16E-4C9B-BF59-4C54AC811E48}"/>
    <cellStyle name="Normal 4 2 4 4 2 3" xfId="5152" xr:uid="{00000000-0005-0000-0000-0000A9130000}"/>
    <cellStyle name="Normal 4 2 4 4 2 3 2" xfId="22918" xr:uid="{511EB54B-D4E8-4BD4-9A3E-BBEA331E1230}"/>
    <cellStyle name="Normal 4 2 4 4 2 3 3" xfId="14478" xr:uid="{807B57D6-6C71-4D71-8E6F-72981481582D}"/>
    <cellStyle name="Normal 4 2 4 4 2 4" xfId="9407" xr:uid="{5D8D6A7A-388E-41EC-80E9-28307FA015D6}"/>
    <cellStyle name="Normal 4 2 4 4 2 4 2" xfId="18701" xr:uid="{B973187F-F6FA-42FA-BBE1-E1999D9475F1}"/>
    <cellStyle name="Normal 4 2 4 4 2 5" xfId="10261" xr:uid="{E92B077D-E283-4013-BD3E-444D601DE873}"/>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25476" xr:uid="{DDDAA8DB-E57E-4FEB-86A3-57A3A6386322}"/>
    <cellStyle name="Normal 4 2 4 4 3 2 2 3" xfId="17036" xr:uid="{BB19B549-E4DF-49DD-A4F1-C307B43E4B62}"/>
    <cellStyle name="Normal 4 2 4 4 3 2 3" xfId="21259" xr:uid="{B8230A85-6502-4843-99BA-0434ECAF2997}"/>
    <cellStyle name="Normal 4 2 4 4 3 2 4" xfId="12819" xr:uid="{26F85F2C-C2B8-4D7A-94F5-7EBFFD4A4E21}"/>
    <cellStyle name="Normal 4 2 4 4 3 3" xfId="5565" xr:uid="{00000000-0005-0000-0000-0000AD130000}"/>
    <cellStyle name="Normal 4 2 4 4 3 3 2" xfId="23331" xr:uid="{EBBCC658-0AF7-4179-8D1D-F2F0AFD8CE60}"/>
    <cellStyle name="Normal 4 2 4 4 3 3 3" xfId="14891" xr:uid="{3D70E132-5BC7-450B-8EA8-ED5E1F43C482}"/>
    <cellStyle name="Normal 4 2 4 4 3 4" xfId="19114" xr:uid="{27FC1EC8-2DD0-4808-B927-47B61A9D9E70}"/>
    <cellStyle name="Normal 4 2 4 4 3 5" xfId="10674" xr:uid="{4DCE3F56-8EF7-48DC-B742-6ED601657757}"/>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25889" xr:uid="{77D8B223-1729-4407-A7EF-0814544DDC3C}"/>
    <cellStyle name="Normal 4 2 4 4 4 2 2 3" xfId="17449" xr:uid="{EE9E832C-B417-47A5-BC5D-E3EC8EF62BD9}"/>
    <cellStyle name="Normal 4 2 4 4 4 2 3" xfId="21672" xr:uid="{255D3392-0594-403C-A53B-A476B91D7A35}"/>
    <cellStyle name="Normal 4 2 4 4 4 2 4" xfId="13232" xr:uid="{209D18A8-F495-4DAC-8E65-64C41F0E045A}"/>
    <cellStyle name="Normal 4 2 4 4 4 3" xfId="5978" xr:uid="{00000000-0005-0000-0000-0000B1130000}"/>
    <cellStyle name="Normal 4 2 4 4 4 3 2" xfId="23744" xr:uid="{7757B59E-CF11-45FD-840E-D7777AB800F4}"/>
    <cellStyle name="Normal 4 2 4 4 4 3 3" xfId="15304" xr:uid="{23CF8D5E-BEF8-4AA1-9FE2-9A2714930A94}"/>
    <cellStyle name="Normal 4 2 4 4 4 4" xfId="19527" xr:uid="{F9610019-1AE7-4B42-82F6-2DA54C8BD843}"/>
    <cellStyle name="Normal 4 2 4 4 4 5" xfId="11087" xr:uid="{CB082978-7A99-4DE7-9544-75EDE8F0F1C7}"/>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26302" xr:uid="{AC1B5941-1449-42C2-B5D1-89E58D224579}"/>
    <cellStyle name="Normal 4 2 4 4 5 2 2 3" xfId="17862" xr:uid="{5CF98C34-A351-46B3-B8FB-A0B22EB7312B}"/>
    <cellStyle name="Normal 4 2 4 4 5 2 3" xfId="22085" xr:uid="{1F371D39-6D86-47B4-BC12-146F76D5E64F}"/>
    <cellStyle name="Normal 4 2 4 4 5 2 4" xfId="13645" xr:uid="{BBF18E7F-B65F-4B0F-82C4-D5297C596702}"/>
    <cellStyle name="Normal 4 2 4 4 5 3" xfId="6391" xr:uid="{00000000-0005-0000-0000-0000B5130000}"/>
    <cellStyle name="Normal 4 2 4 4 5 3 2" xfId="24157" xr:uid="{7BE8CE22-1D71-43B2-B3F2-120565559ED3}"/>
    <cellStyle name="Normal 4 2 4 4 5 3 3" xfId="15717" xr:uid="{FD052520-0585-4AB7-A4A3-C6119F53292B}"/>
    <cellStyle name="Normal 4 2 4 4 5 4" xfId="19940" xr:uid="{AC8EF240-E475-400B-ACCF-636D6965067A}"/>
    <cellStyle name="Normal 4 2 4 4 5 5" xfId="11500" xr:uid="{AC429E06-D9F4-48B8-96F5-334F2FE0CA69}"/>
    <cellStyle name="Normal 4 2 4 4 6" xfId="2521" xr:uid="{00000000-0005-0000-0000-0000B6130000}"/>
    <cellStyle name="Normal 4 2 4 4 6 2" xfId="6804" xr:uid="{00000000-0005-0000-0000-0000B7130000}"/>
    <cellStyle name="Normal 4 2 4 4 6 2 2" xfId="24570" xr:uid="{EC59FEA4-DF1A-4F05-B0F1-1B88FF22A3B6}"/>
    <cellStyle name="Normal 4 2 4 4 6 2 3" xfId="16130" xr:uid="{9344B0AD-8A61-4D4E-AC90-0323CCC9BAA2}"/>
    <cellStyle name="Normal 4 2 4 4 6 3" xfId="20353" xr:uid="{161760A2-65D7-4499-B908-CA8C55C8DFC6}"/>
    <cellStyle name="Normal 4 2 4 4 6 4" xfId="11913" xr:uid="{D4A28522-07A2-4AE3-931F-97FC97F19CA4}"/>
    <cellStyle name="Normal 4 2 4 4 7" xfId="4739" xr:uid="{00000000-0005-0000-0000-0000B8130000}"/>
    <cellStyle name="Normal 4 2 4 4 7 2" xfId="22505" xr:uid="{8EC763C0-2C2C-44AA-A410-D600137AEA8B}"/>
    <cellStyle name="Normal 4 2 4 4 7 3" xfId="14065" xr:uid="{186DB25D-5ECE-4F48-9EC1-A9C648502F6D}"/>
    <cellStyle name="Normal 4 2 4 4 8" xfId="8982" xr:uid="{4C273C9B-E12E-4EF2-812F-666600229207}"/>
    <cellStyle name="Normal 4 2 4 4 8 2" xfId="18288" xr:uid="{68018F7E-194F-4D7A-AF90-2548C7302E9A}"/>
    <cellStyle name="Normal 4 2 4 4 9" xfId="9848" xr:uid="{7F9C914A-70C4-433D-8508-6E4609582A83}"/>
    <cellStyle name="Normal 4 2 4 5" xfId="831" xr:uid="{00000000-0005-0000-0000-0000B9130000}"/>
    <cellStyle name="Normal 4 2 4 5 2" xfId="3068" xr:uid="{00000000-0005-0000-0000-0000BA130000}"/>
    <cellStyle name="Normal 4 2 4 5 2 2" xfId="7290" xr:uid="{00000000-0005-0000-0000-0000BB130000}"/>
    <cellStyle name="Normal 4 2 4 5 2 2 2" xfId="25056" xr:uid="{983AC898-2A69-4A11-A92A-241B2A04440F}"/>
    <cellStyle name="Normal 4 2 4 5 2 2 3" xfId="16616" xr:uid="{2E379113-9EE7-4949-830C-0C01A5F3AE24}"/>
    <cellStyle name="Normal 4 2 4 5 2 3" xfId="20839" xr:uid="{3AB43D13-C501-4018-944F-24B38C830960}"/>
    <cellStyle name="Normal 4 2 4 5 2 4" xfId="12399" xr:uid="{F5074908-2194-4A87-8248-9DC59842733F}"/>
    <cellStyle name="Normal 4 2 4 5 3" xfId="5145" xr:uid="{00000000-0005-0000-0000-0000BC130000}"/>
    <cellStyle name="Normal 4 2 4 5 3 2" xfId="22911" xr:uid="{78B1CF3D-776C-4DD4-9173-27C2F5A14002}"/>
    <cellStyle name="Normal 4 2 4 5 3 3" xfId="14471" xr:uid="{4D756B07-CF37-4852-8415-0423BC1089A5}"/>
    <cellStyle name="Normal 4 2 4 5 4" xfId="9199" xr:uid="{1A9A2DC3-2FEA-4A30-A92C-84708E9B2741}"/>
    <cellStyle name="Normal 4 2 4 5 4 2" xfId="18694" xr:uid="{1685C9A8-F87D-412A-841E-0514138906F4}"/>
    <cellStyle name="Normal 4 2 4 5 5" xfId="10254" xr:uid="{C4D5D6B3-E206-4175-B505-EAF10193AE76}"/>
    <cellStyle name="Normal 4 2 4 6" xfId="1251" xr:uid="{00000000-0005-0000-0000-0000BD130000}"/>
    <cellStyle name="Normal 4 2 4 6 2" xfId="3481" xr:uid="{00000000-0005-0000-0000-0000BE130000}"/>
    <cellStyle name="Normal 4 2 4 6 2 2" xfId="7703" xr:uid="{00000000-0005-0000-0000-0000BF130000}"/>
    <cellStyle name="Normal 4 2 4 6 2 2 2" xfId="25469" xr:uid="{09723203-9C72-4644-801F-75A4ADD97A29}"/>
    <cellStyle name="Normal 4 2 4 6 2 2 3" xfId="17029" xr:uid="{0ADEA8D2-C825-4CC4-97FB-54BA006124D8}"/>
    <cellStyle name="Normal 4 2 4 6 2 3" xfId="21252" xr:uid="{07D81C19-1B2E-43D9-855C-C66C7FB2DB5B}"/>
    <cellStyle name="Normal 4 2 4 6 2 4" xfId="12812" xr:uid="{5C8429EC-CBEB-4D88-9EDE-66BE67943F5A}"/>
    <cellStyle name="Normal 4 2 4 6 3" xfId="5558" xr:uid="{00000000-0005-0000-0000-0000C0130000}"/>
    <cellStyle name="Normal 4 2 4 6 3 2" xfId="23324" xr:uid="{512C2B93-626F-4E8C-AEBC-E38A8DB6A5A5}"/>
    <cellStyle name="Normal 4 2 4 6 3 3" xfId="14884" xr:uid="{C37451B6-9C06-469B-BF74-CD38439C1B5C}"/>
    <cellStyle name="Normal 4 2 4 6 4" xfId="19107" xr:uid="{CD02120B-49AC-454B-AB7E-132038BE43C9}"/>
    <cellStyle name="Normal 4 2 4 6 5" xfId="10667" xr:uid="{96CBC409-8244-4F27-AD70-4AD2E6753171}"/>
    <cellStyle name="Normal 4 2 4 7" xfId="1664" xr:uid="{00000000-0005-0000-0000-0000C1130000}"/>
    <cellStyle name="Normal 4 2 4 7 2" xfId="3894" xr:uid="{00000000-0005-0000-0000-0000C2130000}"/>
    <cellStyle name="Normal 4 2 4 7 2 2" xfId="8116" xr:uid="{00000000-0005-0000-0000-0000C3130000}"/>
    <cellStyle name="Normal 4 2 4 7 2 2 2" xfId="25882" xr:uid="{7D546321-FD67-4B85-BE4D-7F1EDCD2D9B5}"/>
    <cellStyle name="Normal 4 2 4 7 2 2 3" xfId="17442" xr:uid="{839243B1-ECC5-4F39-9025-C8DE151375B7}"/>
    <cellStyle name="Normal 4 2 4 7 2 3" xfId="21665" xr:uid="{7ABDB1EE-8054-4FE8-8E4E-8D9AF3CEA7BF}"/>
    <cellStyle name="Normal 4 2 4 7 2 4" xfId="13225" xr:uid="{C6CC8520-8B8C-450F-A76B-C586F129DDE9}"/>
    <cellStyle name="Normal 4 2 4 7 3" xfId="5971" xr:uid="{00000000-0005-0000-0000-0000C4130000}"/>
    <cellStyle name="Normal 4 2 4 7 3 2" xfId="23737" xr:uid="{724C45C3-5730-4249-AB2A-C632CD76C866}"/>
    <cellStyle name="Normal 4 2 4 7 3 3" xfId="15297" xr:uid="{FE4A2060-BFF7-438F-B74B-7EB1387B9641}"/>
    <cellStyle name="Normal 4 2 4 7 4" xfId="19520" xr:uid="{1501C05B-8098-4890-A33E-0F68DD900B93}"/>
    <cellStyle name="Normal 4 2 4 7 5" xfId="11080" xr:uid="{B0F6AFD1-D8B4-4BBC-9AA6-50BC774D701D}"/>
    <cellStyle name="Normal 4 2 4 8" xfId="2078" xr:uid="{00000000-0005-0000-0000-0000C5130000}"/>
    <cellStyle name="Normal 4 2 4 8 2" xfId="4307" xr:uid="{00000000-0005-0000-0000-0000C6130000}"/>
    <cellStyle name="Normal 4 2 4 8 2 2" xfId="8529" xr:uid="{00000000-0005-0000-0000-0000C7130000}"/>
    <cellStyle name="Normal 4 2 4 8 2 2 2" xfId="26295" xr:uid="{558E758C-848E-49B5-B357-4BE88D1AA058}"/>
    <cellStyle name="Normal 4 2 4 8 2 2 3" xfId="17855" xr:uid="{A15AD159-B22D-441B-92DE-E0711DAF0776}"/>
    <cellStyle name="Normal 4 2 4 8 2 3" xfId="22078" xr:uid="{D2871864-2990-4E07-9906-51BCD8C14FF8}"/>
    <cellStyle name="Normal 4 2 4 8 2 4" xfId="13638" xr:uid="{AE55FA02-A73F-4FBE-9B56-936670C3BE69}"/>
    <cellStyle name="Normal 4 2 4 8 3" xfId="6384" xr:uid="{00000000-0005-0000-0000-0000C8130000}"/>
    <cellStyle name="Normal 4 2 4 8 3 2" xfId="24150" xr:uid="{D023BB32-7ABA-4CDA-ADA0-FECE817A5BF6}"/>
    <cellStyle name="Normal 4 2 4 8 3 3" xfId="15710" xr:uid="{C12AAEF8-B04D-4BB8-AB60-D20D65B13B53}"/>
    <cellStyle name="Normal 4 2 4 8 4" xfId="19933" xr:uid="{7BFD6701-F8E5-468E-A21C-1643A28B2952}"/>
    <cellStyle name="Normal 4 2 4 8 5" xfId="11493" xr:uid="{3872B203-4995-4A08-8B4B-A0D6792BC4F2}"/>
    <cellStyle name="Normal 4 2 4 9" xfId="2514" xr:uid="{00000000-0005-0000-0000-0000C9130000}"/>
    <cellStyle name="Normal 4 2 4 9 2" xfId="6797" xr:uid="{00000000-0005-0000-0000-0000CA130000}"/>
    <cellStyle name="Normal 4 2 4 9 2 2" xfId="24563" xr:uid="{44950566-BC89-4D21-872C-F822937D81A6}"/>
    <cellStyle name="Normal 4 2 4 9 2 3" xfId="16123" xr:uid="{8F3D8B04-59E4-4FF6-933B-3DD16123398B}"/>
    <cellStyle name="Normal 4 2 4 9 3" xfId="20346" xr:uid="{AAC66143-AE7E-48B1-AF82-59A01F83E210}"/>
    <cellStyle name="Normal 4 2 4 9 4" xfId="11906" xr:uid="{635A9D11-7296-4529-A883-28FE24B78DA7}"/>
    <cellStyle name="Normal 4 2 5" xfId="363" xr:uid="{00000000-0005-0000-0000-0000CB130000}"/>
    <cellStyle name="Normal 4 2 5 10" xfId="9849" xr:uid="{6B3855A3-D69B-410C-8962-D91B8F1AC0B8}"/>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25065" xr:uid="{9A5AE412-FCE3-43F9-B2D6-4DD1B62957AF}"/>
    <cellStyle name="Normal 4 2 5 2 2 2 2 3" xfId="16625" xr:uid="{E541A3DE-4844-40AD-8EE8-0718EDD471B5}"/>
    <cellStyle name="Normal 4 2 5 2 2 2 3" xfId="20848" xr:uid="{229CAFCC-2008-4699-B29A-8C00B765C927}"/>
    <cellStyle name="Normal 4 2 5 2 2 2 4" xfId="12408" xr:uid="{291C4FC4-2B21-466A-AEBA-059410F284BE}"/>
    <cellStyle name="Normal 4 2 5 2 2 3" xfId="5154" xr:uid="{00000000-0005-0000-0000-0000D0130000}"/>
    <cellStyle name="Normal 4 2 5 2 2 3 2" xfId="22920" xr:uid="{261EDCF2-9B5D-4F4F-8165-FCBC1B8D9E87}"/>
    <cellStyle name="Normal 4 2 5 2 2 3 3" xfId="14480" xr:uid="{6DC52B9D-8AEE-4606-AE90-2DE4905FF444}"/>
    <cellStyle name="Normal 4 2 5 2 2 4" xfId="9478" xr:uid="{9FEAEEC2-067D-4244-BB0F-0858128140EB}"/>
    <cellStyle name="Normal 4 2 5 2 2 4 2" xfId="18703" xr:uid="{AF72F114-3CFE-4237-86EE-6D47E0B61F41}"/>
    <cellStyle name="Normal 4 2 5 2 2 5" xfId="10263" xr:uid="{97D54CE6-E111-4974-9338-060D7745B16E}"/>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25478" xr:uid="{20725E58-68A1-4950-900B-9C623AB0C238}"/>
    <cellStyle name="Normal 4 2 5 2 3 2 2 3" xfId="17038" xr:uid="{B503EC97-4D20-41DF-A5E6-F317B57BD9E4}"/>
    <cellStyle name="Normal 4 2 5 2 3 2 3" xfId="21261" xr:uid="{A7ECDF69-F67D-40DF-834E-596B15067081}"/>
    <cellStyle name="Normal 4 2 5 2 3 2 4" xfId="12821" xr:uid="{D9A262B1-2379-4902-8312-BADCB4644915}"/>
    <cellStyle name="Normal 4 2 5 2 3 3" xfId="5567" xr:uid="{00000000-0005-0000-0000-0000D4130000}"/>
    <cellStyle name="Normal 4 2 5 2 3 3 2" xfId="23333" xr:uid="{43F851B6-4B01-43E3-B710-2195390E0EE4}"/>
    <cellStyle name="Normal 4 2 5 2 3 3 3" xfId="14893" xr:uid="{3E0FEDB7-9860-4A61-B141-1EFDE6669D2B}"/>
    <cellStyle name="Normal 4 2 5 2 3 4" xfId="19116" xr:uid="{3D798A9B-0FD9-4943-B94C-1D0D57DEAFF7}"/>
    <cellStyle name="Normal 4 2 5 2 3 5" xfId="10676" xr:uid="{8DD0B134-5EF4-4F25-9A7A-DF9064123761}"/>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25891" xr:uid="{F02D027E-6673-4624-A9DE-C98970F47D54}"/>
    <cellStyle name="Normal 4 2 5 2 4 2 2 3" xfId="17451" xr:uid="{F028CF3D-8836-4A73-8876-4459815AA26C}"/>
    <cellStyle name="Normal 4 2 5 2 4 2 3" xfId="21674" xr:uid="{B6BBE772-0983-4669-80B3-69A2E981CFE6}"/>
    <cellStyle name="Normal 4 2 5 2 4 2 4" xfId="13234" xr:uid="{636D5CE0-7445-4F16-9867-8C943F917490}"/>
    <cellStyle name="Normal 4 2 5 2 4 3" xfId="5980" xr:uid="{00000000-0005-0000-0000-0000D8130000}"/>
    <cellStyle name="Normal 4 2 5 2 4 3 2" xfId="23746" xr:uid="{EBE46507-554A-495F-A690-9BA8A9F3CFFC}"/>
    <cellStyle name="Normal 4 2 5 2 4 3 3" xfId="15306" xr:uid="{E6F4A173-F107-433E-A192-0EB797830239}"/>
    <cellStyle name="Normal 4 2 5 2 4 4" xfId="19529" xr:uid="{5D793CE9-81FD-4C4F-A6F5-7FE0802F880A}"/>
    <cellStyle name="Normal 4 2 5 2 4 5" xfId="11089" xr:uid="{4E7C1BE7-4E85-41D0-9F1F-64A38A830707}"/>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26304" xr:uid="{9323635E-4D1C-48D8-8C0F-B3CD52C7ADE9}"/>
    <cellStyle name="Normal 4 2 5 2 5 2 2 3" xfId="17864" xr:uid="{CC43569D-D0C7-469F-AEF3-94766CABEFF2}"/>
    <cellStyle name="Normal 4 2 5 2 5 2 3" xfId="22087" xr:uid="{5D8284E1-75E8-42C2-B186-5CFA3888E396}"/>
    <cellStyle name="Normal 4 2 5 2 5 2 4" xfId="13647" xr:uid="{66B16820-F10D-4EED-B376-81875DE8F47E}"/>
    <cellStyle name="Normal 4 2 5 2 5 3" xfId="6393" xr:uid="{00000000-0005-0000-0000-0000DC130000}"/>
    <cellStyle name="Normal 4 2 5 2 5 3 2" xfId="24159" xr:uid="{61100674-B078-40F6-BB96-26D977167F24}"/>
    <cellStyle name="Normal 4 2 5 2 5 3 3" xfId="15719" xr:uid="{DDFCE367-647E-4B6B-A50A-225EE0E30FE6}"/>
    <cellStyle name="Normal 4 2 5 2 5 4" xfId="19942" xr:uid="{69B69DFA-2877-4366-955A-E8A03E380964}"/>
    <cellStyle name="Normal 4 2 5 2 5 5" xfId="11502" xr:uid="{C0CD7B01-6D21-41A0-84F5-A352B11BDC71}"/>
    <cellStyle name="Normal 4 2 5 2 6" xfId="2523" xr:uid="{00000000-0005-0000-0000-0000DD130000}"/>
    <cellStyle name="Normal 4 2 5 2 6 2" xfId="6806" xr:uid="{00000000-0005-0000-0000-0000DE130000}"/>
    <cellStyle name="Normal 4 2 5 2 6 2 2" xfId="24572" xr:uid="{27D4755A-5AC1-4D48-BC5E-A02FE45E18D9}"/>
    <cellStyle name="Normal 4 2 5 2 6 2 3" xfId="16132" xr:uid="{02A18279-7346-4E3A-950B-DF623AD0D9B4}"/>
    <cellStyle name="Normal 4 2 5 2 6 3" xfId="20355" xr:uid="{E19C114A-5FBD-4B07-9BEC-42E3DADD3CA0}"/>
    <cellStyle name="Normal 4 2 5 2 6 4" xfId="11915" xr:uid="{515419E8-9AD7-457E-A847-92FAEFFE3B1F}"/>
    <cellStyle name="Normal 4 2 5 2 7" xfId="4741" xr:uid="{00000000-0005-0000-0000-0000DF130000}"/>
    <cellStyle name="Normal 4 2 5 2 7 2" xfId="22507" xr:uid="{E2BF2713-927A-402B-A1C4-A36F6B9BF09D}"/>
    <cellStyle name="Normal 4 2 5 2 7 3" xfId="14067" xr:uid="{D52EB7D7-2005-4439-8B22-A8D6AA1D6F03}"/>
    <cellStyle name="Normal 4 2 5 2 8" xfId="9053" xr:uid="{0AE18A98-D9E6-47B9-86B0-DDAD3BC77B48}"/>
    <cellStyle name="Normal 4 2 5 2 8 2" xfId="18290" xr:uid="{57F6E46E-4775-411F-852B-5380C2C2B083}"/>
    <cellStyle name="Normal 4 2 5 2 9" xfId="9850" xr:uid="{B518C333-DBF3-4648-BA56-283ABE7274F5}"/>
    <cellStyle name="Normal 4 2 5 3" xfId="839" xr:uid="{00000000-0005-0000-0000-0000E0130000}"/>
    <cellStyle name="Normal 4 2 5 3 2" xfId="3076" xr:uid="{00000000-0005-0000-0000-0000E1130000}"/>
    <cellStyle name="Normal 4 2 5 3 2 2" xfId="7298" xr:uid="{00000000-0005-0000-0000-0000E2130000}"/>
    <cellStyle name="Normal 4 2 5 3 2 2 2" xfId="25064" xr:uid="{C28DA380-31B8-4879-AD3C-EAA0067ED091}"/>
    <cellStyle name="Normal 4 2 5 3 2 2 3" xfId="16624" xr:uid="{87D2DA41-90F0-45D4-A1EB-45897EB8CA3F}"/>
    <cellStyle name="Normal 4 2 5 3 2 3" xfId="20847" xr:uid="{8B902BDB-8F5B-443D-91E0-F3D01380CA49}"/>
    <cellStyle name="Normal 4 2 5 3 2 4" xfId="12407" xr:uid="{BBEC2B8D-B886-4917-9456-14E60CD5A8F8}"/>
    <cellStyle name="Normal 4 2 5 3 3" xfId="5153" xr:uid="{00000000-0005-0000-0000-0000E3130000}"/>
    <cellStyle name="Normal 4 2 5 3 3 2" xfId="22919" xr:uid="{4BCB4E7C-6171-49FD-A0E9-D98E332ECF2B}"/>
    <cellStyle name="Normal 4 2 5 3 3 3" xfId="14479" xr:uid="{D7AA98E5-2F0C-4506-867F-19C93F5170D7}"/>
    <cellStyle name="Normal 4 2 5 3 4" xfId="9271" xr:uid="{41AE7BB1-E3C7-48BD-B24F-55AE39E68BB6}"/>
    <cellStyle name="Normal 4 2 5 3 4 2" xfId="18702" xr:uid="{E0A90642-7870-4746-B05B-CE37B82090EE}"/>
    <cellStyle name="Normal 4 2 5 3 5" xfId="10262" xr:uid="{814CEA05-AC8B-41CF-A366-3E5C44CC3116}"/>
    <cellStyle name="Normal 4 2 5 4" xfId="1259" xr:uid="{00000000-0005-0000-0000-0000E4130000}"/>
    <cellStyle name="Normal 4 2 5 4 2" xfId="3489" xr:uid="{00000000-0005-0000-0000-0000E5130000}"/>
    <cellStyle name="Normal 4 2 5 4 2 2" xfId="7711" xr:uid="{00000000-0005-0000-0000-0000E6130000}"/>
    <cellStyle name="Normal 4 2 5 4 2 2 2" xfId="25477" xr:uid="{44F8AF31-C384-4010-9FC1-62A4E83239ED}"/>
    <cellStyle name="Normal 4 2 5 4 2 2 3" xfId="17037" xr:uid="{423F539A-B15E-4088-AE79-FED0662AE3FA}"/>
    <cellStyle name="Normal 4 2 5 4 2 3" xfId="21260" xr:uid="{62C60B93-3C21-4E63-ADFA-F00E9D25EB6A}"/>
    <cellStyle name="Normal 4 2 5 4 2 4" xfId="12820" xr:uid="{2567F113-D56E-4B73-BA73-C43075ADCE86}"/>
    <cellStyle name="Normal 4 2 5 4 3" xfId="5566" xr:uid="{00000000-0005-0000-0000-0000E7130000}"/>
    <cellStyle name="Normal 4 2 5 4 3 2" xfId="23332" xr:uid="{DF779B7F-E8DF-4C84-A445-78803212561F}"/>
    <cellStyle name="Normal 4 2 5 4 3 3" xfId="14892" xr:uid="{22710E4C-0564-4A43-9D91-CA5754F6FDB4}"/>
    <cellStyle name="Normal 4 2 5 4 4" xfId="19115" xr:uid="{289E52EC-39B1-4A3D-8B8A-160954F27A23}"/>
    <cellStyle name="Normal 4 2 5 4 5" xfId="10675" xr:uid="{5C4E81F9-143D-4DE6-B33A-3BDB8387A037}"/>
    <cellStyle name="Normal 4 2 5 5" xfId="1672" xr:uid="{00000000-0005-0000-0000-0000E8130000}"/>
    <cellStyle name="Normal 4 2 5 5 2" xfId="3902" xr:uid="{00000000-0005-0000-0000-0000E9130000}"/>
    <cellStyle name="Normal 4 2 5 5 2 2" xfId="8124" xr:uid="{00000000-0005-0000-0000-0000EA130000}"/>
    <cellStyle name="Normal 4 2 5 5 2 2 2" xfId="25890" xr:uid="{56FD9353-AEAC-479E-AAAF-11781C979676}"/>
    <cellStyle name="Normal 4 2 5 5 2 2 3" xfId="17450" xr:uid="{548645B6-B1C9-450E-B752-0A00F0B31E4D}"/>
    <cellStyle name="Normal 4 2 5 5 2 3" xfId="21673" xr:uid="{AE172F7A-36E0-4258-817D-52A0E67DB666}"/>
    <cellStyle name="Normal 4 2 5 5 2 4" xfId="13233" xr:uid="{9D5E4A71-5DA5-47D9-AAFA-FB113593D937}"/>
    <cellStyle name="Normal 4 2 5 5 3" xfId="5979" xr:uid="{00000000-0005-0000-0000-0000EB130000}"/>
    <cellStyle name="Normal 4 2 5 5 3 2" xfId="23745" xr:uid="{C7034E2E-D298-40B7-B8E9-C401D2CC4827}"/>
    <cellStyle name="Normal 4 2 5 5 3 3" xfId="15305" xr:uid="{9BBE271E-ABC9-44A8-ABBD-170FCC82E11C}"/>
    <cellStyle name="Normal 4 2 5 5 4" xfId="19528" xr:uid="{C6027876-C7D2-4DBE-AE3E-324D933B2E25}"/>
    <cellStyle name="Normal 4 2 5 5 5" xfId="11088" xr:uid="{EE8ED64D-6786-49BC-B63B-629FFB8870D5}"/>
    <cellStyle name="Normal 4 2 5 6" xfId="2086" xr:uid="{00000000-0005-0000-0000-0000EC130000}"/>
    <cellStyle name="Normal 4 2 5 6 2" xfId="4315" xr:uid="{00000000-0005-0000-0000-0000ED130000}"/>
    <cellStyle name="Normal 4 2 5 6 2 2" xfId="8537" xr:uid="{00000000-0005-0000-0000-0000EE130000}"/>
    <cellStyle name="Normal 4 2 5 6 2 2 2" xfId="26303" xr:uid="{FCF5DF5C-3B66-4147-8225-245070762EB0}"/>
    <cellStyle name="Normal 4 2 5 6 2 2 3" xfId="17863" xr:uid="{CE9644C5-7455-4AA2-8421-0FEC027D3743}"/>
    <cellStyle name="Normal 4 2 5 6 2 3" xfId="22086" xr:uid="{86BC6FB7-D75F-41FB-A442-BDB210C245BC}"/>
    <cellStyle name="Normal 4 2 5 6 2 4" xfId="13646" xr:uid="{26E8212B-A131-4713-A03B-76F926FF5D5C}"/>
    <cellStyle name="Normal 4 2 5 6 3" xfId="6392" xr:uid="{00000000-0005-0000-0000-0000EF130000}"/>
    <cellStyle name="Normal 4 2 5 6 3 2" xfId="24158" xr:uid="{D1386369-FCE1-4D46-A1ED-0845F0530C5B}"/>
    <cellStyle name="Normal 4 2 5 6 3 3" xfId="15718" xr:uid="{C4AD6ACF-2A1F-4546-9B9A-1CF3A306A61C}"/>
    <cellStyle name="Normal 4 2 5 6 4" xfId="19941" xr:uid="{B49DBBBE-C728-4A91-9EFF-5D9721F56772}"/>
    <cellStyle name="Normal 4 2 5 6 5" xfId="11501" xr:uid="{5ECB3209-0A32-4BD4-8DF7-33714BB5F278}"/>
    <cellStyle name="Normal 4 2 5 7" xfId="2522" xr:uid="{00000000-0005-0000-0000-0000F0130000}"/>
    <cellStyle name="Normal 4 2 5 7 2" xfId="6805" xr:uid="{00000000-0005-0000-0000-0000F1130000}"/>
    <cellStyle name="Normal 4 2 5 7 2 2" xfId="24571" xr:uid="{FC479A7C-A06B-4350-9AC0-1BCAC95C3783}"/>
    <cellStyle name="Normal 4 2 5 7 2 3" xfId="16131" xr:uid="{3B74A5D0-8598-44A7-9936-B5CCC4367DFA}"/>
    <cellStyle name="Normal 4 2 5 7 3" xfId="20354" xr:uid="{86F455C5-7431-4E4F-8282-60B25755AF11}"/>
    <cellStyle name="Normal 4 2 5 7 4" xfId="11914" xr:uid="{963A1ECC-CF8C-4BFC-8086-8458786D1F25}"/>
    <cellStyle name="Normal 4 2 5 8" xfId="4740" xr:uid="{00000000-0005-0000-0000-0000F2130000}"/>
    <cellStyle name="Normal 4 2 5 8 2" xfId="22506" xr:uid="{7DA6001F-4D13-4427-B98A-DFECF7995C21}"/>
    <cellStyle name="Normal 4 2 5 8 3" xfId="14066" xr:uid="{0A5A7345-97B1-48D9-BBF9-CED0F721EAA9}"/>
    <cellStyle name="Normal 4 2 5 9" xfId="8846" xr:uid="{C69C7E2D-02E8-4C87-9C63-A39D0E37A062}"/>
    <cellStyle name="Normal 4 2 5 9 2" xfId="18289" xr:uid="{A4CB92EA-36AA-4025-AE55-46D4DD932E83}"/>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25066" xr:uid="{81AF0071-3688-4CBB-A301-0DC97614704F}"/>
    <cellStyle name="Normal 4 2 6 2 2 2 3" xfId="16626" xr:uid="{673EBFE0-97DD-40DA-B9F1-43FA974385F8}"/>
    <cellStyle name="Normal 4 2 6 2 2 3" xfId="20849" xr:uid="{E7274919-2011-4B3A-99A1-7232EA340826}"/>
    <cellStyle name="Normal 4 2 6 2 2 4" xfId="12409" xr:uid="{9A030114-13DF-4ADB-ACB3-037EFB7A9FEA}"/>
    <cellStyle name="Normal 4 2 6 2 3" xfId="5155" xr:uid="{00000000-0005-0000-0000-0000F7130000}"/>
    <cellStyle name="Normal 4 2 6 2 3 2" xfId="22921" xr:uid="{9603323E-E6D5-43EB-A794-79CDD6C10964}"/>
    <cellStyle name="Normal 4 2 6 2 3 3" xfId="14481" xr:uid="{8988464D-A36A-4FD9-8556-9D7DB71C5BE7}"/>
    <cellStyle name="Normal 4 2 6 2 4" xfId="9387" xr:uid="{933EA8C7-37F7-4AF2-922A-47A5CB1A47BC}"/>
    <cellStyle name="Normal 4 2 6 2 4 2" xfId="18704" xr:uid="{C18E0716-A4C6-459D-ADE2-943C382B7576}"/>
    <cellStyle name="Normal 4 2 6 2 5" xfId="10264" xr:uid="{3BE6046B-8C5C-4915-A377-AE266A497F80}"/>
    <cellStyle name="Normal 4 2 6 3" xfId="1261" xr:uid="{00000000-0005-0000-0000-0000F8130000}"/>
    <cellStyle name="Normal 4 2 6 3 2" xfId="3491" xr:uid="{00000000-0005-0000-0000-0000F9130000}"/>
    <cellStyle name="Normal 4 2 6 3 2 2" xfId="7713" xr:uid="{00000000-0005-0000-0000-0000FA130000}"/>
    <cellStyle name="Normal 4 2 6 3 2 2 2" xfId="25479" xr:uid="{206E51FF-C52C-46D5-AE38-A2E413CE6889}"/>
    <cellStyle name="Normal 4 2 6 3 2 2 3" xfId="17039" xr:uid="{021B8AD7-770E-4979-B550-18D50E14909F}"/>
    <cellStyle name="Normal 4 2 6 3 2 3" xfId="21262" xr:uid="{E9698713-E0A0-4582-8D54-B46611E996D3}"/>
    <cellStyle name="Normal 4 2 6 3 2 4" xfId="12822" xr:uid="{2036161E-70C8-470D-890E-2E4E55AAF69E}"/>
    <cellStyle name="Normal 4 2 6 3 3" xfId="5568" xr:uid="{00000000-0005-0000-0000-0000FB130000}"/>
    <cellStyle name="Normal 4 2 6 3 3 2" xfId="23334" xr:uid="{425A3DBE-E119-4835-AB0F-E1F184AC9E78}"/>
    <cellStyle name="Normal 4 2 6 3 3 3" xfId="14894" xr:uid="{D1D5D24A-3EF6-4638-A278-B21AE459CE03}"/>
    <cellStyle name="Normal 4 2 6 3 4" xfId="19117" xr:uid="{DB64DE34-10A2-4134-BFBD-65118D3E3D04}"/>
    <cellStyle name="Normal 4 2 6 3 5" xfId="10677" xr:uid="{E3281820-73C1-4241-BE8D-4053B065D0B8}"/>
    <cellStyle name="Normal 4 2 6 4" xfId="1674" xr:uid="{00000000-0005-0000-0000-0000FC130000}"/>
    <cellStyle name="Normal 4 2 6 4 2" xfId="3904" xr:uid="{00000000-0005-0000-0000-0000FD130000}"/>
    <cellStyle name="Normal 4 2 6 4 2 2" xfId="8126" xr:uid="{00000000-0005-0000-0000-0000FE130000}"/>
    <cellStyle name="Normal 4 2 6 4 2 2 2" xfId="25892" xr:uid="{3940CF53-EE52-463C-AE73-386CD502C457}"/>
    <cellStyle name="Normal 4 2 6 4 2 2 3" xfId="17452" xr:uid="{DE953409-80DC-4E05-806B-744FBEF0174B}"/>
    <cellStyle name="Normal 4 2 6 4 2 3" xfId="21675" xr:uid="{2ACF0570-FA06-44BA-A4C6-6A1A4390299D}"/>
    <cellStyle name="Normal 4 2 6 4 2 4" xfId="13235" xr:uid="{6462C43A-0C21-4F51-81AC-BC1DF51AB23C}"/>
    <cellStyle name="Normal 4 2 6 4 3" xfId="5981" xr:uid="{00000000-0005-0000-0000-0000FF130000}"/>
    <cellStyle name="Normal 4 2 6 4 3 2" xfId="23747" xr:uid="{1DA99AE8-FB4F-4DE4-A771-45EAAC84C1FC}"/>
    <cellStyle name="Normal 4 2 6 4 3 3" xfId="15307" xr:uid="{3AFAE3DD-999F-4D3C-90C2-F1AFAFD1A64B}"/>
    <cellStyle name="Normal 4 2 6 4 4" xfId="19530" xr:uid="{4A74F13D-0034-4C0F-95E8-7451C19A7FF4}"/>
    <cellStyle name="Normal 4 2 6 4 5" xfId="11090" xr:uid="{BE8EB633-0904-419D-9DCE-B50F3956E115}"/>
    <cellStyle name="Normal 4 2 6 5" xfId="2088" xr:uid="{00000000-0005-0000-0000-000000140000}"/>
    <cellStyle name="Normal 4 2 6 5 2" xfId="4317" xr:uid="{00000000-0005-0000-0000-000001140000}"/>
    <cellStyle name="Normal 4 2 6 5 2 2" xfId="8539" xr:uid="{00000000-0005-0000-0000-000002140000}"/>
    <cellStyle name="Normal 4 2 6 5 2 2 2" xfId="26305" xr:uid="{D0B36704-6E7A-48BA-B705-B6A30C00CFA0}"/>
    <cellStyle name="Normal 4 2 6 5 2 2 3" xfId="17865" xr:uid="{5ADD48F4-ACE4-423B-BF1E-8B5FB1744C33}"/>
    <cellStyle name="Normal 4 2 6 5 2 3" xfId="22088" xr:uid="{D902A7B1-B534-4892-999E-C218636D2177}"/>
    <cellStyle name="Normal 4 2 6 5 2 4" xfId="13648" xr:uid="{5EACA33D-80D8-45A0-97A5-9DB40E473D7A}"/>
    <cellStyle name="Normal 4 2 6 5 3" xfId="6394" xr:uid="{00000000-0005-0000-0000-000003140000}"/>
    <cellStyle name="Normal 4 2 6 5 3 2" xfId="24160" xr:uid="{7CF8181D-CA59-47C0-A49E-C2C9B5E68C2C}"/>
    <cellStyle name="Normal 4 2 6 5 3 3" xfId="15720" xr:uid="{D035AC83-E2FD-49C1-A6CF-58431929F572}"/>
    <cellStyle name="Normal 4 2 6 5 4" xfId="19943" xr:uid="{209EF097-703F-44C4-A043-75BB697D818F}"/>
    <cellStyle name="Normal 4 2 6 5 5" xfId="11503" xr:uid="{F2FEE3BD-0691-4852-9B38-2F6600EC64AD}"/>
    <cellStyle name="Normal 4 2 6 6" xfId="2524" xr:uid="{00000000-0005-0000-0000-000004140000}"/>
    <cellStyle name="Normal 4 2 6 6 2" xfId="6807" xr:uid="{00000000-0005-0000-0000-000005140000}"/>
    <cellStyle name="Normal 4 2 6 6 2 2" xfId="24573" xr:uid="{6F9368CC-5BB3-4B22-82FB-59CF3090CC18}"/>
    <cellStyle name="Normal 4 2 6 6 2 3" xfId="16133" xr:uid="{2A942622-5F04-49C6-AF33-93F717E685D5}"/>
    <cellStyle name="Normal 4 2 6 6 3" xfId="20356" xr:uid="{AD745B91-CBE0-4C6F-BE3C-5CD1F5A64A07}"/>
    <cellStyle name="Normal 4 2 6 6 4" xfId="11916" xr:uid="{C2BBC221-D190-4174-863C-BD8E1521F775}"/>
    <cellStyle name="Normal 4 2 6 7" xfId="4742" xr:uid="{00000000-0005-0000-0000-000006140000}"/>
    <cellStyle name="Normal 4 2 6 7 2" xfId="22508" xr:uid="{EABDECF2-BBAC-441C-8BF2-14E123590852}"/>
    <cellStyle name="Normal 4 2 6 7 3" xfId="14068" xr:uid="{768C68A2-B01F-4D20-9561-BCB66D1CB691}"/>
    <cellStyle name="Normal 4 2 6 8" xfId="8962" xr:uid="{1A1596D6-3914-4465-A638-E540359059D2}"/>
    <cellStyle name="Normal 4 2 6 8 2" xfId="18291" xr:uid="{7B3FBB13-4385-4406-A3E6-817B0B2EE1B7}"/>
    <cellStyle name="Normal 4 2 6 9" xfId="9851" xr:uid="{411156B4-26BC-4DA7-9697-2B7DAA2D04E0}"/>
    <cellStyle name="Normal 4 2 7" xfId="9165" xr:uid="{6363F967-7399-442D-B2CE-00085FF7F1E8}"/>
    <cellStyle name="Normal 4 2 8" xfId="8743" xr:uid="{E2B8331F-47F9-4829-99C7-E05840A106B9}"/>
    <cellStyle name="Normal 4 3" xfId="366" xr:uid="{00000000-0005-0000-0000-000007140000}"/>
    <cellStyle name="Normal 4 3 10" xfId="18292" xr:uid="{E2BAB125-BC18-457D-B94E-6E43E4D565A6}"/>
    <cellStyle name="Normal 4 3 11" xfId="9852" xr:uid="{016F9A60-5F15-4885-B863-106F30C4A224}"/>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293" xr:uid="{FFF1B688-CCCD-4E1A-B85B-37F7413941D6}"/>
    <cellStyle name="Normal 4 3 2 2 2 11" xfId="9853" xr:uid="{DADD3AA0-5F6E-417B-86D4-98E3B03EFF8C}"/>
    <cellStyle name="Normal 4 3 2 2 2 2" xfId="370" xr:uid="{00000000-0005-0000-0000-00000B140000}"/>
    <cellStyle name="Normal 4 3 2 2 2 2 10" xfId="9854" xr:uid="{F16D70DF-0ED7-4B49-8490-B6F5D72296AC}"/>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25070" xr:uid="{29BBE2D5-458F-4EE1-878A-C644801BBC75}"/>
    <cellStyle name="Normal 4 3 2 2 2 2 2 2 2 2 3" xfId="16630" xr:uid="{649C813A-E542-46C1-8235-AE134D9197DE}"/>
    <cellStyle name="Normal 4 3 2 2 2 2 2 2 2 3" xfId="20853" xr:uid="{4C7FAA2C-C486-4526-885B-A6EB1ABC761F}"/>
    <cellStyle name="Normal 4 3 2 2 2 2 2 2 2 4" xfId="12413" xr:uid="{CFFD6176-1876-44FB-8509-4A3AA559F5CB}"/>
    <cellStyle name="Normal 4 3 2 2 2 2 2 2 3" xfId="5159" xr:uid="{00000000-0005-0000-0000-000010140000}"/>
    <cellStyle name="Normal 4 3 2 2 2 2 2 2 3 2" xfId="22925" xr:uid="{5960C033-AF10-46DF-9A80-E00E634A008D}"/>
    <cellStyle name="Normal 4 3 2 2 2 2 2 2 3 3" xfId="14485" xr:uid="{6B2A67A3-DCB9-46C9-BB07-3173070B7A99}"/>
    <cellStyle name="Normal 4 3 2 2 2 2 2 2 4" xfId="9557" xr:uid="{4F6BDD99-7BF1-4D2F-9EDC-4F75F1942DB4}"/>
    <cellStyle name="Normal 4 3 2 2 2 2 2 2 4 2" xfId="18708" xr:uid="{F1D3C60D-76C8-4417-BFEB-B3876543D41B}"/>
    <cellStyle name="Normal 4 3 2 2 2 2 2 2 5" xfId="10268" xr:uid="{CC29DAC2-DF0D-43CC-9FAB-30B674AFDEE9}"/>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25483" xr:uid="{47BB454C-8962-4DEB-8448-4EDD1238003A}"/>
    <cellStyle name="Normal 4 3 2 2 2 2 2 3 2 2 3" xfId="17043" xr:uid="{5B9F665D-3359-4C74-AD97-5C94F3041943}"/>
    <cellStyle name="Normal 4 3 2 2 2 2 2 3 2 3" xfId="21266" xr:uid="{562036AD-19C9-47F2-A301-9D3F6D70751B}"/>
    <cellStyle name="Normal 4 3 2 2 2 2 2 3 2 4" xfId="12826" xr:uid="{505CF681-BD98-40E5-B1C2-C6BDA0CEEC6B}"/>
    <cellStyle name="Normal 4 3 2 2 2 2 2 3 3" xfId="5572" xr:uid="{00000000-0005-0000-0000-000014140000}"/>
    <cellStyle name="Normal 4 3 2 2 2 2 2 3 3 2" xfId="23338" xr:uid="{2821BEA2-C011-4F95-AEEE-8360E61933E7}"/>
    <cellStyle name="Normal 4 3 2 2 2 2 2 3 3 3" xfId="14898" xr:uid="{21DB435F-868C-472B-A4E4-B134BBD7FFE1}"/>
    <cellStyle name="Normal 4 3 2 2 2 2 2 3 4" xfId="19121" xr:uid="{9748B48C-D56B-4EFB-9DC2-2879DCB2435E}"/>
    <cellStyle name="Normal 4 3 2 2 2 2 2 3 5" xfId="10681" xr:uid="{02C031D2-BD4F-46C7-AED7-76DC57AEA988}"/>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25896" xr:uid="{BC0A5332-DC92-4BF9-834E-C9FA6198DF15}"/>
    <cellStyle name="Normal 4 3 2 2 2 2 2 4 2 2 3" xfId="17456" xr:uid="{2732A917-2D83-4C3C-95C9-2997B92C92EE}"/>
    <cellStyle name="Normal 4 3 2 2 2 2 2 4 2 3" xfId="21679" xr:uid="{A2E41EF2-46B3-4F8A-BF10-AF396745F0C6}"/>
    <cellStyle name="Normal 4 3 2 2 2 2 2 4 2 4" xfId="13239" xr:uid="{874C6AF8-ABBF-4E78-84F4-E58F39E6D71E}"/>
    <cellStyle name="Normal 4 3 2 2 2 2 2 4 3" xfId="5985" xr:uid="{00000000-0005-0000-0000-000018140000}"/>
    <cellStyle name="Normal 4 3 2 2 2 2 2 4 3 2" xfId="23751" xr:uid="{C0292B55-2667-4A36-B2CB-2256A6509341}"/>
    <cellStyle name="Normal 4 3 2 2 2 2 2 4 3 3" xfId="15311" xr:uid="{F15EEC61-BCD0-42AD-9679-CF22DC5F432A}"/>
    <cellStyle name="Normal 4 3 2 2 2 2 2 4 4" xfId="19534" xr:uid="{ABDFF6CC-48ED-4084-82ED-C76712191A6B}"/>
    <cellStyle name="Normal 4 3 2 2 2 2 2 4 5" xfId="11094" xr:uid="{291680E1-719A-4336-A277-093B79D0A423}"/>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26309" xr:uid="{E17589BA-03CD-4820-A6F8-CA98F869A403}"/>
    <cellStyle name="Normal 4 3 2 2 2 2 2 5 2 2 3" xfId="17869" xr:uid="{59CC6F73-E4DC-4DE5-AF0F-4DE0624B56C0}"/>
    <cellStyle name="Normal 4 3 2 2 2 2 2 5 2 3" xfId="22092" xr:uid="{C454C047-EBA7-49DA-92BB-D2F6D5D7E5B7}"/>
    <cellStyle name="Normal 4 3 2 2 2 2 2 5 2 4" xfId="13652" xr:uid="{FB4FAA65-799A-43C0-8525-EC3BCA60E0F8}"/>
    <cellStyle name="Normal 4 3 2 2 2 2 2 5 3" xfId="6398" xr:uid="{00000000-0005-0000-0000-00001C140000}"/>
    <cellStyle name="Normal 4 3 2 2 2 2 2 5 3 2" xfId="24164" xr:uid="{1FB1230A-52F2-4BFC-8506-2E33AAA6EDBC}"/>
    <cellStyle name="Normal 4 3 2 2 2 2 2 5 3 3" xfId="15724" xr:uid="{2F42C8B4-A9B5-4278-89AD-9789FF21C8E5}"/>
    <cellStyle name="Normal 4 3 2 2 2 2 2 5 4" xfId="19947" xr:uid="{C323B36C-FE79-4891-9534-9BD2B45FA200}"/>
    <cellStyle name="Normal 4 3 2 2 2 2 2 5 5" xfId="11507" xr:uid="{79F0DA5D-B1C1-44C1-9AA4-60EA0685CB13}"/>
    <cellStyle name="Normal 4 3 2 2 2 2 2 6" xfId="2528" xr:uid="{00000000-0005-0000-0000-00001D140000}"/>
    <cellStyle name="Normal 4 3 2 2 2 2 2 6 2" xfId="6811" xr:uid="{00000000-0005-0000-0000-00001E140000}"/>
    <cellStyle name="Normal 4 3 2 2 2 2 2 6 2 2" xfId="24577" xr:uid="{10F706C1-940E-4E99-860E-D7ECF08D6C09}"/>
    <cellStyle name="Normal 4 3 2 2 2 2 2 6 2 3" xfId="16137" xr:uid="{3F78BDC7-3ECF-40C0-9003-FC05FA5BF98A}"/>
    <cellStyle name="Normal 4 3 2 2 2 2 2 6 3" xfId="20360" xr:uid="{22EC55A2-5869-45BD-A05F-EA7878B5BD93}"/>
    <cellStyle name="Normal 4 3 2 2 2 2 2 6 4" xfId="11920" xr:uid="{6E2FD018-6A2C-4526-8189-414237225E07}"/>
    <cellStyle name="Normal 4 3 2 2 2 2 2 7" xfId="4746" xr:uid="{00000000-0005-0000-0000-00001F140000}"/>
    <cellStyle name="Normal 4 3 2 2 2 2 2 7 2" xfId="22512" xr:uid="{17952942-4F82-45CB-AC35-73189B8AAB82}"/>
    <cellStyle name="Normal 4 3 2 2 2 2 2 7 3" xfId="14072" xr:uid="{09BD481A-03CC-44CA-B3C4-E22DF03A819D}"/>
    <cellStyle name="Normal 4 3 2 2 2 2 2 8" xfId="9132" xr:uid="{14F6ED12-EABF-4C82-AD59-55D351026913}"/>
    <cellStyle name="Normal 4 3 2 2 2 2 2 8 2" xfId="18295" xr:uid="{EACD12C7-3B79-42AC-A812-F904DA0C3A47}"/>
    <cellStyle name="Normal 4 3 2 2 2 2 2 9" xfId="9855" xr:uid="{7C5A1D2B-77A9-484D-906B-2108B1E2BC8B}"/>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25069" xr:uid="{7C864841-3F02-41FE-B11B-6F2AE0EFA763}"/>
    <cellStyle name="Normal 4 3 2 2 2 2 3 2 2 3" xfId="16629" xr:uid="{CAB18133-975A-4454-A5BC-B1732EF59288}"/>
    <cellStyle name="Normal 4 3 2 2 2 2 3 2 3" xfId="20852" xr:uid="{368FEA83-536B-47D2-A4DF-BA4F1C39876B}"/>
    <cellStyle name="Normal 4 3 2 2 2 2 3 2 4" xfId="12412" xr:uid="{A2AF3793-1173-4251-BD80-052963ECE027}"/>
    <cellStyle name="Normal 4 3 2 2 2 2 3 3" xfId="5158" xr:uid="{00000000-0005-0000-0000-000023140000}"/>
    <cellStyle name="Normal 4 3 2 2 2 2 3 3 2" xfId="22924" xr:uid="{2E370863-FCA4-4409-980A-BEE90024A9DA}"/>
    <cellStyle name="Normal 4 3 2 2 2 2 3 3 3" xfId="14484" xr:uid="{9DB604F4-8DDB-4A31-97C7-267F1232BCC0}"/>
    <cellStyle name="Normal 4 3 2 2 2 2 3 4" xfId="9350" xr:uid="{DFFEAFB7-A284-4FD9-B115-C19DA011CCC7}"/>
    <cellStyle name="Normal 4 3 2 2 2 2 3 4 2" xfId="18707" xr:uid="{7274E7EF-90DF-4BE8-A537-CA9231EBEBB7}"/>
    <cellStyle name="Normal 4 3 2 2 2 2 3 5" xfId="10267" xr:uid="{11049D8A-ADC3-4AF0-8CB9-6CC2B62799D8}"/>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25482" xr:uid="{AEFBF2C1-0DCB-419D-9E89-B7C232B5A08C}"/>
    <cellStyle name="Normal 4 3 2 2 2 2 4 2 2 3" xfId="17042" xr:uid="{49CBBC11-02E4-4A68-9394-FD180BF27F3A}"/>
    <cellStyle name="Normal 4 3 2 2 2 2 4 2 3" xfId="21265" xr:uid="{2D0F03F1-A34D-4354-ADFB-AF1D706CD08B}"/>
    <cellStyle name="Normal 4 3 2 2 2 2 4 2 4" xfId="12825" xr:uid="{FDAAD353-CC7A-457E-9230-B8A41695FDDB}"/>
    <cellStyle name="Normal 4 3 2 2 2 2 4 3" xfId="5571" xr:uid="{00000000-0005-0000-0000-000027140000}"/>
    <cellStyle name="Normal 4 3 2 2 2 2 4 3 2" xfId="23337" xr:uid="{9F13688C-4572-43EF-9B7F-10F821CA3615}"/>
    <cellStyle name="Normal 4 3 2 2 2 2 4 3 3" xfId="14897" xr:uid="{1CC7755B-DC99-4A7C-8B44-CAF4DA88FDEE}"/>
    <cellStyle name="Normal 4 3 2 2 2 2 4 4" xfId="19120" xr:uid="{8EC7032A-13B5-417E-9355-1413216A18DB}"/>
    <cellStyle name="Normal 4 3 2 2 2 2 4 5" xfId="10680" xr:uid="{A434875E-AE2E-4D08-A9C9-129C63486EFD}"/>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25895" xr:uid="{66C7ECCF-3048-4B81-AC2F-63ECBD632AE3}"/>
    <cellStyle name="Normal 4 3 2 2 2 2 5 2 2 3" xfId="17455" xr:uid="{9D6218AF-4239-48C8-A388-40D8CD391DCB}"/>
    <cellStyle name="Normal 4 3 2 2 2 2 5 2 3" xfId="21678" xr:uid="{D2F2326A-8C5E-4D2A-95EE-91B2DDF5D1D9}"/>
    <cellStyle name="Normal 4 3 2 2 2 2 5 2 4" xfId="13238" xr:uid="{A6F27E81-1D1E-4814-B3CC-A372F6462CF0}"/>
    <cellStyle name="Normal 4 3 2 2 2 2 5 3" xfId="5984" xr:uid="{00000000-0005-0000-0000-00002B140000}"/>
    <cellStyle name="Normal 4 3 2 2 2 2 5 3 2" xfId="23750" xr:uid="{347CB588-BF91-451D-8BF2-91C4CB175FE4}"/>
    <cellStyle name="Normal 4 3 2 2 2 2 5 3 3" xfId="15310" xr:uid="{CC6AF910-34FC-4E55-A13A-FA88D4AEFC06}"/>
    <cellStyle name="Normal 4 3 2 2 2 2 5 4" xfId="19533" xr:uid="{34E13037-3465-4DEB-BD8B-564C2260781D}"/>
    <cellStyle name="Normal 4 3 2 2 2 2 5 5" xfId="11093" xr:uid="{3098803A-6D3E-4498-B841-C7AB051873C2}"/>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26308" xr:uid="{90F10AF9-C640-453C-9681-73149DA5C028}"/>
    <cellStyle name="Normal 4 3 2 2 2 2 6 2 2 3" xfId="17868" xr:uid="{DAB24913-1239-45D2-BFAE-21F26B1B5F48}"/>
    <cellStyle name="Normal 4 3 2 2 2 2 6 2 3" xfId="22091" xr:uid="{F89018A1-ACEF-4A32-B376-8F65BC6883F1}"/>
    <cellStyle name="Normal 4 3 2 2 2 2 6 2 4" xfId="13651" xr:uid="{52D092E0-861F-4666-9B12-C3755C74A0B1}"/>
    <cellStyle name="Normal 4 3 2 2 2 2 6 3" xfId="6397" xr:uid="{00000000-0005-0000-0000-00002F140000}"/>
    <cellStyle name="Normal 4 3 2 2 2 2 6 3 2" xfId="24163" xr:uid="{77E576D2-83E7-47DB-A02F-6C4EFECCE925}"/>
    <cellStyle name="Normal 4 3 2 2 2 2 6 3 3" xfId="15723" xr:uid="{FF9B36D7-A2CC-44D8-B75D-1211C336CAC8}"/>
    <cellStyle name="Normal 4 3 2 2 2 2 6 4" xfId="19946" xr:uid="{9A4F8765-9389-49D2-8F03-9BB602C94FFA}"/>
    <cellStyle name="Normal 4 3 2 2 2 2 6 5" xfId="11506" xr:uid="{BCA43661-49F3-40F5-AC9F-C775791CEEAE}"/>
    <cellStyle name="Normal 4 3 2 2 2 2 7" xfId="2527" xr:uid="{00000000-0005-0000-0000-000030140000}"/>
    <cellStyle name="Normal 4 3 2 2 2 2 7 2" xfId="6810" xr:uid="{00000000-0005-0000-0000-000031140000}"/>
    <cellStyle name="Normal 4 3 2 2 2 2 7 2 2" xfId="24576" xr:uid="{132F0C04-09D1-4193-AD2B-B01CC1788EA3}"/>
    <cellStyle name="Normal 4 3 2 2 2 2 7 2 3" xfId="16136" xr:uid="{34BCD44B-3A53-4BB1-A4C0-7E11DE5A3FD0}"/>
    <cellStyle name="Normal 4 3 2 2 2 2 7 3" xfId="20359" xr:uid="{F4D01F3F-CC6C-48E7-BA94-BFBB21D38CC2}"/>
    <cellStyle name="Normal 4 3 2 2 2 2 7 4" xfId="11919" xr:uid="{37383DF2-D5FA-49B3-9B81-CC0F64E9DF6F}"/>
    <cellStyle name="Normal 4 3 2 2 2 2 8" xfId="4745" xr:uid="{00000000-0005-0000-0000-000032140000}"/>
    <cellStyle name="Normal 4 3 2 2 2 2 8 2" xfId="22511" xr:uid="{179922D1-709D-42D3-92E0-B618DD4E8076}"/>
    <cellStyle name="Normal 4 3 2 2 2 2 8 3" xfId="14071" xr:uid="{A7108D9C-C83E-464D-A052-256000D4183A}"/>
    <cellStyle name="Normal 4 3 2 2 2 2 9" xfId="8925" xr:uid="{71BB8AFA-37D7-474D-A12B-C284DDE23CE9}"/>
    <cellStyle name="Normal 4 3 2 2 2 2 9 2" xfId="18294" xr:uid="{EE841A49-DA23-4F34-9665-9F363684F56F}"/>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25071" xr:uid="{9845E59A-6D30-4EB4-B8EE-7488927DEC89}"/>
    <cellStyle name="Normal 4 3 2 2 2 3 2 2 2 3" xfId="16631" xr:uid="{62F39A2A-60EC-4015-A4CE-D5F3DD443947}"/>
    <cellStyle name="Normal 4 3 2 2 2 3 2 2 3" xfId="20854" xr:uid="{EA8FD1D0-5302-48BA-8260-353ECFEBA718}"/>
    <cellStyle name="Normal 4 3 2 2 2 3 2 2 4" xfId="12414" xr:uid="{218FD45A-248C-42C2-B831-73CC8C90BADD}"/>
    <cellStyle name="Normal 4 3 2 2 2 3 2 3" xfId="5160" xr:uid="{00000000-0005-0000-0000-000037140000}"/>
    <cellStyle name="Normal 4 3 2 2 2 3 2 3 2" xfId="22926" xr:uid="{1FBA474D-CBD6-4C87-B078-1ED449231E48}"/>
    <cellStyle name="Normal 4 3 2 2 2 3 2 3 3" xfId="14486" xr:uid="{2C793571-69FF-461B-AF72-1508A8372AF2}"/>
    <cellStyle name="Normal 4 3 2 2 2 3 2 4" xfId="9454" xr:uid="{B81F5EAA-7D8E-43B5-94D7-313E66088BA5}"/>
    <cellStyle name="Normal 4 3 2 2 2 3 2 4 2" xfId="18709" xr:uid="{32CAD2BC-6F2B-425D-95BE-063B55732CD8}"/>
    <cellStyle name="Normal 4 3 2 2 2 3 2 5" xfId="10269" xr:uid="{E9291CD9-934C-4AF8-B7E2-020893309BEE}"/>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25484" xr:uid="{FA59DC08-799A-49A9-89D4-8E114F838F5F}"/>
    <cellStyle name="Normal 4 3 2 2 2 3 3 2 2 3" xfId="17044" xr:uid="{0B55EF5D-FDDD-47F0-AED8-8668BF2CE422}"/>
    <cellStyle name="Normal 4 3 2 2 2 3 3 2 3" xfId="21267" xr:uid="{6A506BCD-08D4-414E-9C54-F4ED53B90744}"/>
    <cellStyle name="Normal 4 3 2 2 2 3 3 2 4" xfId="12827" xr:uid="{774C0D23-D882-4119-AF1A-1B245AD0010B}"/>
    <cellStyle name="Normal 4 3 2 2 2 3 3 3" xfId="5573" xr:uid="{00000000-0005-0000-0000-00003B140000}"/>
    <cellStyle name="Normal 4 3 2 2 2 3 3 3 2" xfId="23339" xr:uid="{52BB2550-32BA-441E-ADED-8BD3AF4D4D51}"/>
    <cellStyle name="Normal 4 3 2 2 2 3 3 3 3" xfId="14899" xr:uid="{8A574719-FFD4-47C9-8A43-55B838EACC4B}"/>
    <cellStyle name="Normal 4 3 2 2 2 3 3 4" xfId="19122" xr:uid="{B4A370A5-8946-4F3B-8A41-824C9FAE1984}"/>
    <cellStyle name="Normal 4 3 2 2 2 3 3 5" xfId="10682" xr:uid="{67F4A2EC-9AB7-40DF-A350-98F9201A391B}"/>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25897" xr:uid="{D1C39D52-D460-4EFE-B329-64BF498744AC}"/>
    <cellStyle name="Normal 4 3 2 2 2 3 4 2 2 3" xfId="17457" xr:uid="{48E712FD-CE7A-405C-A880-1BCE2656A383}"/>
    <cellStyle name="Normal 4 3 2 2 2 3 4 2 3" xfId="21680" xr:uid="{CE31CE7C-E3BF-4D67-B90D-590AD83171FB}"/>
    <cellStyle name="Normal 4 3 2 2 2 3 4 2 4" xfId="13240" xr:uid="{7487EB87-A40D-4649-AC59-F2D930EDDBDA}"/>
    <cellStyle name="Normal 4 3 2 2 2 3 4 3" xfId="5986" xr:uid="{00000000-0005-0000-0000-00003F140000}"/>
    <cellStyle name="Normal 4 3 2 2 2 3 4 3 2" xfId="23752" xr:uid="{9572BFB4-325A-4B7B-B08C-53DAC55B01A3}"/>
    <cellStyle name="Normal 4 3 2 2 2 3 4 3 3" xfId="15312" xr:uid="{DAF5AC75-FC8D-4638-BC48-7AC983C106AA}"/>
    <cellStyle name="Normal 4 3 2 2 2 3 4 4" xfId="19535" xr:uid="{0EA1E8E1-3A76-4E4A-A0A8-01E6B806DB64}"/>
    <cellStyle name="Normal 4 3 2 2 2 3 4 5" xfId="11095" xr:uid="{6ABDDFA1-BD70-48C9-8F3B-39D57775E589}"/>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26310" xr:uid="{6AB715E1-44C7-4D23-AC6F-D864D2E2B9AA}"/>
    <cellStyle name="Normal 4 3 2 2 2 3 5 2 2 3" xfId="17870" xr:uid="{BA6CD3BA-66E8-49CC-8577-DFD9388B87BF}"/>
    <cellStyle name="Normal 4 3 2 2 2 3 5 2 3" xfId="22093" xr:uid="{D4CCCA04-3B8F-4546-89D7-3E2DA6ECCCF8}"/>
    <cellStyle name="Normal 4 3 2 2 2 3 5 2 4" xfId="13653" xr:uid="{41406075-7405-45BD-AB65-B7FEF043647D}"/>
    <cellStyle name="Normal 4 3 2 2 2 3 5 3" xfId="6399" xr:uid="{00000000-0005-0000-0000-000043140000}"/>
    <cellStyle name="Normal 4 3 2 2 2 3 5 3 2" xfId="24165" xr:uid="{5B5B023A-661E-45EE-B876-32E5B248F0C9}"/>
    <cellStyle name="Normal 4 3 2 2 2 3 5 3 3" xfId="15725" xr:uid="{41C6612A-D70F-436D-B9D3-2E7ED35D4F28}"/>
    <cellStyle name="Normal 4 3 2 2 2 3 5 4" xfId="19948" xr:uid="{67B07D98-D20B-4987-8940-E98680ABDFD1}"/>
    <cellStyle name="Normal 4 3 2 2 2 3 5 5" xfId="11508" xr:uid="{CBC4E8DF-0DBB-44AC-83B4-447A40E13186}"/>
    <cellStyle name="Normal 4 3 2 2 2 3 6" xfId="2529" xr:uid="{00000000-0005-0000-0000-000044140000}"/>
    <cellStyle name="Normal 4 3 2 2 2 3 6 2" xfId="6812" xr:uid="{00000000-0005-0000-0000-000045140000}"/>
    <cellStyle name="Normal 4 3 2 2 2 3 6 2 2" xfId="24578" xr:uid="{351216CF-499D-4F78-9269-7283B48A011B}"/>
    <cellStyle name="Normal 4 3 2 2 2 3 6 2 3" xfId="16138" xr:uid="{686E9D00-995C-48B0-A53C-FB773854C005}"/>
    <cellStyle name="Normal 4 3 2 2 2 3 6 3" xfId="20361" xr:uid="{0ADA9F89-EF7C-41B7-9B4B-5860CB9E5B17}"/>
    <cellStyle name="Normal 4 3 2 2 2 3 6 4" xfId="11921" xr:uid="{69B1A18F-738A-4B41-8307-290C04750154}"/>
    <cellStyle name="Normal 4 3 2 2 2 3 7" xfId="4747" xr:uid="{00000000-0005-0000-0000-000046140000}"/>
    <cellStyle name="Normal 4 3 2 2 2 3 7 2" xfId="22513" xr:uid="{E158E34A-180A-43AA-A8E8-EE200F86EB53}"/>
    <cellStyle name="Normal 4 3 2 2 2 3 7 3" xfId="14073" xr:uid="{68AB0E37-5557-401D-9C7D-92A7380D7C42}"/>
    <cellStyle name="Normal 4 3 2 2 2 3 8" xfId="9029" xr:uid="{CC421D7E-69EF-4D96-A95C-E67F046F8D14}"/>
    <cellStyle name="Normal 4 3 2 2 2 3 8 2" xfId="18296" xr:uid="{3E8D191D-373C-4FA3-955B-54C809D3E7CE}"/>
    <cellStyle name="Normal 4 3 2 2 2 3 9" xfId="9856" xr:uid="{174CB66E-BBE5-4B50-8767-26EEDBBAB20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25068" xr:uid="{856CE776-E3B1-449E-9632-7D554D5B0A22}"/>
    <cellStyle name="Normal 4 3 2 2 2 4 2 2 3" xfId="16628" xr:uid="{5E26FEF5-F9EC-4430-BF74-FE6E7A21D127}"/>
    <cellStyle name="Normal 4 3 2 2 2 4 2 3" xfId="20851" xr:uid="{BFE3F7AA-D266-46B4-86A9-37EFF5F3522B}"/>
    <cellStyle name="Normal 4 3 2 2 2 4 2 4" xfId="12411" xr:uid="{250ED0EF-5B66-4E1C-97BC-9715449E9C7D}"/>
    <cellStyle name="Normal 4 3 2 2 2 4 3" xfId="5157" xr:uid="{00000000-0005-0000-0000-00004A140000}"/>
    <cellStyle name="Normal 4 3 2 2 2 4 3 2" xfId="22923" xr:uid="{8E6E3D80-8D2E-4AFC-AECF-A7D8C6963A07}"/>
    <cellStyle name="Normal 4 3 2 2 2 4 3 3" xfId="14483" xr:uid="{93F18EC7-B256-4646-A629-75D8554568B3}"/>
    <cellStyle name="Normal 4 3 2 2 2 4 4" xfId="9247" xr:uid="{70D9D224-DB0B-42B4-B4A9-BC88F455C395}"/>
    <cellStyle name="Normal 4 3 2 2 2 4 4 2" xfId="18706" xr:uid="{249881CF-48B2-4CE2-8152-AD107547E18E}"/>
    <cellStyle name="Normal 4 3 2 2 2 4 5" xfId="10266" xr:uid="{F6338464-0F80-4A9E-9188-47AE1D9A8189}"/>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25481" xr:uid="{B348D7CF-E76D-4188-A13B-F455ED5B1D52}"/>
    <cellStyle name="Normal 4 3 2 2 2 5 2 2 3" xfId="17041" xr:uid="{2AB0FACB-2BF6-48EB-8BA7-F3FF6013493F}"/>
    <cellStyle name="Normal 4 3 2 2 2 5 2 3" xfId="21264" xr:uid="{56C3C4B0-C683-4EE9-8189-270F28119E72}"/>
    <cellStyle name="Normal 4 3 2 2 2 5 2 4" xfId="12824" xr:uid="{41AD347F-3AB3-4FFD-8598-D60FF3BD88A8}"/>
    <cellStyle name="Normal 4 3 2 2 2 5 3" xfId="5570" xr:uid="{00000000-0005-0000-0000-00004E140000}"/>
    <cellStyle name="Normal 4 3 2 2 2 5 3 2" xfId="23336" xr:uid="{20E725B5-7236-4D36-A9E7-7D1E474A29E6}"/>
    <cellStyle name="Normal 4 3 2 2 2 5 3 3" xfId="14896" xr:uid="{62DA3A5F-25F8-41DB-9441-D9AEA6DE2F6E}"/>
    <cellStyle name="Normal 4 3 2 2 2 5 4" xfId="19119" xr:uid="{BDEA7D57-142D-49AC-AA91-0A2FA27D5F7C}"/>
    <cellStyle name="Normal 4 3 2 2 2 5 5" xfId="10679" xr:uid="{DA300069-53A7-4B13-AE61-730EEA7276FB}"/>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25894" xr:uid="{78DD56E8-B020-437A-BECA-52CA6E8ADA14}"/>
    <cellStyle name="Normal 4 3 2 2 2 6 2 2 3" xfId="17454" xr:uid="{A19E1A5D-6306-4A41-BA92-EEF13B8B92CA}"/>
    <cellStyle name="Normal 4 3 2 2 2 6 2 3" xfId="21677" xr:uid="{7163D7D5-7286-481C-B84F-3974B4547D3F}"/>
    <cellStyle name="Normal 4 3 2 2 2 6 2 4" xfId="13237" xr:uid="{45E14D24-B340-4C60-9CE4-B0EECC89CF69}"/>
    <cellStyle name="Normal 4 3 2 2 2 6 3" xfId="5983" xr:uid="{00000000-0005-0000-0000-000052140000}"/>
    <cellStyle name="Normal 4 3 2 2 2 6 3 2" xfId="23749" xr:uid="{B2C63C8F-8102-4D7C-93F5-86EC6806547D}"/>
    <cellStyle name="Normal 4 3 2 2 2 6 3 3" xfId="15309" xr:uid="{FCBD9211-E08C-4992-B84E-CE95E2B81787}"/>
    <cellStyle name="Normal 4 3 2 2 2 6 4" xfId="19532" xr:uid="{54523F1D-F7C0-431F-A247-09C9FF54C8F0}"/>
    <cellStyle name="Normal 4 3 2 2 2 6 5" xfId="11092" xr:uid="{A9DE044F-3B4E-486D-B062-EB933BA1524B}"/>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26307" xr:uid="{4B03F513-5B96-44B1-A79E-294E3566FE28}"/>
    <cellStyle name="Normal 4 3 2 2 2 7 2 2 3" xfId="17867" xr:uid="{BAD4DC0C-A78D-4E2F-85FD-204FE7520136}"/>
    <cellStyle name="Normal 4 3 2 2 2 7 2 3" xfId="22090" xr:uid="{E224501B-4311-48BE-8347-0CB3B5F7BDE8}"/>
    <cellStyle name="Normal 4 3 2 2 2 7 2 4" xfId="13650" xr:uid="{D84D14F4-CF52-49EA-803E-046136FA3613}"/>
    <cellStyle name="Normal 4 3 2 2 2 7 3" xfId="6396" xr:uid="{00000000-0005-0000-0000-000056140000}"/>
    <cellStyle name="Normal 4 3 2 2 2 7 3 2" xfId="24162" xr:uid="{BDA870B4-CE3E-45E7-AFB8-5CC1ED3176EA}"/>
    <cellStyle name="Normal 4 3 2 2 2 7 3 3" xfId="15722" xr:uid="{14763357-6A39-443E-A3E4-734E132CBA48}"/>
    <cellStyle name="Normal 4 3 2 2 2 7 4" xfId="19945" xr:uid="{01C67132-D5FB-462C-8873-0A5D1DB845F6}"/>
    <cellStyle name="Normal 4 3 2 2 2 7 5" xfId="11505" xr:uid="{8408A8CF-9C78-4780-AC1F-8D12D2B9E973}"/>
    <cellStyle name="Normal 4 3 2 2 2 8" xfId="2526" xr:uid="{00000000-0005-0000-0000-000057140000}"/>
    <cellStyle name="Normal 4 3 2 2 2 8 2" xfId="6809" xr:uid="{00000000-0005-0000-0000-000058140000}"/>
    <cellStyle name="Normal 4 3 2 2 2 8 2 2" xfId="24575" xr:uid="{A66E811E-15CC-4658-A6CB-61C276D05CCA}"/>
    <cellStyle name="Normal 4 3 2 2 2 8 2 3" xfId="16135" xr:uid="{FB79361E-2D64-49A4-9B39-42DF45F99B85}"/>
    <cellStyle name="Normal 4 3 2 2 2 8 3" xfId="20358" xr:uid="{54DE0A34-1EC5-4D24-BF66-8BED56BD45A9}"/>
    <cellStyle name="Normal 4 3 2 2 2 8 4" xfId="11918" xr:uid="{EFB32739-F25E-42D3-B429-343525AAA07D}"/>
    <cellStyle name="Normal 4 3 2 2 2 9" xfId="4744" xr:uid="{00000000-0005-0000-0000-000059140000}"/>
    <cellStyle name="Normal 4 3 2 2 2 9 2" xfId="22510" xr:uid="{236D05EB-1E7C-44D5-82DB-921786285275}"/>
    <cellStyle name="Normal 4 3 2 2 2 9 3" xfId="14070" xr:uid="{44BB643C-3B90-4A89-9F36-F0FE27593F6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297" xr:uid="{3EAF18EC-ED2F-4C45-B559-07B589061FCB}"/>
    <cellStyle name="Normal 4 3 3 11" xfId="9857" xr:uid="{76C24835-E1C0-4DE6-8740-0C430DA29D28}"/>
    <cellStyle name="Normal 4 3 3 2" xfId="375" xr:uid="{00000000-0005-0000-0000-00005E140000}"/>
    <cellStyle name="Normal 4 3 3 2 10" xfId="9858" xr:uid="{5D006792-7BBE-46A7-988B-92603543764F}"/>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25074" xr:uid="{1C3322F6-7E55-4AE7-8342-348A7E8FDA69}"/>
    <cellStyle name="Normal 4 3 3 2 2 2 2 2 3" xfId="16634" xr:uid="{D44B1322-1F1E-4E07-8BF9-48A06F828284}"/>
    <cellStyle name="Normal 4 3 3 2 2 2 2 3" xfId="20857" xr:uid="{DE4C485F-CDC6-43C5-92FF-A8E54C0E7A8E}"/>
    <cellStyle name="Normal 4 3 3 2 2 2 2 4" xfId="12417" xr:uid="{0DB19AC6-5239-4108-BCDE-86242754E708}"/>
    <cellStyle name="Normal 4 3 3 2 2 2 3" xfId="5163" xr:uid="{00000000-0005-0000-0000-000063140000}"/>
    <cellStyle name="Normal 4 3 3 2 2 2 3 2" xfId="22929" xr:uid="{6BF7B7BF-879B-49D9-9F0D-588453B66D95}"/>
    <cellStyle name="Normal 4 3 3 2 2 2 3 3" xfId="14489" xr:uid="{C35B8890-406E-4C62-B8E6-7624277D67CB}"/>
    <cellStyle name="Normal 4 3 3 2 2 2 4" xfId="9556" xr:uid="{7233D5E9-9F1E-43FF-8391-DCCFDF8A705D}"/>
    <cellStyle name="Normal 4 3 3 2 2 2 4 2" xfId="18712" xr:uid="{5B7803C3-FA02-4F49-B16E-FE2BFF62074E}"/>
    <cellStyle name="Normal 4 3 3 2 2 2 5" xfId="10272" xr:uid="{56BD90B2-40EF-4052-BCAC-5515D26DE857}"/>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25487" xr:uid="{F072C479-4109-4102-96D3-834DCA62DA37}"/>
    <cellStyle name="Normal 4 3 3 2 2 3 2 2 3" xfId="17047" xr:uid="{ADACFFCA-4C18-44CC-BF84-E01EACF6CA50}"/>
    <cellStyle name="Normal 4 3 3 2 2 3 2 3" xfId="21270" xr:uid="{EAEDFD81-5C55-4111-9654-FF7F251148A5}"/>
    <cellStyle name="Normal 4 3 3 2 2 3 2 4" xfId="12830" xr:uid="{F6838118-CCA2-45FC-9213-3EDE5F2AC450}"/>
    <cellStyle name="Normal 4 3 3 2 2 3 3" xfId="5576" xr:uid="{00000000-0005-0000-0000-000067140000}"/>
    <cellStyle name="Normal 4 3 3 2 2 3 3 2" xfId="23342" xr:uid="{8D519BD4-6FDF-455D-8D40-8920C603EBF9}"/>
    <cellStyle name="Normal 4 3 3 2 2 3 3 3" xfId="14902" xr:uid="{43066B04-2F96-4EA1-978D-C7085691910A}"/>
    <cellStyle name="Normal 4 3 3 2 2 3 4" xfId="19125" xr:uid="{CE0C6401-E100-4D36-9BB7-7C4418C31FDF}"/>
    <cellStyle name="Normal 4 3 3 2 2 3 5" xfId="10685" xr:uid="{467DAC1F-4290-49CF-B67E-47C5FBB9898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25900" xr:uid="{74F24590-D3B9-4FA6-81EA-25FCD4666703}"/>
    <cellStyle name="Normal 4 3 3 2 2 4 2 2 3" xfId="17460" xr:uid="{789E587C-7347-4F88-B05C-478914EEF546}"/>
    <cellStyle name="Normal 4 3 3 2 2 4 2 3" xfId="21683" xr:uid="{CC90B74B-1EF3-41DB-8FCA-8C36C0800C37}"/>
    <cellStyle name="Normal 4 3 3 2 2 4 2 4" xfId="13243" xr:uid="{4C0FF883-2F7E-494A-BD8F-4B3CE8F116B7}"/>
    <cellStyle name="Normal 4 3 3 2 2 4 3" xfId="5989" xr:uid="{00000000-0005-0000-0000-00006B140000}"/>
    <cellStyle name="Normal 4 3 3 2 2 4 3 2" xfId="23755" xr:uid="{49F0BF07-6B6F-454D-B9F0-22BD83F18A60}"/>
    <cellStyle name="Normal 4 3 3 2 2 4 3 3" xfId="15315" xr:uid="{D4BFFDF3-546E-4406-8B77-78D10FBFB2BA}"/>
    <cellStyle name="Normal 4 3 3 2 2 4 4" xfId="19538" xr:uid="{A255F343-CD33-420E-9918-858143C59F5D}"/>
    <cellStyle name="Normal 4 3 3 2 2 4 5" xfId="11098" xr:uid="{DDC66BFD-AFEB-48B9-B536-4C696ABAC125}"/>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26313" xr:uid="{6564EBCE-C46F-4F28-A27C-959B6E2EFB4D}"/>
    <cellStyle name="Normal 4 3 3 2 2 5 2 2 3" xfId="17873" xr:uid="{716DD3B8-8F32-43A2-8B8A-BAC86A891748}"/>
    <cellStyle name="Normal 4 3 3 2 2 5 2 3" xfId="22096" xr:uid="{0F7FB3FA-8BAF-43C5-B1C3-FCF32F53F625}"/>
    <cellStyle name="Normal 4 3 3 2 2 5 2 4" xfId="13656" xr:uid="{FED79E76-3C62-417D-A392-DD31899740D8}"/>
    <cellStyle name="Normal 4 3 3 2 2 5 3" xfId="6402" xr:uid="{00000000-0005-0000-0000-00006F140000}"/>
    <cellStyle name="Normal 4 3 3 2 2 5 3 2" xfId="24168" xr:uid="{78595DB7-8D3B-48DE-9446-3004722E50C9}"/>
    <cellStyle name="Normal 4 3 3 2 2 5 3 3" xfId="15728" xr:uid="{D1FB9F79-C418-46AB-8676-7EC9BAF5E3F3}"/>
    <cellStyle name="Normal 4 3 3 2 2 5 4" xfId="19951" xr:uid="{1510E31A-4FB3-4788-9A7B-4B42A261719B}"/>
    <cellStyle name="Normal 4 3 3 2 2 5 5" xfId="11511" xr:uid="{E7D7FFC4-3DB9-4DF3-9699-376FD7C69BD7}"/>
    <cellStyle name="Normal 4 3 3 2 2 6" xfId="2532" xr:uid="{00000000-0005-0000-0000-000070140000}"/>
    <cellStyle name="Normal 4 3 3 2 2 6 2" xfId="6815" xr:uid="{00000000-0005-0000-0000-000071140000}"/>
    <cellStyle name="Normal 4 3 3 2 2 6 2 2" xfId="24581" xr:uid="{DE2BCE18-F595-443E-B9E0-C497C9B84230}"/>
    <cellStyle name="Normal 4 3 3 2 2 6 2 3" xfId="16141" xr:uid="{DADD48BF-9D9C-44EE-8E2A-E163EFA577E9}"/>
    <cellStyle name="Normal 4 3 3 2 2 6 3" xfId="20364" xr:uid="{9FB4A66C-64B0-4009-8485-E48AC092C7BC}"/>
    <cellStyle name="Normal 4 3 3 2 2 6 4" xfId="11924" xr:uid="{53B16FFC-51F4-41D2-A0DE-07165547F079}"/>
    <cellStyle name="Normal 4 3 3 2 2 7" xfId="4750" xr:uid="{00000000-0005-0000-0000-000072140000}"/>
    <cellStyle name="Normal 4 3 3 2 2 7 2" xfId="22516" xr:uid="{6C1923ED-6920-4D8A-AFD1-0BF6C656E591}"/>
    <cellStyle name="Normal 4 3 3 2 2 7 3" xfId="14076" xr:uid="{C6B29CB4-F421-4F40-BE53-5D825678BCBD}"/>
    <cellStyle name="Normal 4 3 3 2 2 8" xfId="9131" xr:uid="{D7BA3B10-6765-4B57-99D1-3AF7343772F8}"/>
    <cellStyle name="Normal 4 3 3 2 2 8 2" xfId="18299" xr:uid="{D6CA8363-7E5C-4D9F-9D35-8ADE089D43F2}"/>
    <cellStyle name="Normal 4 3 3 2 2 9" xfId="9859" xr:uid="{94EFD9C6-34F7-4695-8EE3-21F8AD2C430F}"/>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25073" xr:uid="{89937DCE-A2F7-454E-B5D0-85ABCFCCD6A2}"/>
    <cellStyle name="Normal 4 3 3 2 3 2 2 3" xfId="16633" xr:uid="{59B356C3-E030-4394-947F-DD0DAEFD31AC}"/>
    <cellStyle name="Normal 4 3 3 2 3 2 3" xfId="20856" xr:uid="{8D851ECD-789F-4C7C-967D-5416895AB6E2}"/>
    <cellStyle name="Normal 4 3 3 2 3 2 4" xfId="12416" xr:uid="{1F222105-07FC-4EFA-BC26-BA084A1F2CE9}"/>
    <cellStyle name="Normal 4 3 3 2 3 3" xfId="5162" xr:uid="{00000000-0005-0000-0000-000076140000}"/>
    <cellStyle name="Normal 4 3 3 2 3 3 2" xfId="22928" xr:uid="{1216A122-CE80-4A89-99FA-67786689DC8D}"/>
    <cellStyle name="Normal 4 3 3 2 3 3 3" xfId="14488" xr:uid="{2A965F3D-BAAC-4BB8-8B01-7E2F534E35EB}"/>
    <cellStyle name="Normal 4 3 3 2 3 4" xfId="9349" xr:uid="{E498700C-D7AE-42FC-8EB1-59BA2C1BA6B9}"/>
    <cellStyle name="Normal 4 3 3 2 3 4 2" xfId="18711" xr:uid="{532453F1-3DD4-4B67-B3DD-4ED86E9E4CC2}"/>
    <cellStyle name="Normal 4 3 3 2 3 5" xfId="10271" xr:uid="{EC5BEA7F-508E-4C17-8238-2CB61C0F05DA}"/>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25486" xr:uid="{244A4066-68B5-46AF-B4B0-2B156D17529E}"/>
    <cellStyle name="Normal 4 3 3 2 4 2 2 3" xfId="17046" xr:uid="{23C98C1F-BAAD-43AC-8791-AD318822C36C}"/>
    <cellStyle name="Normal 4 3 3 2 4 2 3" xfId="21269" xr:uid="{C231D117-C7A7-487F-9A2F-5EE808F3584A}"/>
    <cellStyle name="Normal 4 3 3 2 4 2 4" xfId="12829" xr:uid="{E3705538-7F89-483C-9B89-04367DF80BCF}"/>
    <cellStyle name="Normal 4 3 3 2 4 3" xfId="5575" xr:uid="{00000000-0005-0000-0000-00007A140000}"/>
    <cellStyle name="Normal 4 3 3 2 4 3 2" xfId="23341" xr:uid="{65BA0121-2854-488A-ADB0-7613BAB80802}"/>
    <cellStyle name="Normal 4 3 3 2 4 3 3" xfId="14901" xr:uid="{D8DBC192-B098-44E9-9A0E-A3B0CEFC7369}"/>
    <cellStyle name="Normal 4 3 3 2 4 4" xfId="19124" xr:uid="{8688A901-BCFE-48BC-AF6B-0F317AB39AA3}"/>
    <cellStyle name="Normal 4 3 3 2 4 5" xfId="10684" xr:uid="{182A6D24-3FC9-4694-AE94-A425CCF802ED}"/>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25899" xr:uid="{BD51208D-7EE5-409C-B7C5-EB6D0F22302A}"/>
    <cellStyle name="Normal 4 3 3 2 5 2 2 3" xfId="17459" xr:uid="{1D085DB4-76A6-4145-9482-30FE0DCA35FE}"/>
    <cellStyle name="Normal 4 3 3 2 5 2 3" xfId="21682" xr:uid="{0BD2E554-F0FC-48B6-BDD8-5539BFD51FA8}"/>
    <cellStyle name="Normal 4 3 3 2 5 2 4" xfId="13242" xr:uid="{B3DD5684-15A6-493F-A201-A8CFC3ADFC10}"/>
    <cellStyle name="Normal 4 3 3 2 5 3" xfId="5988" xr:uid="{00000000-0005-0000-0000-00007E140000}"/>
    <cellStyle name="Normal 4 3 3 2 5 3 2" xfId="23754" xr:uid="{E0AB111A-B365-444E-900C-36320D06D094}"/>
    <cellStyle name="Normal 4 3 3 2 5 3 3" xfId="15314" xr:uid="{DFEB0C6A-C056-405C-9613-ED943E6C3098}"/>
    <cellStyle name="Normal 4 3 3 2 5 4" xfId="19537" xr:uid="{3D60A8CD-EC0D-4725-83B7-B7D606339BEE}"/>
    <cellStyle name="Normal 4 3 3 2 5 5" xfId="11097" xr:uid="{3DE9FE6D-FD24-4E74-9E37-83B24A9412F5}"/>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26312" xr:uid="{C235C926-F2AB-4082-A4D4-FA5A8EDFEAEA}"/>
    <cellStyle name="Normal 4 3 3 2 6 2 2 3" xfId="17872" xr:uid="{A9C422CB-7D95-42F0-9F4E-8FC9CC24C4C5}"/>
    <cellStyle name="Normal 4 3 3 2 6 2 3" xfId="22095" xr:uid="{2089A653-E020-4F18-8F31-2A06298A6DCD}"/>
    <cellStyle name="Normal 4 3 3 2 6 2 4" xfId="13655" xr:uid="{9A09BCF3-755C-44AC-AFC7-6F877F419CD3}"/>
    <cellStyle name="Normal 4 3 3 2 6 3" xfId="6401" xr:uid="{00000000-0005-0000-0000-000082140000}"/>
    <cellStyle name="Normal 4 3 3 2 6 3 2" xfId="24167" xr:uid="{E75EB92D-C5A8-471F-947F-3E1CFC6E4598}"/>
    <cellStyle name="Normal 4 3 3 2 6 3 3" xfId="15727" xr:uid="{1DAA6343-FDA2-4714-831F-4AAE037F21F9}"/>
    <cellStyle name="Normal 4 3 3 2 6 4" xfId="19950" xr:uid="{8861472F-53D7-4D8E-B839-1937A3E1070E}"/>
    <cellStyle name="Normal 4 3 3 2 6 5" xfId="11510" xr:uid="{DF329FED-A991-42EB-886E-EA14C840A40C}"/>
    <cellStyle name="Normal 4 3 3 2 7" xfId="2531" xr:uid="{00000000-0005-0000-0000-000083140000}"/>
    <cellStyle name="Normal 4 3 3 2 7 2" xfId="6814" xr:uid="{00000000-0005-0000-0000-000084140000}"/>
    <cellStyle name="Normal 4 3 3 2 7 2 2" xfId="24580" xr:uid="{F49EC1F0-ED2F-4C9E-A0D1-A9D88D9F416B}"/>
    <cellStyle name="Normal 4 3 3 2 7 2 3" xfId="16140" xr:uid="{D6ECEF80-A64D-4488-AA60-9D75C6125DB8}"/>
    <cellStyle name="Normal 4 3 3 2 7 3" xfId="20363" xr:uid="{6CFBEA49-6575-40F7-9ADF-CBB7918090A3}"/>
    <cellStyle name="Normal 4 3 3 2 7 4" xfId="11923" xr:uid="{E82DE9A1-A0B9-413E-82F4-4CC1999F4520}"/>
    <cellStyle name="Normal 4 3 3 2 8" xfId="4749" xr:uid="{00000000-0005-0000-0000-000085140000}"/>
    <cellStyle name="Normal 4 3 3 2 8 2" xfId="22515" xr:uid="{B32854CB-51EF-4E99-97F8-FA9D9E6AD4B3}"/>
    <cellStyle name="Normal 4 3 3 2 8 3" xfId="14075" xr:uid="{9E18B339-E5C2-4CC8-AE37-C2CEC9F8995D}"/>
    <cellStyle name="Normal 4 3 3 2 9" xfId="8924" xr:uid="{F9E914C5-63E8-4CB8-8EA1-7427CE35C4AA}"/>
    <cellStyle name="Normal 4 3 3 2 9 2" xfId="18298" xr:uid="{F2A5DF4A-32F9-4270-90EA-282E14C6D4AB}"/>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25075" xr:uid="{0AA95EAA-D0CF-4D91-AC8C-8254C4BB8C35}"/>
    <cellStyle name="Normal 4 3 3 3 2 2 2 3" xfId="16635" xr:uid="{20942D69-F958-4B28-B10C-4344581FCE36}"/>
    <cellStyle name="Normal 4 3 3 3 2 2 3" xfId="20858" xr:uid="{4C612304-59EB-44CB-B60E-75EEB116A45D}"/>
    <cellStyle name="Normal 4 3 3 3 2 2 4" xfId="12418" xr:uid="{402CB10E-9F6C-4B8D-A7C4-3693AF175518}"/>
    <cellStyle name="Normal 4 3 3 3 2 3" xfId="5164" xr:uid="{00000000-0005-0000-0000-00008A140000}"/>
    <cellStyle name="Normal 4 3 3 3 2 3 2" xfId="22930" xr:uid="{38F74B0B-CFC7-4F3C-B9C4-8A9E5BEF9107}"/>
    <cellStyle name="Normal 4 3 3 3 2 3 3" xfId="14490" xr:uid="{A0D31BA3-8619-4719-9948-1A2B089128B0}"/>
    <cellStyle name="Normal 4 3 3 3 2 4" xfId="9453" xr:uid="{18D68920-503C-42C1-A733-EBE17DC6D008}"/>
    <cellStyle name="Normal 4 3 3 3 2 4 2" xfId="18713" xr:uid="{CF8DBC18-DCA3-4B7B-ABD3-D9391BA2F9B1}"/>
    <cellStyle name="Normal 4 3 3 3 2 5" xfId="10273" xr:uid="{717036B7-0230-4C70-9750-AAD60FC4F043}"/>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25488" xr:uid="{0FE3BFFD-AD27-4010-8281-D4D7FF7392DD}"/>
    <cellStyle name="Normal 4 3 3 3 3 2 2 3" xfId="17048" xr:uid="{C6515F06-28F7-4257-841D-9F6BE58CEC47}"/>
    <cellStyle name="Normal 4 3 3 3 3 2 3" xfId="21271" xr:uid="{4DD6779D-0FB9-4CA6-BFF6-D83546286B97}"/>
    <cellStyle name="Normal 4 3 3 3 3 2 4" xfId="12831" xr:uid="{905E284E-B514-4DB3-BF97-D2FDEC682795}"/>
    <cellStyle name="Normal 4 3 3 3 3 3" xfId="5577" xr:uid="{00000000-0005-0000-0000-00008E140000}"/>
    <cellStyle name="Normal 4 3 3 3 3 3 2" xfId="23343" xr:uid="{B001A0F8-E6DB-4BC1-B394-AE8A4042E5D1}"/>
    <cellStyle name="Normal 4 3 3 3 3 3 3" xfId="14903" xr:uid="{B9919E4A-258A-4895-8B9B-644BF990D997}"/>
    <cellStyle name="Normal 4 3 3 3 3 4" xfId="19126" xr:uid="{8E37DB68-1D84-4BBE-BFBE-04B9D91D200F}"/>
    <cellStyle name="Normal 4 3 3 3 3 5" xfId="10686" xr:uid="{8BA900EA-A462-49C1-A5B5-4CA757DCFB71}"/>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25901" xr:uid="{19C6B572-148B-4EAD-92A6-6ADEB6986AE2}"/>
    <cellStyle name="Normal 4 3 3 3 4 2 2 3" xfId="17461" xr:uid="{0E1D284E-F290-4D8D-8E55-E330241CDC07}"/>
    <cellStyle name="Normal 4 3 3 3 4 2 3" xfId="21684" xr:uid="{84A4F53D-378E-4A91-8DAE-3D408EBED9C7}"/>
    <cellStyle name="Normal 4 3 3 3 4 2 4" xfId="13244" xr:uid="{35C0D1A6-AA0B-4BF1-9528-5D06FDB596F2}"/>
    <cellStyle name="Normal 4 3 3 3 4 3" xfId="5990" xr:uid="{00000000-0005-0000-0000-000092140000}"/>
    <cellStyle name="Normal 4 3 3 3 4 3 2" xfId="23756" xr:uid="{C5047685-AF23-45B5-ADFA-9E9EE72EC84D}"/>
    <cellStyle name="Normal 4 3 3 3 4 3 3" xfId="15316" xr:uid="{ACBE399C-0D4D-499C-AAEB-1832251C8096}"/>
    <cellStyle name="Normal 4 3 3 3 4 4" xfId="19539" xr:uid="{0E5D98E4-1C3F-44FA-870C-AE23B3721D5F}"/>
    <cellStyle name="Normal 4 3 3 3 4 5" xfId="11099" xr:uid="{64273F34-BDF7-494E-AC78-9D3D04646AA6}"/>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26314" xr:uid="{A4655F5C-1168-4357-A481-5048C4826866}"/>
    <cellStyle name="Normal 4 3 3 3 5 2 2 3" xfId="17874" xr:uid="{44AE2135-31F5-4407-878E-34E2B94DFE57}"/>
    <cellStyle name="Normal 4 3 3 3 5 2 3" xfId="22097" xr:uid="{93C48565-36BA-4EDA-A41D-D439A7F2B26C}"/>
    <cellStyle name="Normal 4 3 3 3 5 2 4" xfId="13657" xr:uid="{246230F5-755B-4846-A79C-0AB89751836D}"/>
    <cellStyle name="Normal 4 3 3 3 5 3" xfId="6403" xr:uid="{00000000-0005-0000-0000-000096140000}"/>
    <cellStyle name="Normal 4 3 3 3 5 3 2" xfId="24169" xr:uid="{651C6E00-A3FD-42FC-AABF-FF18D90A1BAF}"/>
    <cellStyle name="Normal 4 3 3 3 5 3 3" xfId="15729" xr:uid="{B0360C5D-2316-4B7A-AA7F-0786F930E780}"/>
    <cellStyle name="Normal 4 3 3 3 5 4" xfId="19952" xr:uid="{62D3783D-FF9E-42AE-8AE7-E6AFC7B2522F}"/>
    <cellStyle name="Normal 4 3 3 3 5 5" xfId="11512" xr:uid="{D3650FCD-3164-4F0B-8707-8F0AA4FDFF78}"/>
    <cellStyle name="Normal 4 3 3 3 6" xfId="2533" xr:uid="{00000000-0005-0000-0000-000097140000}"/>
    <cellStyle name="Normal 4 3 3 3 6 2" xfId="6816" xr:uid="{00000000-0005-0000-0000-000098140000}"/>
    <cellStyle name="Normal 4 3 3 3 6 2 2" xfId="24582" xr:uid="{7D0AAAA7-23BA-4DC8-80F0-1CE177C34DCB}"/>
    <cellStyle name="Normal 4 3 3 3 6 2 3" xfId="16142" xr:uid="{BEBF4D97-8A35-45D9-BE5F-76112BC3CB59}"/>
    <cellStyle name="Normal 4 3 3 3 6 3" xfId="20365" xr:uid="{95F6D718-40B5-4BBF-BDB7-82E928BB5C40}"/>
    <cellStyle name="Normal 4 3 3 3 6 4" xfId="11925" xr:uid="{627EA25E-7F04-4506-A876-947D534D598A}"/>
    <cellStyle name="Normal 4 3 3 3 7" xfId="4751" xr:uid="{00000000-0005-0000-0000-000099140000}"/>
    <cellStyle name="Normal 4 3 3 3 7 2" xfId="22517" xr:uid="{69CB6308-123E-420D-9088-9202D836CB78}"/>
    <cellStyle name="Normal 4 3 3 3 7 3" xfId="14077" xr:uid="{76CD0718-C82D-47B6-B437-27A3A2074CA1}"/>
    <cellStyle name="Normal 4 3 3 3 8" xfId="9028" xr:uid="{A0BD85BE-0D8B-455E-B326-708B8FF8A8C8}"/>
    <cellStyle name="Normal 4 3 3 3 8 2" xfId="18300" xr:uid="{B0338511-9B22-4C81-9B62-ADA1067F8054}"/>
    <cellStyle name="Normal 4 3 3 3 9" xfId="9860" xr:uid="{A6C1AD57-EA52-426E-BF3A-A71F2FD022BB}"/>
    <cellStyle name="Normal 4 3 3 4" xfId="849" xr:uid="{00000000-0005-0000-0000-00009A140000}"/>
    <cellStyle name="Normal 4 3 3 4 2" xfId="3084" xr:uid="{00000000-0005-0000-0000-00009B140000}"/>
    <cellStyle name="Normal 4 3 3 4 2 2" xfId="7306" xr:uid="{00000000-0005-0000-0000-00009C140000}"/>
    <cellStyle name="Normal 4 3 3 4 2 2 2" xfId="25072" xr:uid="{6D755940-1299-498E-92E3-D41C91DF94DE}"/>
    <cellStyle name="Normal 4 3 3 4 2 2 3" xfId="16632" xr:uid="{7765F7D4-2C3F-4C1A-8370-3347B08B9063}"/>
    <cellStyle name="Normal 4 3 3 4 2 3" xfId="20855" xr:uid="{2725C96F-85F0-46B2-AC47-C106E5AAD93F}"/>
    <cellStyle name="Normal 4 3 3 4 2 4" xfId="12415" xr:uid="{1CA12568-9B53-460D-A87B-28F26E913456}"/>
    <cellStyle name="Normal 4 3 3 4 3" xfId="5161" xr:uid="{00000000-0005-0000-0000-00009D140000}"/>
    <cellStyle name="Normal 4 3 3 4 3 2" xfId="22927" xr:uid="{59DB0800-B008-4717-B71A-3602C7DD34BA}"/>
    <cellStyle name="Normal 4 3 3 4 3 3" xfId="14487" xr:uid="{28B02078-2B7D-44C3-9E4C-BAFA9902D65A}"/>
    <cellStyle name="Normal 4 3 3 4 4" xfId="9246" xr:uid="{E1107DA9-8F13-4216-80A2-CEA1D2EF57FC}"/>
    <cellStyle name="Normal 4 3 3 4 4 2" xfId="18710" xr:uid="{C3546F1C-CB1B-4299-A4BC-4DC60F7AD38D}"/>
    <cellStyle name="Normal 4 3 3 4 5" xfId="10270" xr:uid="{BA57E556-E8EF-470B-AD48-9C8E558C984A}"/>
    <cellStyle name="Normal 4 3 3 5" xfId="1267" xr:uid="{00000000-0005-0000-0000-00009E140000}"/>
    <cellStyle name="Normal 4 3 3 5 2" xfId="3497" xr:uid="{00000000-0005-0000-0000-00009F140000}"/>
    <cellStyle name="Normal 4 3 3 5 2 2" xfId="7719" xr:uid="{00000000-0005-0000-0000-0000A0140000}"/>
    <cellStyle name="Normal 4 3 3 5 2 2 2" xfId="25485" xr:uid="{8D1CA5A8-43DE-4AEF-A2A4-23472AB7F4B2}"/>
    <cellStyle name="Normal 4 3 3 5 2 2 3" xfId="17045" xr:uid="{37785FD2-E4FF-4D87-8C23-60A147BEDB3D}"/>
    <cellStyle name="Normal 4 3 3 5 2 3" xfId="21268" xr:uid="{5654812C-2BEF-4880-ABAE-4C088BA6EA34}"/>
    <cellStyle name="Normal 4 3 3 5 2 4" xfId="12828" xr:uid="{954FC7EC-2484-4F15-9091-AB0B901FE9C4}"/>
    <cellStyle name="Normal 4 3 3 5 3" xfId="5574" xr:uid="{00000000-0005-0000-0000-0000A1140000}"/>
    <cellStyle name="Normal 4 3 3 5 3 2" xfId="23340" xr:uid="{50CA4B7E-7761-4C4A-A2F5-7DFC1E270CD3}"/>
    <cellStyle name="Normal 4 3 3 5 3 3" xfId="14900" xr:uid="{694F9F29-4EBF-4123-9D7B-45AB017DAC6C}"/>
    <cellStyle name="Normal 4 3 3 5 4" xfId="19123" xr:uid="{F17C4E5E-FC33-4B51-BAB1-3AB49ADAADDC}"/>
    <cellStyle name="Normal 4 3 3 5 5" xfId="10683" xr:uid="{87441EB6-73AD-4C08-9840-138B54A69F3D}"/>
    <cellStyle name="Normal 4 3 3 6" xfId="1680" xr:uid="{00000000-0005-0000-0000-0000A2140000}"/>
    <cellStyle name="Normal 4 3 3 6 2" xfId="3910" xr:uid="{00000000-0005-0000-0000-0000A3140000}"/>
    <cellStyle name="Normal 4 3 3 6 2 2" xfId="8132" xr:uid="{00000000-0005-0000-0000-0000A4140000}"/>
    <cellStyle name="Normal 4 3 3 6 2 2 2" xfId="25898" xr:uid="{A17B89E2-866D-4A5F-80DE-BBD60DA190F4}"/>
    <cellStyle name="Normal 4 3 3 6 2 2 3" xfId="17458" xr:uid="{12F18F68-5476-4D7B-9B78-864E7BE0F40C}"/>
    <cellStyle name="Normal 4 3 3 6 2 3" xfId="21681" xr:uid="{009BAFD5-4835-42F4-985C-20D741DBBD08}"/>
    <cellStyle name="Normal 4 3 3 6 2 4" xfId="13241" xr:uid="{FE8BE962-E358-4E7C-9A9F-0CDCB8C5DB1B}"/>
    <cellStyle name="Normal 4 3 3 6 3" xfId="5987" xr:uid="{00000000-0005-0000-0000-0000A5140000}"/>
    <cellStyle name="Normal 4 3 3 6 3 2" xfId="23753" xr:uid="{72F39C8C-6EB3-438E-8ABE-4477B314DAE1}"/>
    <cellStyle name="Normal 4 3 3 6 3 3" xfId="15313" xr:uid="{03B941B6-4AE4-423D-87B4-33B379BC05BD}"/>
    <cellStyle name="Normal 4 3 3 6 4" xfId="19536" xr:uid="{D07291E1-C750-45EF-81AA-B2DB19B259A3}"/>
    <cellStyle name="Normal 4 3 3 6 5" xfId="11096" xr:uid="{C028F6FC-9D13-4A3B-B1F0-3002A42F97AE}"/>
    <cellStyle name="Normal 4 3 3 7" xfId="2094" xr:uid="{00000000-0005-0000-0000-0000A6140000}"/>
    <cellStyle name="Normal 4 3 3 7 2" xfId="4323" xr:uid="{00000000-0005-0000-0000-0000A7140000}"/>
    <cellStyle name="Normal 4 3 3 7 2 2" xfId="8545" xr:uid="{00000000-0005-0000-0000-0000A8140000}"/>
    <cellStyle name="Normal 4 3 3 7 2 2 2" xfId="26311" xr:uid="{B6B15E61-A60A-4216-BC4C-D697D03913BD}"/>
    <cellStyle name="Normal 4 3 3 7 2 2 3" xfId="17871" xr:uid="{6644DA35-AF4E-4405-AB53-D95F7132913A}"/>
    <cellStyle name="Normal 4 3 3 7 2 3" xfId="22094" xr:uid="{12722EDE-5C9C-4F88-90FF-CB4C4AECD261}"/>
    <cellStyle name="Normal 4 3 3 7 2 4" xfId="13654" xr:uid="{5C411711-AB1E-4D01-9132-45C60E2AC315}"/>
    <cellStyle name="Normal 4 3 3 7 3" xfId="6400" xr:uid="{00000000-0005-0000-0000-0000A9140000}"/>
    <cellStyle name="Normal 4 3 3 7 3 2" xfId="24166" xr:uid="{B5DC35F0-15CC-4EC5-8A6C-A3F78B1744B4}"/>
    <cellStyle name="Normal 4 3 3 7 3 3" xfId="15726" xr:uid="{F41B13E8-D61E-45FF-880E-104C6B60437E}"/>
    <cellStyle name="Normal 4 3 3 7 4" xfId="19949" xr:uid="{E3A94DB5-AB58-41CC-988D-0BB2DBDAFF39}"/>
    <cellStyle name="Normal 4 3 3 7 5" xfId="11509" xr:uid="{7ECF2331-7AED-4D40-B6CC-E318E4258DCB}"/>
    <cellStyle name="Normal 4 3 3 8" xfId="2530" xr:uid="{00000000-0005-0000-0000-0000AA140000}"/>
    <cellStyle name="Normal 4 3 3 8 2" xfId="6813" xr:uid="{00000000-0005-0000-0000-0000AB140000}"/>
    <cellStyle name="Normal 4 3 3 8 2 2" xfId="24579" xr:uid="{EE398F57-F744-4CFE-B75E-E0612FD9A9C1}"/>
    <cellStyle name="Normal 4 3 3 8 2 3" xfId="16139" xr:uid="{B05FAD82-9A70-4A38-B900-9834FCE30C14}"/>
    <cellStyle name="Normal 4 3 3 8 3" xfId="20362" xr:uid="{79292AEF-4C72-4C9C-8962-0103237C99D6}"/>
    <cellStyle name="Normal 4 3 3 8 4" xfId="11922" xr:uid="{C4F8DA37-A903-465A-9D05-AAD5AA90ED46}"/>
    <cellStyle name="Normal 4 3 3 9" xfId="4748" xr:uid="{00000000-0005-0000-0000-0000AC140000}"/>
    <cellStyle name="Normal 4 3 3 9 2" xfId="22514" xr:uid="{87551FCD-A8CA-4E9E-93FC-38525AA308F9}"/>
    <cellStyle name="Normal 4 3 3 9 3" xfId="14074" xr:uid="{D3759AEA-9292-42E5-8CC2-E105A71BDBD5}"/>
    <cellStyle name="Normal 4 3 4" xfId="842" xr:uid="{00000000-0005-0000-0000-0000AD140000}"/>
    <cellStyle name="Normal 4 3 4 2" xfId="3079" xr:uid="{00000000-0005-0000-0000-0000AE140000}"/>
    <cellStyle name="Normal 4 3 4 2 2" xfId="7301" xr:uid="{00000000-0005-0000-0000-0000AF140000}"/>
    <cellStyle name="Normal 4 3 4 2 2 2" xfId="25067" xr:uid="{CD812F8C-981F-4C73-BAA5-826290E6CE16}"/>
    <cellStyle name="Normal 4 3 4 2 2 3" xfId="16627" xr:uid="{87BF81CE-58C7-41C6-86D4-B5300C4B322C}"/>
    <cellStyle name="Normal 4 3 4 2 3" xfId="20850" xr:uid="{457ADA5F-8E27-404B-BFC6-5DB1189C800C}"/>
    <cellStyle name="Normal 4 3 4 2 4" xfId="12410" xr:uid="{FFF80B67-28B9-4407-839D-A2409AAFE6BF}"/>
    <cellStyle name="Normal 4 3 4 3" xfId="5156" xr:uid="{00000000-0005-0000-0000-0000B0140000}"/>
    <cellStyle name="Normal 4 3 4 3 2" xfId="22922" xr:uid="{CA0ED90E-D1AF-4CC7-9471-5238C8C5E2FF}"/>
    <cellStyle name="Normal 4 3 4 3 3" xfId="14482" xr:uid="{EE9815D2-CEEC-4D6A-BE10-7F156E44026C}"/>
    <cellStyle name="Normal 4 3 4 4" xfId="9608" xr:uid="{C2EFFD2B-01D5-4B2B-BD85-BB4245D6A35E}"/>
    <cellStyle name="Normal 4 3 4 4 2" xfId="18705" xr:uid="{092550A7-D514-4CD3-BAB6-D512873A0252}"/>
    <cellStyle name="Normal 4 3 4 5" xfId="10265" xr:uid="{20019703-3B04-413D-A78F-E90B3CBCEED9}"/>
    <cellStyle name="Normal 4 3 5" xfId="1262" xr:uid="{00000000-0005-0000-0000-0000B1140000}"/>
    <cellStyle name="Normal 4 3 5 2" xfId="3492" xr:uid="{00000000-0005-0000-0000-0000B2140000}"/>
    <cellStyle name="Normal 4 3 5 2 2" xfId="7714" xr:uid="{00000000-0005-0000-0000-0000B3140000}"/>
    <cellStyle name="Normal 4 3 5 2 2 2" xfId="25480" xr:uid="{D3B897FE-D2E8-4D3D-91D0-57DCF686DA45}"/>
    <cellStyle name="Normal 4 3 5 2 2 3" xfId="17040" xr:uid="{EB6DB255-51B5-412D-AB52-532B96B45944}"/>
    <cellStyle name="Normal 4 3 5 2 3" xfId="21263" xr:uid="{B1C80DD6-3A94-4E27-BFE0-6693B557A59B}"/>
    <cellStyle name="Normal 4 3 5 2 4" xfId="12823" xr:uid="{91587E4E-1BD2-408F-A5EC-93358C8CD89B}"/>
    <cellStyle name="Normal 4 3 5 3" xfId="5569" xr:uid="{00000000-0005-0000-0000-0000B4140000}"/>
    <cellStyle name="Normal 4 3 5 3 2" xfId="23335" xr:uid="{0C378C17-BCF3-42BF-90A6-75ABEEE7197D}"/>
    <cellStyle name="Normal 4 3 5 3 3" xfId="14895" xr:uid="{C85E2B7E-C48F-43F8-BB9B-BA414DE17A51}"/>
    <cellStyle name="Normal 4 3 5 4" xfId="19118" xr:uid="{53C42A47-702C-4952-83D2-68746C398512}"/>
    <cellStyle name="Normal 4 3 5 5" xfId="10678" xr:uid="{6D99B9E0-1F7C-44DF-8E44-F411A4D784AF}"/>
    <cellStyle name="Normal 4 3 6" xfId="1675" xr:uid="{00000000-0005-0000-0000-0000B5140000}"/>
    <cellStyle name="Normal 4 3 6 2" xfId="3905" xr:uid="{00000000-0005-0000-0000-0000B6140000}"/>
    <cellStyle name="Normal 4 3 6 2 2" xfId="8127" xr:uid="{00000000-0005-0000-0000-0000B7140000}"/>
    <cellStyle name="Normal 4 3 6 2 2 2" xfId="25893" xr:uid="{1A2D9623-CB78-4D68-85CD-D4B8080952AA}"/>
    <cellStyle name="Normal 4 3 6 2 2 3" xfId="17453" xr:uid="{69962B9D-B3A6-471F-80EF-98EB394F82CF}"/>
    <cellStyle name="Normal 4 3 6 2 3" xfId="21676" xr:uid="{1FACABAF-734A-47AD-B73E-BCB32C5CD372}"/>
    <cellStyle name="Normal 4 3 6 2 4" xfId="13236" xr:uid="{F5E4341F-A59B-4C3C-88E4-6777CFDE9867}"/>
    <cellStyle name="Normal 4 3 6 3" xfId="5982" xr:uid="{00000000-0005-0000-0000-0000B8140000}"/>
    <cellStyle name="Normal 4 3 6 3 2" xfId="23748" xr:uid="{D50C579F-0A4F-4F22-B501-2579EBF86C5A}"/>
    <cellStyle name="Normal 4 3 6 3 3" xfId="15308" xr:uid="{A73ACF56-F6D4-471F-9BA2-9ECFEC388D41}"/>
    <cellStyle name="Normal 4 3 6 4" xfId="19531" xr:uid="{9E9F3BFC-D1DB-475C-8C9E-6F09F2F8DFAB}"/>
    <cellStyle name="Normal 4 3 6 5" xfId="11091" xr:uid="{54E904B9-888C-43B3-9A47-F149CB39E37D}"/>
    <cellStyle name="Normal 4 3 7" xfId="2089" xr:uid="{00000000-0005-0000-0000-0000B9140000}"/>
    <cellStyle name="Normal 4 3 7 2" xfId="4318" xr:uid="{00000000-0005-0000-0000-0000BA140000}"/>
    <cellStyle name="Normal 4 3 7 2 2" xfId="8540" xr:uid="{00000000-0005-0000-0000-0000BB140000}"/>
    <cellStyle name="Normal 4 3 7 2 2 2" xfId="26306" xr:uid="{9CF37B47-A5FC-4A68-97BB-C0BCD751F504}"/>
    <cellStyle name="Normal 4 3 7 2 2 3" xfId="17866" xr:uid="{AE0F7344-A10D-4429-ABC9-D0565E28B5F7}"/>
    <cellStyle name="Normal 4 3 7 2 3" xfId="22089" xr:uid="{C0B2B2ED-0176-481D-B49A-2C69631EB095}"/>
    <cellStyle name="Normal 4 3 7 2 4" xfId="13649" xr:uid="{D946DD73-2342-4099-AE05-B543012FC45C}"/>
    <cellStyle name="Normal 4 3 7 3" xfId="6395" xr:uid="{00000000-0005-0000-0000-0000BC140000}"/>
    <cellStyle name="Normal 4 3 7 3 2" xfId="24161" xr:uid="{E200803B-CB73-49A2-95AA-A33F36C7BFA8}"/>
    <cellStyle name="Normal 4 3 7 3 3" xfId="15721" xr:uid="{CA5FE27A-EA6B-4D02-AA48-564789AB3AC6}"/>
    <cellStyle name="Normal 4 3 7 4" xfId="19944" xr:uid="{AF5EA069-695F-40A3-9230-2A64156229D5}"/>
    <cellStyle name="Normal 4 3 7 5" xfId="11504" xr:uid="{3C8BDE3C-2EAF-4FF0-AECF-C63F46301088}"/>
    <cellStyle name="Normal 4 3 8" xfId="2525" xr:uid="{00000000-0005-0000-0000-0000BD140000}"/>
    <cellStyle name="Normal 4 3 8 2" xfId="6808" xr:uid="{00000000-0005-0000-0000-0000BE140000}"/>
    <cellStyle name="Normal 4 3 8 2 2" xfId="24574" xr:uid="{E86BC8D4-4ADB-454D-BC60-FC48B2172E78}"/>
    <cellStyle name="Normal 4 3 8 2 3" xfId="16134" xr:uid="{374D5E99-BC4A-4886-A39D-57249913D418}"/>
    <cellStyle name="Normal 4 3 8 3" xfId="20357" xr:uid="{8AAC70D9-206F-4B3F-94F1-6548D54C75AC}"/>
    <cellStyle name="Normal 4 3 8 4" xfId="11917" xr:uid="{D47C0E17-3C80-4EB4-BDFF-79E23DA62785}"/>
    <cellStyle name="Normal 4 3 9" xfId="4743" xr:uid="{00000000-0005-0000-0000-0000BF140000}"/>
    <cellStyle name="Normal 4 3 9 2" xfId="22509" xr:uid="{63ED3A16-B4FF-4C4D-9D96-E9209382B13F}"/>
    <cellStyle name="Normal 4 3 9 3" xfId="14069" xr:uid="{3DF069F8-7057-412B-B96E-9B727BEAD9E5}"/>
    <cellStyle name="Normal 4 4" xfId="378" xr:uid="{00000000-0005-0000-0000-0000C0140000}"/>
    <cellStyle name="Normal 4 4 10" xfId="2534" xr:uid="{00000000-0005-0000-0000-0000C1140000}"/>
    <cellStyle name="Normal 4 4 10 2" xfId="6817" xr:uid="{00000000-0005-0000-0000-0000C2140000}"/>
    <cellStyle name="Normal 4 4 10 2 2" xfId="24583" xr:uid="{AFC7CC01-F061-4219-8146-63BEDFEF1738}"/>
    <cellStyle name="Normal 4 4 10 2 3" xfId="16143" xr:uid="{420601AA-1E3C-41A5-A4B3-5B6D38F04024}"/>
    <cellStyle name="Normal 4 4 10 3" xfId="20366" xr:uid="{E8EA9EF5-B637-495F-92DB-9E21C57531F5}"/>
    <cellStyle name="Normal 4 4 10 4" xfId="11926" xr:uid="{82A160A5-F0BB-4B31-8B06-7A1700486873}"/>
    <cellStyle name="Normal 4 4 11" xfId="4752" xr:uid="{00000000-0005-0000-0000-0000C3140000}"/>
    <cellStyle name="Normal 4 4 11 2" xfId="22518" xr:uid="{2D4FB84B-B828-4505-8C16-5DF121581F2B}"/>
    <cellStyle name="Normal 4 4 11 3" xfId="14078" xr:uid="{941386A5-84C8-4B90-80A2-94399494472B}"/>
    <cellStyle name="Normal 4 4 12" xfId="8749" xr:uid="{A91736B6-873D-4B1A-8B29-18DC69E5E65F}"/>
    <cellStyle name="Normal 4 4 12 2" xfId="18301" xr:uid="{AB5869EC-F84E-42B6-B5A7-BA90E2CB1460}"/>
    <cellStyle name="Normal 4 4 13" xfId="9861" xr:uid="{AC227C7A-261B-43FC-A94E-552DFEB60C6E}"/>
    <cellStyle name="Normal 4 4 2" xfId="379" xr:uid="{00000000-0005-0000-0000-0000C4140000}"/>
    <cellStyle name="Normal 4 4 2 10" xfId="4753" xr:uid="{00000000-0005-0000-0000-0000C5140000}"/>
    <cellStyle name="Normal 4 4 2 10 2" xfId="22519" xr:uid="{07794939-AC2D-4FB5-BAA6-39101EAF1F40}"/>
    <cellStyle name="Normal 4 4 2 10 3" xfId="14079" xr:uid="{87F32420-8A24-4979-B9D3-E2AE37CCD758}"/>
    <cellStyle name="Normal 4 4 2 11" xfId="8781" xr:uid="{12B8F0AD-1EB8-4D0A-9CAD-21DEEFEDAE41}"/>
    <cellStyle name="Normal 4 4 2 11 2" xfId="18302" xr:uid="{42B18804-C530-4CFE-9675-29209D897D7B}"/>
    <cellStyle name="Normal 4 4 2 12" xfId="9862" xr:uid="{F4C572A8-A5DD-4E97-96D2-5FE9471A158F}"/>
    <cellStyle name="Normal 4 4 2 2" xfId="380" xr:uid="{00000000-0005-0000-0000-0000C6140000}"/>
    <cellStyle name="Normal 4 4 2 2 10" xfId="8824" xr:uid="{FF218EA8-00A9-476B-AA88-FBBBBED2D06B}"/>
    <cellStyle name="Normal 4 4 2 2 10 2" xfId="18303" xr:uid="{9DAE49B5-3E46-4BA1-BD7B-D6898A969733}"/>
    <cellStyle name="Normal 4 4 2 2 11" xfId="9863" xr:uid="{C5644CBE-238D-422E-9C0A-58D5C4DAA9C3}"/>
    <cellStyle name="Normal 4 4 2 2 2" xfId="381" xr:uid="{00000000-0005-0000-0000-0000C7140000}"/>
    <cellStyle name="Normal 4 4 2 2 2 10" xfId="9864" xr:uid="{EABD13E5-DDD6-470F-8E1F-331007ACCFCA}"/>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25080" xr:uid="{E9FC3432-1F0D-466E-A189-82213470FA40}"/>
    <cellStyle name="Normal 4 4 2 2 2 2 2 2 2 3" xfId="16640" xr:uid="{8547677A-83AA-4040-9C2E-C82F8B7B2DBF}"/>
    <cellStyle name="Normal 4 4 2 2 2 2 2 2 3" xfId="20863" xr:uid="{A44B11AF-C2EE-4D1E-AC69-A0BF38654596}"/>
    <cellStyle name="Normal 4 4 2 2 2 2 2 2 4" xfId="12423" xr:uid="{05A474E8-1A7E-4DCD-AA43-CCD891FFDBE9}"/>
    <cellStyle name="Normal 4 4 2 2 2 2 2 3" xfId="5169" xr:uid="{00000000-0005-0000-0000-0000CC140000}"/>
    <cellStyle name="Normal 4 4 2 2 2 2 2 3 2" xfId="22935" xr:uid="{29B5934D-6CCD-450E-965A-484EA476D0E3}"/>
    <cellStyle name="Normal 4 4 2 2 2 2 2 3 3" xfId="14495" xr:uid="{A1F12BDD-A49C-4F33-8DF9-976F8AFD2026}"/>
    <cellStyle name="Normal 4 4 2 2 2 2 2 4" xfId="9559" xr:uid="{6E5E886C-D83F-47E6-AD2B-552CC2A98FD0}"/>
    <cellStyle name="Normal 4 4 2 2 2 2 2 4 2" xfId="18718" xr:uid="{BBFE41D0-D96D-4005-8888-D34172F2FA46}"/>
    <cellStyle name="Normal 4 4 2 2 2 2 2 5" xfId="10278" xr:uid="{611F2F2B-C2DA-467C-BC6E-4BD63B62DC43}"/>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25493" xr:uid="{EEDF37BF-E6C8-4A51-9D73-BEFFACDB4BAB}"/>
    <cellStyle name="Normal 4 4 2 2 2 2 3 2 2 3" xfId="17053" xr:uid="{708F1269-878D-4EF8-BB05-0D69CA7C1E2D}"/>
    <cellStyle name="Normal 4 4 2 2 2 2 3 2 3" xfId="21276" xr:uid="{C48188DE-8417-45EC-99E7-B4CCA3F49A6B}"/>
    <cellStyle name="Normal 4 4 2 2 2 2 3 2 4" xfId="12836" xr:uid="{48C3794E-2226-4DE5-84A9-B4267F537F87}"/>
    <cellStyle name="Normal 4 4 2 2 2 2 3 3" xfId="5582" xr:uid="{00000000-0005-0000-0000-0000D0140000}"/>
    <cellStyle name="Normal 4 4 2 2 2 2 3 3 2" xfId="23348" xr:uid="{2BDA2563-0E05-45A5-BAA8-4C4E3941CBBE}"/>
    <cellStyle name="Normal 4 4 2 2 2 2 3 3 3" xfId="14908" xr:uid="{A10EA1FF-5AD7-48CA-BFF6-64E32F32A97C}"/>
    <cellStyle name="Normal 4 4 2 2 2 2 3 4" xfId="19131" xr:uid="{4AFCCA89-E2E3-4C46-A0B7-3E3DD0EFA004}"/>
    <cellStyle name="Normal 4 4 2 2 2 2 3 5" xfId="10691" xr:uid="{153616EA-F0E3-4F80-B59C-42342B597314}"/>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25906" xr:uid="{CFC33245-6098-4D3D-9557-CC565D1D2482}"/>
    <cellStyle name="Normal 4 4 2 2 2 2 4 2 2 3" xfId="17466" xr:uid="{1E7F0558-B557-4F93-A88F-897E8435D215}"/>
    <cellStyle name="Normal 4 4 2 2 2 2 4 2 3" xfId="21689" xr:uid="{552AD4A3-BAE0-4C93-96A9-AEB0E55D3DB3}"/>
    <cellStyle name="Normal 4 4 2 2 2 2 4 2 4" xfId="13249" xr:uid="{178A97C6-7A6D-49D0-9D0F-362D1B64B74F}"/>
    <cellStyle name="Normal 4 4 2 2 2 2 4 3" xfId="5995" xr:uid="{00000000-0005-0000-0000-0000D4140000}"/>
    <cellStyle name="Normal 4 4 2 2 2 2 4 3 2" xfId="23761" xr:uid="{713D5309-90CD-4497-BCD3-A522276051A0}"/>
    <cellStyle name="Normal 4 4 2 2 2 2 4 3 3" xfId="15321" xr:uid="{243A5BB2-CBAF-4537-B7E6-99460F7C05A0}"/>
    <cellStyle name="Normal 4 4 2 2 2 2 4 4" xfId="19544" xr:uid="{5AB1A9AA-5ADB-4E1F-B65A-CEC4A28361B4}"/>
    <cellStyle name="Normal 4 4 2 2 2 2 4 5" xfId="11104" xr:uid="{A867585E-4136-4A17-BFE6-DF5D58730056}"/>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26319" xr:uid="{0B52EB32-8D29-49A0-A90E-2849A93E5787}"/>
    <cellStyle name="Normal 4 4 2 2 2 2 5 2 2 3" xfId="17879" xr:uid="{02AE193D-383B-4DE0-A143-B4C464BE6756}"/>
    <cellStyle name="Normal 4 4 2 2 2 2 5 2 3" xfId="22102" xr:uid="{7F945C8F-2ED9-4F71-BB2D-F73D3D5C9150}"/>
    <cellStyle name="Normal 4 4 2 2 2 2 5 2 4" xfId="13662" xr:uid="{E5713FEE-6D17-4A42-8523-8177E918D5D4}"/>
    <cellStyle name="Normal 4 4 2 2 2 2 5 3" xfId="6408" xr:uid="{00000000-0005-0000-0000-0000D8140000}"/>
    <cellStyle name="Normal 4 4 2 2 2 2 5 3 2" xfId="24174" xr:uid="{0AC97807-8B34-4C7E-96CA-314867ECA940}"/>
    <cellStyle name="Normal 4 4 2 2 2 2 5 3 3" xfId="15734" xr:uid="{DFF7A295-77BB-4676-AD4C-E712FDFEB62C}"/>
    <cellStyle name="Normal 4 4 2 2 2 2 5 4" xfId="19957" xr:uid="{FBC648F5-8903-474F-ADCA-2AA42E9FF92B}"/>
    <cellStyle name="Normal 4 4 2 2 2 2 5 5" xfId="11517" xr:uid="{366A79AD-B75C-4D12-9396-952BCCC68F35}"/>
    <cellStyle name="Normal 4 4 2 2 2 2 6" xfId="2538" xr:uid="{00000000-0005-0000-0000-0000D9140000}"/>
    <cellStyle name="Normal 4 4 2 2 2 2 6 2" xfId="6821" xr:uid="{00000000-0005-0000-0000-0000DA140000}"/>
    <cellStyle name="Normal 4 4 2 2 2 2 6 2 2" xfId="24587" xr:uid="{C90E4044-BB25-4F7B-A2A9-EB6DA7FE5428}"/>
    <cellStyle name="Normal 4 4 2 2 2 2 6 2 3" xfId="16147" xr:uid="{7C5852B2-63AE-4220-A7A1-7E90D09E216F}"/>
    <cellStyle name="Normal 4 4 2 2 2 2 6 3" xfId="20370" xr:uid="{DE7C9B99-5137-4224-BE1E-B04028098D34}"/>
    <cellStyle name="Normal 4 4 2 2 2 2 6 4" xfId="11930" xr:uid="{85287AB6-53FF-486F-B7AA-313829097652}"/>
    <cellStyle name="Normal 4 4 2 2 2 2 7" xfId="4756" xr:uid="{00000000-0005-0000-0000-0000DB140000}"/>
    <cellStyle name="Normal 4 4 2 2 2 2 7 2" xfId="22522" xr:uid="{523B6222-42FD-4AAC-ACA6-8BCCF7B6AFC1}"/>
    <cellStyle name="Normal 4 4 2 2 2 2 7 3" xfId="14082" xr:uid="{0CA69943-69FF-4480-8BEB-C7293CF31F9C}"/>
    <cellStyle name="Normal 4 4 2 2 2 2 8" xfId="9134" xr:uid="{B37D4C66-6754-4A5E-BFF7-77694E4355C2}"/>
    <cellStyle name="Normal 4 4 2 2 2 2 8 2" xfId="18305" xr:uid="{DBACEBF9-2D0B-49CF-A238-4E27D8AF6E28}"/>
    <cellStyle name="Normal 4 4 2 2 2 2 9" xfId="9865" xr:uid="{2E3AA094-B84B-4FC7-97EA-6E2859EDE43B}"/>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25079" xr:uid="{F077C3B9-4CFE-4B35-94DB-55E42BBF99FC}"/>
    <cellStyle name="Normal 4 4 2 2 2 3 2 2 3" xfId="16639" xr:uid="{B009D37B-B056-443C-B5A7-AD706F2E8A94}"/>
    <cellStyle name="Normal 4 4 2 2 2 3 2 3" xfId="20862" xr:uid="{54FE5AA0-A817-4B94-9950-69C600925D56}"/>
    <cellStyle name="Normal 4 4 2 2 2 3 2 4" xfId="12422" xr:uid="{2E0EAE5E-F599-426F-8A0D-949F1D72B570}"/>
    <cellStyle name="Normal 4 4 2 2 2 3 3" xfId="5168" xr:uid="{00000000-0005-0000-0000-0000DF140000}"/>
    <cellStyle name="Normal 4 4 2 2 2 3 3 2" xfId="22934" xr:uid="{D77375DA-F91A-4E8D-8B3E-B3A123541718}"/>
    <cellStyle name="Normal 4 4 2 2 2 3 3 3" xfId="14494" xr:uid="{D2C07C4E-FFCA-472F-B30F-C3B8E050E011}"/>
    <cellStyle name="Normal 4 4 2 2 2 3 4" xfId="9352" xr:uid="{76F31DA2-44D0-447F-BA9C-6271BA6AAE96}"/>
    <cellStyle name="Normal 4 4 2 2 2 3 4 2" xfId="18717" xr:uid="{150F1218-380A-4CC5-9853-CD483815C0BF}"/>
    <cellStyle name="Normal 4 4 2 2 2 3 5" xfId="10277" xr:uid="{00078804-C07A-4B62-89EC-4B7F58281BA1}"/>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25492" xr:uid="{89A38C66-6C97-402B-800B-2150E4672169}"/>
    <cellStyle name="Normal 4 4 2 2 2 4 2 2 3" xfId="17052" xr:uid="{90A71C6D-93C5-4C6E-903D-9FA06C17C754}"/>
    <cellStyle name="Normal 4 4 2 2 2 4 2 3" xfId="21275" xr:uid="{2EDCED4D-05E3-48CE-A38B-373FFCF9BA93}"/>
    <cellStyle name="Normal 4 4 2 2 2 4 2 4" xfId="12835" xr:uid="{032839B1-D862-4CCC-876D-49C384C291FF}"/>
    <cellStyle name="Normal 4 4 2 2 2 4 3" xfId="5581" xr:uid="{00000000-0005-0000-0000-0000E3140000}"/>
    <cellStyle name="Normal 4 4 2 2 2 4 3 2" xfId="23347" xr:uid="{4F543D8B-DDD1-4DF9-BF24-63B12BA4FC5A}"/>
    <cellStyle name="Normal 4 4 2 2 2 4 3 3" xfId="14907" xr:uid="{08F9EB23-A054-42BE-83F7-6218F7B1FD45}"/>
    <cellStyle name="Normal 4 4 2 2 2 4 4" xfId="19130" xr:uid="{94FFE1A8-2705-4F62-B124-E23168107EFD}"/>
    <cellStyle name="Normal 4 4 2 2 2 4 5" xfId="10690" xr:uid="{C740397D-1B56-4585-B5B0-2C79932FAB3C}"/>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25905" xr:uid="{5A1BB388-8F02-4D24-8613-E089B32C8829}"/>
    <cellStyle name="Normal 4 4 2 2 2 5 2 2 3" xfId="17465" xr:uid="{28DCCF5A-9833-4A77-A36D-55FF570B779D}"/>
    <cellStyle name="Normal 4 4 2 2 2 5 2 3" xfId="21688" xr:uid="{0F414224-4D28-443F-969E-F55821E16E3B}"/>
    <cellStyle name="Normal 4 4 2 2 2 5 2 4" xfId="13248" xr:uid="{CC98420F-5783-41BF-AE58-5C1CDC0B70D8}"/>
    <cellStyle name="Normal 4 4 2 2 2 5 3" xfId="5994" xr:uid="{00000000-0005-0000-0000-0000E7140000}"/>
    <cellStyle name="Normal 4 4 2 2 2 5 3 2" xfId="23760" xr:uid="{48F9A467-E176-4555-AC02-224DFCED39B2}"/>
    <cellStyle name="Normal 4 4 2 2 2 5 3 3" xfId="15320" xr:uid="{2C9841A2-BF24-4D07-886F-36C2A8D6F199}"/>
    <cellStyle name="Normal 4 4 2 2 2 5 4" xfId="19543" xr:uid="{6F6444B3-22FC-4420-BCC1-2F827C3EF5B6}"/>
    <cellStyle name="Normal 4 4 2 2 2 5 5" xfId="11103" xr:uid="{4E23BC2F-B723-40C9-89DF-07170C89B4EA}"/>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26318" xr:uid="{03314A3F-1EA1-4700-9CA5-8C89DE0D4BC6}"/>
    <cellStyle name="Normal 4 4 2 2 2 6 2 2 3" xfId="17878" xr:uid="{E08584C1-B32A-49E4-B8AD-096C1AE41A7D}"/>
    <cellStyle name="Normal 4 4 2 2 2 6 2 3" xfId="22101" xr:uid="{28A6D28F-0BBD-45FF-8C36-7F4FB06322B0}"/>
    <cellStyle name="Normal 4 4 2 2 2 6 2 4" xfId="13661" xr:uid="{0F2DE037-3A7F-444D-82BA-FE2A1DAD77BD}"/>
    <cellStyle name="Normal 4 4 2 2 2 6 3" xfId="6407" xr:uid="{00000000-0005-0000-0000-0000EB140000}"/>
    <cellStyle name="Normal 4 4 2 2 2 6 3 2" xfId="24173" xr:uid="{29B4A420-7948-44AB-924B-4C16EE79B9BC}"/>
    <cellStyle name="Normal 4 4 2 2 2 6 3 3" xfId="15733" xr:uid="{EDF60EB2-0B1E-4B0C-B0F2-E0D786D00F9D}"/>
    <cellStyle name="Normal 4 4 2 2 2 6 4" xfId="19956" xr:uid="{D4F158E8-6FFB-4B59-AC12-3118599961E0}"/>
    <cellStyle name="Normal 4 4 2 2 2 6 5" xfId="11516" xr:uid="{5561F737-A7A9-40D4-8B2A-3A9D71B0F55B}"/>
    <cellStyle name="Normal 4 4 2 2 2 7" xfId="2537" xr:uid="{00000000-0005-0000-0000-0000EC140000}"/>
    <cellStyle name="Normal 4 4 2 2 2 7 2" xfId="6820" xr:uid="{00000000-0005-0000-0000-0000ED140000}"/>
    <cellStyle name="Normal 4 4 2 2 2 7 2 2" xfId="24586" xr:uid="{9A34A9D0-F78B-4F87-A1FD-6BC2BD4E9A2A}"/>
    <cellStyle name="Normal 4 4 2 2 2 7 2 3" xfId="16146" xr:uid="{C3EFB44C-FE55-4351-8C05-007BA1296297}"/>
    <cellStyle name="Normal 4 4 2 2 2 7 3" xfId="20369" xr:uid="{D05EB8CB-996A-4A1E-A3BD-3ACA7A0DD990}"/>
    <cellStyle name="Normal 4 4 2 2 2 7 4" xfId="11929" xr:uid="{932DA295-FBD0-4146-B540-CD2F6574C0AD}"/>
    <cellStyle name="Normal 4 4 2 2 2 8" xfId="4755" xr:uid="{00000000-0005-0000-0000-0000EE140000}"/>
    <cellStyle name="Normal 4 4 2 2 2 8 2" xfId="22521" xr:uid="{093ED3BD-88DE-4AC5-88B8-4EFEFCB3AE71}"/>
    <cellStyle name="Normal 4 4 2 2 2 8 3" xfId="14081" xr:uid="{E27E59E0-65E4-4A74-BF5F-6A6D47D7AD45}"/>
    <cellStyle name="Normal 4 4 2 2 2 9" xfId="8927" xr:uid="{195B9197-F273-4D3B-B7A6-9CBAA360D528}"/>
    <cellStyle name="Normal 4 4 2 2 2 9 2" xfId="18304" xr:uid="{C377A4C0-DBBF-4190-88CB-5A33BF9F1B21}"/>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25081" xr:uid="{0203DE8B-3929-4037-A4BA-AF99ED68DE3C}"/>
    <cellStyle name="Normal 4 4 2 2 3 2 2 2 3" xfId="16641" xr:uid="{198E3C61-2574-47F8-B525-05D131000776}"/>
    <cellStyle name="Normal 4 4 2 2 3 2 2 3" xfId="20864" xr:uid="{4AC85F91-88FA-4AAE-B67F-3A318CBC8753}"/>
    <cellStyle name="Normal 4 4 2 2 3 2 2 4" xfId="12424" xr:uid="{B7DE5CDB-5AE6-4747-BBE6-7999DEE371E2}"/>
    <cellStyle name="Normal 4 4 2 2 3 2 3" xfId="5170" xr:uid="{00000000-0005-0000-0000-0000F3140000}"/>
    <cellStyle name="Normal 4 4 2 2 3 2 3 2" xfId="22936" xr:uid="{223D379F-262A-4933-BE2B-3832297C51D3}"/>
    <cellStyle name="Normal 4 4 2 2 3 2 3 3" xfId="14496" xr:uid="{59BF5835-845F-485F-AC38-C52269E6ED6F}"/>
    <cellStyle name="Normal 4 4 2 2 3 2 4" xfId="9456" xr:uid="{7CB0B972-68D8-4A2C-A3A7-1D2BD109E44A}"/>
    <cellStyle name="Normal 4 4 2 2 3 2 4 2" xfId="18719" xr:uid="{CEB37F6E-4031-487E-858C-06DCA22C4FDE}"/>
    <cellStyle name="Normal 4 4 2 2 3 2 5" xfId="10279" xr:uid="{F0DB48BE-B04E-451A-8BE1-546E334E7B08}"/>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25494" xr:uid="{3B298194-AE1F-4F00-843D-6041E760159E}"/>
    <cellStyle name="Normal 4 4 2 2 3 3 2 2 3" xfId="17054" xr:uid="{4261CFAA-31C4-4308-8F8B-6BBA6A51E32B}"/>
    <cellStyle name="Normal 4 4 2 2 3 3 2 3" xfId="21277" xr:uid="{4D8087A3-9F35-4AD6-9C0F-6CA9B4EB90C7}"/>
    <cellStyle name="Normal 4 4 2 2 3 3 2 4" xfId="12837" xr:uid="{5CF737C3-9C20-414B-BADF-2759E16312E4}"/>
    <cellStyle name="Normal 4 4 2 2 3 3 3" xfId="5583" xr:uid="{00000000-0005-0000-0000-0000F7140000}"/>
    <cellStyle name="Normal 4 4 2 2 3 3 3 2" xfId="23349" xr:uid="{4B1FB8C5-5EC1-4710-B691-0BE0FA975E0D}"/>
    <cellStyle name="Normal 4 4 2 2 3 3 3 3" xfId="14909" xr:uid="{229B4BF4-6EF9-428D-8F8A-5531CD7282D8}"/>
    <cellStyle name="Normal 4 4 2 2 3 3 4" xfId="19132" xr:uid="{8F237603-5A9B-4901-ADF8-5D4B559B7EEE}"/>
    <cellStyle name="Normal 4 4 2 2 3 3 5" xfId="10692" xr:uid="{CB6FAC9C-7645-46C5-B39B-965D09D984DE}"/>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25907" xr:uid="{D09194CE-D25D-485E-AE13-A5651F0B9615}"/>
    <cellStyle name="Normal 4 4 2 2 3 4 2 2 3" xfId="17467" xr:uid="{F4577C58-3471-448E-A1AD-DB1723D6DDCE}"/>
    <cellStyle name="Normal 4 4 2 2 3 4 2 3" xfId="21690" xr:uid="{2CBAFF9B-CFE6-4A58-B88C-3EB4E2053E7A}"/>
    <cellStyle name="Normal 4 4 2 2 3 4 2 4" xfId="13250" xr:uid="{08CAF1C4-F58F-4B64-B1AD-600ACA1B5532}"/>
    <cellStyle name="Normal 4 4 2 2 3 4 3" xfId="5996" xr:uid="{00000000-0005-0000-0000-0000FB140000}"/>
    <cellStyle name="Normal 4 4 2 2 3 4 3 2" xfId="23762" xr:uid="{9CB48738-97E4-45B3-AE5D-B86EA269682D}"/>
    <cellStyle name="Normal 4 4 2 2 3 4 3 3" xfId="15322" xr:uid="{F8959DB0-9680-4056-BF70-597CABE6DC58}"/>
    <cellStyle name="Normal 4 4 2 2 3 4 4" xfId="19545" xr:uid="{08671FF1-CF36-4139-9455-91F035479EC7}"/>
    <cellStyle name="Normal 4 4 2 2 3 4 5" xfId="11105" xr:uid="{96264D34-2DA0-481B-8D2F-20705E6A6484}"/>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26320" xr:uid="{C0D82247-A770-422C-9015-E1FDEE77F01A}"/>
    <cellStyle name="Normal 4 4 2 2 3 5 2 2 3" xfId="17880" xr:uid="{5D219717-D672-422D-8C16-A9B11982A88E}"/>
    <cellStyle name="Normal 4 4 2 2 3 5 2 3" xfId="22103" xr:uid="{CEEB8C26-8C86-4691-B21C-6E2E1F583B94}"/>
    <cellStyle name="Normal 4 4 2 2 3 5 2 4" xfId="13663" xr:uid="{8F82951A-152B-4FBE-AB30-74B6A8A566A5}"/>
    <cellStyle name="Normal 4 4 2 2 3 5 3" xfId="6409" xr:uid="{00000000-0005-0000-0000-0000FF140000}"/>
    <cellStyle name="Normal 4 4 2 2 3 5 3 2" xfId="24175" xr:uid="{B286856F-BEEC-417D-975B-FE119C676746}"/>
    <cellStyle name="Normal 4 4 2 2 3 5 3 3" xfId="15735" xr:uid="{B0A4D7DB-DADB-4952-82B6-2E6FD5398B28}"/>
    <cellStyle name="Normal 4 4 2 2 3 5 4" xfId="19958" xr:uid="{82D1F7E6-C2AB-4B2D-A9E3-4F3D118E459A}"/>
    <cellStyle name="Normal 4 4 2 2 3 5 5" xfId="11518" xr:uid="{ECCFD91F-6366-4302-BA13-C696E7012EE2}"/>
    <cellStyle name="Normal 4 4 2 2 3 6" xfId="2539" xr:uid="{00000000-0005-0000-0000-000000150000}"/>
    <cellStyle name="Normal 4 4 2 2 3 6 2" xfId="6822" xr:uid="{00000000-0005-0000-0000-000001150000}"/>
    <cellStyle name="Normal 4 4 2 2 3 6 2 2" xfId="24588" xr:uid="{E07B5000-1EEF-4778-AD9A-A58A32CD4F25}"/>
    <cellStyle name="Normal 4 4 2 2 3 6 2 3" xfId="16148" xr:uid="{FABCBB2B-6BCA-4A67-80A8-13299EC57734}"/>
    <cellStyle name="Normal 4 4 2 2 3 6 3" xfId="20371" xr:uid="{77D64E59-47AB-404B-BCDC-CB7A8E1DD95B}"/>
    <cellStyle name="Normal 4 4 2 2 3 6 4" xfId="11931" xr:uid="{D07C4861-A920-41CD-BD9D-0D261780CC21}"/>
    <cellStyle name="Normal 4 4 2 2 3 7" xfId="4757" xr:uid="{00000000-0005-0000-0000-000002150000}"/>
    <cellStyle name="Normal 4 4 2 2 3 7 2" xfId="22523" xr:uid="{54C30426-E67E-4229-88BD-CA2DFDE3F225}"/>
    <cellStyle name="Normal 4 4 2 2 3 7 3" xfId="14083" xr:uid="{6708539D-C986-4AF9-8277-A3625006640C}"/>
    <cellStyle name="Normal 4 4 2 2 3 8" xfId="9031" xr:uid="{F1B59444-328A-4279-8A0A-A9F7E26061D5}"/>
    <cellStyle name="Normal 4 4 2 2 3 8 2" xfId="18306" xr:uid="{C7260C96-3F99-4C44-A19E-C28819009FEB}"/>
    <cellStyle name="Normal 4 4 2 2 3 9" xfId="9866" xr:uid="{AFB65956-4EAF-4DCA-9D22-1D0B5F421303}"/>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25078" xr:uid="{8DAE04D9-275A-4E6E-AE29-5EE56949E199}"/>
    <cellStyle name="Normal 4 4 2 2 4 2 2 3" xfId="16638" xr:uid="{293AA1CA-91F8-4A86-A109-48B526CAF6C4}"/>
    <cellStyle name="Normal 4 4 2 2 4 2 3" xfId="20861" xr:uid="{639BFFB6-1BAB-4FEA-95EC-E8E6D5A84D87}"/>
    <cellStyle name="Normal 4 4 2 2 4 2 4" xfId="12421" xr:uid="{4ADF1ACE-912A-45B4-8E58-BB20FE317FB6}"/>
    <cellStyle name="Normal 4 4 2 2 4 3" xfId="5167" xr:uid="{00000000-0005-0000-0000-000006150000}"/>
    <cellStyle name="Normal 4 4 2 2 4 3 2" xfId="22933" xr:uid="{B474C470-A3EE-4C62-929F-C4414D179794}"/>
    <cellStyle name="Normal 4 4 2 2 4 3 3" xfId="14493" xr:uid="{F8D4DD64-3AAA-46B7-872A-7C79E4785F1C}"/>
    <cellStyle name="Normal 4 4 2 2 4 4" xfId="9249" xr:uid="{7E4CA7C7-738D-4CFA-907A-40590344548A}"/>
    <cellStyle name="Normal 4 4 2 2 4 4 2" xfId="18716" xr:uid="{74A8B1C5-FB96-4010-B5CA-6861ED99ED3B}"/>
    <cellStyle name="Normal 4 4 2 2 4 5" xfId="10276" xr:uid="{A95011D2-24F9-43BF-AFCA-748F9333A732}"/>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25491" xr:uid="{6B53D8DA-007A-4E9B-85BA-C48BFA10D804}"/>
    <cellStyle name="Normal 4 4 2 2 5 2 2 3" xfId="17051" xr:uid="{F072017E-6EDA-4BCE-A54C-4536126A96DD}"/>
    <cellStyle name="Normal 4 4 2 2 5 2 3" xfId="21274" xr:uid="{F08BD330-BAEB-49CE-B2B8-6EFA8C3FE2D9}"/>
    <cellStyle name="Normal 4 4 2 2 5 2 4" xfId="12834" xr:uid="{83440A18-0748-4856-A579-46128840E6D8}"/>
    <cellStyle name="Normal 4 4 2 2 5 3" xfId="5580" xr:uid="{00000000-0005-0000-0000-00000A150000}"/>
    <cellStyle name="Normal 4 4 2 2 5 3 2" xfId="23346" xr:uid="{E9EA833E-5BC3-4F66-B470-008EE0A46428}"/>
    <cellStyle name="Normal 4 4 2 2 5 3 3" xfId="14906" xr:uid="{3403383A-B12D-4F18-890A-C0C2A78E96BA}"/>
    <cellStyle name="Normal 4 4 2 2 5 4" xfId="19129" xr:uid="{51BFE6FD-4DFE-4E33-9124-E33B0629B464}"/>
    <cellStyle name="Normal 4 4 2 2 5 5" xfId="10689" xr:uid="{84B27B44-0CED-4807-9386-1F7A57231107}"/>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25904" xr:uid="{27E07379-C380-4CBF-8332-8624FC172149}"/>
    <cellStyle name="Normal 4 4 2 2 6 2 2 3" xfId="17464" xr:uid="{E1F59981-8392-4AAF-AE20-03EA54330CBF}"/>
    <cellStyle name="Normal 4 4 2 2 6 2 3" xfId="21687" xr:uid="{BB32F318-CAE2-440B-8E01-DDBCB984FD20}"/>
    <cellStyle name="Normal 4 4 2 2 6 2 4" xfId="13247" xr:uid="{A95F395C-2881-4653-BBFE-682D19371BB3}"/>
    <cellStyle name="Normal 4 4 2 2 6 3" xfId="5993" xr:uid="{00000000-0005-0000-0000-00000E150000}"/>
    <cellStyle name="Normal 4 4 2 2 6 3 2" xfId="23759" xr:uid="{76BEFD74-D029-4C00-AC4D-A05EE8544801}"/>
    <cellStyle name="Normal 4 4 2 2 6 3 3" xfId="15319" xr:uid="{CBE6D602-4256-4270-849C-7B267697EA41}"/>
    <cellStyle name="Normal 4 4 2 2 6 4" xfId="19542" xr:uid="{588B9169-297B-4E51-A613-5582E321505E}"/>
    <cellStyle name="Normal 4 4 2 2 6 5" xfId="11102" xr:uid="{BB8FEF10-AB67-4B4B-96D7-D4352C7887D7}"/>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26317" xr:uid="{AD5F8956-5BCD-402D-ACFB-159CD4A529FE}"/>
    <cellStyle name="Normal 4 4 2 2 7 2 2 3" xfId="17877" xr:uid="{7EE9E767-B1D2-43B0-9B81-433AF5BB300D}"/>
    <cellStyle name="Normal 4 4 2 2 7 2 3" xfId="22100" xr:uid="{07CB0845-8594-412C-AB24-D2C713B92691}"/>
    <cellStyle name="Normal 4 4 2 2 7 2 4" xfId="13660" xr:uid="{E2F368FB-F216-4FD7-AB0D-53F7F27CD723}"/>
    <cellStyle name="Normal 4 4 2 2 7 3" xfId="6406" xr:uid="{00000000-0005-0000-0000-000012150000}"/>
    <cellStyle name="Normal 4 4 2 2 7 3 2" xfId="24172" xr:uid="{F4B2F741-D202-4CE8-9FBE-169F12813879}"/>
    <cellStyle name="Normal 4 4 2 2 7 3 3" xfId="15732" xr:uid="{8FB448AC-C6A3-4EDD-8B7E-DB8C0A663AFF}"/>
    <cellStyle name="Normal 4 4 2 2 7 4" xfId="19955" xr:uid="{584D3510-B623-4C04-9C48-CFB53F5495DD}"/>
    <cellStyle name="Normal 4 4 2 2 7 5" xfId="11515" xr:uid="{46F5AD40-0EC6-48D2-8B76-94555D612CC4}"/>
    <cellStyle name="Normal 4 4 2 2 8" xfId="2536" xr:uid="{00000000-0005-0000-0000-000013150000}"/>
    <cellStyle name="Normal 4 4 2 2 8 2" xfId="6819" xr:uid="{00000000-0005-0000-0000-000014150000}"/>
    <cellStyle name="Normal 4 4 2 2 8 2 2" xfId="24585" xr:uid="{42F93634-8C76-45DD-8D2F-32617EE193C1}"/>
    <cellStyle name="Normal 4 4 2 2 8 2 3" xfId="16145" xr:uid="{722F89C4-BA99-4E97-A3CE-22456086D7C1}"/>
    <cellStyle name="Normal 4 4 2 2 8 3" xfId="20368" xr:uid="{3E7356FF-646E-46DF-8488-81E860467A4E}"/>
    <cellStyle name="Normal 4 4 2 2 8 4" xfId="11928" xr:uid="{31BB9045-A063-4912-AB0C-A8FD5A16F2EA}"/>
    <cellStyle name="Normal 4 4 2 2 9" xfId="4754" xr:uid="{00000000-0005-0000-0000-000015150000}"/>
    <cellStyle name="Normal 4 4 2 2 9 2" xfId="22520" xr:uid="{36306610-DB30-4854-A532-B254795FEBA3}"/>
    <cellStyle name="Normal 4 4 2 2 9 3" xfId="14080" xr:uid="{6F720674-A515-468F-BFFE-56F310A0683D}"/>
    <cellStyle name="Normal 4 4 2 3" xfId="384" xr:uid="{00000000-0005-0000-0000-000016150000}"/>
    <cellStyle name="Normal 4 4 2 3 10" xfId="9867" xr:uid="{30D82131-E5A6-4F78-A18A-A7BD95B8DFBC}"/>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25083" xr:uid="{7EB74870-BD46-435F-B484-FAB7BEEE7D6F}"/>
    <cellStyle name="Normal 4 4 2 3 2 2 2 2 3" xfId="16643" xr:uid="{B4973C11-CD76-453C-BF91-8B8409EC60E7}"/>
    <cellStyle name="Normal 4 4 2 3 2 2 2 3" xfId="20866" xr:uid="{F9E21141-0305-4218-9040-534C50EB050A}"/>
    <cellStyle name="Normal 4 4 2 3 2 2 2 4" xfId="12426" xr:uid="{E7C0CFED-A41A-4E1B-941A-B2A710DC73F3}"/>
    <cellStyle name="Normal 4 4 2 3 2 2 3" xfId="5172" xr:uid="{00000000-0005-0000-0000-00001B150000}"/>
    <cellStyle name="Normal 4 4 2 3 2 2 3 2" xfId="22938" xr:uid="{95224925-372C-4FDD-9C4A-B04BBD30BA05}"/>
    <cellStyle name="Normal 4 4 2 3 2 2 3 3" xfId="14498" xr:uid="{59569178-7A79-4989-82E7-744C9FE577F1}"/>
    <cellStyle name="Normal 4 4 2 3 2 2 4" xfId="9516" xr:uid="{93008D3B-5827-4778-B167-5B518B5BF56F}"/>
    <cellStyle name="Normal 4 4 2 3 2 2 4 2" xfId="18721" xr:uid="{FD29B37A-D4AA-446A-BDB9-E14167E1F8AB}"/>
    <cellStyle name="Normal 4 4 2 3 2 2 5" xfId="10281" xr:uid="{F3824768-D5E8-4588-A677-3A945CBA7295}"/>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25496" xr:uid="{EE5C3122-E1D6-40D5-B0D1-3AC94A69D3FC}"/>
    <cellStyle name="Normal 4 4 2 3 2 3 2 2 3" xfId="17056" xr:uid="{E6299CE2-9E5F-4172-9C76-799BD1441000}"/>
    <cellStyle name="Normal 4 4 2 3 2 3 2 3" xfId="21279" xr:uid="{7AC52E8D-3EB3-40A6-AB67-AF8B8C402EE7}"/>
    <cellStyle name="Normal 4 4 2 3 2 3 2 4" xfId="12839" xr:uid="{0BE2C33A-CE17-4CE1-BDBF-D73983FC5008}"/>
    <cellStyle name="Normal 4 4 2 3 2 3 3" xfId="5585" xr:uid="{00000000-0005-0000-0000-00001F150000}"/>
    <cellStyle name="Normal 4 4 2 3 2 3 3 2" xfId="23351" xr:uid="{FAB2A0B5-D606-411A-BE9B-0DB1541C8E42}"/>
    <cellStyle name="Normal 4 4 2 3 2 3 3 3" xfId="14911" xr:uid="{2306DA5F-337A-46A4-90A2-29A70CE2460C}"/>
    <cellStyle name="Normal 4 4 2 3 2 3 4" xfId="19134" xr:uid="{2E7B6053-46CA-4FD3-A08E-99CF1B199FBA}"/>
    <cellStyle name="Normal 4 4 2 3 2 3 5" xfId="10694" xr:uid="{0CFFF42F-3270-4B65-BFC6-54308B1B9BB2}"/>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25909" xr:uid="{5F77A18B-227E-4BAA-8E91-2C9581838D38}"/>
    <cellStyle name="Normal 4 4 2 3 2 4 2 2 3" xfId="17469" xr:uid="{8B1FF547-9570-427E-B64A-04722B45F947}"/>
    <cellStyle name="Normal 4 4 2 3 2 4 2 3" xfId="21692" xr:uid="{8D3D7688-0572-45F7-B6A9-A3F0E0741E27}"/>
    <cellStyle name="Normal 4 4 2 3 2 4 2 4" xfId="13252" xr:uid="{7416C89D-A805-46D1-91C7-4F808D2B2CB8}"/>
    <cellStyle name="Normal 4 4 2 3 2 4 3" xfId="5998" xr:uid="{00000000-0005-0000-0000-000023150000}"/>
    <cellStyle name="Normal 4 4 2 3 2 4 3 2" xfId="23764" xr:uid="{415AB4A2-90BA-4984-B2F8-D4887AC906C1}"/>
    <cellStyle name="Normal 4 4 2 3 2 4 3 3" xfId="15324" xr:uid="{BF7F057E-ABFF-4B92-9F41-F74933F8F784}"/>
    <cellStyle name="Normal 4 4 2 3 2 4 4" xfId="19547" xr:uid="{186DA580-48C8-494B-8832-E2CAEE3BD9F2}"/>
    <cellStyle name="Normal 4 4 2 3 2 4 5" xfId="11107" xr:uid="{C9918704-DDA4-49B2-B069-CA498CD0873D}"/>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26322" xr:uid="{30B09D61-2010-4603-961F-EB46AE47FE76}"/>
    <cellStyle name="Normal 4 4 2 3 2 5 2 2 3" xfId="17882" xr:uid="{E3F6E22A-25E3-48C5-BDD1-41D4CA5CCD28}"/>
    <cellStyle name="Normal 4 4 2 3 2 5 2 3" xfId="22105" xr:uid="{C2F509CA-0662-419A-82A0-08C55894459C}"/>
    <cellStyle name="Normal 4 4 2 3 2 5 2 4" xfId="13665" xr:uid="{E8E9DCAB-EE81-4C50-94B2-1230160846AC}"/>
    <cellStyle name="Normal 4 4 2 3 2 5 3" xfId="6411" xr:uid="{00000000-0005-0000-0000-000027150000}"/>
    <cellStyle name="Normal 4 4 2 3 2 5 3 2" xfId="24177" xr:uid="{4F4C9648-9361-4850-A72A-77A94F2E2837}"/>
    <cellStyle name="Normal 4 4 2 3 2 5 3 3" xfId="15737" xr:uid="{51374520-10AD-4ABB-8F09-1238E33597D9}"/>
    <cellStyle name="Normal 4 4 2 3 2 5 4" xfId="19960" xr:uid="{41030820-2610-4DA8-A0E7-D48169467E72}"/>
    <cellStyle name="Normal 4 4 2 3 2 5 5" xfId="11520" xr:uid="{9AC0DE49-74FF-41BD-B2AD-09B3BEBCFC7E}"/>
    <cellStyle name="Normal 4 4 2 3 2 6" xfId="2541" xr:uid="{00000000-0005-0000-0000-000028150000}"/>
    <cellStyle name="Normal 4 4 2 3 2 6 2" xfId="6824" xr:uid="{00000000-0005-0000-0000-000029150000}"/>
    <cellStyle name="Normal 4 4 2 3 2 6 2 2" xfId="24590" xr:uid="{CB71DC78-2126-4695-B995-8CA93D543B23}"/>
    <cellStyle name="Normal 4 4 2 3 2 6 2 3" xfId="16150" xr:uid="{CCE56896-7593-43DB-A829-E4E3D876BCE5}"/>
    <cellStyle name="Normal 4 4 2 3 2 6 3" xfId="20373" xr:uid="{C06D6639-5542-43E6-8CE6-24E0E48EAD09}"/>
    <cellStyle name="Normal 4 4 2 3 2 6 4" xfId="11933" xr:uid="{474D6847-280D-4F71-9DEE-1980B17687EC}"/>
    <cellStyle name="Normal 4 4 2 3 2 7" xfId="4759" xr:uid="{00000000-0005-0000-0000-00002A150000}"/>
    <cellStyle name="Normal 4 4 2 3 2 7 2" xfId="22525" xr:uid="{EBDDB1C2-8261-47E2-AFA7-30E793311955}"/>
    <cellStyle name="Normal 4 4 2 3 2 7 3" xfId="14085" xr:uid="{292BD4EC-4F8A-4EDD-A5BA-75728D83EE9B}"/>
    <cellStyle name="Normal 4 4 2 3 2 8" xfId="9091" xr:uid="{9DBAED0A-05EE-4674-B1B7-8D03DBB53301}"/>
    <cellStyle name="Normal 4 4 2 3 2 8 2" xfId="18308" xr:uid="{D39411E6-B671-4131-B010-1BD61C83FAD9}"/>
    <cellStyle name="Normal 4 4 2 3 2 9" xfId="9868" xr:uid="{07CBB979-6846-4B42-8443-E650F2B364D9}"/>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25082" xr:uid="{916EF65F-D563-47F6-87C8-4DD1DC21E1B8}"/>
    <cellStyle name="Normal 4 4 2 3 3 2 2 3" xfId="16642" xr:uid="{983E9A84-6E3A-4BC4-B553-C6CA87987AF4}"/>
    <cellStyle name="Normal 4 4 2 3 3 2 3" xfId="20865" xr:uid="{F8C6BD58-62C3-41D1-A558-9BBE2DDA6993}"/>
    <cellStyle name="Normal 4 4 2 3 3 2 4" xfId="12425" xr:uid="{1D5A1917-5D77-4A61-8952-445DA740E03C}"/>
    <cellStyle name="Normal 4 4 2 3 3 3" xfId="5171" xr:uid="{00000000-0005-0000-0000-00002E150000}"/>
    <cellStyle name="Normal 4 4 2 3 3 3 2" xfId="22937" xr:uid="{B1861F69-4295-4F73-81EB-19F15F7198AA}"/>
    <cellStyle name="Normal 4 4 2 3 3 3 3" xfId="14497" xr:uid="{E936E4EC-DF6D-460B-B332-C992AB46E6FE}"/>
    <cellStyle name="Normal 4 4 2 3 3 4" xfId="9309" xr:uid="{73E912F6-92AF-449E-AE53-1DEDEF686C0F}"/>
    <cellStyle name="Normal 4 4 2 3 3 4 2" xfId="18720" xr:uid="{9E5D7639-2E6D-4233-BB3D-190BFE88E82A}"/>
    <cellStyle name="Normal 4 4 2 3 3 5" xfId="10280" xr:uid="{9D155C02-35A9-451D-AC68-6546B3252CC6}"/>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25495" xr:uid="{D32D48E9-3C2E-4618-B048-3BE024A0EFFD}"/>
    <cellStyle name="Normal 4 4 2 3 4 2 2 3" xfId="17055" xr:uid="{C4B08616-9C58-4672-AC7F-774A31C9B76D}"/>
    <cellStyle name="Normal 4 4 2 3 4 2 3" xfId="21278" xr:uid="{495C869C-D9DA-4B19-B57C-F78280632367}"/>
    <cellStyle name="Normal 4 4 2 3 4 2 4" xfId="12838" xr:uid="{C9EB6C87-EB36-4FDE-A80F-6162E66C9248}"/>
    <cellStyle name="Normal 4 4 2 3 4 3" xfId="5584" xr:uid="{00000000-0005-0000-0000-000032150000}"/>
    <cellStyle name="Normal 4 4 2 3 4 3 2" xfId="23350" xr:uid="{29C33D05-935A-4EF2-B0C8-10E93780E598}"/>
    <cellStyle name="Normal 4 4 2 3 4 3 3" xfId="14910" xr:uid="{E4C9C608-E954-4752-B1F5-5B7138AC5646}"/>
    <cellStyle name="Normal 4 4 2 3 4 4" xfId="19133" xr:uid="{E2FDDC3E-67BF-47DF-BAD9-C3D4F56C9ABA}"/>
    <cellStyle name="Normal 4 4 2 3 4 5" xfId="10693" xr:uid="{3087DB87-79B1-489A-B85E-5BDD4F6C30E9}"/>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25908" xr:uid="{542E46BD-318F-4FFE-966C-0D385B02CD92}"/>
    <cellStyle name="Normal 4 4 2 3 5 2 2 3" xfId="17468" xr:uid="{A4A43D38-9C1D-45EA-BB06-9A02E507DCCD}"/>
    <cellStyle name="Normal 4 4 2 3 5 2 3" xfId="21691" xr:uid="{FBBB134F-E4B3-449D-8739-D1F1B59D60DB}"/>
    <cellStyle name="Normal 4 4 2 3 5 2 4" xfId="13251" xr:uid="{D6164D51-0F6D-4D0A-8AE8-0A4E8CE4E156}"/>
    <cellStyle name="Normal 4 4 2 3 5 3" xfId="5997" xr:uid="{00000000-0005-0000-0000-000036150000}"/>
    <cellStyle name="Normal 4 4 2 3 5 3 2" xfId="23763" xr:uid="{CD1C1496-AAF7-4DAF-A087-7A33C6BF369D}"/>
    <cellStyle name="Normal 4 4 2 3 5 3 3" xfId="15323" xr:uid="{0F1536BE-64E7-42F1-853A-6A2841D4FB94}"/>
    <cellStyle name="Normal 4 4 2 3 5 4" xfId="19546" xr:uid="{6BA78471-2D0E-4F6B-B49B-ED04E2A512E0}"/>
    <cellStyle name="Normal 4 4 2 3 5 5" xfId="11106" xr:uid="{2F156BF0-0BE0-4C64-9FE4-AC2B6057C60C}"/>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26321" xr:uid="{588882B2-4B90-4F75-97F9-5CA8D1DCE386}"/>
    <cellStyle name="Normal 4 4 2 3 6 2 2 3" xfId="17881" xr:uid="{E422E980-95DA-469A-8941-8B9CD6FBEF79}"/>
    <cellStyle name="Normal 4 4 2 3 6 2 3" xfId="22104" xr:uid="{E11CA290-1751-4753-9211-E7DF4221E99A}"/>
    <cellStyle name="Normal 4 4 2 3 6 2 4" xfId="13664" xr:uid="{B069630F-515A-4E79-893D-C80F69B0A696}"/>
    <cellStyle name="Normal 4 4 2 3 6 3" xfId="6410" xr:uid="{00000000-0005-0000-0000-00003A150000}"/>
    <cellStyle name="Normal 4 4 2 3 6 3 2" xfId="24176" xr:uid="{28991E58-65C1-40C9-9E82-F59ECD8B5D80}"/>
    <cellStyle name="Normal 4 4 2 3 6 3 3" xfId="15736" xr:uid="{53D3DD82-4117-4023-AD43-FA204810D67B}"/>
    <cellStyle name="Normal 4 4 2 3 6 4" xfId="19959" xr:uid="{3960C906-87E6-4401-A80A-15804D27478C}"/>
    <cellStyle name="Normal 4 4 2 3 6 5" xfId="11519" xr:uid="{C4763656-A2D9-4C4A-967D-D8DD44CC5BD7}"/>
    <cellStyle name="Normal 4 4 2 3 7" xfId="2540" xr:uid="{00000000-0005-0000-0000-00003B150000}"/>
    <cellStyle name="Normal 4 4 2 3 7 2" xfId="6823" xr:uid="{00000000-0005-0000-0000-00003C150000}"/>
    <cellStyle name="Normal 4 4 2 3 7 2 2" xfId="24589" xr:uid="{B4015A88-791C-405B-95D2-A3E4B4F90639}"/>
    <cellStyle name="Normal 4 4 2 3 7 2 3" xfId="16149" xr:uid="{03B1A781-9167-4876-AB7F-D429A33BB4F7}"/>
    <cellStyle name="Normal 4 4 2 3 7 3" xfId="20372" xr:uid="{3D9060BD-1E99-49DB-84F9-CF73B4D7EEAF}"/>
    <cellStyle name="Normal 4 4 2 3 7 4" xfId="11932" xr:uid="{F19E38C9-C503-4264-99C7-30B1D252BA1E}"/>
    <cellStyle name="Normal 4 4 2 3 8" xfId="4758" xr:uid="{00000000-0005-0000-0000-00003D150000}"/>
    <cellStyle name="Normal 4 4 2 3 8 2" xfId="22524" xr:uid="{A4526799-5C70-41C0-896E-CB11AA1FB936}"/>
    <cellStyle name="Normal 4 4 2 3 8 3" xfId="14084" xr:uid="{022C50E3-CF20-4AE3-95C7-8D816B907032}"/>
    <cellStyle name="Normal 4 4 2 3 9" xfId="8884" xr:uid="{CBA8CCC0-D2E2-46C8-AC83-39734599F615}"/>
    <cellStyle name="Normal 4 4 2 3 9 2" xfId="18307" xr:uid="{E2561523-ED8C-4AFA-A328-072BDC0B50E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25084" xr:uid="{2A8E7DD6-C05C-4893-A7BF-66434D2A0F18}"/>
    <cellStyle name="Normal 4 4 2 4 2 2 2 3" xfId="16644" xr:uid="{2BAA74A0-C45D-4EB8-8819-CA8037EBAB89}"/>
    <cellStyle name="Normal 4 4 2 4 2 2 3" xfId="20867" xr:uid="{7BC8F661-A655-43F6-AFA7-614D65E5FD3E}"/>
    <cellStyle name="Normal 4 4 2 4 2 2 4" xfId="12427" xr:uid="{B5CD4775-0896-4641-A19D-B155E891B06B}"/>
    <cellStyle name="Normal 4 4 2 4 2 3" xfId="5173" xr:uid="{00000000-0005-0000-0000-000042150000}"/>
    <cellStyle name="Normal 4 4 2 4 2 3 2" xfId="22939" xr:uid="{6065ACD4-1EC1-4A7F-A711-935CA1DCE17B}"/>
    <cellStyle name="Normal 4 4 2 4 2 3 3" xfId="14499" xr:uid="{A6374E1C-E594-41DD-B016-3318CB2586A1}"/>
    <cellStyle name="Normal 4 4 2 4 2 4" xfId="9413" xr:uid="{4DC092EA-7C69-4E02-9FE8-33F62D070F54}"/>
    <cellStyle name="Normal 4 4 2 4 2 4 2" xfId="18722" xr:uid="{5439E781-0898-4347-AE0A-30FC8C7E313A}"/>
    <cellStyle name="Normal 4 4 2 4 2 5" xfId="10282" xr:uid="{7AEB8DD2-5C62-4746-92CA-7A688EAD5BF1}"/>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25497" xr:uid="{38A11AA2-F409-4B0C-891A-DC38762AD1B0}"/>
    <cellStyle name="Normal 4 4 2 4 3 2 2 3" xfId="17057" xr:uid="{31DAE51E-17C6-4C9B-8D7F-84A0CE1CD1DC}"/>
    <cellStyle name="Normal 4 4 2 4 3 2 3" xfId="21280" xr:uid="{99C14CDA-2DCE-4CB6-BA93-F2177AE0F61C}"/>
    <cellStyle name="Normal 4 4 2 4 3 2 4" xfId="12840" xr:uid="{8EAFC4DA-94A8-4D1B-86B8-ACEF23C8D2C7}"/>
    <cellStyle name="Normal 4 4 2 4 3 3" xfId="5586" xr:uid="{00000000-0005-0000-0000-000046150000}"/>
    <cellStyle name="Normal 4 4 2 4 3 3 2" xfId="23352" xr:uid="{7E6D16F2-3DC0-4C35-866B-BF39B91E9E1B}"/>
    <cellStyle name="Normal 4 4 2 4 3 3 3" xfId="14912" xr:uid="{412CDC82-1964-460D-9C1C-51EBE9C8147B}"/>
    <cellStyle name="Normal 4 4 2 4 3 4" xfId="19135" xr:uid="{9B6F1318-B56C-4203-B35A-4D76E263A319}"/>
    <cellStyle name="Normal 4 4 2 4 3 5" xfId="10695" xr:uid="{9A62D946-2D9A-4E54-B9E7-F4DA3D1F70E4}"/>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25910" xr:uid="{43648526-5AB8-4C37-81D5-BD1E145BD391}"/>
    <cellStyle name="Normal 4 4 2 4 4 2 2 3" xfId="17470" xr:uid="{4F32D673-4340-4BF3-A655-5392964D24B1}"/>
    <cellStyle name="Normal 4 4 2 4 4 2 3" xfId="21693" xr:uid="{B3656F8D-7E40-460D-94C1-D0455AE671B9}"/>
    <cellStyle name="Normal 4 4 2 4 4 2 4" xfId="13253" xr:uid="{FF71003E-4EF3-4CD7-8676-C4344C487909}"/>
    <cellStyle name="Normal 4 4 2 4 4 3" xfId="5999" xr:uid="{00000000-0005-0000-0000-00004A150000}"/>
    <cellStyle name="Normal 4 4 2 4 4 3 2" xfId="23765" xr:uid="{65DAD188-C6BA-49DC-8C0C-1F64751336A6}"/>
    <cellStyle name="Normal 4 4 2 4 4 3 3" xfId="15325" xr:uid="{43084488-8E5D-42BC-95A9-8FA7C0AC0874}"/>
    <cellStyle name="Normal 4 4 2 4 4 4" xfId="19548" xr:uid="{7971DAC1-DAFA-462E-B3E4-49C36CECAE36}"/>
    <cellStyle name="Normal 4 4 2 4 4 5" xfId="11108" xr:uid="{BF9094D8-4371-4660-BE79-3E41E6B5C9FD}"/>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26323" xr:uid="{EA22F5AF-27A1-4248-9ECB-E92239C80802}"/>
    <cellStyle name="Normal 4 4 2 4 5 2 2 3" xfId="17883" xr:uid="{91D06A7D-81EF-41D5-ACFD-E6C131E74A06}"/>
    <cellStyle name="Normal 4 4 2 4 5 2 3" xfId="22106" xr:uid="{9E7DDE79-BA9D-45F6-AF43-8461BFBF3D9E}"/>
    <cellStyle name="Normal 4 4 2 4 5 2 4" xfId="13666" xr:uid="{FD7EF9CA-E9AA-4249-BE27-48EC61AC9393}"/>
    <cellStyle name="Normal 4 4 2 4 5 3" xfId="6412" xr:uid="{00000000-0005-0000-0000-00004E150000}"/>
    <cellStyle name="Normal 4 4 2 4 5 3 2" xfId="24178" xr:uid="{6F9BED4C-0EC8-4D49-A393-3C57310C87FF}"/>
    <cellStyle name="Normal 4 4 2 4 5 3 3" xfId="15738" xr:uid="{5981315D-D154-4419-B5EB-FBBA6FDE0BDC}"/>
    <cellStyle name="Normal 4 4 2 4 5 4" xfId="19961" xr:uid="{E0D5C9BE-F224-4548-93EF-BFAA3007B741}"/>
    <cellStyle name="Normal 4 4 2 4 5 5" xfId="11521" xr:uid="{2B4E7019-E0D7-4047-B8C4-C851A24DE76B}"/>
    <cellStyle name="Normal 4 4 2 4 6" xfId="2542" xr:uid="{00000000-0005-0000-0000-00004F150000}"/>
    <cellStyle name="Normal 4 4 2 4 6 2" xfId="6825" xr:uid="{00000000-0005-0000-0000-000050150000}"/>
    <cellStyle name="Normal 4 4 2 4 6 2 2" xfId="24591" xr:uid="{D9DC8076-B346-4B54-91CD-E29916EF6B57}"/>
    <cellStyle name="Normal 4 4 2 4 6 2 3" xfId="16151" xr:uid="{4073A669-00BF-434E-B6C5-3D8CCC062B04}"/>
    <cellStyle name="Normal 4 4 2 4 6 3" xfId="20374" xr:uid="{4138FAC0-D357-4656-AAC3-15CDA0608320}"/>
    <cellStyle name="Normal 4 4 2 4 6 4" xfId="11934" xr:uid="{C5023B49-2DA1-4E3E-9A39-2E2F36D5F2DF}"/>
    <cellStyle name="Normal 4 4 2 4 7" xfId="4760" xr:uid="{00000000-0005-0000-0000-000051150000}"/>
    <cellStyle name="Normal 4 4 2 4 7 2" xfId="22526" xr:uid="{BC121F23-799C-445D-A8F4-97BE086347A5}"/>
    <cellStyle name="Normal 4 4 2 4 7 3" xfId="14086" xr:uid="{70842F01-CCBF-476F-A45E-A4362E35C44A}"/>
    <cellStyle name="Normal 4 4 2 4 8" xfId="8988" xr:uid="{F852E7B0-7ACD-4401-B3B6-BE989A5C8AD5}"/>
    <cellStyle name="Normal 4 4 2 4 8 2" xfId="18309" xr:uid="{64901636-F656-4BE5-B0E9-086423190218}"/>
    <cellStyle name="Normal 4 4 2 4 9" xfId="9869" xr:uid="{E8B0464D-CD6A-4511-9886-F7878D1C2B83}"/>
    <cellStyle name="Normal 4 4 2 5" xfId="854" xr:uid="{00000000-0005-0000-0000-000052150000}"/>
    <cellStyle name="Normal 4 4 2 5 2" xfId="3089" xr:uid="{00000000-0005-0000-0000-000053150000}"/>
    <cellStyle name="Normal 4 4 2 5 2 2" xfId="7311" xr:uid="{00000000-0005-0000-0000-000054150000}"/>
    <cellStyle name="Normal 4 4 2 5 2 2 2" xfId="25077" xr:uid="{91977F9D-DC00-49F4-ACE0-20191ECB16AE}"/>
    <cellStyle name="Normal 4 4 2 5 2 2 3" xfId="16637" xr:uid="{49BA08AF-00B7-4463-A010-266139B00D28}"/>
    <cellStyle name="Normal 4 4 2 5 2 3" xfId="20860" xr:uid="{D13B411A-24F1-46E6-AE5F-A33FDDEEA9BB}"/>
    <cellStyle name="Normal 4 4 2 5 2 4" xfId="12420" xr:uid="{3E3EA1F7-1E25-4CED-A919-BEEA1AEEA594}"/>
    <cellStyle name="Normal 4 4 2 5 3" xfId="5166" xr:uid="{00000000-0005-0000-0000-000055150000}"/>
    <cellStyle name="Normal 4 4 2 5 3 2" xfId="22932" xr:uid="{B0CD2AE0-6E38-421E-B4F4-826E786D9997}"/>
    <cellStyle name="Normal 4 4 2 5 3 3" xfId="14492" xr:uid="{700B3A34-34DA-4F25-BE1E-2E05B288A72B}"/>
    <cellStyle name="Normal 4 4 2 5 4" xfId="9205" xr:uid="{A63DE01D-3EC8-40FC-A47E-E0EA001EED52}"/>
    <cellStyle name="Normal 4 4 2 5 4 2" xfId="18715" xr:uid="{1B72D332-7FB7-466E-93B5-AD7BA3343C18}"/>
    <cellStyle name="Normal 4 4 2 5 5" xfId="10275" xr:uid="{438D26B4-3543-470B-8A12-FE34F0B32215}"/>
    <cellStyle name="Normal 4 4 2 6" xfId="1272" xr:uid="{00000000-0005-0000-0000-000056150000}"/>
    <cellStyle name="Normal 4 4 2 6 2" xfId="3502" xr:uid="{00000000-0005-0000-0000-000057150000}"/>
    <cellStyle name="Normal 4 4 2 6 2 2" xfId="7724" xr:uid="{00000000-0005-0000-0000-000058150000}"/>
    <cellStyle name="Normal 4 4 2 6 2 2 2" xfId="25490" xr:uid="{1E36B7F0-70E8-4F29-83AB-37B907A0529D}"/>
    <cellStyle name="Normal 4 4 2 6 2 2 3" xfId="17050" xr:uid="{45D6D030-3633-4ABE-9500-1BFB04580FF9}"/>
    <cellStyle name="Normal 4 4 2 6 2 3" xfId="21273" xr:uid="{7693B1E0-14F6-45BD-B54A-BE745442807F}"/>
    <cellStyle name="Normal 4 4 2 6 2 4" xfId="12833" xr:uid="{B7A8B6A3-86BC-4E6D-A665-ACB27BD2C882}"/>
    <cellStyle name="Normal 4 4 2 6 3" xfId="5579" xr:uid="{00000000-0005-0000-0000-000059150000}"/>
    <cellStyle name="Normal 4 4 2 6 3 2" xfId="23345" xr:uid="{6AB6E794-1FF4-4E61-934D-AF0A12BFFB36}"/>
    <cellStyle name="Normal 4 4 2 6 3 3" xfId="14905" xr:uid="{AAE624C1-6F38-44F9-98B2-E9C4ECC40A13}"/>
    <cellStyle name="Normal 4 4 2 6 4" xfId="19128" xr:uid="{4DE6709D-E48B-40A0-819A-094EA3D8F350}"/>
    <cellStyle name="Normal 4 4 2 6 5" xfId="10688" xr:uid="{07DA2625-5F4A-40F3-8B9B-135AB7C95833}"/>
    <cellStyle name="Normal 4 4 2 7" xfId="1685" xr:uid="{00000000-0005-0000-0000-00005A150000}"/>
    <cellStyle name="Normal 4 4 2 7 2" xfId="3915" xr:uid="{00000000-0005-0000-0000-00005B150000}"/>
    <cellStyle name="Normal 4 4 2 7 2 2" xfId="8137" xr:uid="{00000000-0005-0000-0000-00005C150000}"/>
    <cellStyle name="Normal 4 4 2 7 2 2 2" xfId="25903" xr:uid="{97F100D6-A6B7-42FF-8CB7-8C1733840951}"/>
    <cellStyle name="Normal 4 4 2 7 2 2 3" xfId="17463" xr:uid="{AF88B506-8483-4E3A-9790-395930783DE6}"/>
    <cellStyle name="Normal 4 4 2 7 2 3" xfId="21686" xr:uid="{E5B09F89-762D-4942-B084-696CFD983765}"/>
    <cellStyle name="Normal 4 4 2 7 2 4" xfId="13246" xr:uid="{F06D07D9-29AC-447E-840E-75550CE12514}"/>
    <cellStyle name="Normal 4 4 2 7 3" xfId="5992" xr:uid="{00000000-0005-0000-0000-00005D150000}"/>
    <cellStyle name="Normal 4 4 2 7 3 2" xfId="23758" xr:uid="{7CB3B91C-89F7-4FF7-A286-9ED9A56FC350}"/>
    <cellStyle name="Normal 4 4 2 7 3 3" xfId="15318" xr:uid="{370D2FAD-5A13-4C02-8DDA-D056BB168643}"/>
    <cellStyle name="Normal 4 4 2 7 4" xfId="19541" xr:uid="{7A34BCE0-4632-48D3-AD07-F95B45582741}"/>
    <cellStyle name="Normal 4 4 2 7 5" xfId="11101" xr:uid="{2528CA8F-780D-4148-B319-4D53C83277FC}"/>
    <cellStyle name="Normal 4 4 2 8" xfId="2099" xr:uid="{00000000-0005-0000-0000-00005E150000}"/>
    <cellStyle name="Normal 4 4 2 8 2" xfId="4328" xr:uid="{00000000-0005-0000-0000-00005F150000}"/>
    <cellStyle name="Normal 4 4 2 8 2 2" xfId="8550" xr:uid="{00000000-0005-0000-0000-000060150000}"/>
    <cellStyle name="Normal 4 4 2 8 2 2 2" xfId="26316" xr:uid="{FAB6525B-800A-46B3-8C87-BC1B91E95448}"/>
    <cellStyle name="Normal 4 4 2 8 2 2 3" xfId="17876" xr:uid="{732A2B9F-D08D-4733-B7DE-2741B2C2A2CE}"/>
    <cellStyle name="Normal 4 4 2 8 2 3" xfId="22099" xr:uid="{AC7F9D1F-AAC1-4AA7-A0C2-2DCB2472BF61}"/>
    <cellStyle name="Normal 4 4 2 8 2 4" xfId="13659" xr:uid="{CC89E259-7B51-437F-9556-9F6A9EE0F7DC}"/>
    <cellStyle name="Normal 4 4 2 8 3" xfId="6405" xr:uid="{00000000-0005-0000-0000-000061150000}"/>
    <cellStyle name="Normal 4 4 2 8 3 2" xfId="24171" xr:uid="{63564C7E-E335-4E67-A81A-3E8C5581873D}"/>
    <cellStyle name="Normal 4 4 2 8 3 3" xfId="15731" xr:uid="{141B2862-522F-428D-A962-D863FCEAF6BB}"/>
    <cellStyle name="Normal 4 4 2 8 4" xfId="19954" xr:uid="{1C472A30-1EF9-4905-89A1-0BAF870E2383}"/>
    <cellStyle name="Normal 4 4 2 8 5" xfId="11514" xr:uid="{A5CDC2E1-BD8A-4DD1-9316-38D876AB9A6A}"/>
    <cellStyle name="Normal 4 4 2 9" xfId="2535" xr:uid="{00000000-0005-0000-0000-000062150000}"/>
    <cellStyle name="Normal 4 4 2 9 2" xfId="6818" xr:uid="{00000000-0005-0000-0000-000063150000}"/>
    <cellStyle name="Normal 4 4 2 9 2 2" xfId="24584" xr:uid="{0538347D-C659-45C4-B8C2-409E23384E3F}"/>
    <cellStyle name="Normal 4 4 2 9 2 3" xfId="16144" xr:uid="{7977DB83-03C4-4B08-818A-8D6DF9F0287F}"/>
    <cellStyle name="Normal 4 4 2 9 3" xfId="20367" xr:uid="{813A9CA3-A469-4928-BF2B-B71007402DCB}"/>
    <cellStyle name="Normal 4 4 2 9 4" xfId="11927" xr:uid="{77E7DF82-9D84-413C-A46D-8D8075EC0968}"/>
    <cellStyle name="Normal 4 4 3" xfId="387" xr:uid="{00000000-0005-0000-0000-000064150000}"/>
    <cellStyle name="Normal 4 4 3 10" xfId="8823" xr:uid="{E623F102-F69B-4FD0-BEDA-A1480AF4D892}"/>
    <cellStyle name="Normal 4 4 3 10 2" xfId="18310" xr:uid="{8D970DBC-ADB7-4989-88B8-F7BB685F0C98}"/>
    <cellStyle name="Normal 4 4 3 11" xfId="9870" xr:uid="{3ED3965C-70F1-4F84-897B-508A35EF1AC3}"/>
    <cellStyle name="Normal 4 4 3 2" xfId="388" xr:uid="{00000000-0005-0000-0000-000065150000}"/>
    <cellStyle name="Normal 4 4 3 2 10" xfId="9871" xr:uid="{B96B0632-E097-463E-9FF3-B61BCF2615CF}"/>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25087" xr:uid="{263006AC-EFAD-40C8-B17E-85B0692B5693}"/>
    <cellStyle name="Normal 4 4 3 2 2 2 2 2 3" xfId="16647" xr:uid="{71DBEC6D-7DCC-4A61-9EE3-D0550E4BE773}"/>
    <cellStyle name="Normal 4 4 3 2 2 2 2 3" xfId="20870" xr:uid="{0A37B4CD-B6FD-4E0D-933E-587C032E57C7}"/>
    <cellStyle name="Normal 4 4 3 2 2 2 2 4" xfId="12430" xr:uid="{7C1EDB2D-5516-49DD-B6B3-5E02E9AE8284}"/>
    <cellStyle name="Normal 4 4 3 2 2 2 3" xfId="5176" xr:uid="{00000000-0005-0000-0000-00006A150000}"/>
    <cellStyle name="Normal 4 4 3 2 2 2 3 2" xfId="22942" xr:uid="{B9F99363-1E10-4F03-8A39-EB256574E557}"/>
    <cellStyle name="Normal 4 4 3 2 2 2 3 3" xfId="14502" xr:uid="{D7223C08-75AA-4089-8FAF-D21A6DC6AFEF}"/>
    <cellStyle name="Normal 4 4 3 2 2 2 4" xfId="9558" xr:uid="{8C9519E6-5920-473D-9749-EC61E4877632}"/>
    <cellStyle name="Normal 4 4 3 2 2 2 4 2" xfId="18725" xr:uid="{D3E81EE4-E8D2-43DE-BB22-09ED2F244A1B}"/>
    <cellStyle name="Normal 4 4 3 2 2 2 5" xfId="10285" xr:uid="{0D3A1D40-92DF-44B6-BD05-9941FCEB6AF5}"/>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25500" xr:uid="{EBB6134D-C634-4A53-BD4A-0C52B208FA82}"/>
    <cellStyle name="Normal 4 4 3 2 2 3 2 2 3" xfId="17060" xr:uid="{D1D2F120-21B9-499E-A627-0B2593D2FB12}"/>
    <cellStyle name="Normal 4 4 3 2 2 3 2 3" xfId="21283" xr:uid="{2A69147D-E1B5-41DA-BE79-F61760F47390}"/>
    <cellStyle name="Normal 4 4 3 2 2 3 2 4" xfId="12843" xr:uid="{B835103B-CC25-45AF-B250-D050C30F2F3D}"/>
    <cellStyle name="Normal 4 4 3 2 2 3 3" xfId="5589" xr:uid="{00000000-0005-0000-0000-00006E150000}"/>
    <cellStyle name="Normal 4 4 3 2 2 3 3 2" xfId="23355" xr:uid="{DB2A30A8-026B-4F79-BD56-BC735AD88101}"/>
    <cellStyle name="Normal 4 4 3 2 2 3 3 3" xfId="14915" xr:uid="{FC7A293C-E958-4511-9A04-E8063A6A6343}"/>
    <cellStyle name="Normal 4 4 3 2 2 3 4" xfId="19138" xr:uid="{FAD96C89-5E6C-4398-91F9-7C68711CFAEB}"/>
    <cellStyle name="Normal 4 4 3 2 2 3 5" xfId="10698" xr:uid="{1BBE29BA-6F2D-4E2B-B698-AA522C6481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25913" xr:uid="{EB746C85-D446-4B80-8729-C8A7F0DF951A}"/>
    <cellStyle name="Normal 4 4 3 2 2 4 2 2 3" xfId="17473" xr:uid="{18AC4639-3358-4DEE-85B7-B1BCF39CEB67}"/>
    <cellStyle name="Normal 4 4 3 2 2 4 2 3" xfId="21696" xr:uid="{D067C544-476B-4463-BD7B-A118DAF36C18}"/>
    <cellStyle name="Normal 4 4 3 2 2 4 2 4" xfId="13256" xr:uid="{36CD54E5-B0ED-4EF4-8AA6-56FCCE09B38A}"/>
    <cellStyle name="Normal 4 4 3 2 2 4 3" xfId="6002" xr:uid="{00000000-0005-0000-0000-000072150000}"/>
    <cellStyle name="Normal 4 4 3 2 2 4 3 2" xfId="23768" xr:uid="{8AD53134-6BB2-4A16-9EBD-4C7048B24387}"/>
    <cellStyle name="Normal 4 4 3 2 2 4 3 3" xfId="15328" xr:uid="{CB541C06-CE6C-42B6-BA71-D3BC2F847CEB}"/>
    <cellStyle name="Normal 4 4 3 2 2 4 4" xfId="19551" xr:uid="{E3554159-1EF0-478E-B699-5354DC7556AA}"/>
    <cellStyle name="Normal 4 4 3 2 2 4 5" xfId="11111" xr:uid="{A36D0699-F495-4A88-85D3-533211EE0C85}"/>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26326" xr:uid="{92D6B1D1-86FD-4FFD-A100-D456DB438B5A}"/>
    <cellStyle name="Normal 4 4 3 2 2 5 2 2 3" xfId="17886" xr:uid="{A89616A4-2737-4C94-8C8C-6833C693C174}"/>
    <cellStyle name="Normal 4 4 3 2 2 5 2 3" xfId="22109" xr:uid="{BBBDD792-62DF-452A-B21B-EBA766C76700}"/>
    <cellStyle name="Normal 4 4 3 2 2 5 2 4" xfId="13669" xr:uid="{D7915D91-F2D7-4D0A-873E-2221BAB8C16D}"/>
    <cellStyle name="Normal 4 4 3 2 2 5 3" xfId="6415" xr:uid="{00000000-0005-0000-0000-000076150000}"/>
    <cellStyle name="Normal 4 4 3 2 2 5 3 2" xfId="24181" xr:uid="{DCF00C17-36EA-4CED-8B27-887E68A28710}"/>
    <cellStyle name="Normal 4 4 3 2 2 5 3 3" xfId="15741" xr:uid="{469D5A4C-6D23-4A47-A95C-B3649A9E3CB2}"/>
    <cellStyle name="Normal 4 4 3 2 2 5 4" xfId="19964" xr:uid="{97F23422-6912-4CC3-BD2B-FD9C62B8DDC7}"/>
    <cellStyle name="Normal 4 4 3 2 2 5 5" xfId="11524" xr:uid="{0D2A5BEF-C77E-4382-BF99-C645E60E16BE}"/>
    <cellStyle name="Normal 4 4 3 2 2 6" xfId="2545" xr:uid="{00000000-0005-0000-0000-000077150000}"/>
    <cellStyle name="Normal 4 4 3 2 2 6 2" xfId="6828" xr:uid="{00000000-0005-0000-0000-000078150000}"/>
    <cellStyle name="Normal 4 4 3 2 2 6 2 2" xfId="24594" xr:uid="{4E00392B-5C61-4188-8F42-5211DA86E898}"/>
    <cellStyle name="Normal 4 4 3 2 2 6 2 3" xfId="16154" xr:uid="{BFA0E4BE-69DC-4F3F-9C21-1559A3028CA4}"/>
    <cellStyle name="Normal 4 4 3 2 2 6 3" xfId="20377" xr:uid="{175D9993-380B-4655-A108-4E7C5DDF3DBE}"/>
    <cellStyle name="Normal 4 4 3 2 2 6 4" xfId="11937" xr:uid="{AA88D6C3-E670-4E82-8E0B-4FB1ACA0B5A4}"/>
    <cellStyle name="Normal 4 4 3 2 2 7" xfId="4763" xr:uid="{00000000-0005-0000-0000-000079150000}"/>
    <cellStyle name="Normal 4 4 3 2 2 7 2" xfId="22529" xr:uid="{AA2BC709-1CCE-42DB-9C0B-4ECE01B79842}"/>
    <cellStyle name="Normal 4 4 3 2 2 7 3" xfId="14089" xr:uid="{D84096BB-4D65-4BE0-AA4E-F4DAADFC7751}"/>
    <cellStyle name="Normal 4 4 3 2 2 8" xfId="9133" xr:uid="{37002A66-D58A-4EF9-8D22-8F1A3EE99E08}"/>
    <cellStyle name="Normal 4 4 3 2 2 8 2" xfId="18312" xr:uid="{EA76D35B-EEEA-4B6D-A814-5E3C54B3A34B}"/>
    <cellStyle name="Normal 4 4 3 2 2 9" xfId="9872" xr:uid="{A4221995-26EF-4243-8809-0CC75F73561E}"/>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25086" xr:uid="{8E9AF0F7-47A0-4089-8406-B44B7D2D403F}"/>
    <cellStyle name="Normal 4 4 3 2 3 2 2 3" xfId="16646" xr:uid="{6D6321D6-5079-4BF8-AD1F-9C591B2FD26C}"/>
    <cellStyle name="Normal 4 4 3 2 3 2 3" xfId="20869" xr:uid="{08A12BBC-FCD4-4B31-B0C6-1D4B489EF17E}"/>
    <cellStyle name="Normal 4 4 3 2 3 2 4" xfId="12429" xr:uid="{4350DF7C-5977-47EB-95C7-E0CEC9C401FD}"/>
    <cellStyle name="Normal 4 4 3 2 3 3" xfId="5175" xr:uid="{00000000-0005-0000-0000-00007D150000}"/>
    <cellStyle name="Normal 4 4 3 2 3 3 2" xfId="22941" xr:uid="{8D827A31-3B1D-4EA0-B8C7-217071A7AB29}"/>
    <cellStyle name="Normal 4 4 3 2 3 3 3" xfId="14501" xr:uid="{0877F349-EA60-42D5-A1C6-A3F518F6C9A5}"/>
    <cellStyle name="Normal 4 4 3 2 3 4" xfId="9351" xr:uid="{51AD2B95-755A-411D-AA40-98381F5D8294}"/>
    <cellStyle name="Normal 4 4 3 2 3 4 2" xfId="18724" xr:uid="{B1DB09DF-F118-4F44-96CB-9D0D0E5DD9AF}"/>
    <cellStyle name="Normal 4 4 3 2 3 5" xfId="10284" xr:uid="{1D2E56BE-0EAE-4A84-96E7-51D9AE75D38F}"/>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25499" xr:uid="{8D38B8BB-54A0-4B74-A2AE-B3641342CE56}"/>
    <cellStyle name="Normal 4 4 3 2 4 2 2 3" xfId="17059" xr:uid="{D69B1CBF-E74B-4C7F-8A97-FAB36778F5D1}"/>
    <cellStyle name="Normal 4 4 3 2 4 2 3" xfId="21282" xr:uid="{E77F175B-3855-41EA-8CC0-8D81606570A2}"/>
    <cellStyle name="Normal 4 4 3 2 4 2 4" xfId="12842" xr:uid="{62C686E4-2902-47EA-AE6E-B0EB5A5230EC}"/>
    <cellStyle name="Normal 4 4 3 2 4 3" xfId="5588" xr:uid="{00000000-0005-0000-0000-000081150000}"/>
    <cellStyle name="Normal 4 4 3 2 4 3 2" xfId="23354" xr:uid="{48829AA8-5548-44C2-91EF-9F25AE402ADD}"/>
    <cellStyle name="Normal 4 4 3 2 4 3 3" xfId="14914" xr:uid="{8E8828E3-EA1B-4149-B22A-92DCD8FC2DAA}"/>
    <cellStyle name="Normal 4 4 3 2 4 4" xfId="19137" xr:uid="{56A92015-A356-4B51-AED7-96F3064DC45D}"/>
    <cellStyle name="Normal 4 4 3 2 4 5" xfId="10697" xr:uid="{4B9C585B-8499-4E5E-A24D-C98964C50A39}"/>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25912" xr:uid="{E59AD014-CC70-4E1F-A155-7A87931B26AA}"/>
    <cellStyle name="Normal 4 4 3 2 5 2 2 3" xfId="17472" xr:uid="{14F0C1D2-B766-40A1-9AAF-94A628444FD2}"/>
    <cellStyle name="Normal 4 4 3 2 5 2 3" xfId="21695" xr:uid="{CD5DF9BD-D0A4-4963-A5DE-943CEA16BAB0}"/>
    <cellStyle name="Normal 4 4 3 2 5 2 4" xfId="13255" xr:uid="{A99816C4-5AB7-4421-B030-32B11D9C889D}"/>
    <cellStyle name="Normal 4 4 3 2 5 3" xfId="6001" xr:uid="{00000000-0005-0000-0000-000085150000}"/>
    <cellStyle name="Normal 4 4 3 2 5 3 2" xfId="23767" xr:uid="{50186526-21D8-48CF-9BD9-61537313F47E}"/>
    <cellStyle name="Normal 4 4 3 2 5 3 3" xfId="15327" xr:uid="{DB3D8391-41FD-4E3A-A015-BF0A3CC9CBEC}"/>
    <cellStyle name="Normal 4 4 3 2 5 4" xfId="19550" xr:uid="{AC1F5590-2B75-4DC9-ADB4-F5C7D69045A5}"/>
    <cellStyle name="Normal 4 4 3 2 5 5" xfId="11110" xr:uid="{77BD13D5-4E78-439D-AC55-5F372463F94D}"/>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26325" xr:uid="{FED3955C-0C84-4C90-A76A-70CCA74AE078}"/>
    <cellStyle name="Normal 4 4 3 2 6 2 2 3" xfId="17885" xr:uid="{365F4A08-4C05-450B-97D3-74B973B77141}"/>
    <cellStyle name="Normal 4 4 3 2 6 2 3" xfId="22108" xr:uid="{E9151ECE-A2E3-48FC-9227-AC0E7B028CA6}"/>
    <cellStyle name="Normal 4 4 3 2 6 2 4" xfId="13668" xr:uid="{371E5DCE-BA28-4C8A-9D30-DB4A4F55847D}"/>
    <cellStyle name="Normal 4 4 3 2 6 3" xfId="6414" xr:uid="{00000000-0005-0000-0000-000089150000}"/>
    <cellStyle name="Normal 4 4 3 2 6 3 2" xfId="24180" xr:uid="{8C369B67-9A38-4DF9-AB82-382E51A00E9D}"/>
    <cellStyle name="Normal 4 4 3 2 6 3 3" xfId="15740" xr:uid="{3CE88560-BFE4-48C5-81EF-9C5F66C69CFA}"/>
    <cellStyle name="Normal 4 4 3 2 6 4" xfId="19963" xr:uid="{F98F38D2-3C91-4514-962F-065A8E9E0580}"/>
    <cellStyle name="Normal 4 4 3 2 6 5" xfId="11523" xr:uid="{AF30F46C-741A-4997-B198-6F02199EE9C6}"/>
    <cellStyle name="Normal 4 4 3 2 7" xfId="2544" xr:uid="{00000000-0005-0000-0000-00008A150000}"/>
    <cellStyle name="Normal 4 4 3 2 7 2" xfId="6827" xr:uid="{00000000-0005-0000-0000-00008B150000}"/>
    <cellStyle name="Normal 4 4 3 2 7 2 2" xfId="24593" xr:uid="{B25D4DCD-FAC0-43C0-8599-551CF1908DDB}"/>
    <cellStyle name="Normal 4 4 3 2 7 2 3" xfId="16153" xr:uid="{81776C8B-4DAA-46B9-A77D-93FE4B555F09}"/>
    <cellStyle name="Normal 4 4 3 2 7 3" xfId="20376" xr:uid="{00DC5E67-E6D9-4101-A10C-00E7C52FCEB7}"/>
    <cellStyle name="Normal 4 4 3 2 7 4" xfId="11936" xr:uid="{0A9A5421-27BE-473B-BF7B-56B975FE9CF8}"/>
    <cellStyle name="Normal 4 4 3 2 8" xfId="4762" xr:uid="{00000000-0005-0000-0000-00008C150000}"/>
    <cellStyle name="Normal 4 4 3 2 8 2" xfId="22528" xr:uid="{E75D509C-1D67-4BE6-AA2C-5FFB05C91A67}"/>
    <cellStyle name="Normal 4 4 3 2 8 3" xfId="14088" xr:uid="{466BE7AF-E2F0-4097-AE3D-A448F9222F2E}"/>
    <cellStyle name="Normal 4 4 3 2 9" xfId="8926" xr:uid="{821D1F47-EF8D-4C64-BA70-5606A81A57B5}"/>
    <cellStyle name="Normal 4 4 3 2 9 2" xfId="18311" xr:uid="{7F7ACF51-6F9F-4D3A-9CF6-CEE93648973F}"/>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25088" xr:uid="{F2B77956-046B-4875-8EB1-9DA45A75D45B}"/>
    <cellStyle name="Normal 4 4 3 3 2 2 2 3" xfId="16648" xr:uid="{C3EEE1BD-145C-4109-8D35-9C6BABB20C66}"/>
    <cellStyle name="Normal 4 4 3 3 2 2 3" xfId="20871" xr:uid="{245098FD-6EEE-42A2-8F4B-896C37CF77CB}"/>
    <cellStyle name="Normal 4 4 3 3 2 2 4" xfId="12431" xr:uid="{624BD5A0-5648-4B20-8D2D-1C6205E4C523}"/>
    <cellStyle name="Normal 4 4 3 3 2 3" xfId="5177" xr:uid="{00000000-0005-0000-0000-000091150000}"/>
    <cellStyle name="Normal 4 4 3 3 2 3 2" xfId="22943" xr:uid="{A6CA9361-D0A0-4456-B698-A67804D948AB}"/>
    <cellStyle name="Normal 4 4 3 3 2 3 3" xfId="14503" xr:uid="{1F2DA635-E991-4F99-9BBA-D49466E00D2D}"/>
    <cellStyle name="Normal 4 4 3 3 2 4" xfId="9455" xr:uid="{E39EB3A2-D99A-426C-AFEC-E4C90C85BE02}"/>
    <cellStyle name="Normal 4 4 3 3 2 4 2" xfId="18726" xr:uid="{93FEA95A-FD56-42FB-B650-A7F54F59BA23}"/>
    <cellStyle name="Normal 4 4 3 3 2 5" xfId="10286" xr:uid="{0D497CA5-2F99-4AEA-8670-D439617702B4}"/>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25501" xr:uid="{98055FE2-EB70-46C6-A318-966CD09D5ED1}"/>
    <cellStyle name="Normal 4 4 3 3 3 2 2 3" xfId="17061" xr:uid="{9C606D3E-A398-480B-BFDD-ED528EF157D9}"/>
    <cellStyle name="Normal 4 4 3 3 3 2 3" xfId="21284" xr:uid="{97FF10AC-EA3D-45E9-A68B-A3C86526D9DB}"/>
    <cellStyle name="Normal 4 4 3 3 3 2 4" xfId="12844" xr:uid="{1265D49F-F7B5-4330-AC4C-E7CFA783A7E6}"/>
    <cellStyle name="Normal 4 4 3 3 3 3" xfId="5590" xr:uid="{00000000-0005-0000-0000-000095150000}"/>
    <cellStyle name="Normal 4 4 3 3 3 3 2" xfId="23356" xr:uid="{BFBFD2B0-72B5-459E-8A6A-035AD38E27D9}"/>
    <cellStyle name="Normal 4 4 3 3 3 3 3" xfId="14916" xr:uid="{6E215B6A-1E2D-4279-A369-BC0883B285CE}"/>
    <cellStyle name="Normal 4 4 3 3 3 4" xfId="19139" xr:uid="{580C3E75-C002-4D69-B578-4EEC6047A4F2}"/>
    <cellStyle name="Normal 4 4 3 3 3 5" xfId="10699" xr:uid="{691D23D3-A414-4B75-B249-74BB84E3CAC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25914" xr:uid="{07909AEF-67FA-447A-8B51-CDD1ABBF7C9E}"/>
    <cellStyle name="Normal 4 4 3 3 4 2 2 3" xfId="17474" xr:uid="{B59555FB-A725-430D-8696-3A52C3EE01D7}"/>
    <cellStyle name="Normal 4 4 3 3 4 2 3" xfId="21697" xr:uid="{5ADE76D6-1491-4B0A-8C8B-A5702B65379A}"/>
    <cellStyle name="Normal 4 4 3 3 4 2 4" xfId="13257" xr:uid="{D52D1B22-A547-43B0-BBAE-47A82DD370F5}"/>
    <cellStyle name="Normal 4 4 3 3 4 3" xfId="6003" xr:uid="{00000000-0005-0000-0000-000099150000}"/>
    <cellStyle name="Normal 4 4 3 3 4 3 2" xfId="23769" xr:uid="{B9B8BB3B-4CC8-48AB-875A-BD05C9272CFB}"/>
    <cellStyle name="Normal 4 4 3 3 4 3 3" xfId="15329" xr:uid="{F24BA4F9-948B-43E7-B04C-246DC929D6C2}"/>
    <cellStyle name="Normal 4 4 3 3 4 4" xfId="19552" xr:uid="{718363D6-B7EA-4C81-883C-82C9B5E6D687}"/>
    <cellStyle name="Normal 4 4 3 3 4 5" xfId="11112" xr:uid="{36AD09C8-992C-4EEE-B614-DE56DF46C570}"/>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26327" xr:uid="{4ABB32FE-2724-40A8-BCD3-0D4D66C91F62}"/>
    <cellStyle name="Normal 4 4 3 3 5 2 2 3" xfId="17887" xr:uid="{4E87B7EA-A994-41D0-B42C-8A2053FEC2D2}"/>
    <cellStyle name="Normal 4 4 3 3 5 2 3" xfId="22110" xr:uid="{F0C5BAE9-0006-4BCB-BC41-21BF5325E52A}"/>
    <cellStyle name="Normal 4 4 3 3 5 2 4" xfId="13670" xr:uid="{9D78C0D6-93C1-4518-A3EF-6A71D2DABAE5}"/>
    <cellStyle name="Normal 4 4 3 3 5 3" xfId="6416" xr:uid="{00000000-0005-0000-0000-00009D150000}"/>
    <cellStyle name="Normal 4 4 3 3 5 3 2" xfId="24182" xr:uid="{D48DA47C-785A-4ECD-A8FF-052CFA552A15}"/>
    <cellStyle name="Normal 4 4 3 3 5 3 3" xfId="15742" xr:uid="{D93549F3-7305-4048-86E3-FA644C11752C}"/>
    <cellStyle name="Normal 4 4 3 3 5 4" xfId="19965" xr:uid="{B20F04BC-8296-47B6-882F-08697AD06725}"/>
    <cellStyle name="Normal 4 4 3 3 5 5" xfId="11525" xr:uid="{32198D31-5E23-4D84-90D8-D853456517D4}"/>
    <cellStyle name="Normal 4 4 3 3 6" xfId="2546" xr:uid="{00000000-0005-0000-0000-00009E150000}"/>
    <cellStyle name="Normal 4 4 3 3 6 2" xfId="6829" xr:uid="{00000000-0005-0000-0000-00009F150000}"/>
    <cellStyle name="Normal 4 4 3 3 6 2 2" xfId="24595" xr:uid="{01AC3CED-855D-4186-874D-19114CE9220D}"/>
    <cellStyle name="Normal 4 4 3 3 6 2 3" xfId="16155" xr:uid="{D6EEC348-57B4-43DD-AD54-3DAF484053B3}"/>
    <cellStyle name="Normal 4 4 3 3 6 3" xfId="20378" xr:uid="{A961A117-C756-48CE-B57D-86391DC9C56E}"/>
    <cellStyle name="Normal 4 4 3 3 6 4" xfId="11938" xr:uid="{28D72AE7-1781-493C-A954-0E0807F9956D}"/>
    <cellStyle name="Normal 4 4 3 3 7" xfId="4764" xr:uid="{00000000-0005-0000-0000-0000A0150000}"/>
    <cellStyle name="Normal 4 4 3 3 7 2" xfId="22530" xr:uid="{46B2AE5A-74D9-48E2-B995-A796E0D46345}"/>
    <cellStyle name="Normal 4 4 3 3 7 3" xfId="14090" xr:uid="{FAE0DDE6-D0C4-4FFC-AF12-9F1C16E36011}"/>
    <cellStyle name="Normal 4 4 3 3 8" xfId="9030" xr:uid="{F975DAAD-4546-4770-9976-5C5C66DA227B}"/>
    <cellStyle name="Normal 4 4 3 3 8 2" xfId="18313" xr:uid="{305260D6-2628-4798-8751-CA6C52A7974F}"/>
    <cellStyle name="Normal 4 4 3 3 9" xfId="9873" xr:uid="{F7F0EBE4-DD38-4FC3-BB94-F7EB2F062A87}"/>
    <cellStyle name="Normal 4 4 3 4" xfId="862" xr:uid="{00000000-0005-0000-0000-0000A1150000}"/>
    <cellStyle name="Normal 4 4 3 4 2" xfId="3097" xr:uid="{00000000-0005-0000-0000-0000A2150000}"/>
    <cellStyle name="Normal 4 4 3 4 2 2" xfId="7319" xr:uid="{00000000-0005-0000-0000-0000A3150000}"/>
    <cellStyle name="Normal 4 4 3 4 2 2 2" xfId="25085" xr:uid="{57FE1BF5-3580-4185-AD80-569AB9ED0E50}"/>
    <cellStyle name="Normal 4 4 3 4 2 2 3" xfId="16645" xr:uid="{9E1F8E35-9C00-4DC6-A392-48D0B439AD76}"/>
    <cellStyle name="Normal 4 4 3 4 2 3" xfId="20868" xr:uid="{FE67ED7D-3F07-484A-A759-93CC187DC8D9}"/>
    <cellStyle name="Normal 4 4 3 4 2 4" xfId="12428" xr:uid="{5346604F-03B5-4545-9AC7-D75F73A3D612}"/>
    <cellStyle name="Normal 4 4 3 4 3" xfId="5174" xr:uid="{00000000-0005-0000-0000-0000A4150000}"/>
    <cellStyle name="Normal 4 4 3 4 3 2" xfId="22940" xr:uid="{AC99B513-7F46-4815-ABB1-4047E1428E63}"/>
    <cellStyle name="Normal 4 4 3 4 3 3" xfId="14500" xr:uid="{71764602-920E-41ED-904F-9041241C07A9}"/>
    <cellStyle name="Normal 4 4 3 4 4" xfId="9248" xr:uid="{6C5F877B-48E6-47C2-B849-E53F373D5A86}"/>
    <cellStyle name="Normal 4 4 3 4 4 2" xfId="18723" xr:uid="{6EC62161-DD6E-4213-B8B4-B553ED60210B}"/>
    <cellStyle name="Normal 4 4 3 4 5" xfId="10283" xr:uid="{3F821EF4-4F71-4D8E-AA1B-D7A005521DAD}"/>
    <cellStyle name="Normal 4 4 3 5" xfId="1280" xr:uid="{00000000-0005-0000-0000-0000A5150000}"/>
    <cellStyle name="Normal 4 4 3 5 2" xfId="3510" xr:uid="{00000000-0005-0000-0000-0000A6150000}"/>
    <cellStyle name="Normal 4 4 3 5 2 2" xfId="7732" xr:uid="{00000000-0005-0000-0000-0000A7150000}"/>
    <cellStyle name="Normal 4 4 3 5 2 2 2" xfId="25498" xr:uid="{05BC1C83-8C02-4636-BCC1-4A73B2C5F39E}"/>
    <cellStyle name="Normal 4 4 3 5 2 2 3" xfId="17058" xr:uid="{5ED348D0-946E-48A6-AD2C-C139CCDA1843}"/>
    <cellStyle name="Normal 4 4 3 5 2 3" xfId="21281" xr:uid="{D478D657-078C-4BAC-92C2-3B27AD69F7EF}"/>
    <cellStyle name="Normal 4 4 3 5 2 4" xfId="12841" xr:uid="{A672197C-2DCF-47CC-9CCE-EEEBFF71A778}"/>
    <cellStyle name="Normal 4 4 3 5 3" xfId="5587" xr:uid="{00000000-0005-0000-0000-0000A8150000}"/>
    <cellStyle name="Normal 4 4 3 5 3 2" xfId="23353" xr:uid="{F73068FD-6703-4AC5-BF4C-071B890EEF0B}"/>
    <cellStyle name="Normal 4 4 3 5 3 3" xfId="14913" xr:uid="{8DB0F76D-9DE1-45FE-ADD7-D55F70259BBD}"/>
    <cellStyle name="Normal 4 4 3 5 4" xfId="19136" xr:uid="{3ABAF5B5-39B3-41B8-80A6-637473EC4CF3}"/>
    <cellStyle name="Normal 4 4 3 5 5" xfId="10696" xr:uid="{319295F3-CB08-409F-BA93-8E6087DB0585}"/>
    <cellStyle name="Normal 4 4 3 6" xfId="1693" xr:uid="{00000000-0005-0000-0000-0000A9150000}"/>
    <cellStyle name="Normal 4 4 3 6 2" xfId="3923" xr:uid="{00000000-0005-0000-0000-0000AA150000}"/>
    <cellStyle name="Normal 4 4 3 6 2 2" xfId="8145" xr:uid="{00000000-0005-0000-0000-0000AB150000}"/>
    <cellStyle name="Normal 4 4 3 6 2 2 2" xfId="25911" xr:uid="{DE10BE79-ABAC-4BEE-B8C9-A4E75E989CF2}"/>
    <cellStyle name="Normal 4 4 3 6 2 2 3" xfId="17471" xr:uid="{34CF4FFA-1F8D-478C-B2D3-345B05957426}"/>
    <cellStyle name="Normal 4 4 3 6 2 3" xfId="21694" xr:uid="{E23C13C9-776A-4A2D-AA18-FE881387EBE6}"/>
    <cellStyle name="Normal 4 4 3 6 2 4" xfId="13254" xr:uid="{F89F73E1-814F-4B2C-A7FF-7DB4B03F127B}"/>
    <cellStyle name="Normal 4 4 3 6 3" xfId="6000" xr:uid="{00000000-0005-0000-0000-0000AC150000}"/>
    <cellStyle name="Normal 4 4 3 6 3 2" xfId="23766" xr:uid="{5E547021-DB20-49F7-A4A3-9ADBDB21D394}"/>
    <cellStyle name="Normal 4 4 3 6 3 3" xfId="15326" xr:uid="{A2109548-0349-4C35-8917-FA94A0B8CC1C}"/>
    <cellStyle name="Normal 4 4 3 6 4" xfId="19549" xr:uid="{5C2CF77A-BFA0-4FA2-8211-6855F620601D}"/>
    <cellStyle name="Normal 4 4 3 6 5" xfId="11109" xr:uid="{74967976-2747-4FF8-856D-C26294D0B02B}"/>
    <cellStyle name="Normal 4 4 3 7" xfId="2107" xr:uid="{00000000-0005-0000-0000-0000AD150000}"/>
    <cellStyle name="Normal 4 4 3 7 2" xfId="4336" xr:uid="{00000000-0005-0000-0000-0000AE150000}"/>
    <cellStyle name="Normal 4 4 3 7 2 2" xfId="8558" xr:uid="{00000000-0005-0000-0000-0000AF150000}"/>
    <cellStyle name="Normal 4 4 3 7 2 2 2" xfId="26324" xr:uid="{73433F98-0076-4C89-B4CA-AE3C135B59E3}"/>
    <cellStyle name="Normal 4 4 3 7 2 2 3" xfId="17884" xr:uid="{0C016AFA-B140-4589-B7EB-4D441FE57319}"/>
    <cellStyle name="Normal 4 4 3 7 2 3" xfId="22107" xr:uid="{79B34158-A001-4DC5-8D62-ADEF7545F6AA}"/>
    <cellStyle name="Normal 4 4 3 7 2 4" xfId="13667" xr:uid="{7E2C5D3C-39F3-437C-BF6A-2BC275ECD5C1}"/>
    <cellStyle name="Normal 4 4 3 7 3" xfId="6413" xr:uid="{00000000-0005-0000-0000-0000B0150000}"/>
    <cellStyle name="Normal 4 4 3 7 3 2" xfId="24179" xr:uid="{9C46D5AA-E377-4937-8989-A5F6FB80222D}"/>
    <cellStyle name="Normal 4 4 3 7 3 3" xfId="15739" xr:uid="{2F332FAB-0BC6-44B5-987E-CB4176E7F6BB}"/>
    <cellStyle name="Normal 4 4 3 7 4" xfId="19962" xr:uid="{1F0DC466-6BA5-48A9-B66F-E1191176CB8E}"/>
    <cellStyle name="Normal 4 4 3 7 5" xfId="11522" xr:uid="{74734341-CE76-4B7F-AC2B-14E6493D6CE7}"/>
    <cellStyle name="Normal 4 4 3 8" xfId="2543" xr:uid="{00000000-0005-0000-0000-0000B1150000}"/>
    <cellStyle name="Normal 4 4 3 8 2" xfId="6826" xr:uid="{00000000-0005-0000-0000-0000B2150000}"/>
    <cellStyle name="Normal 4 4 3 8 2 2" xfId="24592" xr:uid="{86C6BF1D-61D3-41FF-903C-0C0FB0C7B626}"/>
    <cellStyle name="Normal 4 4 3 8 2 3" xfId="16152" xr:uid="{79D89AE4-E676-4B09-BB98-467CE7619133}"/>
    <cellStyle name="Normal 4 4 3 8 3" xfId="20375" xr:uid="{F2E4BA2F-18F2-4D11-8624-D2A86D9BAB21}"/>
    <cellStyle name="Normal 4 4 3 8 4" xfId="11935" xr:uid="{251C420A-78CD-47E7-A111-7B32CB83404C}"/>
    <cellStyle name="Normal 4 4 3 9" xfId="4761" xr:uid="{00000000-0005-0000-0000-0000B3150000}"/>
    <cellStyle name="Normal 4 4 3 9 2" xfId="22527" xr:uid="{00B7470C-2CB2-4842-B273-AAF137C9317B}"/>
    <cellStyle name="Normal 4 4 3 9 3" xfId="14087" xr:uid="{221FD2D6-BF86-41FA-94CD-BFFEB7A0F441}"/>
    <cellStyle name="Normal 4 4 4" xfId="391" xr:uid="{00000000-0005-0000-0000-0000B4150000}"/>
    <cellStyle name="Normal 4 4 4 10" xfId="9874" xr:uid="{1046F8F5-5BF0-4498-87F7-DBCFA6FEEC1D}"/>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25090" xr:uid="{EE7B75CD-26F6-45AA-9835-55831C3E99BC}"/>
    <cellStyle name="Normal 4 4 4 2 2 2 2 3" xfId="16650" xr:uid="{23CC0E82-8D75-464F-BA50-48F06ADF706F}"/>
    <cellStyle name="Normal 4 4 4 2 2 2 3" xfId="20873" xr:uid="{B27CC800-3BEC-4C5D-BF22-2FB19A94688F}"/>
    <cellStyle name="Normal 4 4 4 2 2 2 4" xfId="12433" xr:uid="{227C9786-1838-4A13-8210-33F836515CCD}"/>
    <cellStyle name="Normal 4 4 4 2 2 3" xfId="5179" xr:uid="{00000000-0005-0000-0000-0000B9150000}"/>
    <cellStyle name="Normal 4 4 4 2 2 3 2" xfId="22945" xr:uid="{2C41E95D-8296-41EF-AF2C-3B85C0F042C6}"/>
    <cellStyle name="Normal 4 4 4 2 2 3 3" xfId="14505" xr:uid="{23D08DA9-E7E5-45C8-BFF6-F693D131EC7F}"/>
    <cellStyle name="Normal 4 4 4 2 2 4" xfId="9484" xr:uid="{69910E0C-08C8-41C5-A6FC-61B52F6CD538}"/>
    <cellStyle name="Normal 4 4 4 2 2 4 2" xfId="18728" xr:uid="{232C2BC3-04B2-41D4-BA9E-BEA774025ED8}"/>
    <cellStyle name="Normal 4 4 4 2 2 5" xfId="10288" xr:uid="{64B5EEBE-6979-44FA-B5AA-451652E094F4}"/>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25503" xr:uid="{D1F14420-A37E-49F0-BFDA-E45343922EC0}"/>
    <cellStyle name="Normal 4 4 4 2 3 2 2 3" xfId="17063" xr:uid="{119999D5-E2AD-4CCE-9850-A7B589846BDC}"/>
    <cellStyle name="Normal 4 4 4 2 3 2 3" xfId="21286" xr:uid="{4AA3737A-3F5B-4747-AD23-B77CBB933DA2}"/>
    <cellStyle name="Normal 4 4 4 2 3 2 4" xfId="12846" xr:uid="{A7041AF4-2868-47FA-B8FA-7B616D5E89AB}"/>
    <cellStyle name="Normal 4 4 4 2 3 3" xfId="5592" xr:uid="{00000000-0005-0000-0000-0000BD150000}"/>
    <cellStyle name="Normal 4 4 4 2 3 3 2" xfId="23358" xr:uid="{EAC7901B-6610-4FCC-9739-D4FA83F0727F}"/>
    <cellStyle name="Normal 4 4 4 2 3 3 3" xfId="14918" xr:uid="{42E54D3D-671D-4041-AE1F-2BC47DDC39EE}"/>
    <cellStyle name="Normal 4 4 4 2 3 4" xfId="19141" xr:uid="{15E8598C-AB8E-4EB3-9F2C-9425259BBCC6}"/>
    <cellStyle name="Normal 4 4 4 2 3 5" xfId="10701" xr:uid="{574A999F-0CC5-4E2F-84E2-C7DB3010FB9B}"/>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25916" xr:uid="{825B4DDC-8822-4C0D-8BE5-0203E09F8F35}"/>
    <cellStyle name="Normal 4 4 4 2 4 2 2 3" xfId="17476" xr:uid="{102CD45F-EEA7-498D-80BC-745A818EAC06}"/>
    <cellStyle name="Normal 4 4 4 2 4 2 3" xfId="21699" xr:uid="{37D8CB05-E6DB-43E1-9809-74D1FFA65190}"/>
    <cellStyle name="Normal 4 4 4 2 4 2 4" xfId="13259" xr:uid="{023A44D4-620E-49B5-AA35-091056EF2FB2}"/>
    <cellStyle name="Normal 4 4 4 2 4 3" xfId="6005" xr:uid="{00000000-0005-0000-0000-0000C1150000}"/>
    <cellStyle name="Normal 4 4 4 2 4 3 2" xfId="23771" xr:uid="{99EF58B6-05BF-4E05-A962-C7648DE16AA2}"/>
    <cellStyle name="Normal 4 4 4 2 4 3 3" xfId="15331" xr:uid="{186BFE63-3D6D-4DEB-8CA2-9A00A22BD29F}"/>
    <cellStyle name="Normal 4 4 4 2 4 4" xfId="19554" xr:uid="{24BC31C2-92CF-4974-9979-684144C60CA0}"/>
    <cellStyle name="Normal 4 4 4 2 4 5" xfId="11114" xr:uid="{C61F1B3B-92B6-4137-96AC-9B62CA587B73}"/>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26329" xr:uid="{4241E92A-52AD-4EA0-98F5-05BCCF0F4549}"/>
    <cellStyle name="Normal 4 4 4 2 5 2 2 3" xfId="17889" xr:uid="{0E72740C-2E1B-4343-ABF9-EEAAE08DB600}"/>
    <cellStyle name="Normal 4 4 4 2 5 2 3" xfId="22112" xr:uid="{80E92390-0F86-4592-8D91-00743844162B}"/>
    <cellStyle name="Normal 4 4 4 2 5 2 4" xfId="13672" xr:uid="{D90A6B3C-D511-4298-863B-07D289FF23E7}"/>
    <cellStyle name="Normal 4 4 4 2 5 3" xfId="6418" xr:uid="{00000000-0005-0000-0000-0000C5150000}"/>
    <cellStyle name="Normal 4 4 4 2 5 3 2" xfId="24184" xr:uid="{FD0CCB28-D9AC-49BB-ACCD-A8D8B48002CF}"/>
    <cellStyle name="Normal 4 4 4 2 5 3 3" xfId="15744" xr:uid="{518DA54F-AFBC-4B29-A2F8-1E6127E389F6}"/>
    <cellStyle name="Normal 4 4 4 2 5 4" xfId="19967" xr:uid="{E417D730-54C3-4B28-9DE9-10767CC8E05B}"/>
    <cellStyle name="Normal 4 4 4 2 5 5" xfId="11527" xr:uid="{A84EF137-9A97-46D9-B839-521BE3C60037}"/>
    <cellStyle name="Normal 4 4 4 2 6" xfId="2548" xr:uid="{00000000-0005-0000-0000-0000C6150000}"/>
    <cellStyle name="Normal 4 4 4 2 6 2" xfId="6831" xr:uid="{00000000-0005-0000-0000-0000C7150000}"/>
    <cellStyle name="Normal 4 4 4 2 6 2 2" xfId="24597" xr:uid="{CA31743A-1377-4B23-BC4F-0564558FB016}"/>
    <cellStyle name="Normal 4 4 4 2 6 2 3" xfId="16157" xr:uid="{24D51030-C72F-4825-8EE2-9C00C7EE2B5B}"/>
    <cellStyle name="Normal 4 4 4 2 6 3" xfId="20380" xr:uid="{61E94E44-E10B-4F95-A3E0-F5590FD4698D}"/>
    <cellStyle name="Normal 4 4 4 2 6 4" xfId="11940" xr:uid="{07AB90B2-9534-4EAB-9C60-F4FF279A9CD0}"/>
    <cellStyle name="Normal 4 4 4 2 7" xfId="4766" xr:uid="{00000000-0005-0000-0000-0000C8150000}"/>
    <cellStyle name="Normal 4 4 4 2 7 2" xfId="22532" xr:uid="{47C808F3-C3CD-4032-9E3C-AB4F2B9BCEC5}"/>
    <cellStyle name="Normal 4 4 4 2 7 3" xfId="14092" xr:uid="{E9A95085-DD90-4730-8D18-849AF4A77FA8}"/>
    <cellStyle name="Normal 4 4 4 2 8" xfId="9059" xr:uid="{76617FCA-DBA6-4291-BD32-6340A19903F7}"/>
    <cellStyle name="Normal 4 4 4 2 8 2" xfId="18315" xr:uid="{C7A39953-6F25-463E-B2C6-6CB183BF3436}"/>
    <cellStyle name="Normal 4 4 4 2 9" xfId="9875" xr:uid="{72FC145B-EB6E-4015-9014-B10B9DB700EA}"/>
    <cellStyle name="Normal 4 4 4 3" xfId="866" xr:uid="{00000000-0005-0000-0000-0000C9150000}"/>
    <cellStyle name="Normal 4 4 4 3 2" xfId="3101" xr:uid="{00000000-0005-0000-0000-0000CA150000}"/>
    <cellStyle name="Normal 4 4 4 3 2 2" xfId="7323" xr:uid="{00000000-0005-0000-0000-0000CB150000}"/>
    <cellStyle name="Normal 4 4 4 3 2 2 2" xfId="25089" xr:uid="{CCD5A926-E7CB-418F-BBC9-26CF9A25D9E3}"/>
    <cellStyle name="Normal 4 4 4 3 2 2 3" xfId="16649" xr:uid="{A381B101-82C9-41C7-A20C-D88D75C3DFF9}"/>
    <cellStyle name="Normal 4 4 4 3 2 3" xfId="20872" xr:uid="{46092CBE-1A1B-4BBE-A39D-E99F4B424239}"/>
    <cellStyle name="Normal 4 4 4 3 2 4" xfId="12432" xr:uid="{D7210906-5BDE-420F-9991-0C2693B74F9E}"/>
    <cellStyle name="Normal 4 4 4 3 3" xfId="5178" xr:uid="{00000000-0005-0000-0000-0000CC150000}"/>
    <cellStyle name="Normal 4 4 4 3 3 2" xfId="22944" xr:uid="{5874F31E-BC11-41D2-953B-DFEEA85092E9}"/>
    <cellStyle name="Normal 4 4 4 3 3 3" xfId="14504" xr:uid="{945A060F-500E-467C-BF9A-F5B599929061}"/>
    <cellStyle name="Normal 4 4 4 3 4" xfId="9277" xr:uid="{DD01CD29-2559-4BCC-919C-99D1D75C445F}"/>
    <cellStyle name="Normal 4 4 4 3 4 2" xfId="18727" xr:uid="{CB10CA6F-A565-4E63-9B4E-974211796ED7}"/>
    <cellStyle name="Normal 4 4 4 3 5" xfId="10287" xr:uid="{4806379E-9D06-4CDA-9433-B068C10410C8}"/>
    <cellStyle name="Normal 4 4 4 4" xfId="1284" xr:uid="{00000000-0005-0000-0000-0000CD150000}"/>
    <cellStyle name="Normal 4 4 4 4 2" xfId="3514" xr:uid="{00000000-0005-0000-0000-0000CE150000}"/>
    <cellStyle name="Normal 4 4 4 4 2 2" xfId="7736" xr:uid="{00000000-0005-0000-0000-0000CF150000}"/>
    <cellStyle name="Normal 4 4 4 4 2 2 2" xfId="25502" xr:uid="{24906D81-3973-4EA6-A0C4-196155606221}"/>
    <cellStyle name="Normal 4 4 4 4 2 2 3" xfId="17062" xr:uid="{E7DF2924-6B91-496C-89DC-3AA5E69D5EAB}"/>
    <cellStyle name="Normal 4 4 4 4 2 3" xfId="21285" xr:uid="{35DD692A-6369-4B49-ACF8-A467CC0CCDF7}"/>
    <cellStyle name="Normal 4 4 4 4 2 4" xfId="12845" xr:uid="{E42880B6-2453-436F-9848-C3E6D1759CED}"/>
    <cellStyle name="Normal 4 4 4 4 3" xfId="5591" xr:uid="{00000000-0005-0000-0000-0000D0150000}"/>
    <cellStyle name="Normal 4 4 4 4 3 2" xfId="23357" xr:uid="{FD0EE7D5-38CA-40D4-A223-8FCD147E4895}"/>
    <cellStyle name="Normal 4 4 4 4 3 3" xfId="14917" xr:uid="{2E6D304B-1DB1-4527-A4A8-F0E5994134BB}"/>
    <cellStyle name="Normal 4 4 4 4 4" xfId="19140" xr:uid="{58ED603E-6BE2-44F6-9379-7FD0FDD944C2}"/>
    <cellStyle name="Normal 4 4 4 4 5" xfId="10700" xr:uid="{447242B1-1B5F-4C93-8AEB-0F872DCC8270}"/>
    <cellStyle name="Normal 4 4 4 5" xfId="1697" xr:uid="{00000000-0005-0000-0000-0000D1150000}"/>
    <cellStyle name="Normal 4 4 4 5 2" xfId="3927" xr:uid="{00000000-0005-0000-0000-0000D2150000}"/>
    <cellStyle name="Normal 4 4 4 5 2 2" xfId="8149" xr:uid="{00000000-0005-0000-0000-0000D3150000}"/>
    <cellStyle name="Normal 4 4 4 5 2 2 2" xfId="25915" xr:uid="{2C20EFF0-6083-4F96-A505-A22A084D3F2A}"/>
    <cellStyle name="Normal 4 4 4 5 2 2 3" xfId="17475" xr:uid="{6D7C7D68-A2F3-4A89-92B3-E21EFC8E3CD0}"/>
    <cellStyle name="Normal 4 4 4 5 2 3" xfId="21698" xr:uid="{B9578F10-8462-4CC2-BB34-4523EBF86B9C}"/>
    <cellStyle name="Normal 4 4 4 5 2 4" xfId="13258" xr:uid="{F37F7A6D-75CF-4E63-94C9-C362CFDCCE8D}"/>
    <cellStyle name="Normal 4 4 4 5 3" xfId="6004" xr:uid="{00000000-0005-0000-0000-0000D4150000}"/>
    <cellStyle name="Normal 4 4 4 5 3 2" xfId="23770" xr:uid="{3D79EEE8-A097-490F-A053-60122DF0FA78}"/>
    <cellStyle name="Normal 4 4 4 5 3 3" xfId="15330" xr:uid="{A5F698F4-F1D8-43FE-8E5F-ED33774F627B}"/>
    <cellStyle name="Normal 4 4 4 5 4" xfId="19553" xr:uid="{DC8141B4-33D1-4441-872F-4450FBB25D85}"/>
    <cellStyle name="Normal 4 4 4 5 5" xfId="11113" xr:uid="{3CE0B7A6-D122-42FD-B2EB-01E3D7225819}"/>
    <cellStyle name="Normal 4 4 4 6" xfId="2111" xr:uid="{00000000-0005-0000-0000-0000D5150000}"/>
    <cellStyle name="Normal 4 4 4 6 2" xfId="4340" xr:uid="{00000000-0005-0000-0000-0000D6150000}"/>
    <cellStyle name="Normal 4 4 4 6 2 2" xfId="8562" xr:uid="{00000000-0005-0000-0000-0000D7150000}"/>
    <cellStyle name="Normal 4 4 4 6 2 2 2" xfId="26328" xr:uid="{031F1C42-6FE9-42D9-81CB-43326C547DD7}"/>
    <cellStyle name="Normal 4 4 4 6 2 2 3" xfId="17888" xr:uid="{852E55CD-CD13-42DF-9827-547AB9175B64}"/>
    <cellStyle name="Normal 4 4 4 6 2 3" xfId="22111" xr:uid="{1C5740E1-2F70-476C-A8EC-6BA714C317C1}"/>
    <cellStyle name="Normal 4 4 4 6 2 4" xfId="13671" xr:uid="{92FF3DAB-A314-441E-B394-D41092EE2A75}"/>
    <cellStyle name="Normal 4 4 4 6 3" xfId="6417" xr:uid="{00000000-0005-0000-0000-0000D8150000}"/>
    <cellStyle name="Normal 4 4 4 6 3 2" xfId="24183" xr:uid="{974B8560-DF82-4BCD-873C-682AF9BF99E5}"/>
    <cellStyle name="Normal 4 4 4 6 3 3" xfId="15743" xr:uid="{7E199304-51DB-40B1-85F6-BEEA8301E1DA}"/>
    <cellStyle name="Normal 4 4 4 6 4" xfId="19966" xr:uid="{15420D5D-CF68-4353-9E6A-F6D9DDAECED9}"/>
    <cellStyle name="Normal 4 4 4 6 5" xfId="11526" xr:uid="{D0BC9F4B-17FC-4187-8FD3-1704CC99F12E}"/>
    <cellStyle name="Normal 4 4 4 7" xfId="2547" xr:uid="{00000000-0005-0000-0000-0000D9150000}"/>
    <cellStyle name="Normal 4 4 4 7 2" xfId="6830" xr:uid="{00000000-0005-0000-0000-0000DA150000}"/>
    <cellStyle name="Normal 4 4 4 7 2 2" xfId="24596" xr:uid="{27F1FF6E-3198-4198-83FD-11F9910E271D}"/>
    <cellStyle name="Normal 4 4 4 7 2 3" xfId="16156" xr:uid="{4AA88B20-ACBE-45EE-AFB9-33EF75327CC7}"/>
    <cellStyle name="Normal 4 4 4 7 3" xfId="20379" xr:uid="{AE6533C7-0F1D-4B83-A555-4ECCDC661AFE}"/>
    <cellStyle name="Normal 4 4 4 7 4" xfId="11939" xr:uid="{BAC74D6D-AF24-47E8-A19E-96C9C1D55852}"/>
    <cellStyle name="Normal 4 4 4 8" xfId="4765" xr:uid="{00000000-0005-0000-0000-0000DB150000}"/>
    <cellStyle name="Normal 4 4 4 8 2" xfId="22531" xr:uid="{15A799B8-E4A1-46BF-BFBE-556290785A6B}"/>
    <cellStyle name="Normal 4 4 4 8 3" xfId="14091" xr:uid="{8A3554F0-A695-4730-8ED1-C1BD6D6FD122}"/>
    <cellStyle name="Normal 4 4 4 9" xfId="8852" xr:uid="{DF4BB962-85B1-44B5-A0FE-735796672772}"/>
    <cellStyle name="Normal 4 4 4 9 2" xfId="18314" xr:uid="{32B2C188-5BB8-4443-99B0-AE2168ABBA7F}"/>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25091" xr:uid="{0950938C-7309-4B03-A84F-9030EEC57402}"/>
    <cellStyle name="Normal 4 4 5 2 2 2 3" xfId="16651" xr:uid="{841EA1CB-323E-4332-BE5C-F56DF79A8CDC}"/>
    <cellStyle name="Normal 4 4 5 2 2 3" xfId="20874" xr:uid="{C23D3260-4F93-4D08-BABA-8EB011B2607C}"/>
    <cellStyle name="Normal 4 4 5 2 2 4" xfId="12434" xr:uid="{AD28ED1D-9A3F-47B7-AC52-AB8E930AC6EA}"/>
    <cellStyle name="Normal 4 4 5 2 3" xfId="5180" xr:uid="{00000000-0005-0000-0000-0000E0150000}"/>
    <cellStyle name="Normal 4 4 5 2 3 2" xfId="22946" xr:uid="{1C636AA6-36A0-450B-A836-680D66DC2D24}"/>
    <cellStyle name="Normal 4 4 5 2 3 3" xfId="14506" xr:uid="{D0F33A56-0AE3-481F-AD27-0065486E9A66}"/>
    <cellStyle name="Normal 4 4 5 2 4" xfId="9393" xr:uid="{C2991CC4-4E0B-46C4-B338-C6A1C9BA2DE9}"/>
    <cellStyle name="Normal 4 4 5 2 4 2" xfId="18729" xr:uid="{EF3992F3-18D1-4AA6-9359-F9DD356637A2}"/>
    <cellStyle name="Normal 4 4 5 2 5" xfId="10289" xr:uid="{253DC4C2-60DC-4134-A286-DA0921BEED83}"/>
    <cellStyle name="Normal 4 4 5 3" xfId="1286" xr:uid="{00000000-0005-0000-0000-0000E1150000}"/>
    <cellStyle name="Normal 4 4 5 3 2" xfId="3516" xr:uid="{00000000-0005-0000-0000-0000E2150000}"/>
    <cellStyle name="Normal 4 4 5 3 2 2" xfId="7738" xr:uid="{00000000-0005-0000-0000-0000E3150000}"/>
    <cellStyle name="Normal 4 4 5 3 2 2 2" xfId="25504" xr:uid="{E1682D08-3EF5-4892-A999-9E2A7ED3F90D}"/>
    <cellStyle name="Normal 4 4 5 3 2 2 3" xfId="17064" xr:uid="{0C3CD928-3940-4524-839C-79A2244BF1FE}"/>
    <cellStyle name="Normal 4 4 5 3 2 3" xfId="21287" xr:uid="{97BC3F51-C8AD-4239-B71B-FB13DCF9AE27}"/>
    <cellStyle name="Normal 4 4 5 3 2 4" xfId="12847" xr:uid="{463C56D8-E2C2-4E1F-871D-B400A4859659}"/>
    <cellStyle name="Normal 4 4 5 3 3" xfId="5593" xr:uid="{00000000-0005-0000-0000-0000E4150000}"/>
    <cellStyle name="Normal 4 4 5 3 3 2" xfId="23359" xr:uid="{06136D91-4054-481C-9680-D61D3DD85EE8}"/>
    <cellStyle name="Normal 4 4 5 3 3 3" xfId="14919" xr:uid="{8B54D416-61E1-4462-AF57-805183631910}"/>
    <cellStyle name="Normal 4 4 5 3 4" xfId="19142" xr:uid="{837CEB45-0AFE-4388-BD96-9F2F683DF569}"/>
    <cellStyle name="Normal 4 4 5 3 5" xfId="10702" xr:uid="{4BA6FC5D-0F63-4284-BCD9-E8C92D5EECE5}"/>
    <cellStyle name="Normal 4 4 5 4" xfId="1699" xr:uid="{00000000-0005-0000-0000-0000E5150000}"/>
    <cellStyle name="Normal 4 4 5 4 2" xfId="3929" xr:uid="{00000000-0005-0000-0000-0000E6150000}"/>
    <cellStyle name="Normal 4 4 5 4 2 2" xfId="8151" xr:uid="{00000000-0005-0000-0000-0000E7150000}"/>
    <cellStyle name="Normal 4 4 5 4 2 2 2" xfId="25917" xr:uid="{0BE0927C-38C7-4504-AFEA-74D02EAAA883}"/>
    <cellStyle name="Normal 4 4 5 4 2 2 3" xfId="17477" xr:uid="{00B0BFCD-8F24-49B1-9C10-1E3B2061589F}"/>
    <cellStyle name="Normal 4 4 5 4 2 3" xfId="21700" xr:uid="{2A921F77-3797-47B9-8CA9-0E95ABD67B17}"/>
    <cellStyle name="Normal 4 4 5 4 2 4" xfId="13260" xr:uid="{2D5BC696-D00B-4099-8EC2-82AF6BEF6B7A}"/>
    <cellStyle name="Normal 4 4 5 4 3" xfId="6006" xr:uid="{00000000-0005-0000-0000-0000E8150000}"/>
    <cellStyle name="Normal 4 4 5 4 3 2" xfId="23772" xr:uid="{3F49863A-3821-4421-8F7F-2B4690B911C2}"/>
    <cellStyle name="Normal 4 4 5 4 3 3" xfId="15332" xr:uid="{03D32979-8CBF-4407-A84A-E18FEACD1B3D}"/>
    <cellStyle name="Normal 4 4 5 4 4" xfId="19555" xr:uid="{F84E0194-F4CC-4113-B979-F71036DD3E86}"/>
    <cellStyle name="Normal 4 4 5 4 5" xfId="11115" xr:uid="{D2285411-5A7D-4DD1-8111-19579250E403}"/>
    <cellStyle name="Normal 4 4 5 5" xfId="2113" xr:uid="{00000000-0005-0000-0000-0000E9150000}"/>
    <cellStyle name="Normal 4 4 5 5 2" xfId="4342" xr:uid="{00000000-0005-0000-0000-0000EA150000}"/>
    <cellStyle name="Normal 4 4 5 5 2 2" xfId="8564" xr:uid="{00000000-0005-0000-0000-0000EB150000}"/>
    <cellStyle name="Normal 4 4 5 5 2 2 2" xfId="26330" xr:uid="{B8CEA858-6F4C-436B-882A-E62ADB939D81}"/>
    <cellStyle name="Normal 4 4 5 5 2 2 3" xfId="17890" xr:uid="{C174D0C7-8D26-49C5-B017-5568E9C5CAE7}"/>
    <cellStyle name="Normal 4 4 5 5 2 3" xfId="22113" xr:uid="{C9F0D8CF-B229-468A-A5BF-6117883DC0BA}"/>
    <cellStyle name="Normal 4 4 5 5 2 4" xfId="13673" xr:uid="{72D28B39-C93A-49A9-A079-67B8C7343B31}"/>
    <cellStyle name="Normal 4 4 5 5 3" xfId="6419" xr:uid="{00000000-0005-0000-0000-0000EC150000}"/>
    <cellStyle name="Normal 4 4 5 5 3 2" xfId="24185" xr:uid="{F32BD900-2A5E-4A8D-84AD-CADFEEF5495C}"/>
    <cellStyle name="Normal 4 4 5 5 3 3" xfId="15745" xr:uid="{952A28B4-F286-4852-BBE8-BF472DAC130C}"/>
    <cellStyle name="Normal 4 4 5 5 4" xfId="19968" xr:uid="{90166A88-1611-4701-8FE5-266A75E4B854}"/>
    <cellStyle name="Normal 4 4 5 5 5" xfId="11528" xr:uid="{4631E801-4BD7-4BFC-83BC-115E9D29FBE5}"/>
    <cellStyle name="Normal 4 4 5 6" xfId="2549" xr:uid="{00000000-0005-0000-0000-0000ED150000}"/>
    <cellStyle name="Normal 4 4 5 6 2" xfId="6832" xr:uid="{00000000-0005-0000-0000-0000EE150000}"/>
    <cellStyle name="Normal 4 4 5 6 2 2" xfId="24598" xr:uid="{A5F454BF-3EF7-4252-8B9C-97F6BC746D2F}"/>
    <cellStyle name="Normal 4 4 5 6 2 3" xfId="16158" xr:uid="{F1BD615E-CB3B-4C09-B3A8-9483916FAA66}"/>
    <cellStyle name="Normal 4 4 5 6 3" xfId="20381" xr:uid="{C255B101-95E7-4733-91FE-1CD577A709A9}"/>
    <cellStyle name="Normal 4 4 5 6 4" xfId="11941" xr:uid="{1706E146-F0B8-4D00-98DD-F53294F4C46F}"/>
    <cellStyle name="Normal 4 4 5 7" xfId="4767" xr:uid="{00000000-0005-0000-0000-0000EF150000}"/>
    <cellStyle name="Normal 4 4 5 7 2" xfId="22533" xr:uid="{0B03C673-C0BC-4B09-B952-713C5EE87C83}"/>
    <cellStyle name="Normal 4 4 5 7 3" xfId="14093" xr:uid="{1865C61B-B012-40C9-A13D-FC51DA0314DE}"/>
    <cellStyle name="Normal 4 4 5 8" xfId="8968" xr:uid="{BE877DDE-435D-4CBA-84F2-0372D1DDE771}"/>
    <cellStyle name="Normal 4 4 5 8 2" xfId="18316" xr:uid="{C8F36E7F-A4BB-45C0-B14D-4FBF55DED12A}"/>
    <cellStyle name="Normal 4 4 5 9" xfId="9876" xr:uid="{2B5F8D82-E9C1-4E5C-A394-4F48ED0029A0}"/>
    <cellStyle name="Normal 4 4 6" xfId="853" xr:uid="{00000000-0005-0000-0000-0000F0150000}"/>
    <cellStyle name="Normal 4 4 6 2" xfId="3088" xr:uid="{00000000-0005-0000-0000-0000F1150000}"/>
    <cellStyle name="Normal 4 4 6 2 2" xfId="7310" xr:uid="{00000000-0005-0000-0000-0000F2150000}"/>
    <cellStyle name="Normal 4 4 6 2 2 2" xfId="25076" xr:uid="{BA1EB3EA-11A8-4B82-AB12-E62CF0E99976}"/>
    <cellStyle name="Normal 4 4 6 2 2 3" xfId="16636" xr:uid="{D6C302D4-6E23-4EAA-A034-78254358C47F}"/>
    <cellStyle name="Normal 4 4 6 2 3" xfId="20859" xr:uid="{DF770C5F-C02B-4335-A327-DEC209A85A02}"/>
    <cellStyle name="Normal 4 4 6 2 4" xfId="12419" xr:uid="{C332C777-ABD1-44AA-B44E-F6B37F61591E}"/>
    <cellStyle name="Normal 4 4 6 3" xfId="5165" xr:uid="{00000000-0005-0000-0000-0000F3150000}"/>
    <cellStyle name="Normal 4 4 6 3 2" xfId="22931" xr:uid="{82A3D217-9BAD-44F0-8AF6-44AC84DC2EC0}"/>
    <cellStyle name="Normal 4 4 6 3 3" xfId="14491" xr:uid="{C74659F9-47C9-45AA-A044-5D7753241B1F}"/>
    <cellStyle name="Normal 4 4 6 4" xfId="9171" xr:uid="{C474601B-95F0-4C9E-AB77-B3E61D2A21D7}"/>
    <cellStyle name="Normal 4 4 6 4 2" xfId="18714" xr:uid="{EBF5F80F-2993-4A09-A13B-6BF472BB64E6}"/>
    <cellStyle name="Normal 4 4 6 5" xfId="10274" xr:uid="{BE30CD29-1DCD-4494-A812-8CD54ABF0B6D}"/>
    <cellStyle name="Normal 4 4 7" xfId="1271" xr:uid="{00000000-0005-0000-0000-0000F4150000}"/>
    <cellStyle name="Normal 4 4 7 2" xfId="3501" xr:uid="{00000000-0005-0000-0000-0000F5150000}"/>
    <cellStyle name="Normal 4 4 7 2 2" xfId="7723" xr:uid="{00000000-0005-0000-0000-0000F6150000}"/>
    <cellStyle name="Normal 4 4 7 2 2 2" xfId="25489" xr:uid="{C65E449B-3C50-45FD-85B2-B21284B45D45}"/>
    <cellStyle name="Normal 4 4 7 2 2 3" xfId="17049" xr:uid="{29553DF5-8F56-46DE-A605-DF2BA648A2EA}"/>
    <cellStyle name="Normal 4 4 7 2 3" xfId="21272" xr:uid="{4270BE25-B7C8-4029-87A8-0B0A62469366}"/>
    <cellStyle name="Normal 4 4 7 2 4" xfId="12832" xr:uid="{93D3E0E6-B34A-41AA-9CE5-813D04A0E2B3}"/>
    <cellStyle name="Normal 4 4 7 3" xfId="5578" xr:uid="{00000000-0005-0000-0000-0000F7150000}"/>
    <cellStyle name="Normal 4 4 7 3 2" xfId="23344" xr:uid="{D17F4DB4-8162-4B34-AF11-39BC415EEDB2}"/>
    <cellStyle name="Normal 4 4 7 3 3" xfId="14904" xr:uid="{0DC71CE3-1962-49D7-BCF5-E88E01B9D146}"/>
    <cellStyle name="Normal 4 4 7 4" xfId="19127" xr:uid="{8C5E1E18-FC29-4ED0-89FD-7C7F025A9348}"/>
    <cellStyle name="Normal 4 4 7 5" xfId="10687" xr:uid="{9F4AFBB9-2139-48FE-8560-BCDA693D683B}"/>
    <cellStyle name="Normal 4 4 8" xfId="1684" xr:uid="{00000000-0005-0000-0000-0000F8150000}"/>
    <cellStyle name="Normal 4 4 8 2" xfId="3914" xr:uid="{00000000-0005-0000-0000-0000F9150000}"/>
    <cellStyle name="Normal 4 4 8 2 2" xfId="8136" xr:uid="{00000000-0005-0000-0000-0000FA150000}"/>
    <cellStyle name="Normal 4 4 8 2 2 2" xfId="25902" xr:uid="{8324762C-843B-4019-86B2-02A374322BB7}"/>
    <cellStyle name="Normal 4 4 8 2 2 3" xfId="17462" xr:uid="{7D689B94-9E19-4EF3-9CD8-8048D3F59FF0}"/>
    <cellStyle name="Normal 4 4 8 2 3" xfId="21685" xr:uid="{FD62266F-F6E3-4C15-95CA-0138F75C0E74}"/>
    <cellStyle name="Normal 4 4 8 2 4" xfId="13245" xr:uid="{CAC85691-BDBB-4623-BA42-6F39287DE1B8}"/>
    <cellStyle name="Normal 4 4 8 3" xfId="5991" xr:uid="{00000000-0005-0000-0000-0000FB150000}"/>
    <cellStyle name="Normal 4 4 8 3 2" xfId="23757" xr:uid="{AAB3A720-6CE4-4FB4-B98A-C11A22B708B9}"/>
    <cellStyle name="Normal 4 4 8 3 3" xfId="15317" xr:uid="{4E0A62D5-2168-48D3-B17D-F2992CDE9093}"/>
    <cellStyle name="Normal 4 4 8 4" xfId="19540" xr:uid="{34ACC946-2787-452B-AD00-CE51C062A45C}"/>
    <cellStyle name="Normal 4 4 8 5" xfId="11100" xr:uid="{E238B68D-6F23-4797-AC33-6293BA56FE90}"/>
    <cellStyle name="Normal 4 4 9" xfId="2098" xr:uid="{00000000-0005-0000-0000-0000FC150000}"/>
    <cellStyle name="Normal 4 4 9 2" xfId="4327" xr:uid="{00000000-0005-0000-0000-0000FD150000}"/>
    <cellStyle name="Normal 4 4 9 2 2" xfId="8549" xr:uid="{00000000-0005-0000-0000-0000FE150000}"/>
    <cellStyle name="Normal 4 4 9 2 2 2" xfId="26315" xr:uid="{DA5A55C9-A0D5-42F2-9675-134370B26FF2}"/>
    <cellStyle name="Normal 4 4 9 2 2 3" xfId="17875" xr:uid="{D496B223-7630-4327-860D-0AC56C8F3E3D}"/>
    <cellStyle name="Normal 4 4 9 2 3" xfId="22098" xr:uid="{7DF0F708-7CCB-4F04-99CF-49B5EFFDAC02}"/>
    <cellStyle name="Normal 4 4 9 2 4" xfId="13658" xr:uid="{B9F1D66C-C331-4DB8-8885-5A8CD7A814CF}"/>
    <cellStyle name="Normal 4 4 9 3" xfId="6404" xr:uid="{00000000-0005-0000-0000-0000FF150000}"/>
    <cellStyle name="Normal 4 4 9 3 2" xfId="24170" xr:uid="{214C35E9-6651-4799-A91D-E319B8D8C41D}"/>
    <cellStyle name="Normal 4 4 9 3 3" xfId="15730" xr:uid="{5918F624-8482-4E83-BB79-C7DE50945B31}"/>
    <cellStyle name="Normal 4 4 9 4" xfId="19953" xr:uid="{9A2380C1-D0E6-493E-B719-8B5B07115C25}"/>
    <cellStyle name="Normal 4 4 9 5" xfId="11513" xr:uid="{ED489E8A-736D-4FC5-BED5-9A19984D8051}"/>
    <cellStyle name="Normal 4 5" xfId="394" xr:uid="{00000000-0005-0000-0000-000000160000}"/>
    <cellStyle name="Normal 4 6" xfId="395" xr:uid="{00000000-0005-0000-0000-000001160000}"/>
    <cellStyle name="Normal 4 6 10" xfId="4768" xr:uid="{00000000-0005-0000-0000-000002160000}"/>
    <cellStyle name="Normal 4 6 10 2" xfId="22534" xr:uid="{4470C754-0F6C-461C-A600-B19EBE7C4ACB}"/>
    <cellStyle name="Normal 4 6 10 3" xfId="14094" xr:uid="{F8769851-48E7-4644-B1CF-031A025786B3}"/>
    <cellStyle name="Normal 4 6 11" xfId="8772" xr:uid="{23628FEE-4113-4B2C-B2A0-0106FC7F55C2}"/>
    <cellStyle name="Normal 4 6 11 2" xfId="18317" xr:uid="{1CCBB230-5150-4AC4-B844-D74AB35FC5DC}"/>
    <cellStyle name="Normal 4 6 12" xfId="9877" xr:uid="{3458AC38-A588-460C-96A8-9C146F739E6A}"/>
    <cellStyle name="Normal 4 6 2" xfId="396" xr:uid="{00000000-0005-0000-0000-000003160000}"/>
    <cellStyle name="Normal 4 6 2 10" xfId="8825" xr:uid="{C3062495-9D56-441B-95F6-B73E7DAC524C}"/>
    <cellStyle name="Normal 4 6 2 10 2" xfId="18318" xr:uid="{E3430B78-1CC1-4FDD-9697-8472377C6D16}"/>
    <cellStyle name="Normal 4 6 2 11" xfId="9878" xr:uid="{DD6CF746-AFBF-4432-9EF3-6CFDF5628AAD}"/>
    <cellStyle name="Normal 4 6 2 2" xfId="397" xr:uid="{00000000-0005-0000-0000-000004160000}"/>
    <cellStyle name="Normal 4 6 2 2 10" xfId="9879" xr:uid="{EE1CA79A-4EF3-4703-9595-B6909B0ECE3F}"/>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25095" xr:uid="{D71A8870-39ED-41A7-B9A6-EDDA033CFF29}"/>
    <cellStyle name="Normal 4 6 2 2 2 2 2 2 3" xfId="16655" xr:uid="{7838C7FB-D4F4-452C-BF93-07A23834FE09}"/>
    <cellStyle name="Normal 4 6 2 2 2 2 2 3" xfId="20878" xr:uid="{519C7E27-0A9D-4392-9ADF-3063BE21B645}"/>
    <cellStyle name="Normal 4 6 2 2 2 2 2 4" xfId="12438" xr:uid="{EC2984A6-8261-4EC5-8124-5D07B6E7BD40}"/>
    <cellStyle name="Normal 4 6 2 2 2 2 3" xfId="5184" xr:uid="{00000000-0005-0000-0000-000009160000}"/>
    <cellStyle name="Normal 4 6 2 2 2 2 3 2" xfId="22950" xr:uid="{74D7BACA-0E5B-414C-9A61-1B48E50E6EFC}"/>
    <cellStyle name="Normal 4 6 2 2 2 2 3 3" xfId="14510" xr:uid="{E6FF71A6-4CF0-4CD0-B7DC-811FFAA96EF0}"/>
    <cellStyle name="Normal 4 6 2 2 2 2 4" xfId="9560" xr:uid="{04DAEE11-A96E-4522-8546-8A0C107E12B9}"/>
    <cellStyle name="Normal 4 6 2 2 2 2 4 2" xfId="18733" xr:uid="{143ACF0E-2582-4F9C-A2B6-19E2A57DA48E}"/>
    <cellStyle name="Normal 4 6 2 2 2 2 5" xfId="10293" xr:uid="{45ABBD26-B19A-4021-98ED-89F0A5631B4A}"/>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25508" xr:uid="{55D4E3FA-F407-494E-BE97-F56F96982D74}"/>
    <cellStyle name="Normal 4 6 2 2 2 3 2 2 3" xfId="17068" xr:uid="{E06C7812-5D22-4993-B3F7-86C2A5BC7627}"/>
    <cellStyle name="Normal 4 6 2 2 2 3 2 3" xfId="21291" xr:uid="{E3C9F9D8-8B83-4596-A306-8C335CCFBEC9}"/>
    <cellStyle name="Normal 4 6 2 2 2 3 2 4" xfId="12851" xr:uid="{01359628-8A70-418C-BBA9-F8C865574DB6}"/>
    <cellStyle name="Normal 4 6 2 2 2 3 3" xfId="5597" xr:uid="{00000000-0005-0000-0000-00000D160000}"/>
    <cellStyle name="Normal 4 6 2 2 2 3 3 2" xfId="23363" xr:uid="{99471F39-7717-4DDC-9F77-1F96B98BA0A7}"/>
    <cellStyle name="Normal 4 6 2 2 2 3 3 3" xfId="14923" xr:uid="{4B21201E-7268-493D-A314-C30F28403568}"/>
    <cellStyle name="Normal 4 6 2 2 2 3 4" xfId="19146" xr:uid="{E762EB23-7787-4973-AD1F-160BA558BD65}"/>
    <cellStyle name="Normal 4 6 2 2 2 3 5" xfId="10706" xr:uid="{0A3023B4-0A03-4C89-8DED-06454EA5228C}"/>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25921" xr:uid="{96D5AC67-7B47-4A7E-91E0-B0D0D5B1E519}"/>
    <cellStyle name="Normal 4 6 2 2 2 4 2 2 3" xfId="17481" xr:uid="{FE0C6132-AEC0-4987-BF59-290C5FD691F5}"/>
    <cellStyle name="Normal 4 6 2 2 2 4 2 3" xfId="21704" xr:uid="{E6D918DC-D637-4628-A0BA-51DFA6DC767F}"/>
    <cellStyle name="Normal 4 6 2 2 2 4 2 4" xfId="13264" xr:uid="{ADC2A83A-4B42-4105-B39D-8E9CB515616D}"/>
    <cellStyle name="Normal 4 6 2 2 2 4 3" xfId="6010" xr:uid="{00000000-0005-0000-0000-000011160000}"/>
    <cellStyle name="Normal 4 6 2 2 2 4 3 2" xfId="23776" xr:uid="{5B84355A-5877-4EBA-8BB8-52FC427085A1}"/>
    <cellStyle name="Normal 4 6 2 2 2 4 3 3" xfId="15336" xr:uid="{242192F9-22C5-4DF1-8125-88B5DAD16307}"/>
    <cellStyle name="Normal 4 6 2 2 2 4 4" xfId="19559" xr:uid="{C7F520E5-C430-4121-8D30-8B12982DBD9D}"/>
    <cellStyle name="Normal 4 6 2 2 2 4 5" xfId="11119" xr:uid="{1FAF17E5-2A18-4702-9270-28BB1588D90F}"/>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26334" xr:uid="{A4A73D4F-3C26-49E6-A8A0-AC37C2AFC5A2}"/>
    <cellStyle name="Normal 4 6 2 2 2 5 2 2 3" xfId="17894" xr:uid="{82D19516-0766-447F-AB3B-8F65357280AC}"/>
    <cellStyle name="Normal 4 6 2 2 2 5 2 3" xfId="22117" xr:uid="{E89F8C31-8CFD-4372-AEC3-C7ECCE662A13}"/>
    <cellStyle name="Normal 4 6 2 2 2 5 2 4" xfId="13677" xr:uid="{04795A6E-2DEB-4D9C-858F-F0598CA9FA72}"/>
    <cellStyle name="Normal 4 6 2 2 2 5 3" xfId="6423" xr:uid="{00000000-0005-0000-0000-000015160000}"/>
    <cellStyle name="Normal 4 6 2 2 2 5 3 2" xfId="24189" xr:uid="{855BC066-EC3B-4A79-A681-1D05A23F41F7}"/>
    <cellStyle name="Normal 4 6 2 2 2 5 3 3" xfId="15749" xr:uid="{B4AC23F6-B266-457F-BB07-A9B0F69311BA}"/>
    <cellStyle name="Normal 4 6 2 2 2 5 4" xfId="19972" xr:uid="{E13CC741-2DA7-4E4F-9F28-0681DE094E41}"/>
    <cellStyle name="Normal 4 6 2 2 2 5 5" xfId="11532" xr:uid="{5C2470E3-CA6E-4D5E-B670-98BEE97F9AB3}"/>
    <cellStyle name="Normal 4 6 2 2 2 6" xfId="2553" xr:uid="{00000000-0005-0000-0000-000016160000}"/>
    <cellStyle name="Normal 4 6 2 2 2 6 2" xfId="6836" xr:uid="{00000000-0005-0000-0000-000017160000}"/>
    <cellStyle name="Normal 4 6 2 2 2 6 2 2" xfId="24602" xr:uid="{ECB31C82-F112-4809-9E65-EC6040929E64}"/>
    <cellStyle name="Normal 4 6 2 2 2 6 2 3" xfId="16162" xr:uid="{54284FAC-079D-4570-A3F0-B61AED8BA110}"/>
    <cellStyle name="Normal 4 6 2 2 2 6 3" xfId="20385" xr:uid="{B229A7A9-C99D-4CBE-A22A-DE73AC20B06B}"/>
    <cellStyle name="Normal 4 6 2 2 2 6 4" xfId="11945" xr:uid="{EB1573A4-1CCB-409A-A2CD-6AF07286D2A4}"/>
    <cellStyle name="Normal 4 6 2 2 2 7" xfId="4771" xr:uid="{00000000-0005-0000-0000-000018160000}"/>
    <cellStyle name="Normal 4 6 2 2 2 7 2" xfId="22537" xr:uid="{55E547C6-37B0-4925-90B1-7F48BD3EBB6A}"/>
    <cellStyle name="Normal 4 6 2 2 2 7 3" xfId="14097" xr:uid="{2FE93BBE-EF77-4EDF-B244-26F0DF614E3D}"/>
    <cellStyle name="Normal 4 6 2 2 2 8" xfId="9135" xr:uid="{2F4C420F-13DD-45DD-99DD-C7AFF7CD7823}"/>
    <cellStyle name="Normal 4 6 2 2 2 8 2" xfId="18320" xr:uid="{A6B7AB27-42A6-4E40-AB47-BCFFC3D4A3CA}"/>
    <cellStyle name="Normal 4 6 2 2 2 9" xfId="9880" xr:uid="{00E9E7C1-D136-4BE7-908D-03F40BAD825B}"/>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25094" xr:uid="{8A760D84-D221-4753-AF80-489DA3268D13}"/>
    <cellStyle name="Normal 4 6 2 2 3 2 2 3" xfId="16654" xr:uid="{C86800D5-418B-4E06-8CE6-EAD13499560A}"/>
    <cellStyle name="Normal 4 6 2 2 3 2 3" xfId="20877" xr:uid="{0F99FCEC-B728-4B64-BF95-F2D4B3423832}"/>
    <cellStyle name="Normal 4 6 2 2 3 2 4" xfId="12437" xr:uid="{EE70F710-4AAE-4F98-8BFC-96565606F9D3}"/>
    <cellStyle name="Normal 4 6 2 2 3 3" xfId="5183" xr:uid="{00000000-0005-0000-0000-00001C160000}"/>
    <cellStyle name="Normal 4 6 2 2 3 3 2" xfId="22949" xr:uid="{93796BD5-10F4-40D1-A71A-0A46DA92E50E}"/>
    <cellStyle name="Normal 4 6 2 2 3 3 3" xfId="14509" xr:uid="{4F4F7F74-1331-4017-9BBA-E25B06E5E6DB}"/>
    <cellStyle name="Normal 4 6 2 2 3 4" xfId="9353" xr:uid="{60C7EC16-17DE-43AF-A246-41C667B376B7}"/>
    <cellStyle name="Normal 4 6 2 2 3 4 2" xfId="18732" xr:uid="{AE182117-D3E6-4104-97EA-8780D1EBE946}"/>
    <cellStyle name="Normal 4 6 2 2 3 5" xfId="10292" xr:uid="{F4D6BBA6-D093-4C99-BCFB-B14E5E0E730E}"/>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25507" xr:uid="{1045BF92-C853-4F4E-8E84-4E1E6C10D4EB}"/>
    <cellStyle name="Normal 4 6 2 2 4 2 2 3" xfId="17067" xr:uid="{395447AE-898A-47E0-B09A-550D784D5227}"/>
    <cellStyle name="Normal 4 6 2 2 4 2 3" xfId="21290" xr:uid="{7A0D0A36-7B9F-467B-B900-DD10EB88630C}"/>
    <cellStyle name="Normal 4 6 2 2 4 2 4" xfId="12850" xr:uid="{F62A5827-6914-471E-BE1D-887819608071}"/>
    <cellStyle name="Normal 4 6 2 2 4 3" xfId="5596" xr:uid="{00000000-0005-0000-0000-000020160000}"/>
    <cellStyle name="Normal 4 6 2 2 4 3 2" xfId="23362" xr:uid="{651B8297-53C8-4569-A56F-C9756907E69B}"/>
    <cellStyle name="Normal 4 6 2 2 4 3 3" xfId="14922" xr:uid="{BF8C640A-2559-4B5D-BC3F-D7B9F55FA1C2}"/>
    <cellStyle name="Normal 4 6 2 2 4 4" xfId="19145" xr:uid="{617ECA1C-DD77-44AC-9AA1-81042DA60D94}"/>
    <cellStyle name="Normal 4 6 2 2 4 5" xfId="10705" xr:uid="{39DA6D26-7F23-4B43-AC42-1CFA1FCACAB6}"/>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25920" xr:uid="{4D4E1340-4F82-446C-8940-3387A310E27D}"/>
    <cellStyle name="Normal 4 6 2 2 5 2 2 3" xfId="17480" xr:uid="{C8B6555A-F2DC-4F4E-B0CF-E3994636A5C9}"/>
    <cellStyle name="Normal 4 6 2 2 5 2 3" xfId="21703" xr:uid="{45C89E80-E147-4505-9E52-750B16BDA241}"/>
    <cellStyle name="Normal 4 6 2 2 5 2 4" xfId="13263" xr:uid="{2E08BF30-E69F-407C-AE7A-203F5EEBC5A1}"/>
    <cellStyle name="Normal 4 6 2 2 5 3" xfId="6009" xr:uid="{00000000-0005-0000-0000-000024160000}"/>
    <cellStyle name="Normal 4 6 2 2 5 3 2" xfId="23775" xr:uid="{176A3413-5E8B-4B3D-90F7-7C598FDC34E8}"/>
    <cellStyle name="Normal 4 6 2 2 5 3 3" xfId="15335" xr:uid="{69214077-8990-48FE-98EB-E07312FEA49D}"/>
    <cellStyle name="Normal 4 6 2 2 5 4" xfId="19558" xr:uid="{E4CADFE7-A325-4C7D-BB13-81472B1921FA}"/>
    <cellStyle name="Normal 4 6 2 2 5 5" xfId="11118" xr:uid="{678A8F83-AD40-40C1-B74A-4D19633CC580}"/>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26333" xr:uid="{890BAF0A-36F2-41AE-8AFA-75E9CC334793}"/>
    <cellStyle name="Normal 4 6 2 2 6 2 2 3" xfId="17893" xr:uid="{9E27FE66-1923-499C-9C7B-D4A37B62BCE2}"/>
    <cellStyle name="Normal 4 6 2 2 6 2 3" xfId="22116" xr:uid="{8717E90F-7FA9-4C9C-8415-CDA4DF415FD3}"/>
    <cellStyle name="Normal 4 6 2 2 6 2 4" xfId="13676" xr:uid="{73597247-97F8-4533-94C3-48A93126FCB8}"/>
    <cellStyle name="Normal 4 6 2 2 6 3" xfId="6422" xr:uid="{00000000-0005-0000-0000-000028160000}"/>
    <cellStyle name="Normal 4 6 2 2 6 3 2" xfId="24188" xr:uid="{F867A38E-808E-4047-8E72-A00BB69AE13E}"/>
    <cellStyle name="Normal 4 6 2 2 6 3 3" xfId="15748" xr:uid="{DEB1F626-BFC0-4F1C-A00A-C84ABEBB2050}"/>
    <cellStyle name="Normal 4 6 2 2 6 4" xfId="19971" xr:uid="{CB7B4CBD-ACA0-44E2-B873-D7D28FA7B82A}"/>
    <cellStyle name="Normal 4 6 2 2 6 5" xfId="11531" xr:uid="{3DA41CCC-E2CC-47DB-A4F1-E966AD8E2AD9}"/>
    <cellStyle name="Normal 4 6 2 2 7" xfId="2552" xr:uid="{00000000-0005-0000-0000-000029160000}"/>
    <cellStyle name="Normal 4 6 2 2 7 2" xfId="6835" xr:uid="{00000000-0005-0000-0000-00002A160000}"/>
    <cellStyle name="Normal 4 6 2 2 7 2 2" xfId="24601" xr:uid="{D50188DB-B7DC-4E01-B63F-85F6E979EDCB}"/>
    <cellStyle name="Normal 4 6 2 2 7 2 3" xfId="16161" xr:uid="{E060A254-CB89-4EA4-98B8-737FC946C3C2}"/>
    <cellStyle name="Normal 4 6 2 2 7 3" xfId="20384" xr:uid="{A8E21DA0-35CB-4C92-B0BD-AA6CFF1EB176}"/>
    <cellStyle name="Normal 4 6 2 2 7 4" xfId="11944" xr:uid="{AB267EFA-3081-4694-858E-891D33D6C692}"/>
    <cellStyle name="Normal 4 6 2 2 8" xfId="4770" xr:uid="{00000000-0005-0000-0000-00002B160000}"/>
    <cellStyle name="Normal 4 6 2 2 8 2" xfId="22536" xr:uid="{B82B9131-81FA-4E63-841D-D728498821DC}"/>
    <cellStyle name="Normal 4 6 2 2 8 3" xfId="14096" xr:uid="{2BAF2DB3-F9C2-4EC0-A05A-EDDDB59875BE}"/>
    <cellStyle name="Normal 4 6 2 2 9" xfId="8928" xr:uid="{EC58FE5E-68BA-4864-AD86-0F9D1DB17AD0}"/>
    <cellStyle name="Normal 4 6 2 2 9 2" xfId="18319" xr:uid="{195EF070-27CD-42B3-AF24-EC940F57AEF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25096" xr:uid="{9DC72585-0ED3-4F45-9F48-D35AE99EFCDE}"/>
    <cellStyle name="Normal 4 6 2 3 2 2 2 3" xfId="16656" xr:uid="{23691C15-DFF2-4718-82F5-080D071F87D1}"/>
    <cellStyle name="Normal 4 6 2 3 2 2 3" xfId="20879" xr:uid="{EF28770B-6D47-405E-AED6-AE8903F7C456}"/>
    <cellStyle name="Normal 4 6 2 3 2 2 4" xfId="12439" xr:uid="{E7C07FE7-02C0-4AD9-90DB-25E6E4514A7B}"/>
    <cellStyle name="Normal 4 6 2 3 2 3" xfId="5185" xr:uid="{00000000-0005-0000-0000-000030160000}"/>
    <cellStyle name="Normal 4 6 2 3 2 3 2" xfId="22951" xr:uid="{52929F8A-C7D4-40B5-AE57-973A8570DB5F}"/>
    <cellStyle name="Normal 4 6 2 3 2 3 3" xfId="14511" xr:uid="{1E8DF33B-A63D-4575-B962-1541333F822A}"/>
    <cellStyle name="Normal 4 6 2 3 2 4" xfId="9457" xr:uid="{E86AED2D-42AD-49DE-9461-1FA72B82C89E}"/>
    <cellStyle name="Normal 4 6 2 3 2 4 2" xfId="18734" xr:uid="{41DC28AB-FE5A-4AA3-B246-64AF43D678E0}"/>
    <cellStyle name="Normal 4 6 2 3 2 5" xfId="10294" xr:uid="{91193849-4102-44D8-ABA2-04EE8183E03F}"/>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25509" xr:uid="{22D7682A-78B2-49A3-957F-D23127143DF7}"/>
    <cellStyle name="Normal 4 6 2 3 3 2 2 3" xfId="17069" xr:uid="{44AE3CB8-B6E1-48B8-9EAF-26662CA8E1E3}"/>
    <cellStyle name="Normal 4 6 2 3 3 2 3" xfId="21292" xr:uid="{440C3C7B-3051-4A3B-92A1-46DC75B458B0}"/>
    <cellStyle name="Normal 4 6 2 3 3 2 4" xfId="12852" xr:uid="{4058E725-2799-487E-ACD1-9A5ECA630377}"/>
    <cellStyle name="Normal 4 6 2 3 3 3" xfId="5598" xr:uid="{00000000-0005-0000-0000-000034160000}"/>
    <cellStyle name="Normal 4 6 2 3 3 3 2" xfId="23364" xr:uid="{BE2A394B-A55F-4733-88AC-B2D963F0A970}"/>
    <cellStyle name="Normal 4 6 2 3 3 3 3" xfId="14924" xr:uid="{ED04EB9C-C3AC-46D6-8838-D6096CB4D929}"/>
    <cellStyle name="Normal 4 6 2 3 3 4" xfId="19147" xr:uid="{4D9F3AB9-2607-48DF-AC7C-465C322A83CA}"/>
    <cellStyle name="Normal 4 6 2 3 3 5" xfId="10707" xr:uid="{56D6661F-483B-4973-8409-66D8F1FB4C56}"/>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25922" xr:uid="{7904820E-9171-4131-A00E-D64A568123DB}"/>
    <cellStyle name="Normal 4 6 2 3 4 2 2 3" xfId="17482" xr:uid="{FFBDD7F9-3C36-43E9-9189-DD369B1E4A34}"/>
    <cellStyle name="Normal 4 6 2 3 4 2 3" xfId="21705" xr:uid="{893DC449-8E2D-45CD-84CD-D1F486DAF643}"/>
    <cellStyle name="Normal 4 6 2 3 4 2 4" xfId="13265" xr:uid="{DE82A0F5-6370-4956-88FC-8AF974E7A9E2}"/>
    <cellStyle name="Normal 4 6 2 3 4 3" xfId="6011" xr:uid="{00000000-0005-0000-0000-000038160000}"/>
    <cellStyle name="Normal 4 6 2 3 4 3 2" xfId="23777" xr:uid="{F3562444-A987-473C-BE38-91C08A2C7CB0}"/>
    <cellStyle name="Normal 4 6 2 3 4 3 3" xfId="15337" xr:uid="{8020B496-AE96-4C11-8BA8-229C06DEB41E}"/>
    <cellStyle name="Normal 4 6 2 3 4 4" xfId="19560" xr:uid="{1B887BBB-33DC-4A6C-BC27-4796EE40EB47}"/>
    <cellStyle name="Normal 4 6 2 3 4 5" xfId="11120" xr:uid="{7A78BF7B-B6C3-42F0-803A-4FEA6CF0FE13}"/>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26335" xr:uid="{B5744199-7411-4210-8D1B-B05EB6E21CCD}"/>
    <cellStyle name="Normal 4 6 2 3 5 2 2 3" xfId="17895" xr:uid="{E27C019C-7931-47F7-B925-89F72FB2A4B5}"/>
    <cellStyle name="Normal 4 6 2 3 5 2 3" xfId="22118" xr:uid="{072524D1-0777-458D-8650-EBA293FE3904}"/>
    <cellStyle name="Normal 4 6 2 3 5 2 4" xfId="13678" xr:uid="{3A84CE39-A2E1-4C8B-B677-A3BF5D6913D1}"/>
    <cellStyle name="Normal 4 6 2 3 5 3" xfId="6424" xr:uid="{00000000-0005-0000-0000-00003C160000}"/>
    <cellStyle name="Normal 4 6 2 3 5 3 2" xfId="24190" xr:uid="{8516294D-9FA7-4602-85EB-07EE7F4081E2}"/>
    <cellStyle name="Normal 4 6 2 3 5 3 3" xfId="15750" xr:uid="{9953299A-670D-452B-8A05-904B5580A5EC}"/>
    <cellStyle name="Normal 4 6 2 3 5 4" xfId="19973" xr:uid="{F0470350-82A6-4B4B-B878-015964C48935}"/>
    <cellStyle name="Normal 4 6 2 3 5 5" xfId="11533" xr:uid="{5E46E8AF-4E8B-4B8A-A086-EE3314A36BAB}"/>
    <cellStyle name="Normal 4 6 2 3 6" xfId="2554" xr:uid="{00000000-0005-0000-0000-00003D160000}"/>
    <cellStyle name="Normal 4 6 2 3 6 2" xfId="6837" xr:uid="{00000000-0005-0000-0000-00003E160000}"/>
    <cellStyle name="Normal 4 6 2 3 6 2 2" xfId="24603" xr:uid="{35CD0C96-684E-4902-B22F-5408DF72BB86}"/>
    <cellStyle name="Normal 4 6 2 3 6 2 3" xfId="16163" xr:uid="{A7E74BC8-38FE-494E-8AD3-32561DB929B9}"/>
    <cellStyle name="Normal 4 6 2 3 6 3" xfId="20386" xr:uid="{FBC2E76D-62DD-4848-8876-53A55D36A548}"/>
    <cellStyle name="Normal 4 6 2 3 6 4" xfId="11946" xr:uid="{53585B1C-B6C6-47E5-985E-FC8477C3F8AC}"/>
    <cellStyle name="Normal 4 6 2 3 7" xfId="4772" xr:uid="{00000000-0005-0000-0000-00003F160000}"/>
    <cellStyle name="Normal 4 6 2 3 7 2" xfId="22538" xr:uid="{AB91CCEF-AB55-4D88-8E9B-3DE0F96D92C4}"/>
    <cellStyle name="Normal 4 6 2 3 7 3" xfId="14098" xr:uid="{F4703239-E277-4EE6-A195-307FD42DC3CB}"/>
    <cellStyle name="Normal 4 6 2 3 8" xfId="9032" xr:uid="{576A1DC5-5971-4772-803F-0A60F80D4C41}"/>
    <cellStyle name="Normal 4 6 2 3 8 2" xfId="18321" xr:uid="{6A5EF16C-340C-4D2C-84A6-A410197F4495}"/>
    <cellStyle name="Normal 4 6 2 3 9" xfId="9881" xr:uid="{9F470165-CB54-4CE6-AD12-D46520FA7653}"/>
    <cellStyle name="Normal 4 6 2 4" xfId="870" xr:uid="{00000000-0005-0000-0000-000040160000}"/>
    <cellStyle name="Normal 4 6 2 4 2" xfId="3105" xr:uid="{00000000-0005-0000-0000-000041160000}"/>
    <cellStyle name="Normal 4 6 2 4 2 2" xfId="7327" xr:uid="{00000000-0005-0000-0000-000042160000}"/>
    <cellStyle name="Normal 4 6 2 4 2 2 2" xfId="25093" xr:uid="{7DE62D67-6153-42ED-9C6C-7F6C668DCA70}"/>
    <cellStyle name="Normal 4 6 2 4 2 2 3" xfId="16653" xr:uid="{B034E8C3-F895-42D9-8103-758F48FDE09D}"/>
    <cellStyle name="Normal 4 6 2 4 2 3" xfId="20876" xr:uid="{95FE6235-3C26-4DB0-8F05-C28EA8AB9F7F}"/>
    <cellStyle name="Normal 4 6 2 4 2 4" xfId="12436" xr:uid="{79B6B27B-2329-4164-A14A-E5247CAC6694}"/>
    <cellStyle name="Normal 4 6 2 4 3" xfId="5182" xr:uid="{00000000-0005-0000-0000-000043160000}"/>
    <cellStyle name="Normal 4 6 2 4 3 2" xfId="22948" xr:uid="{D60E500C-D6F1-4BAF-B786-ED7D8EE83751}"/>
    <cellStyle name="Normal 4 6 2 4 3 3" xfId="14508" xr:uid="{189ED3F1-8446-48EC-8CC2-0B65B630D157}"/>
    <cellStyle name="Normal 4 6 2 4 4" xfId="9250" xr:uid="{CBBC9A51-5203-4C00-93C7-FE7C973DCDD1}"/>
    <cellStyle name="Normal 4 6 2 4 4 2" xfId="18731" xr:uid="{199C899D-2318-412A-80FA-1F8AC8B328AB}"/>
    <cellStyle name="Normal 4 6 2 4 5" xfId="10291" xr:uid="{BA869BE6-241E-439B-AC83-FAF0C44E6C01}"/>
    <cellStyle name="Normal 4 6 2 5" xfId="1288" xr:uid="{00000000-0005-0000-0000-000044160000}"/>
    <cellStyle name="Normal 4 6 2 5 2" xfId="3518" xr:uid="{00000000-0005-0000-0000-000045160000}"/>
    <cellStyle name="Normal 4 6 2 5 2 2" xfId="7740" xr:uid="{00000000-0005-0000-0000-000046160000}"/>
    <cellStyle name="Normal 4 6 2 5 2 2 2" xfId="25506" xr:uid="{1D4269DA-146A-42DA-97E9-95068F9FFAA4}"/>
    <cellStyle name="Normal 4 6 2 5 2 2 3" xfId="17066" xr:uid="{1118EA01-192F-427B-B657-2EBA260777B4}"/>
    <cellStyle name="Normal 4 6 2 5 2 3" xfId="21289" xr:uid="{50525E26-F62F-435C-9146-FE1A059E2E9E}"/>
    <cellStyle name="Normal 4 6 2 5 2 4" xfId="12849" xr:uid="{7B694CAD-38A3-48A7-8083-15F39D4CD3B2}"/>
    <cellStyle name="Normal 4 6 2 5 3" xfId="5595" xr:uid="{00000000-0005-0000-0000-000047160000}"/>
    <cellStyle name="Normal 4 6 2 5 3 2" xfId="23361" xr:uid="{647ED073-C165-43E1-89B3-E6AAA6BCA69A}"/>
    <cellStyle name="Normal 4 6 2 5 3 3" xfId="14921" xr:uid="{90785E62-82C7-4EF5-B137-F6A67384BACA}"/>
    <cellStyle name="Normal 4 6 2 5 4" xfId="19144" xr:uid="{F2DBC4D0-0D81-4017-81D7-8AAEAF358565}"/>
    <cellStyle name="Normal 4 6 2 5 5" xfId="10704" xr:uid="{F2F399DF-C42E-4AB2-B8C5-5EBB6CA32386}"/>
    <cellStyle name="Normal 4 6 2 6" xfId="1701" xr:uid="{00000000-0005-0000-0000-000048160000}"/>
    <cellStyle name="Normal 4 6 2 6 2" xfId="3931" xr:uid="{00000000-0005-0000-0000-000049160000}"/>
    <cellStyle name="Normal 4 6 2 6 2 2" xfId="8153" xr:uid="{00000000-0005-0000-0000-00004A160000}"/>
    <cellStyle name="Normal 4 6 2 6 2 2 2" xfId="25919" xr:uid="{3EAFAE77-B398-4FF7-9C7A-C7E542D2FFC0}"/>
    <cellStyle name="Normal 4 6 2 6 2 2 3" xfId="17479" xr:uid="{2FA0018F-F000-4E54-A9F1-86FD5263E87B}"/>
    <cellStyle name="Normal 4 6 2 6 2 3" xfId="21702" xr:uid="{A7014095-423D-4CB0-B798-94D1C7DAFC94}"/>
    <cellStyle name="Normal 4 6 2 6 2 4" xfId="13262" xr:uid="{3B2B2B30-91AF-4621-96D3-BC08A37094E8}"/>
    <cellStyle name="Normal 4 6 2 6 3" xfId="6008" xr:uid="{00000000-0005-0000-0000-00004B160000}"/>
    <cellStyle name="Normal 4 6 2 6 3 2" xfId="23774" xr:uid="{CB165A7E-852F-4789-8C7B-2259E0DA879D}"/>
    <cellStyle name="Normal 4 6 2 6 3 3" xfId="15334" xr:uid="{278E5F73-7668-409E-AF99-CD15F19B9961}"/>
    <cellStyle name="Normal 4 6 2 6 4" xfId="19557" xr:uid="{04224FAC-0939-434D-98DC-052ED5AD7569}"/>
    <cellStyle name="Normal 4 6 2 6 5" xfId="11117" xr:uid="{D1964CBE-D86E-418D-8595-C79863077EB0}"/>
    <cellStyle name="Normal 4 6 2 7" xfId="2115" xr:uid="{00000000-0005-0000-0000-00004C160000}"/>
    <cellStyle name="Normal 4 6 2 7 2" xfId="4344" xr:uid="{00000000-0005-0000-0000-00004D160000}"/>
    <cellStyle name="Normal 4 6 2 7 2 2" xfId="8566" xr:uid="{00000000-0005-0000-0000-00004E160000}"/>
    <cellStyle name="Normal 4 6 2 7 2 2 2" xfId="26332" xr:uid="{CFA3A943-1DB8-435C-866E-0AB61728C9A3}"/>
    <cellStyle name="Normal 4 6 2 7 2 2 3" xfId="17892" xr:uid="{CE83EFCF-586B-4A8B-9F43-4DB2E9513967}"/>
    <cellStyle name="Normal 4 6 2 7 2 3" xfId="22115" xr:uid="{A2676DF6-E578-403F-93BB-BEB4126FB93C}"/>
    <cellStyle name="Normal 4 6 2 7 2 4" xfId="13675" xr:uid="{995A89F4-9EA1-4BA0-AAC4-CAE2EE06360F}"/>
    <cellStyle name="Normal 4 6 2 7 3" xfId="6421" xr:uid="{00000000-0005-0000-0000-00004F160000}"/>
    <cellStyle name="Normal 4 6 2 7 3 2" xfId="24187" xr:uid="{F9AF1663-2E5B-4F93-AD37-F3E0FC24EA46}"/>
    <cellStyle name="Normal 4 6 2 7 3 3" xfId="15747" xr:uid="{D55C8816-C5E3-416E-A470-3ADC1314C315}"/>
    <cellStyle name="Normal 4 6 2 7 4" xfId="19970" xr:uid="{57C83E7E-75F0-48EC-8708-C00CEE265AB7}"/>
    <cellStyle name="Normal 4 6 2 7 5" xfId="11530" xr:uid="{196D2DEE-B525-4BCC-822B-0B7E85E048E2}"/>
    <cellStyle name="Normal 4 6 2 8" xfId="2551" xr:uid="{00000000-0005-0000-0000-000050160000}"/>
    <cellStyle name="Normal 4 6 2 8 2" xfId="6834" xr:uid="{00000000-0005-0000-0000-000051160000}"/>
    <cellStyle name="Normal 4 6 2 8 2 2" xfId="24600" xr:uid="{97DC74C4-A61F-4973-B540-0AFB0CA995D1}"/>
    <cellStyle name="Normal 4 6 2 8 2 3" xfId="16160" xr:uid="{2032A52B-00C2-4238-BC2F-560254AC70C6}"/>
    <cellStyle name="Normal 4 6 2 8 3" xfId="20383" xr:uid="{41AF08FE-1164-4219-8E05-150AC6AD49E4}"/>
    <cellStyle name="Normal 4 6 2 8 4" xfId="11943" xr:uid="{1236615E-7622-455D-BFF7-2D2EDBC49868}"/>
    <cellStyle name="Normal 4 6 2 9" xfId="4769" xr:uid="{00000000-0005-0000-0000-000052160000}"/>
    <cellStyle name="Normal 4 6 2 9 2" xfId="22535" xr:uid="{3DE3A221-B3E6-4C5A-83F3-19D1835EC273}"/>
    <cellStyle name="Normal 4 6 2 9 3" xfId="14095" xr:uid="{5FD2A9B8-F980-4A91-BA78-122669A0622F}"/>
    <cellStyle name="Normal 4 6 3" xfId="400" xr:uid="{00000000-0005-0000-0000-000053160000}"/>
    <cellStyle name="Normal 4 6 3 10" xfId="9882" xr:uid="{A783801B-9BC5-41CD-8160-FA6F6DCA3E98}"/>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25098" xr:uid="{4D35934F-1687-49C3-99C7-4D04C1110157}"/>
    <cellStyle name="Normal 4 6 3 2 2 2 2 3" xfId="16658" xr:uid="{EB1F57C9-4C6B-4856-8B02-B67C90602FD0}"/>
    <cellStyle name="Normal 4 6 3 2 2 2 3" xfId="20881" xr:uid="{71C9F558-8BAA-482E-B947-03CB23525AD7}"/>
    <cellStyle name="Normal 4 6 3 2 2 2 4" xfId="12441" xr:uid="{A72F2DF7-948D-4053-A264-3F30F759B579}"/>
    <cellStyle name="Normal 4 6 3 2 2 3" xfId="5187" xr:uid="{00000000-0005-0000-0000-000058160000}"/>
    <cellStyle name="Normal 4 6 3 2 2 3 2" xfId="22953" xr:uid="{046CE1AE-66CC-4F9C-94B9-3F71C5023478}"/>
    <cellStyle name="Normal 4 6 3 2 2 3 3" xfId="14513" xr:uid="{870478DD-63A0-42DB-AB1D-0F02D9E076F3}"/>
    <cellStyle name="Normal 4 6 3 2 2 4" xfId="9507" xr:uid="{63E4C3EA-8BE6-4CDE-9E44-1D64049D4CF5}"/>
    <cellStyle name="Normal 4 6 3 2 2 4 2" xfId="18736" xr:uid="{32FAA45D-4C47-4DF3-9459-57BE29EB360E}"/>
    <cellStyle name="Normal 4 6 3 2 2 5" xfId="10296" xr:uid="{050B3601-ACEC-49B3-8E8F-E27F889604DF}"/>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25511" xr:uid="{FE0027E9-7C30-4CEF-B746-3E901A5A743F}"/>
    <cellStyle name="Normal 4 6 3 2 3 2 2 3" xfId="17071" xr:uid="{A4D839F6-852C-4B01-921F-309871739A8B}"/>
    <cellStyle name="Normal 4 6 3 2 3 2 3" xfId="21294" xr:uid="{93BA858F-D5CA-43F6-94BB-EF17FDDCE328}"/>
    <cellStyle name="Normal 4 6 3 2 3 2 4" xfId="12854" xr:uid="{F1AFDB99-4813-43FC-A992-39C5FA144FFE}"/>
    <cellStyle name="Normal 4 6 3 2 3 3" xfId="5600" xr:uid="{00000000-0005-0000-0000-00005C160000}"/>
    <cellStyle name="Normal 4 6 3 2 3 3 2" xfId="23366" xr:uid="{5B9DC87F-2901-4B0A-80C7-0E0E0F4D6FD9}"/>
    <cellStyle name="Normal 4 6 3 2 3 3 3" xfId="14926" xr:uid="{F446013E-80D2-4A42-9AEB-BF4BBE2F65CC}"/>
    <cellStyle name="Normal 4 6 3 2 3 4" xfId="19149" xr:uid="{ECBBD3AD-F8AB-439D-9988-801CF6DC29B8}"/>
    <cellStyle name="Normal 4 6 3 2 3 5" xfId="10709" xr:uid="{D364B6AB-B001-4104-B44B-142C5DA0244D}"/>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25924" xr:uid="{FCC48467-E6A3-4706-B0AE-D6195F27D14C}"/>
    <cellStyle name="Normal 4 6 3 2 4 2 2 3" xfId="17484" xr:uid="{30E7C55A-51F3-4C10-8D0C-7065176008EA}"/>
    <cellStyle name="Normal 4 6 3 2 4 2 3" xfId="21707" xr:uid="{E5EEC637-087F-4155-9D00-78B063B24358}"/>
    <cellStyle name="Normal 4 6 3 2 4 2 4" xfId="13267" xr:uid="{59461BBA-2F9F-48AB-9178-19F606D9CA24}"/>
    <cellStyle name="Normal 4 6 3 2 4 3" xfId="6013" xr:uid="{00000000-0005-0000-0000-000060160000}"/>
    <cellStyle name="Normal 4 6 3 2 4 3 2" xfId="23779" xr:uid="{4ABF18B8-A4E6-4464-8DE9-484F05D73D56}"/>
    <cellStyle name="Normal 4 6 3 2 4 3 3" xfId="15339" xr:uid="{287E983F-14FF-4C19-BA2A-CBECF6DFE237}"/>
    <cellStyle name="Normal 4 6 3 2 4 4" xfId="19562" xr:uid="{D3992FAC-183F-4C05-920A-B121675801A7}"/>
    <cellStyle name="Normal 4 6 3 2 4 5" xfId="11122" xr:uid="{CD837563-7EB1-4282-90BA-F75D3728ED45}"/>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26337" xr:uid="{A1CAC1A6-3DAD-473A-9F90-C571534BA70C}"/>
    <cellStyle name="Normal 4 6 3 2 5 2 2 3" xfId="17897" xr:uid="{712684DB-A106-4685-B2EE-222465FC6134}"/>
    <cellStyle name="Normal 4 6 3 2 5 2 3" xfId="22120" xr:uid="{258F8726-DAF3-443A-BD57-476AE6F9BB7B}"/>
    <cellStyle name="Normal 4 6 3 2 5 2 4" xfId="13680" xr:uid="{E4D06F88-40EC-4467-B651-5AF01CCF360C}"/>
    <cellStyle name="Normal 4 6 3 2 5 3" xfId="6426" xr:uid="{00000000-0005-0000-0000-000064160000}"/>
    <cellStyle name="Normal 4 6 3 2 5 3 2" xfId="24192" xr:uid="{A50AF171-D139-431C-98D6-546A01136DED}"/>
    <cellStyle name="Normal 4 6 3 2 5 3 3" xfId="15752" xr:uid="{69A7A95A-51CB-445E-BF55-1FC560F22664}"/>
    <cellStyle name="Normal 4 6 3 2 5 4" xfId="19975" xr:uid="{13B66B5F-7574-4E2E-86AD-A76892E14B73}"/>
    <cellStyle name="Normal 4 6 3 2 5 5" xfId="11535" xr:uid="{5CCF6873-6DA3-4A03-A541-C1FD907D3414}"/>
    <cellStyle name="Normal 4 6 3 2 6" xfId="2556" xr:uid="{00000000-0005-0000-0000-000065160000}"/>
    <cellStyle name="Normal 4 6 3 2 6 2" xfId="6839" xr:uid="{00000000-0005-0000-0000-000066160000}"/>
    <cellStyle name="Normal 4 6 3 2 6 2 2" xfId="24605" xr:uid="{DBC40692-4B52-4B8A-80EC-9EE982A4D058}"/>
    <cellStyle name="Normal 4 6 3 2 6 2 3" xfId="16165" xr:uid="{510112E4-5A33-4567-94EA-492066D62E61}"/>
    <cellStyle name="Normal 4 6 3 2 6 3" xfId="20388" xr:uid="{10281383-9D47-4FDE-86A8-2A9C9B338444}"/>
    <cellStyle name="Normal 4 6 3 2 6 4" xfId="11948" xr:uid="{DEACBE23-4EA8-4DE2-9169-0B9558C8D26A}"/>
    <cellStyle name="Normal 4 6 3 2 7" xfId="4774" xr:uid="{00000000-0005-0000-0000-000067160000}"/>
    <cellStyle name="Normal 4 6 3 2 7 2" xfId="22540" xr:uid="{9EC772D1-8812-46F9-84F2-D451DCE5FCE9}"/>
    <cellStyle name="Normal 4 6 3 2 7 3" xfId="14100" xr:uid="{1D77712C-55AD-44B9-8865-A816D456C339}"/>
    <cellStyle name="Normal 4 6 3 2 8" xfId="9082" xr:uid="{B272D1AE-3713-4AD0-AE3F-D1A7344AD432}"/>
    <cellStyle name="Normal 4 6 3 2 8 2" xfId="18323" xr:uid="{B291A8BB-0C4F-4B82-9D2F-69A03247A980}"/>
    <cellStyle name="Normal 4 6 3 2 9" xfId="9883" xr:uid="{28D9F8D6-7CC2-49D2-80D0-3D11440EF823}"/>
    <cellStyle name="Normal 4 6 3 3" xfId="874" xr:uid="{00000000-0005-0000-0000-000068160000}"/>
    <cellStyle name="Normal 4 6 3 3 2" xfId="3109" xr:uid="{00000000-0005-0000-0000-000069160000}"/>
    <cellStyle name="Normal 4 6 3 3 2 2" xfId="7331" xr:uid="{00000000-0005-0000-0000-00006A160000}"/>
    <cellStyle name="Normal 4 6 3 3 2 2 2" xfId="25097" xr:uid="{F58B3D6D-C0DD-4ED0-A190-858F9404429F}"/>
    <cellStyle name="Normal 4 6 3 3 2 2 3" xfId="16657" xr:uid="{8E31C273-9587-4283-806D-1967E0152847}"/>
    <cellStyle name="Normal 4 6 3 3 2 3" xfId="20880" xr:uid="{BA9F3A5C-D761-4EFA-BD49-B276A8CD9F2B}"/>
    <cellStyle name="Normal 4 6 3 3 2 4" xfId="12440" xr:uid="{35D5AC80-2BCA-48DF-998D-5E264E352B4D}"/>
    <cellStyle name="Normal 4 6 3 3 3" xfId="5186" xr:uid="{00000000-0005-0000-0000-00006B160000}"/>
    <cellStyle name="Normal 4 6 3 3 3 2" xfId="22952" xr:uid="{7E9A5A16-73D0-46EF-B9F0-074B632BE4A0}"/>
    <cellStyle name="Normal 4 6 3 3 3 3" xfId="14512" xr:uid="{EA0DCCF6-9739-4B26-9D9F-604866009A70}"/>
    <cellStyle name="Normal 4 6 3 3 4" xfId="9300" xr:uid="{955A2E97-C871-4115-A4F5-A642AE2D2C4B}"/>
    <cellStyle name="Normal 4 6 3 3 4 2" xfId="18735" xr:uid="{E0891A17-548F-43EA-9C29-C74928E49ED3}"/>
    <cellStyle name="Normal 4 6 3 3 5" xfId="10295" xr:uid="{3EB1613F-9565-48D4-9B09-BF102F3B10F4}"/>
    <cellStyle name="Normal 4 6 3 4" xfId="1292" xr:uid="{00000000-0005-0000-0000-00006C160000}"/>
    <cellStyle name="Normal 4 6 3 4 2" xfId="3522" xr:uid="{00000000-0005-0000-0000-00006D160000}"/>
    <cellStyle name="Normal 4 6 3 4 2 2" xfId="7744" xr:uid="{00000000-0005-0000-0000-00006E160000}"/>
    <cellStyle name="Normal 4 6 3 4 2 2 2" xfId="25510" xr:uid="{8BAB665D-4140-4DA9-8FED-A5B0229E0C52}"/>
    <cellStyle name="Normal 4 6 3 4 2 2 3" xfId="17070" xr:uid="{87E07785-7443-41E7-9436-50D6D6FB2170}"/>
    <cellStyle name="Normal 4 6 3 4 2 3" xfId="21293" xr:uid="{FB56B43A-5E99-4F2B-9869-731281C40176}"/>
    <cellStyle name="Normal 4 6 3 4 2 4" xfId="12853" xr:uid="{3F1B6A48-363B-4C74-917F-91092A67D5A1}"/>
    <cellStyle name="Normal 4 6 3 4 3" xfId="5599" xr:uid="{00000000-0005-0000-0000-00006F160000}"/>
    <cellStyle name="Normal 4 6 3 4 3 2" xfId="23365" xr:uid="{E681A624-4C44-4457-B90A-92FE08DFD491}"/>
    <cellStyle name="Normal 4 6 3 4 3 3" xfId="14925" xr:uid="{08343FCA-E7B5-46C3-ADA4-651F069D2271}"/>
    <cellStyle name="Normal 4 6 3 4 4" xfId="19148" xr:uid="{3CC9F4E9-09A9-44F8-B22C-EA52085B3CAA}"/>
    <cellStyle name="Normal 4 6 3 4 5" xfId="10708" xr:uid="{490BC81A-5C5D-4D19-912E-1B40C778271F}"/>
    <cellStyle name="Normal 4 6 3 5" xfId="1705" xr:uid="{00000000-0005-0000-0000-000070160000}"/>
    <cellStyle name="Normal 4 6 3 5 2" xfId="3935" xr:uid="{00000000-0005-0000-0000-000071160000}"/>
    <cellStyle name="Normal 4 6 3 5 2 2" xfId="8157" xr:uid="{00000000-0005-0000-0000-000072160000}"/>
    <cellStyle name="Normal 4 6 3 5 2 2 2" xfId="25923" xr:uid="{2D124707-2AD2-4638-80C8-C3ADDF4BDCE2}"/>
    <cellStyle name="Normal 4 6 3 5 2 2 3" xfId="17483" xr:uid="{75824414-6E0C-4354-89D9-C4483A6407C1}"/>
    <cellStyle name="Normal 4 6 3 5 2 3" xfId="21706" xr:uid="{44175FC1-FCEA-4131-A51B-9FE486335288}"/>
    <cellStyle name="Normal 4 6 3 5 2 4" xfId="13266" xr:uid="{28B6E19E-6051-4D99-B59E-4017B4D5D9FB}"/>
    <cellStyle name="Normal 4 6 3 5 3" xfId="6012" xr:uid="{00000000-0005-0000-0000-000073160000}"/>
    <cellStyle name="Normal 4 6 3 5 3 2" xfId="23778" xr:uid="{F0A9A101-2A4C-48F3-B577-89B05C30B019}"/>
    <cellStyle name="Normal 4 6 3 5 3 3" xfId="15338" xr:uid="{9FA657D6-FFD1-4242-A1AB-8E2B8AC63CB3}"/>
    <cellStyle name="Normal 4 6 3 5 4" xfId="19561" xr:uid="{6C5A4614-2914-4802-9195-2B6ECDF9BCD1}"/>
    <cellStyle name="Normal 4 6 3 5 5" xfId="11121" xr:uid="{47FC2AC0-9DB1-48D4-BDF2-15B9583FDE13}"/>
    <cellStyle name="Normal 4 6 3 6" xfId="2119" xr:uid="{00000000-0005-0000-0000-000074160000}"/>
    <cellStyle name="Normal 4 6 3 6 2" xfId="4348" xr:uid="{00000000-0005-0000-0000-000075160000}"/>
    <cellStyle name="Normal 4 6 3 6 2 2" xfId="8570" xr:uid="{00000000-0005-0000-0000-000076160000}"/>
    <cellStyle name="Normal 4 6 3 6 2 2 2" xfId="26336" xr:uid="{ED4AC918-7B05-416C-A8CB-791271D0F63C}"/>
    <cellStyle name="Normal 4 6 3 6 2 2 3" xfId="17896" xr:uid="{9977F54E-3A94-4473-807F-1ADEE4BBFC4D}"/>
    <cellStyle name="Normal 4 6 3 6 2 3" xfId="22119" xr:uid="{674C6A3E-A465-4193-AD2A-E42019252786}"/>
    <cellStyle name="Normal 4 6 3 6 2 4" xfId="13679" xr:uid="{03C43802-D2FA-4924-BAF8-90527D787AF3}"/>
    <cellStyle name="Normal 4 6 3 6 3" xfId="6425" xr:uid="{00000000-0005-0000-0000-000077160000}"/>
    <cellStyle name="Normal 4 6 3 6 3 2" xfId="24191" xr:uid="{A800B3B5-94A7-4598-B985-DCB3AE1169BD}"/>
    <cellStyle name="Normal 4 6 3 6 3 3" xfId="15751" xr:uid="{83163C56-DB4A-4745-8DC3-5A474D2369DA}"/>
    <cellStyle name="Normal 4 6 3 6 4" xfId="19974" xr:uid="{57E21752-208A-4F5A-AA05-82CD6CEBAA76}"/>
    <cellStyle name="Normal 4 6 3 6 5" xfId="11534" xr:uid="{F508C998-9057-431C-BF16-A0C4AD4FF903}"/>
    <cellStyle name="Normal 4 6 3 7" xfId="2555" xr:uid="{00000000-0005-0000-0000-000078160000}"/>
    <cellStyle name="Normal 4 6 3 7 2" xfId="6838" xr:uid="{00000000-0005-0000-0000-000079160000}"/>
    <cellStyle name="Normal 4 6 3 7 2 2" xfId="24604" xr:uid="{5A0CB474-5E1E-496E-8B5E-0087744F520D}"/>
    <cellStyle name="Normal 4 6 3 7 2 3" xfId="16164" xr:uid="{4A34E849-BE4A-4FBD-A106-BF5CF1123DD1}"/>
    <cellStyle name="Normal 4 6 3 7 3" xfId="20387" xr:uid="{AC7409E3-F584-4047-8A23-0DBDA8D389C9}"/>
    <cellStyle name="Normal 4 6 3 7 4" xfId="11947" xr:uid="{24882048-9029-4A7F-806F-DA22701AD6D0}"/>
    <cellStyle name="Normal 4 6 3 8" xfId="4773" xr:uid="{00000000-0005-0000-0000-00007A160000}"/>
    <cellStyle name="Normal 4 6 3 8 2" xfId="22539" xr:uid="{C97C2903-BC9F-4BF6-B644-2D594400F66F}"/>
    <cellStyle name="Normal 4 6 3 8 3" xfId="14099" xr:uid="{9BFD9E58-D0F8-45BA-9C84-9BFE36DADE4B}"/>
    <cellStyle name="Normal 4 6 3 9" xfId="8875" xr:uid="{DFD24C28-B729-444D-A0F6-B5522ED354D5}"/>
    <cellStyle name="Normal 4 6 3 9 2" xfId="18322" xr:uid="{E2A22477-6D43-476E-BF87-F38C795777FA}"/>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25099" xr:uid="{2647B9FF-4398-4D1B-92C0-D2140DBC8341}"/>
    <cellStyle name="Normal 4 6 4 2 2 2 3" xfId="16659" xr:uid="{37C6966F-2DBD-49A5-BC7B-F9BD529A50C9}"/>
    <cellStyle name="Normal 4 6 4 2 2 3" xfId="20882" xr:uid="{66AD79EB-BE5D-49FD-B679-306DE37E37B4}"/>
    <cellStyle name="Normal 4 6 4 2 2 4" xfId="12442" xr:uid="{3B1EA7EC-ABB1-4C77-85DE-98D60763E974}"/>
    <cellStyle name="Normal 4 6 4 2 3" xfId="5188" xr:uid="{00000000-0005-0000-0000-00007F160000}"/>
    <cellStyle name="Normal 4 6 4 2 3 2" xfId="22954" xr:uid="{42B67A49-C8F5-406B-BA7C-8B7F5128446F}"/>
    <cellStyle name="Normal 4 6 4 2 3 3" xfId="14514" xr:uid="{704EFBA9-35CF-4B33-885E-F9A9301C8A96}"/>
    <cellStyle name="Normal 4 6 4 2 4" xfId="9404" xr:uid="{D1BAB6D6-35EF-4C34-91EA-2EB17352CDF9}"/>
    <cellStyle name="Normal 4 6 4 2 4 2" xfId="18737" xr:uid="{10D4263D-64A4-4A19-9283-3C9792C5CF6D}"/>
    <cellStyle name="Normal 4 6 4 2 5" xfId="10297" xr:uid="{D70A4FC4-38D8-4F0A-8D9F-9E5943A22EC5}"/>
    <cellStyle name="Normal 4 6 4 3" xfId="1294" xr:uid="{00000000-0005-0000-0000-000080160000}"/>
    <cellStyle name="Normal 4 6 4 3 2" xfId="3524" xr:uid="{00000000-0005-0000-0000-000081160000}"/>
    <cellStyle name="Normal 4 6 4 3 2 2" xfId="7746" xr:uid="{00000000-0005-0000-0000-000082160000}"/>
    <cellStyle name="Normal 4 6 4 3 2 2 2" xfId="25512" xr:uid="{C3D3334E-73A3-4BB7-8599-4414C75CC361}"/>
    <cellStyle name="Normal 4 6 4 3 2 2 3" xfId="17072" xr:uid="{482171A1-943B-488C-B49E-E7F7DDA7F318}"/>
    <cellStyle name="Normal 4 6 4 3 2 3" xfId="21295" xr:uid="{BE27A2C2-D70E-490B-9E02-E3FC75A6E36D}"/>
    <cellStyle name="Normal 4 6 4 3 2 4" xfId="12855" xr:uid="{6C846CEB-85E6-4D5A-92C4-090066D6FAB3}"/>
    <cellStyle name="Normal 4 6 4 3 3" xfId="5601" xr:uid="{00000000-0005-0000-0000-000083160000}"/>
    <cellStyle name="Normal 4 6 4 3 3 2" xfId="23367" xr:uid="{F342CECD-B7BF-4377-AE03-50B0A0AB534C}"/>
    <cellStyle name="Normal 4 6 4 3 3 3" xfId="14927" xr:uid="{064987E8-D778-4D02-A997-7D32AF8E2BB3}"/>
    <cellStyle name="Normal 4 6 4 3 4" xfId="19150" xr:uid="{0C4B2E5D-4969-4BD2-8DAC-B32E225179E9}"/>
    <cellStyle name="Normal 4 6 4 3 5" xfId="10710" xr:uid="{D60ED57D-C8CA-45B0-9A8E-3A04D63F42A1}"/>
    <cellStyle name="Normal 4 6 4 4" xfId="1707" xr:uid="{00000000-0005-0000-0000-000084160000}"/>
    <cellStyle name="Normal 4 6 4 4 2" xfId="3937" xr:uid="{00000000-0005-0000-0000-000085160000}"/>
    <cellStyle name="Normal 4 6 4 4 2 2" xfId="8159" xr:uid="{00000000-0005-0000-0000-000086160000}"/>
    <cellStyle name="Normal 4 6 4 4 2 2 2" xfId="25925" xr:uid="{F8E5C93C-65BB-45C7-BF43-478783E3A405}"/>
    <cellStyle name="Normal 4 6 4 4 2 2 3" xfId="17485" xr:uid="{36C69F1C-A3BB-4AB5-9400-309ED7E0637C}"/>
    <cellStyle name="Normal 4 6 4 4 2 3" xfId="21708" xr:uid="{33E09B1E-64F2-4F54-AFFA-E404049AB32D}"/>
    <cellStyle name="Normal 4 6 4 4 2 4" xfId="13268" xr:uid="{79EE5839-7E47-4E8F-AFA1-22089F2B44E3}"/>
    <cellStyle name="Normal 4 6 4 4 3" xfId="6014" xr:uid="{00000000-0005-0000-0000-000087160000}"/>
    <cellStyle name="Normal 4 6 4 4 3 2" xfId="23780" xr:uid="{3775B629-3C7B-4609-88DB-F8A28A8789FB}"/>
    <cellStyle name="Normal 4 6 4 4 3 3" xfId="15340" xr:uid="{0C255228-2AE6-44AF-927E-0DC32856670A}"/>
    <cellStyle name="Normal 4 6 4 4 4" xfId="19563" xr:uid="{2F081096-F8FE-4C26-89CB-2CC2D469246A}"/>
    <cellStyle name="Normal 4 6 4 4 5" xfId="11123" xr:uid="{9D2CD2FF-9073-4222-A831-B5EED3985514}"/>
    <cellStyle name="Normal 4 6 4 5" xfId="2121" xr:uid="{00000000-0005-0000-0000-000088160000}"/>
    <cellStyle name="Normal 4 6 4 5 2" xfId="4350" xr:uid="{00000000-0005-0000-0000-000089160000}"/>
    <cellStyle name="Normal 4 6 4 5 2 2" xfId="8572" xr:uid="{00000000-0005-0000-0000-00008A160000}"/>
    <cellStyle name="Normal 4 6 4 5 2 2 2" xfId="26338" xr:uid="{9D654EBD-336A-4D33-8E5D-3FD2885771A0}"/>
    <cellStyle name="Normal 4 6 4 5 2 2 3" xfId="17898" xr:uid="{FFA11517-403E-411F-A3B2-C4F042455E6B}"/>
    <cellStyle name="Normal 4 6 4 5 2 3" xfId="22121" xr:uid="{3E659603-BF13-439B-BAEA-4D75D0A373FE}"/>
    <cellStyle name="Normal 4 6 4 5 2 4" xfId="13681" xr:uid="{59894DAF-1E2E-421D-BC19-9536038765BA}"/>
    <cellStyle name="Normal 4 6 4 5 3" xfId="6427" xr:uid="{00000000-0005-0000-0000-00008B160000}"/>
    <cellStyle name="Normal 4 6 4 5 3 2" xfId="24193" xr:uid="{9B350CB7-DBE0-46BB-9C19-274ED54B83DF}"/>
    <cellStyle name="Normal 4 6 4 5 3 3" xfId="15753" xr:uid="{5D041BAA-C366-448C-80B0-E0443591CB7A}"/>
    <cellStyle name="Normal 4 6 4 5 4" xfId="19976" xr:uid="{54D43270-EC68-4092-9798-61DDA69BC8FE}"/>
    <cellStyle name="Normal 4 6 4 5 5" xfId="11536" xr:uid="{0B645822-1F0B-44CB-BD56-BB379C7303BD}"/>
    <cellStyle name="Normal 4 6 4 6" xfId="2557" xr:uid="{00000000-0005-0000-0000-00008C160000}"/>
    <cellStyle name="Normal 4 6 4 6 2" xfId="6840" xr:uid="{00000000-0005-0000-0000-00008D160000}"/>
    <cellStyle name="Normal 4 6 4 6 2 2" xfId="24606" xr:uid="{E9A782D0-C313-4A7F-B58A-7C681FE830F3}"/>
    <cellStyle name="Normal 4 6 4 6 2 3" xfId="16166" xr:uid="{E840F763-DB3D-4AA6-8487-C173A0D1D2DD}"/>
    <cellStyle name="Normal 4 6 4 6 3" xfId="20389" xr:uid="{F798B346-0389-4677-9C26-9218F12152F1}"/>
    <cellStyle name="Normal 4 6 4 6 4" xfId="11949" xr:uid="{E8AE2FD2-32C4-4650-9F8B-79EB9AE39B50}"/>
    <cellStyle name="Normal 4 6 4 7" xfId="4775" xr:uid="{00000000-0005-0000-0000-00008E160000}"/>
    <cellStyle name="Normal 4 6 4 7 2" xfId="22541" xr:uid="{32E5A7FE-9FCE-4A17-A900-89B39D3EF0EB}"/>
    <cellStyle name="Normal 4 6 4 7 3" xfId="14101" xr:uid="{2964230B-9F1E-49CD-99C5-D413982E8C9E}"/>
    <cellStyle name="Normal 4 6 4 8" xfId="8979" xr:uid="{358D1440-F461-4509-8416-8F78F7D13FF4}"/>
    <cellStyle name="Normal 4 6 4 8 2" xfId="18324" xr:uid="{32987794-B941-40F4-918F-3A6A5F4143D9}"/>
    <cellStyle name="Normal 4 6 4 9" xfId="9884" xr:uid="{8B854708-D47A-426B-BC08-7E7761DB4180}"/>
    <cellStyle name="Normal 4 6 5" xfId="869" xr:uid="{00000000-0005-0000-0000-00008F160000}"/>
    <cellStyle name="Normal 4 6 5 2" xfId="3104" xr:uid="{00000000-0005-0000-0000-000090160000}"/>
    <cellStyle name="Normal 4 6 5 2 2" xfId="7326" xr:uid="{00000000-0005-0000-0000-000091160000}"/>
    <cellStyle name="Normal 4 6 5 2 2 2" xfId="25092" xr:uid="{0172CC3A-20EC-411F-9602-34C6DBB7BAEE}"/>
    <cellStyle name="Normal 4 6 5 2 2 3" xfId="16652" xr:uid="{7FF154CD-E471-4A27-A1EC-AB2FF8E06199}"/>
    <cellStyle name="Normal 4 6 5 2 3" xfId="20875" xr:uid="{184A6484-1731-4647-A166-8EFB844D32F6}"/>
    <cellStyle name="Normal 4 6 5 2 4" xfId="12435" xr:uid="{723D2E23-052E-47AB-A737-9867F7EF97F4}"/>
    <cellStyle name="Normal 4 6 5 3" xfId="5181" xr:uid="{00000000-0005-0000-0000-000092160000}"/>
    <cellStyle name="Normal 4 6 5 3 2" xfId="22947" xr:uid="{9EF0F40A-61ED-497F-A3C0-973CA03D46F6}"/>
    <cellStyle name="Normal 4 6 5 3 3" xfId="14507" xr:uid="{0B74B8D5-D1D5-441C-8933-8BC8D949C451}"/>
    <cellStyle name="Normal 4 6 5 4" xfId="9196" xr:uid="{8DF5D81E-BEC3-4373-A99C-2D9CDEEBBA3C}"/>
    <cellStyle name="Normal 4 6 5 4 2" xfId="18730" xr:uid="{4E49968B-ED65-4AEF-8F43-30328A15896A}"/>
    <cellStyle name="Normal 4 6 5 5" xfId="10290" xr:uid="{FF47BE36-20AB-4E97-8ED8-64E00495247E}"/>
    <cellStyle name="Normal 4 6 6" xfId="1287" xr:uid="{00000000-0005-0000-0000-000093160000}"/>
    <cellStyle name="Normal 4 6 6 2" xfId="3517" xr:uid="{00000000-0005-0000-0000-000094160000}"/>
    <cellStyle name="Normal 4 6 6 2 2" xfId="7739" xr:uid="{00000000-0005-0000-0000-000095160000}"/>
    <cellStyle name="Normal 4 6 6 2 2 2" xfId="25505" xr:uid="{3ED839A7-337E-476B-ABBF-469298A16998}"/>
    <cellStyle name="Normal 4 6 6 2 2 3" xfId="17065" xr:uid="{2E178D08-1E39-46B5-9B33-2146A1497A49}"/>
    <cellStyle name="Normal 4 6 6 2 3" xfId="21288" xr:uid="{690698B0-4D4F-4889-A423-C124E8F5033D}"/>
    <cellStyle name="Normal 4 6 6 2 4" xfId="12848" xr:uid="{CB0C1B2C-B39C-4BA5-B4D5-3D80BA06238B}"/>
    <cellStyle name="Normal 4 6 6 3" xfId="5594" xr:uid="{00000000-0005-0000-0000-000096160000}"/>
    <cellStyle name="Normal 4 6 6 3 2" xfId="23360" xr:uid="{002BA159-08C3-4A2D-9E84-ED0AF0BCB678}"/>
    <cellStyle name="Normal 4 6 6 3 3" xfId="14920" xr:uid="{8C1048CE-37AE-41DD-BA30-70AADEF47743}"/>
    <cellStyle name="Normal 4 6 6 4" xfId="19143" xr:uid="{689AFAA9-E93D-4213-958A-E891AF604ED9}"/>
    <cellStyle name="Normal 4 6 6 5" xfId="10703" xr:uid="{6A2C0DE9-D440-471B-993A-CCC6EAA9C4DC}"/>
    <cellStyle name="Normal 4 6 7" xfId="1700" xr:uid="{00000000-0005-0000-0000-000097160000}"/>
    <cellStyle name="Normal 4 6 7 2" xfId="3930" xr:uid="{00000000-0005-0000-0000-000098160000}"/>
    <cellStyle name="Normal 4 6 7 2 2" xfId="8152" xr:uid="{00000000-0005-0000-0000-000099160000}"/>
    <cellStyle name="Normal 4 6 7 2 2 2" xfId="25918" xr:uid="{9D2DD6CC-6832-4C51-9B5A-91B08F366EF9}"/>
    <cellStyle name="Normal 4 6 7 2 2 3" xfId="17478" xr:uid="{3C3BE99D-942E-4DD4-A5E5-DD205B9B63EF}"/>
    <cellStyle name="Normal 4 6 7 2 3" xfId="21701" xr:uid="{57570B99-0B17-449E-A951-FD0822658651}"/>
    <cellStyle name="Normal 4 6 7 2 4" xfId="13261" xr:uid="{1DF7B9B4-4A6A-4BDB-859E-EAF165E513C9}"/>
    <cellStyle name="Normal 4 6 7 3" xfId="6007" xr:uid="{00000000-0005-0000-0000-00009A160000}"/>
    <cellStyle name="Normal 4 6 7 3 2" xfId="23773" xr:uid="{64313AD4-194A-4D67-8FD5-2FD6BA38801D}"/>
    <cellStyle name="Normal 4 6 7 3 3" xfId="15333" xr:uid="{21BCCB13-94CD-4046-B906-7BB413FE9FD3}"/>
    <cellStyle name="Normal 4 6 7 4" xfId="19556" xr:uid="{17DD65E3-38AB-4826-8792-1D6B8D215A4E}"/>
    <cellStyle name="Normal 4 6 7 5" xfId="11116" xr:uid="{16D38635-4F3F-4590-8619-65006B5BE863}"/>
    <cellStyle name="Normal 4 6 8" xfId="2114" xr:uid="{00000000-0005-0000-0000-00009B160000}"/>
    <cellStyle name="Normal 4 6 8 2" xfId="4343" xr:uid="{00000000-0005-0000-0000-00009C160000}"/>
    <cellStyle name="Normal 4 6 8 2 2" xfId="8565" xr:uid="{00000000-0005-0000-0000-00009D160000}"/>
    <cellStyle name="Normal 4 6 8 2 2 2" xfId="26331" xr:uid="{3F3CB2F0-6A7A-440A-B608-90338FDB97DF}"/>
    <cellStyle name="Normal 4 6 8 2 2 3" xfId="17891" xr:uid="{03C52B18-F868-41DE-8FD8-CD563DB8243F}"/>
    <cellStyle name="Normal 4 6 8 2 3" xfId="22114" xr:uid="{0D43C0BD-B8F6-4706-A3DC-E9125B9E799A}"/>
    <cellStyle name="Normal 4 6 8 2 4" xfId="13674" xr:uid="{9252A123-B736-4044-A7B0-44C0CA25AB82}"/>
    <cellStyle name="Normal 4 6 8 3" xfId="6420" xr:uid="{00000000-0005-0000-0000-00009E160000}"/>
    <cellStyle name="Normal 4 6 8 3 2" xfId="24186" xr:uid="{9B211083-022D-44CB-81AE-5AEE169D1B28}"/>
    <cellStyle name="Normal 4 6 8 3 3" xfId="15746" xr:uid="{5436F977-EFCC-4412-9FC2-033D75D86808}"/>
    <cellStyle name="Normal 4 6 8 4" xfId="19969" xr:uid="{F72AC1CD-B39A-4E1E-A7A3-3370C508821E}"/>
    <cellStyle name="Normal 4 6 8 5" xfId="11529" xr:uid="{0BA71195-B909-4EA5-B019-086BC5845FD9}"/>
    <cellStyle name="Normal 4 6 9" xfId="2550" xr:uid="{00000000-0005-0000-0000-00009F160000}"/>
    <cellStyle name="Normal 4 6 9 2" xfId="6833" xr:uid="{00000000-0005-0000-0000-0000A0160000}"/>
    <cellStyle name="Normal 4 6 9 2 2" xfId="24599" xr:uid="{74083F9D-3831-48F3-BCF9-B6557B07C301}"/>
    <cellStyle name="Normal 4 6 9 2 3" xfId="16159" xr:uid="{6D526888-29B5-43D0-BF50-297326EED07F}"/>
    <cellStyle name="Normal 4 6 9 3" xfId="20382" xr:uid="{DEF724E0-CE04-43FE-A073-23C62A5E28C0}"/>
    <cellStyle name="Normal 4 6 9 4" xfId="11942" xr:uid="{2F5E35C6-EBDF-4EB2-9726-A63DD44B5E65}"/>
    <cellStyle name="Normal 4 7" xfId="403" xr:uid="{00000000-0005-0000-0000-0000A1160000}"/>
    <cellStyle name="Normal 4 7 10" xfId="9885" xr:uid="{53DC8479-E449-4E9B-8D55-A1F69F0D023F}"/>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25101" xr:uid="{610004C3-84D2-4DEA-A50A-1E58F8FEF18F}"/>
    <cellStyle name="Normal 4 7 2 2 2 2 3" xfId="16661" xr:uid="{AE68B5AE-F86A-4AF6-8503-349C1D4B2B91}"/>
    <cellStyle name="Normal 4 7 2 2 2 3" xfId="20884" xr:uid="{017BFA84-398F-4FED-956A-CDFF99A51D53}"/>
    <cellStyle name="Normal 4 7 2 2 2 4" xfId="12444" xr:uid="{B681FBE7-C233-486A-81EE-A5D2959C6FB5}"/>
    <cellStyle name="Normal 4 7 2 2 3" xfId="5190" xr:uid="{00000000-0005-0000-0000-0000A6160000}"/>
    <cellStyle name="Normal 4 7 2 2 3 2" xfId="22956" xr:uid="{AADB1698-F2B4-4BEF-9C34-01D585521C96}"/>
    <cellStyle name="Normal 4 7 2 2 3 3" xfId="14516" xr:uid="{6D88F421-6B8E-44DB-BE91-E7CF47DAA6C5}"/>
    <cellStyle name="Normal 4 7 2 2 4" xfId="9475" xr:uid="{1E309EF6-7D7C-4A4D-B2F1-E00D0CF6E167}"/>
    <cellStyle name="Normal 4 7 2 2 4 2" xfId="18739" xr:uid="{29C9EE0E-E4C5-4722-B817-0D09DF31EF5A}"/>
    <cellStyle name="Normal 4 7 2 2 5" xfId="10299" xr:uid="{68A25D05-38F4-438C-80C3-172F558CFA32}"/>
    <cellStyle name="Normal 4 7 2 3" xfId="1296" xr:uid="{00000000-0005-0000-0000-0000A7160000}"/>
    <cellStyle name="Normal 4 7 2 3 2" xfId="3526" xr:uid="{00000000-0005-0000-0000-0000A8160000}"/>
    <cellStyle name="Normal 4 7 2 3 2 2" xfId="7748" xr:uid="{00000000-0005-0000-0000-0000A9160000}"/>
    <cellStyle name="Normal 4 7 2 3 2 2 2" xfId="25514" xr:uid="{585623BE-4F95-493A-BF7D-B347776A4B7E}"/>
    <cellStyle name="Normal 4 7 2 3 2 2 3" xfId="17074" xr:uid="{DBDB4CCC-3A42-44F4-A3BD-1D88249623E4}"/>
    <cellStyle name="Normal 4 7 2 3 2 3" xfId="21297" xr:uid="{59B91898-28AE-4DB6-B6D6-68BA2434B103}"/>
    <cellStyle name="Normal 4 7 2 3 2 4" xfId="12857" xr:uid="{D92E0405-8E0F-4E3F-9CAC-47CC6B07995E}"/>
    <cellStyle name="Normal 4 7 2 3 3" xfId="5603" xr:uid="{00000000-0005-0000-0000-0000AA160000}"/>
    <cellStyle name="Normal 4 7 2 3 3 2" xfId="23369" xr:uid="{938CA7B0-9E74-4195-B82F-06B4FC6C5A74}"/>
    <cellStyle name="Normal 4 7 2 3 3 3" xfId="14929" xr:uid="{4D158687-13EB-4485-ADB8-C717F78BCF45}"/>
    <cellStyle name="Normal 4 7 2 3 4" xfId="19152" xr:uid="{0CD8DA2D-93C7-472B-A2B3-7378DA9C25AE}"/>
    <cellStyle name="Normal 4 7 2 3 5" xfId="10712" xr:uid="{85394E41-9E11-42C3-B689-C4140D89F362}"/>
    <cellStyle name="Normal 4 7 2 4" xfId="1709" xr:uid="{00000000-0005-0000-0000-0000AB160000}"/>
    <cellStyle name="Normal 4 7 2 4 2" xfId="3939" xr:uid="{00000000-0005-0000-0000-0000AC160000}"/>
    <cellStyle name="Normal 4 7 2 4 2 2" xfId="8161" xr:uid="{00000000-0005-0000-0000-0000AD160000}"/>
    <cellStyle name="Normal 4 7 2 4 2 2 2" xfId="25927" xr:uid="{C568F080-7431-4026-A65F-6FACF25E37D7}"/>
    <cellStyle name="Normal 4 7 2 4 2 2 3" xfId="17487" xr:uid="{2C6539BD-A5B4-4ACA-8194-D782AE5CF829}"/>
    <cellStyle name="Normal 4 7 2 4 2 3" xfId="21710" xr:uid="{C48071C4-6D85-497C-8608-8D43AB4BDF03}"/>
    <cellStyle name="Normal 4 7 2 4 2 4" xfId="13270" xr:uid="{13517071-B996-41C5-BF9B-9A63A3D8E0D6}"/>
    <cellStyle name="Normal 4 7 2 4 3" xfId="6016" xr:uid="{00000000-0005-0000-0000-0000AE160000}"/>
    <cellStyle name="Normal 4 7 2 4 3 2" xfId="23782" xr:uid="{F6E5E8C9-278C-413B-9840-22C100619C09}"/>
    <cellStyle name="Normal 4 7 2 4 3 3" xfId="15342" xr:uid="{9DA92854-FCC7-4D56-8AA3-488FB8B53634}"/>
    <cellStyle name="Normal 4 7 2 4 4" xfId="19565" xr:uid="{AE26DF81-A1E9-466B-8307-4E43DDF43259}"/>
    <cellStyle name="Normal 4 7 2 4 5" xfId="11125" xr:uid="{80A63595-5A8D-41B0-95A3-9AEE04177A1B}"/>
    <cellStyle name="Normal 4 7 2 5" xfId="2123" xr:uid="{00000000-0005-0000-0000-0000AF160000}"/>
    <cellStyle name="Normal 4 7 2 5 2" xfId="4352" xr:uid="{00000000-0005-0000-0000-0000B0160000}"/>
    <cellStyle name="Normal 4 7 2 5 2 2" xfId="8574" xr:uid="{00000000-0005-0000-0000-0000B1160000}"/>
    <cellStyle name="Normal 4 7 2 5 2 2 2" xfId="26340" xr:uid="{E4C1DE7E-75A0-44C1-AC9E-16DF2C4B5D16}"/>
    <cellStyle name="Normal 4 7 2 5 2 2 3" xfId="17900" xr:uid="{E372D9A6-31FD-4FF6-AC3E-BCFDC842BF17}"/>
    <cellStyle name="Normal 4 7 2 5 2 3" xfId="22123" xr:uid="{DA49ACCB-4CD8-4F83-84B7-46EECD3A60FA}"/>
    <cellStyle name="Normal 4 7 2 5 2 4" xfId="13683" xr:uid="{34BA0F08-0017-4084-91B7-1D0847F12A6A}"/>
    <cellStyle name="Normal 4 7 2 5 3" xfId="6429" xr:uid="{00000000-0005-0000-0000-0000B2160000}"/>
    <cellStyle name="Normal 4 7 2 5 3 2" xfId="24195" xr:uid="{0238D4E6-9E36-413B-81C5-A8F2AD4C76CF}"/>
    <cellStyle name="Normal 4 7 2 5 3 3" xfId="15755" xr:uid="{4E885831-8862-4BD0-87E3-1A9037ADE345}"/>
    <cellStyle name="Normal 4 7 2 5 4" xfId="19978" xr:uid="{424599F2-8620-49A3-8E6F-A13D31F9EE6E}"/>
    <cellStyle name="Normal 4 7 2 5 5" xfId="11538" xr:uid="{42DA296C-251E-4DE9-A538-814FABB1B62C}"/>
    <cellStyle name="Normal 4 7 2 6" xfId="2559" xr:uid="{00000000-0005-0000-0000-0000B3160000}"/>
    <cellStyle name="Normal 4 7 2 6 2" xfId="6842" xr:uid="{00000000-0005-0000-0000-0000B4160000}"/>
    <cellStyle name="Normal 4 7 2 6 2 2" xfId="24608" xr:uid="{69BF9A9E-700F-4D56-9399-FAB75F93AD3B}"/>
    <cellStyle name="Normal 4 7 2 6 2 3" xfId="16168" xr:uid="{3B5A7D2A-77DC-4E48-99F4-9072B2124144}"/>
    <cellStyle name="Normal 4 7 2 6 3" xfId="20391" xr:uid="{10872376-77FD-4ADA-A463-6F12DD1A2091}"/>
    <cellStyle name="Normal 4 7 2 6 4" xfId="11951" xr:uid="{B0B92E80-98A7-4A6A-9645-93AA179C684E}"/>
    <cellStyle name="Normal 4 7 2 7" xfId="4777" xr:uid="{00000000-0005-0000-0000-0000B5160000}"/>
    <cellStyle name="Normal 4 7 2 7 2" xfId="22543" xr:uid="{0C8B1F17-C8A1-46D2-9C91-997E863F6587}"/>
    <cellStyle name="Normal 4 7 2 7 3" xfId="14103" xr:uid="{1CB3D28A-17AF-41AD-BD59-1B0E3626CCF8}"/>
    <cellStyle name="Normal 4 7 2 8" xfId="9050" xr:uid="{C18A0BCD-6C40-47C4-AC72-E06914F008F6}"/>
    <cellStyle name="Normal 4 7 2 8 2" xfId="18326" xr:uid="{63F05DD6-E417-4F55-BDB2-6A2AE023D054}"/>
    <cellStyle name="Normal 4 7 2 9" xfId="9886" xr:uid="{31DD8840-8D94-4AE0-A320-902D40D09694}"/>
    <cellStyle name="Normal 4 7 3" xfId="877" xr:uid="{00000000-0005-0000-0000-0000B6160000}"/>
    <cellStyle name="Normal 4 7 3 2" xfId="3112" xr:uid="{00000000-0005-0000-0000-0000B7160000}"/>
    <cellStyle name="Normal 4 7 3 2 2" xfId="7334" xr:uid="{00000000-0005-0000-0000-0000B8160000}"/>
    <cellStyle name="Normal 4 7 3 2 2 2" xfId="25100" xr:uid="{331ED17D-B318-4397-997E-9A8FE4DAAA9E}"/>
    <cellStyle name="Normal 4 7 3 2 2 3" xfId="16660" xr:uid="{FBB9B40C-D65C-4857-A239-390B92D74506}"/>
    <cellStyle name="Normal 4 7 3 2 3" xfId="20883" xr:uid="{CE3917AB-3B1D-4AFF-90F2-F6AF4534005D}"/>
    <cellStyle name="Normal 4 7 3 2 4" xfId="12443" xr:uid="{6EC13A6E-F113-4F2E-B7C4-615E57B96B5B}"/>
    <cellStyle name="Normal 4 7 3 3" xfId="5189" xr:uid="{00000000-0005-0000-0000-0000B9160000}"/>
    <cellStyle name="Normal 4 7 3 3 2" xfId="22955" xr:uid="{7992EC75-E931-4073-B5EB-40C07C665776}"/>
    <cellStyle name="Normal 4 7 3 3 3" xfId="14515" xr:uid="{602948D6-E94C-4980-AD91-D95D9655F6DA}"/>
    <cellStyle name="Normal 4 7 3 4" xfId="9268" xr:uid="{83DA99B2-5D77-4110-AEB9-304D3ECEF3EB}"/>
    <cellStyle name="Normal 4 7 3 4 2" xfId="18738" xr:uid="{DF20FC12-7840-4D52-9A23-4A3D737C4832}"/>
    <cellStyle name="Normal 4 7 3 5" xfId="10298" xr:uid="{C11A96F3-E739-460B-8E66-BEB2EFDA4E44}"/>
    <cellStyle name="Normal 4 7 4" xfId="1295" xr:uid="{00000000-0005-0000-0000-0000BA160000}"/>
    <cellStyle name="Normal 4 7 4 2" xfId="3525" xr:uid="{00000000-0005-0000-0000-0000BB160000}"/>
    <cellStyle name="Normal 4 7 4 2 2" xfId="7747" xr:uid="{00000000-0005-0000-0000-0000BC160000}"/>
    <cellStyle name="Normal 4 7 4 2 2 2" xfId="25513" xr:uid="{D675FEFD-B61D-4683-A66F-1AD2FE54B1C4}"/>
    <cellStyle name="Normal 4 7 4 2 2 3" xfId="17073" xr:uid="{6E99FA0F-8113-427F-9CDB-F694FC9538A1}"/>
    <cellStyle name="Normal 4 7 4 2 3" xfId="21296" xr:uid="{823E0AE3-321B-4869-BA2C-B60B58526BE9}"/>
    <cellStyle name="Normal 4 7 4 2 4" xfId="12856" xr:uid="{9E58B75A-C990-474E-A828-DB71D9E33E7A}"/>
    <cellStyle name="Normal 4 7 4 3" xfId="5602" xr:uid="{00000000-0005-0000-0000-0000BD160000}"/>
    <cellStyle name="Normal 4 7 4 3 2" xfId="23368" xr:uid="{98C37E0B-968A-42CE-A5C4-082DBBC52F1E}"/>
    <cellStyle name="Normal 4 7 4 3 3" xfId="14928" xr:uid="{E25C508A-877E-42A8-B526-7110EA9EB9E2}"/>
    <cellStyle name="Normal 4 7 4 4" xfId="19151" xr:uid="{8E9076EB-F042-43EC-9B76-3E5973E53C81}"/>
    <cellStyle name="Normal 4 7 4 5" xfId="10711" xr:uid="{CDA8E637-5F1A-4A68-8FC0-722E2CD72FF2}"/>
    <cellStyle name="Normal 4 7 5" xfId="1708" xr:uid="{00000000-0005-0000-0000-0000BE160000}"/>
    <cellStyle name="Normal 4 7 5 2" xfId="3938" xr:uid="{00000000-0005-0000-0000-0000BF160000}"/>
    <cellStyle name="Normal 4 7 5 2 2" xfId="8160" xr:uid="{00000000-0005-0000-0000-0000C0160000}"/>
    <cellStyle name="Normal 4 7 5 2 2 2" xfId="25926" xr:uid="{B56AAA90-356A-48D4-886D-8B0ED0E67271}"/>
    <cellStyle name="Normal 4 7 5 2 2 3" xfId="17486" xr:uid="{6C3F7E21-4528-44FE-AA52-23E79F6B0749}"/>
    <cellStyle name="Normal 4 7 5 2 3" xfId="21709" xr:uid="{9EDE974F-E1C2-4AAA-869A-DE5D6DAEFE7D}"/>
    <cellStyle name="Normal 4 7 5 2 4" xfId="13269" xr:uid="{6954783E-8C8E-4D87-B1A0-E82AA999257A}"/>
    <cellStyle name="Normal 4 7 5 3" xfId="6015" xr:uid="{00000000-0005-0000-0000-0000C1160000}"/>
    <cellStyle name="Normal 4 7 5 3 2" xfId="23781" xr:uid="{6AA78C47-528C-48A4-9F9B-1275E2A414EC}"/>
    <cellStyle name="Normal 4 7 5 3 3" xfId="15341" xr:uid="{244E7027-9AB9-4517-8871-E18970E953E1}"/>
    <cellStyle name="Normal 4 7 5 4" xfId="19564" xr:uid="{33152B39-C29C-4F9F-A301-D0CFEEB0ECB8}"/>
    <cellStyle name="Normal 4 7 5 5" xfId="11124" xr:uid="{81D10B8D-B977-4128-BBF2-28612CEBCD86}"/>
    <cellStyle name="Normal 4 7 6" xfId="2122" xr:uid="{00000000-0005-0000-0000-0000C2160000}"/>
    <cellStyle name="Normal 4 7 6 2" xfId="4351" xr:uid="{00000000-0005-0000-0000-0000C3160000}"/>
    <cellStyle name="Normal 4 7 6 2 2" xfId="8573" xr:uid="{00000000-0005-0000-0000-0000C4160000}"/>
    <cellStyle name="Normal 4 7 6 2 2 2" xfId="26339" xr:uid="{BF3F38FE-4AB1-47A7-9255-F567E5F10AF4}"/>
    <cellStyle name="Normal 4 7 6 2 2 3" xfId="17899" xr:uid="{14D030DB-FCAA-45ED-9B94-EB2AA7552D5A}"/>
    <cellStyle name="Normal 4 7 6 2 3" xfId="22122" xr:uid="{C18AF409-0D8F-4B46-ABB2-6F0B615685E8}"/>
    <cellStyle name="Normal 4 7 6 2 4" xfId="13682" xr:uid="{3E2BF331-F063-487C-A032-6F9B785E26E8}"/>
    <cellStyle name="Normal 4 7 6 3" xfId="6428" xr:uid="{00000000-0005-0000-0000-0000C5160000}"/>
    <cellStyle name="Normal 4 7 6 3 2" xfId="24194" xr:uid="{EC234438-766A-4365-B64D-B4A9B279F280}"/>
    <cellStyle name="Normal 4 7 6 3 3" xfId="15754" xr:uid="{E3542D8F-95CF-4B50-946A-9FE2A9E1A8AF}"/>
    <cellStyle name="Normal 4 7 6 4" xfId="19977" xr:uid="{F19AF1A5-3F23-4E9B-A791-0BA67C1EF18F}"/>
    <cellStyle name="Normal 4 7 6 5" xfId="11537" xr:uid="{E1BD2F33-FAE4-4978-B764-2E68FFCB3B1D}"/>
    <cellStyle name="Normal 4 7 7" xfId="2558" xr:uid="{00000000-0005-0000-0000-0000C6160000}"/>
    <cellStyle name="Normal 4 7 7 2" xfId="6841" xr:uid="{00000000-0005-0000-0000-0000C7160000}"/>
    <cellStyle name="Normal 4 7 7 2 2" xfId="24607" xr:uid="{7AB87D21-AD09-4E96-92D0-ACFE98EBE9E2}"/>
    <cellStyle name="Normal 4 7 7 2 3" xfId="16167" xr:uid="{095DBAC0-52A3-41CF-8944-2743F7865061}"/>
    <cellStyle name="Normal 4 7 7 3" xfId="20390" xr:uid="{88B379AB-B845-4C47-9BE3-C16EDBB29787}"/>
    <cellStyle name="Normal 4 7 7 4" xfId="11950" xr:uid="{3493B971-8E91-493B-A558-2DCEC393BFD4}"/>
    <cellStyle name="Normal 4 7 8" xfId="4776" xr:uid="{00000000-0005-0000-0000-0000C8160000}"/>
    <cellStyle name="Normal 4 7 8 2" xfId="22542" xr:uid="{730D1DBA-E9DC-40B7-BE3A-EF930D62C9C0}"/>
    <cellStyle name="Normal 4 7 8 3" xfId="14102" xr:uid="{899B6255-ED61-401A-A3DE-84AF6F093553}"/>
    <cellStyle name="Normal 4 7 9" xfId="8843" xr:uid="{092972D9-0015-4C5A-94A6-5AFD2026266B}"/>
    <cellStyle name="Normal 4 7 9 2" xfId="18325" xr:uid="{B16996A8-1903-4C50-8EC2-0EB4493B239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25102" xr:uid="{9B408495-0188-4486-A561-2B2CC30EABED}"/>
    <cellStyle name="Normal 4 8 2 2 2 3" xfId="16662" xr:uid="{D3B40FCB-E9A4-43D7-A44A-3C5336091E3E}"/>
    <cellStyle name="Normal 4 8 2 2 3" xfId="20885" xr:uid="{4D4660B7-1C9C-4F67-B769-7F261E23F6CD}"/>
    <cellStyle name="Normal 4 8 2 2 4" xfId="12445" xr:uid="{4C872A5B-0C52-424B-81A8-D67A385A8F31}"/>
    <cellStyle name="Normal 4 8 2 3" xfId="5191" xr:uid="{00000000-0005-0000-0000-0000CD160000}"/>
    <cellStyle name="Normal 4 8 2 3 2" xfId="22957" xr:uid="{0819A6FF-5981-43C4-A133-9772D0B3994E}"/>
    <cellStyle name="Normal 4 8 2 3 3" xfId="14517" xr:uid="{6B1A1765-0950-458A-89AC-E53BDEEF74F6}"/>
    <cellStyle name="Normal 4 8 2 4" xfId="9384" xr:uid="{6351F1DA-E485-4044-8429-C0AE76E79EEE}"/>
    <cellStyle name="Normal 4 8 2 4 2" xfId="18740" xr:uid="{F4560CC9-DE55-4A78-8847-A6D4FD3A8FBC}"/>
    <cellStyle name="Normal 4 8 2 5" xfId="10300" xr:uid="{EE92BDC4-01CE-4D46-8C12-52481F7CBDA1}"/>
    <cellStyle name="Normal 4 8 3" xfId="1297" xr:uid="{00000000-0005-0000-0000-0000CE160000}"/>
    <cellStyle name="Normal 4 8 3 2" xfId="3527" xr:uid="{00000000-0005-0000-0000-0000CF160000}"/>
    <cellStyle name="Normal 4 8 3 2 2" xfId="7749" xr:uid="{00000000-0005-0000-0000-0000D0160000}"/>
    <cellStyle name="Normal 4 8 3 2 2 2" xfId="25515" xr:uid="{3CADC3C3-F83F-40B4-A4E2-183BBCE467C7}"/>
    <cellStyle name="Normal 4 8 3 2 2 3" xfId="17075" xr:uid="{94BD58C3-C7D4-437D-83B3-CB176FB7808C}"/>
    <cellStyle name="Normal 4 8 3 2 3" xfId="21298" xr:uid="{D68DA518-BDDC-4285-8D60-0E0C3F037B72}"/>
    <cellStyle name="Normal 4 8 3 2 4" xfId="12858" xr:uid="{2DC5CB02-6D02-4409-A210-32DC2D2B4D6E}"/>
    <cellStyle name="Normal 4 8 3 3" xfId="5604" xr:uid="{00000000-0005-0000-0000-0000D1160000}"/>
    <cellStyle name="Normal 4 8 3 3 2" xfId="23370" xr:uid="{1DFF0642-513A-4087-9D46-83E966518003}"/>
    <cellStyle name="Normal 4 8 3 3 3" xfId="14930" xr:uid="{4CBD4EF8-9BCF-41D2-A802-D3B00955FF3E}"/>
    <cellStyle name="Normal 4 8 3 4" xfId="19153" xr:uid="{0C83685A-90C3-4260-9BBF-7FCC28084381}"/>
    <cellStyle name="Normal 4 8 3 5" xfId="10713" xr:uid="{7F235450-9850-47C5-B760-2F0AD8A84970}"/>
    <cellStyle name="Normal 4 8 4" xfId="1710" xr:uid="{00000000-0005-0000-0000-0000D2160000}"/>
    <cellStyle name="Normal 4 8 4 2" xfId="3940" xr:uid="{00000000-0005-0000-0000-0000D3160000}"/>
    <cellStyle name="Normal 4 8 4 2 2" xfId="8162" xr:uid="{00000000-0005-0000-0000-0000D4160000}"/>
    <cellStyle name="Normal 4 8 4 2 2 2" xfId="25928" xr:uid="{F03F6FE2-5326-4AFB-9060-EA06AB256FD3}"/>
    <cellStyle name="Normal 4 8 4 2 2 3" xfId="17488" xr:uid="{31C109B1-F5B1-4420-A531-15BF8C3D4DE5}"/>
    <cellStyle name="Normal 4 8 4 2 3" xfId="21711" xr:uid="{E0A881DD-65F7-459C-992F-4FA585F661AD}"/>
    <cellStyle name="Normal 4 8 4 2 4" xfId="13271" xr:uid="{4084C94E-19CF-433B-96E0-B563534AA0EE}"/>
    <cellStyle name="Normal 4 8 4 3" xfId="6017" xr:uid="{00000000-0005-0000-0000-0000D5160000}"/>
    <cellStyle name="Normal 4 8 4 3 2" xfId="23783" xr:uid="{FF0723C0-7C5C-4F12-9F20-929195AE2D72}"/>
    <cellStyle name="Normal 4 8 4 3 3" xfId="15343" xr:uid="{F3A3A98A-4610-4671-9906-64835B06D144}"/>
    <cellStyle name="Normal 4 8 4 4" xfId="19566" xr:uid="{5D8E4CE4-2B82-41FA-897F-B4731236C0FC}"/>
    <cellStyle name="Normal 4 8 4 5" xfId="11126" xr:uid="{9414FF2B-1B5E-4DEC-9947-24A74D63A755}"/>
    <cellStyle name="Normal 4 8 5" xfId="2124" xr:uid="{00000000-0005-0000-0000-0000D6160000}"/>
    <cellStyle name="Normal 4 8 5 2" xfId="4353" xr:uid="{00000000-0005-0000-0000-0000D7160000}"/>
    <cellStyle name="Normal 4 8 5 2 2" xfId="8575" xr:uid="{00000000-0005-0000-0000-0000D8160000}"/>
    <cellStyle name="Normal 4 8 5 2 2 2" xfId="26341" xr:uid="{14572F61-1F43-4333-9B0B-D4C3579E63F4}"/>
    <cellStyle name="Normal 4 8 5 2 2 3" xfId="17901" xr:uid="{21AF23B8-4867-48EE-9E20-F80AEDAD9865}"/>
    <cellStyle name="Normal 4 8 5 2 3" xfId="22124" xr:uid="{097FCDF8-6CC7-4581-988E-7DA6971BE84A}"/>
    <cellStyle name="Normal 4 8 5 2 4" xfId="13684" xr:uid="{3A56B00D-E66C-4992-8029-DE119D74B1A6}"/>
    <cellStyle name="Normal 4 8 5 3" xfId="6430" xr:uid="{00000000-0005-0000-0000-0000D9160000}"/>
    <cellStyle name="Normal 4 8 5 3 2" xfId="24196" xr:uid="{076A7699-4886-45D2-BBC6-54DD20C0D074}"/>
    <cellStyle name="Normal 4 8 5 3 3" xfId="15756" xr:uid="{01821850-1560-4B22-B3F6-8C368A5746AD}"/>
    <cellStyle name="Normal 4 8 5 4" xfId="19979" xr:uid="{FB61C5C6-C5A2-43E6-AF25-458FCD8FD3BD}"/>
    <cellStyle name="Normal 4 8 5 5" xfId="11539" xr:uid="{C8489D39-93CE-4087-A54B-51BD2AEB8718}"/>
    <cellStyle name="Normal 4 8 6" xfId="2560" xr:uid="{00000000-0005-0000-0000-0000DA160000}"/>
    <cellStyle name="Normal 4 8 6 2" xfId="6843" xr:uid="{00000000-0005-0000-0000-0000DB160000}"/>
    <cellStyle name="Normal 4 8 6 2 2" xfId="24609" xr:uid="{36502F7B-B89A-4D02-8B79-B968356F7E82}"/>
    <cellStyle name="Normal 4 8 6 2 3" xfId="16169" xr:uid="{CC896D20-4D6A-48D0-8E6F-9FC4DB7DED6B}"/>
    <cellStyle name="Normal 4 8 6 3" xfId="20392" xr:uid="{B64C0CC8-5913-46DC-8791-94947436FAD0}"/>
    <cellStyle name="Normal 4 8 6 4" xfId="11952" xr:uid="{F0DF6824-DAC8-4240-9BA6-B6BF7A52A74D}"/>
    <cellStyle name="Normal 4 8 7" xfId="4778" xr:uid="{00000000-0005-0000-0000-0000DC160000}"/>
    <cellStyle name="Normal 4 8 7 2" xfId="22544" xr:uid="{CDE65415-36EA-4388-A655-D73F7C07EEF7}"/>
    <cellStyle name="Normal 4 8 7 3" xfId="14104" xr:uid="{C527F71B-4809-4FCF-B92D-FB225164D8D6}"/>
    <cellStyle name="Normal 4 8 8" xfId="8959" xr:uid="{E3216EF3-66EB-48FF-967C-A258B3C3F4FF}"/>
    <cellStyle name="Normal 4 8 8 2" xfId="18327" xr:uid="{B1697AF7-B3A4-4146-9FE6-9FCD7E17609E}"/>
    <cellStyle name="Normal 4 8 9" xfId="9887" xr:uid="{588B0A3F-0007-42B9-A3DA-6C117C425431}"/>
    <cellStyle name="Normal 4 9" xfId="4715" xr:uid="{00000000-0005-0000-0000-0000DD160000}"/>
    <cellStyle name="Normal 4 9 2" xfId="9162" xr:uid="{BC355FAB-4557-4712-A03F-EB5522B29E6A}"/>
    <cellStyle name="Normal 4 9 2 2" xfId="22481" xr:uid="{36B10328-3580-46B8-976E-01344F86262F}"/>
    <cellStyle name="Normal 4 9 3" xfId="14041" xr:uid="{9E156903-46F7-4306-8032-22A85CA38AA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25929" xr:uid="{3F1C9A6C-72D6-4E43-BF47-863BC374725C}"/>
    <cellStyle name="Normal 5 10 2 2 3" xfId="17489" xr:uid="{E2880B9F-1355-4722-A691-FBCFACEE7521}"/>
    <cellStyle name="Normal 5 10 2 3" xfId="21712" xr:uid="{D8FD8D46-1173-46B2-BC3C-63B7D1D4D77B}"/>
    <cellStyle name="Normal 5 10 2 4" xfId="13272" xr:uid="{CAEFC7F5-0A8A-4C43-AD5E-65FC76911C27}"/>
    <cellStyle name="Normal 5 10 3" xfId="6018" xr:uid="{00000000-0005-0000-0000-0000E2160000}"/>
    <cellStyle name="Normal 5 10 3 2" xfId="23784" xr:uid="{9A327A52-C4D1-4C87-8E39-F0466205DA9F}"/>
    <cellStyle name="Normal 5 10 3 3" xfId="15344" xr:uid="{332B5760-6439-459E-A8D5-62B93313C1EF}"/>
    <cellStyle name="Normal 5 10 4" xfId="19567" xr:uid="{66574D78-26F8-49F8-A30B-1080C7F20B3E}"/>
    <cellStyle name="Normal 5 10 5" xfId="11127" xr:uid="{AA6D339F-04A2-4A45-BBEE-847B1E2A2474}"/>
    <cellStyle name="Normal 5 11" xfId="2125" xr:uid="{00000000-0005-0000-0000-0000E3160000}"/>
    <cellStyle name="Normal 5 11 2" xfId="4354" xr:uid="{00000000-0005-0000-0000-0000E4160000}"/>
    <cellStyle name="Normal 5 11 2 2" xfId="8576" xr:uid="{00000000-0005-0000-0000-0000E5160000}"/>
    <cellStyle name="Normal 5 11 2 2 2" xfId="26342" xr:uid="{BB60DF2E-4DE3-4A92-AD4E-E94083C49FB2}"/>
    <cellStyle name="Normal 5 11 2 2 3" xfId="17902" xr:uid="{2125FDAE-D91F-4450-9136-92278D582C6D}"/>
    <cellStyle name="Normal 5 11 2 3" xfId="22125" xr:uid="{9BFC3B02-629E-4072-B524-E697FE227147}"/>
    <cellStyle name="Normal 5 11 2 4" xfId="13685" xr:uid="{4AB354CB-D339-4A1E-B986-E34BE1AC693B}"/>
    <cellStyle name="Normal 5 11 3" xfId="6431" xr:uid="{00000000-0005-0000-0000-0000E6160000}"/>
    <cellStyle name="Normal 5 11 3 2" xfId="24197" xr:uid="{41FCD477-ACAC-460E-8196-BDB08C6647CE}"/>
    <cellStyle name="Normal 5 11 3 3" xfId="15757" xr:uid="{2615B96A-6B88-4212-A0C4-7BFD749A8926}"/>
    <cellStyle name="Normal 5 11 4" xfId="19980" xr:uid="{F185DD42-48B0-4FAB-AF36-2A74F73F12E3}"/>
    <cellStyle name="Normal 5 11 5" xfId="11540" xr:uid="{C8A6FA6D-691C-4AB8-AB4F-2A0E35E66FCF}"/>
    <cellStyle name="Normal 5 12" xfId="2561" xr:uid="{00000000-0005-0000-0000-0000E7160000}"/>
    <cellStyle name="Normal 5 12 2" xfId="6844" xr:uid="{00000000-0005-0000-0000-0000E8160000}"/>
    <cellStyle name="Normal 5 12 2 2" xfId="24610" xr:uid="{C1479A08-187C-4004-AFF3-6CF49AA1CB60}"/>
    <cellStyle name="Normal 5 12 2 3" xfId="16170" xr:uid="{F74A05B8-784A-497C-A9BB-9E9C0A1461B1}"/>
    <cellStyle name="Normal 5 12 3" xfId="20393" xr:uid="{B03A0B20-F394-45FF-93D9-BCA203DCD12B}"/>
    <cellStyle name="Normal 5 12 4" xfId="11953" xr:uid="{9D19AEBC-7C9A-4291-B3A2-A7B009A843A1}"/>
    <cellStyle name="Normal 5 13" xfId="4779" xr:uid="{00000000-0005-0000-0000-0000E9160000}"/>
    <cellStyle name="Normal 5 13 2" xfId="22545" xr:uid="{629E47E2-E794-44E8-91AD-1D733117445A}"/>
    <cellStyle name="Normal 5 13 3" xfId="14105" xr:uid="{FB7BB073-50A3-4E29-8882-273728437179}"/>
    <cellStyle name="Normal 5 14" xfId="8741" xr:uid="{6467398C-BC57-47BF-AF01-9B3356F8431F}"/>
    <cellStyle name="Normal 5 14 2" xfId="18328" xr:uid="{F80B10B0-E157-4D0A-8C99-D4F4FECC83F7}"/>
    <cellStyle name="Normal 5 15" xfId="9888" xr:uid="{0094F765-01C0-40ED-855C-E0A750768827}"/>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26343" xr:uid="{42805CBD-D134-47C9-9428-E34EA2120F24}"/>
    <cellStyle name="Normal 5 2 10 2 2 3" xfId="17903" xr:uid="{6BF75068-D81F-4127-B894-6D1494C89A48}"/>
    <cellStyle name="Normal 5 2 10 2 3" xfId="22126" xr:uid="{2A9417A5-FD02-4D87-849F-ADB13E0D87E2}"/>
    <cellStyle name="Normal 5 2 10 2 4" xfId="13686" xr:uid="{325AA890-1169-47FA-B807-97DF523D83DA}"/>
    <cellStyle name="Normal 5 2 10 3" xfId="6432" xr:uid="{00000000-0005-0000-0000-0000EE160000}"/>
    <cellStyle name="Normal 5 2 10 3 2" xfId="24198" xr:uid="{E6ECC967-FCD4-466D-BAFD-FC690E2D3C4E}"/>
    <cellStyle name="Normal 5 2 10 3 3" xfId="15758" xr:uid="{6C0E06C0-547C-4928-BDAC-20B6E88ACB71}"/>
    <cellStyle name="Normal 5 2 10 4" xfId="19981" xr:uid="{31AFEA8E-88AC-4D44-A61E-31DD7A8DE603}"/>
    <cellStyle name="Normal 5 2 10 5" xfId="11541" xr:uid="{0EC29248-E0DF-4755-865D-B27D40C6CC0E}"/>
    <cellStyle name="Normal 5 2 11" xfId="2562" xr:uid="{00000000-0005-0000-0000-0000EF160000}"/>
    <cellStyle name="Normal 5 2 11 2" xfId="6845" xr:uid="{00000000-0005-0000-0000-0000F0160000}"/>
    <cellStyle name="Normal 5 2 11 2 2" xfId="24611" xr:uid="{6CD538FB-CA62-4F80-B58E-D705D5DBB559}"/>
    <cellStyle name="Normal 5 2 11 2 3" xfId="16171" xr:uid="{B585A5ED-5FD6-4DF3-AD44-196F43DA369D}"/>
    <cellStyle name="Normal 5 2 11 3" xfId="20394" xr:uid="{DD1819A6-9544-493F-80C6-3C2DF17C2212}"/>
    <cellStyle name="Normal 5 2 11 4" xfId="11954" xr:uid="{F4C511C6-6093-4C2A-9001-1EF0CD2A8E4E}"/>
    <cellStyle name="Normal 5 2 12" xfId="4780" xr:uid="{00000000-0005-0000-0000-0000F1160000}"/>
    <cellStyle name="Normal 5 2 12 2" xfId="22546" xr:uid="{60DC78C1-0DCB-4706-8B96-E23D48C4FBD7}"/>
    <cellStyle name="Normal 5 2 12 3" xfId="14106" xr:uid="{F253111F-F8C0-49DA-8DAF-D0BCC49274CA}"/>
    <cellStyle name="Normal 5 2 13" xfId="8744" xr:uid="{40D5DF2B-E9DF-4D52-AAE0-3E5A94050B59}"/>
    <cellStyle name="Normal 5 2 13 2" xfId="18329" xr:uid="{B2D089A2-37F9-4E2E-AA7D-684B2355AB2B}"/>
    <cellStyle name="Normal 5 2 14" xfId="9889" xr:uid="{7083D319-9DAB-4DA6-B6DB-06F94FB1B0D2}"/>
    <cellStyle name="Normal 5 2 2" xfId="408" xr:uid="{00000000-0005-0000-0000-0000F2160000}"/>
    <cellStyle name="Normal 5 2 2 10" xfId="2563" xr:uid="{00000000-0005-0000-0000-0000F3160000}"/>
    <cellStyle name="Normal 5 2 2 10 2" xfId="6846" xr:uid="{00000000-0005-0000-0000-0000F4160000}"/>
    <cellStyle name="Normal 5 2 2 10 2 2" xfId="24612" xr:uid="{16CDE096-FBA4-4C71-B59E-986A9EED91E8}"/>
    <cellStyle name="Normal 5 2 2 10 2 3" xfId="16172" xr:uid="{A5AC5C1B-BA4A-430D-84B2-EE0EF4F18B60}"/>
    <cellStyle name="Normal 5 2 2 10 3" xfId="20395" xr:uid="{83727E1E-D85E-438E-99FC-3AE49BCA5F16}"/>
    <cellStyle name="Normal 5 2 2 10 4" xfId="11955" xr:uid="{998944B5-63BF-4A60-B147-37F216228963}"/>
    <cellStyle name="Normal 5 2 2 11" xfId="4781" xr:uid="{00000000-0005-0000-0000-0000F5160000}"/>
    <cellStyle name="Normal 5 2 2 11 2" xfId="22547" xr:uid="{30907AA9-201A-48F6-8216-5CACAD28968C}"/>
    <cellStyle name="Normal 5 2 2 11 3" xfId="14107" xr:uid="{E696DDA2-DC10-4AA9-AEF5-03ABB8501DE6}"/>
    <cellStyle name="Normal 5 2 2 12" xfId="8753" xr:uid="{96D04E2F-D92F-448D-9FDA-8261D8BEE094}"/>
    <cellStyle name="Normal 5 2 2 12 2" xfId="18330" xr:uid="{D443988B-A930-4E96-A4E7-34771609ADAD}"/>
    <cellStyle name="Normal 5 2 2 13" xfId="9890" xr:uid="{CE71E1DD-13D7-4CD4-9F6A-6101350EED45}"/>
    <cellStyle name="Normal 5 2 2 2" xfId="409" xr:uid="{00000000-0005-0000-0000-0000F6160000}"/>
    <cellStyle name="Normal 5 2 2 2 10" xfId="4782" xr:uid="{00000000-0005-0000-0000-0000F7160000}"/>
    <cellStyle name="Normal 5 2 2 2 10 2" xfId="22548" xr:uid="{C43F121D-C0DC-439E-A472-93081F7FDF60}"/>
    <cellStyle name="Normal 5 2 2 2 10 3" xfId="14108" xr:uid="{3A5D23D1-35E2-4E79-A1AB-37A7750FB513}"/>
    <cellStyle name="Normal 5 2 2 2 11" xfId="8771" xr:uid="{0E58ED1C-12F1-4692-801F-170CA6F7CBDB}"/>
    <cellStyle name="Normal 5 2 2 2 11 2" xfId="18331" xr:uid="{C4F2A544-34CB-4791-A34C-CAABAEBF345A}"/>
    <cellStyle name="Normal 5 2 2 2 12" xfId="9891" xr:uid="{4FA8A75C-252A-49E4-BB65-15FF94E3F0B3}"/>
    <cellStyle name="Normal 5 2 2 2 2" xfId="410" xr:uid="{00000000-0005-0000-0000-0000F8160000}"/>
    <cellStyle name="Normal 5 2 2 2 2 10" xfId="8829" xr:uid="{AC161972-21E9-4E03-8D2E-9F95632CB08D}"/>
    <cellStyle name="Normal 5 2 2 2 2 10 2" xfId="18332" xr:uid="{98349BFF-BE34-40D9-B004-DAB753DDE9B9}"/>
    <cellStyle name="Normal 5 2 2 2 2 11" xfId="9892" xr:uid="{9135BF85-A9EC-4B9C-B6F9-9715E0CBE921}"/>
    <cellStyle name="Normal 5 2 2 2 2 2" xfId="411" xr:uid="{00000000-0005-0000-0000-0000F9160000}"/>
    <cellStyle name="Normal 5 2 2 2 2 2 10" xfId="9893" xr:uid="{02D9A0F4-86CE-4341-932F-722617A37C6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25109" xr:uid="{DB7FB52C-F4B2-405E-93EE-A742C5D4D50F}"/>
    <cellStyle name="Normal 5 2 2 2 2 2 2 2 2 2 3" xfId="16669" xr:uid="{F474B03A-6803-4695-A2AC-E8B177A1D813}"/>
    <cellStyle name="Normal 5 2 2 2 2 2 2 2 2 3" xfId="20892" xr:uid="{0BEC08E1-2073-42EC-824A-3FDCC93D31A2}"/>
    <cellStyle name="Normal 5 2 2 2 2 2 2 2 2 4" xfId="12452" xr:uid="{676A8518-F663-475B-B3EA-230E7B0628CC}"/>
    <cellStyle name="Normal 5 2 2 2 2 2 2 2 3" xfId="5198" xr:uid="{00000000-0005-0000-0000-0000FE160000}"/>
    <cellStyle name="Normal 5 2 2 2 2 2 2 2 3 2" xfId="22964" xr:uid="{27EAC086-F557-4338-99A3-D234BF368CF8}"/>
    <cellStyle name="Normal 5 2 2 2 2 2 2 2 3 3" xfId="14524" xr:uid="{8D3A17EF-55F3-4822-B5A4-9C26C0EA8493}"/>
    <cellStyle name="Normal 5 2 2 2 2 2 2 2 4" xfId="9564" xr:uid="{15884BE4-44C0-46E7-A184-FC102AAADEB4}"/>
    <cellStyle name="Normal 5 2 2 2 2 2 2 2 4 2" xfId="18747" xr:uid="{B32655F0-0860-43D7-8590-589355E5B5E6}"/>
    <cellStyle name="Normal 5 2 2 2 2 2 2 2 5" xfId="10307" xr:uid="{122683CE-D3E1-4C62-A6A0-2A09043FB773}"/>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25522" xr:uid="{C88E22D7-2C25-4D9B-8D94-34B3D81E1E0F}"/>
    <cellStyle name="Normal 5 2 2 2 2 2 2 3 2 2 3" xfId="17082" xr:uid="{53A6B210-EFA3-49AE-BDAA-F6FCDFF67CDE}"/>
    <cellStyle name="Normal 5 2 2 2 2 2 2 3 2 3" xfId="21305" xr:uid="{0C06F0A7-233C-4472-86B9-B732B9C8B75B}"/>
    <cellStyle name="Normal 5 2 2 2 2 2 2 3 2 4" xfId="12865" xr:uid="{59F8C05E-7997-4279-9556-3C979AD76E7F}"/>
    <cellStyle name="Normal 5 2 2 2 2 2 2 3 3" xfId="5611" xr:uid="{00000000-0005-0000-0000-000002170000}"/>
    <cellStyle name="Normal 5 2 2 2 2 2 2 3 3 2" xfId="23377" xr:uid="{E10BFD45-3AD1-4146-8586-8291A7AB13FD}"/>
    <cellStyle name="Normal 5 2 2 2 2 2 2 3 3 3" xfId="14937" xr:uid="{A71D43E4-E968-4A1A-90F3-4A5B49A6D471}"/>
    <cellStyle name="Normal 5 2 2 2 2 2 2 3 4" xfId="19160" xr:uid="{26E16A56-2DB0-4EA6-9A7B-FCCE7BF2F1CF}"/>
    <cellStyle name="Normal 5 2 2 2 2 2 2 3 5" xfId="10720" xr:uid="{B7CB591E-5635-4896-9F29-595E34B75622}"/>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25935" xr:uid="{3897E185-4B8B-494F-8CD2-2D8D2A2989DE}"/>
    <cellStyle name="Normal 5 2 2 2 2 2 2 4 2 2 3" xfId="17495" xr:uid="{89C9B223-D943-416F-95D8-95C0B0133526}"/>
    <cellStyle name="Normal 5 2 2 2 2 2 2 4 2 3" xfId="21718" xr:uid="{9BE272C8-4C54-4C48-B61B-75F03B634028}"/>
    <cellStyle name="Normal 5 2 2 2 2 2 2 4 2 4" xfId="13278" xr:uid="{82944ADF-134E-47CB-9D40-3967C95446B1}"/>
    <cellStyle name="Normal 5 2 2 2 2 2 2 4 3" xfId="6024" xr:uid="{00000000-0005-0000-0000-000006170000}"/>
    <cellStyle name="Normal 5 2 2 2 2 2 2 4 3 2" xfId="23790" xr:uid="{156D3B8F-82F0-49B2-B668-18F7FF093174}"/>
    <cellStyle name="Normal 5 2 2 2 2 2 2 4 3 3" xfId="15350" xr:uid="{1D6E9C89-AB4D-47CD-93EE-C096A9DB7F8D}"/>
    <cellStyle name="Normal 5 2 2 2 2 2 2 4 4" xfId="19573" xr:uid="{2AC053F2-FA04-4EA9-951E-DDAB6C0C8961}"/>
    <cellStyle name="Normal 5 2 2 2 2 2 2 4 5" xfId="11133" xr:uid="{8BD7933B-6E21-4366-B741-3B5EF002E3F7}"/>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26348" xr:uid="{C48C9071-2F86-4AFA-8739-1B96D21FAAF1}"/>
    <cellStyle name="Normal 5 2 2 2 2 2 2 5 2 2 3" xfId="17908" xr:uid="{970B902D-96F4-42B1-AFD1-F6969FACB345}"/>
    <cellStyle name="Normal 5 2 2 2 2 2 2 5 2 3" xfId="22131" xr:uid="{0B43A3C7-DE27-4A88-884B-566ECA75CDB9}"/>
    <cellStyle name="Normal 5 2 2 2 2 2 2 5 2 4" xfId="13691" xr:uid="{82FF969F-99DA-4027-B2F5-FDDDB373AF2F}"/>
    <cellStyle name="Normal 5 2 2 2 2 2 2 5 3" xfId="6437" xr:uid="{00000000-0005-0000-0000-00000A170000}"/>
    <cellStyle name="Normal 5 2 2 2 2 2 2 5 3 2" xfId="24203" xr:uid="{835B07B5-7D8B-448C-B4F7-FDD5E8470127}"/>
    <cellStyle name="Normal 5 2 2 2 2 2 2 5 3 3" xfId="15763" xr:uid="{7F3977F0-711A-4753-AD89-0936CF20CF75}"/>
    <cellStyle name="Normal 5 2 2 2 2 2 2 5 4" xfId="19986" xr:uid="{FC22CA15-8F0F-434A-9FFE-87463234B2E9}"/>
    <cellStyle name="Normal 5 2 2 2 2 2 2 5 5" xfId="11546" xr:uid="{469FD715-B1E8-4320-B1EF-5228A63683F2}"/>
    <cellStyle name="Normal 5 2 2 2 2 2 2 6" xfId="2567" xr:uid="{00000000-0005-0000-0000-00000B170000}"/>
    <cellStyle name="Normal 5 2 2 2 2 2 2 6 2" xfId="6850" xr:uid="{00000000-0005-0000-0000-00000C170000}"/>
    <cellStyle name="Normal 5 2 2 2 2 2 2 6 2 2" xfId="24616" xr:uid="{05C08655-6572-41CE-94D2-BBFE323876A9}"/>
    <cellStyle name="Normal 5 2 2 2 2 2 2 6 2 3" xfId="16176" xr:uid="{949996F8-C266-4C43-AE89-278B3B2D0EAF}"/>
    <cellStyle name="Normal 5 2 2 2 2 2 2 6 3" xfId="20399" xr:uid="{A86586E7-C98F-4CCD-AC49-D50B452B2D12}"/>
    <cellStyle name="Normal 5 2 2 2 2 2 2 6 4" xfId="11959" xr:uid="{8F8A965E-F2EB-4E64-BA7A-6B3079CBB9F8}"/>
    <cellStyle name="Normal 5 2 2 2 2 2 2 7" xfId="4785" xr:uid="{00000000-0005-0000-0000-00000D170000}"/>
    <cellStyle name="Normal 5 2 2 2 2 2 2 7 2" xfId="22551" xr:uid="{0FCCF26C-126A-4E69-A438-2D885B302733}"/>
    <cellStyle name="Normal 5 2 2 2 2 2 2 7 3" xfId="14111" xr:uid="{F69147E1-03CD-4754-B7FD-962CE9ECBA92}"/>
    <cellStyle name="Normal 5 2 2 2 2 2 2 8" xfId="9139" xr:uid="{CFCC7179-F81D-4929-81F2-C6E64655A093}"/>
    <cellStyle name="Normal 5 2 2 2 2 2 2 8 2" xfId="18334" xr:uid="{9DFA8540-490C-4DAF-837E-2704778E7775}"/>
    <cellStyle name="Normal 5 2 2 2 2 2 2 9" xfId="9894" xr:uid="{C1C71755-274E-4831-8D18-C8FE49B29EC8}"/>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25108" xr:uid="{DCED9C39-6EEF-437C-BE01-BBBCEC83C323}"/>
    <cellStyle name="Normal 5 2 2 2 2 2 3 2 2 3" xfId="16668" xr:uid="{170D69A0-3453-46A0-8936-1F94EBD46A4E}"/>
    <cellStyle name="Normal 5 2 2 2 2 2 3 2 3" xfId="20891" xr:uid="{50845088-4B7F-4173-B2C4-A301B7D37572}"/>
    <cellStyle name="Normal 5 2 2 2 2 2 3 2 4" xfId="12451" xr:uid="{16953C65-27BC-417C-BC5C-7ABFC4600C3D}"/>
    <cellStyle name="Normal 5 2 2 2 2 2 3 3" xfId="5197" xr:uid="{00000000-0005-0000-0000-000011170000}"/>
    <cellStyle name="Normal 5 2 2 2 2 2 3 3 2" xfId="22963" xr:uid="{9E42AC65-E4C4-45D9-96F5-0F492E00D45C}"/>
    <cellStyle name="Normal 5 2 2 2 2 2 3 3 3" xfId="14523" xr:uid="{BAAA5D59-1ABF-4924-A412-E0C0FA32E9E1}"/>
    <cellStyle name="Normal 5 2 2 2 2 2 3 4" xfId="9357" xr:uid="{1809EB60-9E69-4954-99A5-643CD830C5FB}"/>
    <cellStyle name="Normal 5 2 2 2 2 2 3 4 2" xfId="18746" xr:uid="{491CD2B2-AA09-452D-B851-4EA51E6BAF2B}"/>
    <cellStyle name="Normal 5 2 2 2 2 2 3 5" xfId="10306" xr:uid="{00DA1C2E-45D5-4AA9-AA6B-811D85E6438A}"/>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25521" xr:uid="{684EA751-156D-4BBD-B1A1-6779B48D5AA7}"/>
    <cellStyle name="Normal 5 2 2 2 2 2 4 2 2 3" xfId="17081" xr:uid="{B330E418-D339-4BA4-96AD-320678BE382C}"/>
    <cellStyle name="Normal 5 2 2 2 2 2 4 2 3" xfId="21304" xr:uid="{F900E4D2-10F0-41BE-AE5B-D7EBAFACA8B3}"/>
    <cellStyle name="Normal 5 2 2 2 2 2 4 2 4" xfId="12864" xr:uid="{D3C1602B-F717-4D4A-9E81-34A93C0ABA1A}"/>
    <cellStyle name="Normal 5 2 2 2 2 2 4 3" xfId="5610" xr:uid="{00000000-0005-0000-0000-000015170000}"/>
    <cellStyle name="Normal 5 2 2 2 2 2 4 3 2" xfId="23376" xr:uid="{7618F896-D02F-4690-B92A-3344FF448CA3}"/>
    <cellStyle name="Normal 5 2 2 2 2 2 4 3 3" xfId="14936" xr:uid="{7934C728-B190-4C09-A614-5FD422973C0D}"/>
    <cellStyle name="Normal 5 2 2 2 2 2 4 4" xfId="19159" xr:uid="{A8040B0F-2835-48BF-9ABF-687F95D120AA}"/>
    <cellStyle name="Normal 5 2 2 2 2 2 4 5" xfId="10719" xr:uid="{ACCBAA7C-FF89-4611-A125-B3EF56762865}"/>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25934" xr:uid="{5C070B82-1CF8-451B-AD22-5625A162E95B}"/>
    <cellStyle name="Normal 5 2 2 2 2 2 5 2 2 3" xfId="17494" xr:uid="{487F0AD3-82CE-495A-B325-DC639CC6EE20}"/>
    <cellStyle name="Normal 5 2 2 2 2 2 5 2 3" xfId="21717" xr:uid="{38E7ABAB-AF7A-416C-BD9D-855EFD908E22}"/>
    <cellStyle name="Normal 5 2 2 2 2 2 5 2 4" xfId="13277" xr:uid="{1170D955-9665-4288-BA9B-A797431214FF}"/>
    <cellStyle name="Normal 5 2 2 2 2 2 5 3" xfId="6023" xr:uid="{00000000-0005-0000-0000-000019170000}"/>
    <cellStyle name="Normal 5 2 2 2 2 2 5 3 2" xfId="23789" xr:uid="{D420078A-2645-4D3A-9DA0-D1E968E7837D}"/>
    <cellStyle name="Normal 5 2 2 2 2 2 5 3 3" xfId="15349" xr:uid="{215F83F6-024F-48EA-898E-8EA08E424D7A}"/>
    <cellStyle name="Normal 5 2 2 2 2 2 5 4" xfId="19572" xr:uid="{189CB9FD-2512-4188-973C-B491E43E47D7}"/>
    <cellStyle name="Normal 5 2 2 2 2 2 5 5" xfId="11132" xr:uid="{6A6D859E-8874-4D8A-8FD8-D0EC5BD4EBFF}"/>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26347" xr:uid="{6DA0D7E8-D8C1-43D3-BE9A-21D13ECB88F1}"/>
    <cellStyle name="Normal 5 2 2 2 2 2 6 2 2 3" xfId="17907" xr:uid="{8FF12A52-2455-4B5B-A94B-F824A0D82F75}"/>
    <cellStyle name="Normal 5 2 2 2 2 2 6 2 3" xfId="22130" xr:uid="{65B98A3D-2961-4244-B286-6A62042DB411}"/>
    <cellStyle name="Normal 5 2 2 2 2 2 6 2 4" xfId="13690" xr:uid="{256D4ECE-49C9-487D-A447-95463E9F6B5C}"/>
    <cellStyle name="Normal 5 2 2 2 2 2 6 3" xfId="6436" xr:uid="{00000000-0005-0000-0000-00001D170000}"/>
    <cellStyle name="Normal 5 2 2 2 2 2 6 3 2" xfId="24202" xr:uid="{5F8FB50E-1362-4564-A985-793770A57D35}"/>
    <cellStyle name="Normal 5 2 2 2 2 2 6 3 3" xfId="15762" xr:uid="{8DB4F107-521F-40CE-955A-21B83BCD8027}"/>
    <cellStyle name="Normal 5 2 2 2 2 2 6 4" xfId="19985" xr:uid="{95788C3C-8E4C-404F-BD47-32DEB2445C58}"/>
    <cellStyle name="Normal 5 2 2 2 2 2 6 5" xfId="11545" xr:uid="{FA60487A-F170-457F-9AB7-14D8FF25DC9F}"/>
    <cellStyle name="Normal 5 2 2 2 2 2 7" xfId="2566" xr:uid="{00000000-0005-0000-0000-00001E170000}"/>
    <cellStyle name="Normal 5 2 2 2 2 2 7 2" xfId="6849" xr:uid="{00000000-0005-0000-0000-00001F170000}"/>
    <cellStyle name="Normal 5 2 2 2 2 2 7 2 2" xfId="24615" xr:uid="{33AF4014-9872-4FFE-A6C1-D962CAE38396}"/>
    <cellStyle name="Normal 5 2 2 2 2 2 7 2 3" xfId="16175" xr:uid="{A5A00C4C-50A6-4311-822B-EE84463F0F75}"/>
    <cellStyle name="Normal 5 2 2 2 2 2 7 3" xfId="20398" xr:uid="{CCCC2879-D439-449D-9492-8B14633116D2}"/>
    <cellStyle name="Normal 5 2 2 2 2 2 7 4" xfId="11958" xr:uid="{CD46E50F-FCFA-4F68-9CAB-B2716C1BAB9E}"/>
    <cellStyle name="Normal 5 2 2 2 2 2 8" xfId="4784" xr:uid="{00000000-0005-0000-0000-000020170000}"/>
    <cellStyle name="Normal 5 2 2 2 2 2 8 2" xfId="22550" xr:uid="{1FF9B210-7D79-41B5-A7A1-E866E567DE4F}"/>
    <cellStyle name="Normal 5 2 2 2 2 2 8 3" xfId="14110" xr:uid="{F91537A5-52A5-4CED-AFC5-5617D5964864}"/>
    <cellStyle name="Normal 5 2 2 2 2 2 9" xfId="8932" xr:uid="{8A89D9DD-5FCE-4028-8D52-F4758EFA866E}"/>
    <cellStyle name="Normal 5 2 2 2 2 2 9 2" xfId="18333" xr:uid="{D085050E-ED7B-45F3-80AC-97BAE0E2294F}"/>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25110" xr:uid="{D1EF2874-BD04-491E-8F44-322C9BEE32D4}"/>
    <cellStyle name="Normal 5 2 2 2 2 3 2 2 2 3" xfId="16670" xr:uid="{D6B5EF87-4E83-4274-B4AC-48A038CAD5C3}"/>
    <cellStyle name="Normal 5 2 2 2 2 3 2 2 3" xfId="20893" xr:uid="{ADF6BEC3-7E9E-4BB8-8E64-B72993C90293}"/>
    <cellStyle name="Normal 5 2 2 2 2 3 2 2 4" xfId="12453" xr:uid="{4547D498-7520-48B1-9FA0-ED2E132FECB1}"/>
    <cellStyle name="Normal 5 2 2 2 2 3 2 3" xfId="5199" xr:uid="{00000000-0005-0000-0000-000025170000}"/>
    <cellStyle name="Normal 5 2 2 2 2 3 2 3 2" xfId="22965" xr:uid="{304F528B-9D0F-493C-B526-B5CD730900F8}"/>
    <cellStyle name="Normal 5 2 2 2 2 3 2 3 3" xfId="14525" xr:uid="{F57AA3AB-5F6A-4FB8-A87F-03E2955B2CBD}"/>
    <cellStyle name="Normal 5 2 2 2 2 3 2 4" xfId="9461" xr:uid="{815E4D9A-ED64-4B6C-A17A-F6D83CC40A47}"/>
    <cellStyle name="Normal 5 2 2 2 2 3 2 4 2" xfId="18748" xr:uid="{8994E5AE-A846-4FEE-BA3A-2465CD19986F}"/>
    <cellStyle name="Normal 5 2 2 2 2 3 2 5" xfId="10308" xr:uid="{C7DF35CD-9051-4234-A9C3-AD928AD1E8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25523" xr:uid="{0E178641-7FDC-44E3-BCE1-5F9B8A2DDF76}"/>
    <cellStyle name="Normal 5 2 2 2 2 3 3 2 2 3" xfId="17083" xr:uid="{8973D15B-B5EC-4DFF-ABF4-7094DF94E51E}"/>
    <cellStyle name="Normal 5 2 2 2 2 3 3 2 3" xfId="21306" xr:uid="{8A52FE50-7954-45C7-992F-AD9C06325550}"/>
    <cellStyle name="Normal 5 2 2 2 2 3 3 2 4" xfId="12866" xr:uid="{064D6E5D-9EF2-4C69-93C4-C34EFD037F2C}"/>
    <cellStyle name="Normal 5 2 2 2 2 3 3 3" xfId="5612" xr:uid="{00000000-0005-0000-0000-000029170000}"/>
    <cellStyle name="Normal 5 2 2 2 2 3 3 3 2" xfId="23378" xr:uid="{C86BE0C3-A22E-4CC2-BC80-0721BDFF99D1}"/>
    <cellStyle name="Normal 5 2 2 2 2 3 3 3 3" xfId="14938" xr:uid="{FA0A17AB-A576-44F1-96D7-585CBC4B323A}"/>
    <cellStyle name="Normal 5 2 2 2 2 3 3 4" xfId="19161" xr:uid="{18A82DF2-B7B8-4132-BAE4-666757143B2C}"/>
    <cellStyle name="Normal 5 2 2 2 2 3 3 5" xfId="10721" xr:uid="{FFC94D48-1368-4CC1-9073-F229AB34A1DD}"/>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25936" xr:uid="{E99EE5EC-414C-46BE-9EA5-8D3116D1D6A9}"/>
    <cellStyle name="Normal 5 2 2 2 2 3 4 2 2 3" xfId="17496" xr:uid="{BA3FB089-4192-47EE-A883-EA2CDD53F0ED}"/>
    <cellStyle name="Normal 5 2 2 2 2 3 4 2 3" xfId="21719" xr:uid="{84DBE024-D170-4FFD-96DF-4E038F06424A}"/>
    <cellStyle name="Normal 5 2 2 2 2 3 4 2 4" xfId="13279" xr:uid="{A5F2F625-A423-41CF-A317-30CA7B48AA59}"/>
    <cellStyle name="Normal 5 2 2 2 2 3 4 3" xfId="6025" xr:uid="{00000000-0005-0000-0000-00002D170000}"/>
    <cellStyle name="Normal 5 2 2 2 2 3 4 3 2" xfId="23791" xr:uid="{2BD81E95-E29A-4D68-B3D2-BEDB4E6BC500}"/>
    <cellStyle name="Normal 5 2 2 2 2 3 4 3 3" xfId="15351" xr:uid="{D45448C4-D6CA-47E0-B776-FC9FA97D76BD}"/>
    <cellStyle name="Normal 5 2 2 2 2 3 4 4" xfId="19574" xr:uid="{37178904-1531-4A2A-BE16-FDE0056F0A2B}"/>
    <cellStyle name="Normal 5 2 2 2 2 3 4 5" xfId="11134" xr:uid="{7E80205B-D4DF-4C0B-8F9E-D5A43DDDCA8D}"/>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26349" xr:uid="{02EC35EA-9C85-423E-BAA0-5F76DDAA4672}"/>
    <cellStyle name="Normal 5 2 2 2 2 3 5 2 2 3" xfId="17909" xr:uid="{6FC3F2E0-C70E-4DB3-9C48-2082A6530100}"/>
    <cellStyle name="Normal 5 2 2 2 2 3 5 2 3" xfId="22132" xr:uid="{EECEF452-68E1-4A1F-BB07-2E10650311AA}"/>
    <cellStyle name="Normal 5 2 2 2 2 3 5 2 4" xfId="13692" xr:uid="{C3CB679E-DE13-4566-B284-A10320349DE6}"/>
    <cellStyle name="Normal 5 2 2 2 2 3 5 3" xfId="6438" xr:uid="{00000000-0005-0000-0000-000031170000}"/>
    <cellStyle name="Normal 5 2 2 2 2 3 5 3 2" xfId="24204" xr:uid="{70DF9A91-99BE-422F-A359-30E30E3DC0B9}"/>
    <cellStyle name="Normal 5 2 2 2 2 3 5 3 3" xfId="15764" xr:uid="{6862B88A-5532-47CB-B7E6-13FDBD0A190E}"/>
    <cellStyle name="Normal 5 2 2 2 2 3 5 4" xfId="19987" xr:uid="{0D19C30C-CAB0-44DA-8A85-D7B0CF5226CB}"/>
    <cellStyle name="Normal 5 2 2 2 2 3 5 5" xfId="11547" xr:uid="{585D9DA7-0EC2-4526-A8FB-3C307BD134FA}"/>
    <cellStyle name="Normal 5 2 2 2 2 3 6" xfId="2568" xr:uid="{00000000-0005-0000-0000-000032170000}"/>
    <cellStyle name="Normal 5 2 2 2 2 3 6 2" xfId="6851" xr:uid="{00000000-0005-0000-0000-000033170000}"/>
    <cellStyle name="Normal 5 2 2 2 2 3 6 2 2" xfId="24617" xr:uid="{A54C1831-A0A3-4074-A033-4338158CD932}"/>
    <cellStyle name="Normal 5 2 2 2 2 3 6 2 3" xfId="16177" xr:uid="{8FC8C6A2-94E9-4FBE-99C2-98BBEFEF245F}"/>
    <cellStyle name="Normal 5 2 2 2 2 3 6 3" xfId="20400" xr:uid="{B8CF494F-45E6-417F-807D-8A6C8EE562C5}"/>
    <cellStyle name="Normal 5 2 2 2 2 3 6 4" xfId="11960" xr:uid="{5445D174-3DD1-4F60-BEFD-752B96064F38}"/>
    <cellStyle name="Normal 5 2 2 2 2 3 7" xfId="4786" xr:uid="{00000000-0005-0000-0000-000034170000}"/>
    <cellStyle name="Normal 5 2 2 2 2 3 7 2" xfId="22552" xr:uid="{E273B042-DEC4-4216-939D-429AFADD15A8}"/>
    <cellStyle name="Normal 5 2 2 2 2 3 7 3" xfId="14112" xr:uid="{ECB51661-4F8C-4425-B78F-5C76825FD9C8}"/>
    <cellStyle name="Normal 5 2 2 2 2 3 8" xfId="9036" xr:uid="{2B9BC3AC-900A-42EE-A23F-E5574B6E75BC}"/>
    <cellStyle name="Normal 5 2 2 2 2 3 8 2" xfId="18335" xr:uid="{2ADEB8CF-95A6-4A44-A27B-046A4CEE7B11}"/>
    <cellStyle name="Normal 5 2 2 2 2 3 9" xfId="9895" xr:uid="{3746EF66-4DFE-475B-9018-50E2ECC09CE7}"/>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25107" xr:uid="{F7A93384-02E1-4BF1-BD95-BD16465BC208}"/>
    <cellStyle name="Normal 5 2 2 2 2 4 2 2 3" xfId="16667" xr:uid="{5EFA1475-7946-4E7E-BC59-E02DBE79D9F4}"/>
    <cellStyle name="Normal 5 2 2 2 2 4 2 3" xfId="20890" xr:uid="{97FACD95-872A-459E-8591-66BA1DFB44A2}"/>
    <cellStyle name="Normal 5 2 2 2 2 4 2 4" xfId="12450" xr:uid="{FAA916D0-0B54-4B5E-AFCC-9193E25D6028}"/>
    <cellStyle name="Normal 5 2 2 2 2 4 3" xfId="5196" xr:uid="{00000000-0005-0000-0000-000038170000}"/>
    <cellStyle name="Normal 5 2 2 2 2 4 3 2" xfId="22962" xr:uid="{E32A62A4-7712-4748-9A69-28AFC6957AC4}"/>
    <cellStyle name="Normal 5 2 2 2 2 4 3 3" xfId="14522" xr:uid="{58C1C218-E75D-4C46-9480-CC215764C791}"/>
    <cellStyle name="Normal 5 2 2 2 2 4 4" xfId="9254" xr:uid="{B0B4DA0D-4C0F-4712-8BF0-280C2A85D575}"/>
    <cellStyle name="Normal 5 2 2 2 2 4 4 2" xfId="18745" xr:uid="{32592196-86D3-4635-8B50-FE5BF864D73F}"/>
    <cellStyle name="Normal 5 2 2 2 2 4 5" xfId="10305" xr:uid="{2AF995E9-72B1-408A-9926-DFBC22B5FF88}"/>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25520" xr:uid="{F5261BC3-8B1C-4FA7-9131-A489EB1B6EA3}"/>
    <cellStyle name="Normal 5 2 2 2 2 5 2 2 3" xfId="17080" xr:uid="{90783A97-19A2-462B-9E00-022792CD9A9C}"/>
    <cellStyle name="Normal 5 2 2 2 2 5 2 3" xfId="21303" xr:uid="{CA059D26-0B1C-4DE8-B859-C2A08CF7500D}"/>
    <cellStyle name="Normal 5 2 2 2 2 5 2 4" xfId="12863" xr:uid="{5281D064-EE85-4904-9E2E-49C5DD1EDC1C}"/>
    <cellStyle name="Normal 5 2 2 2 2 5 3" xfId="5609" xr:uid="{00000000-0005-0000-0000-00003C170000}"/>
    <cellStyle name="Normal 5 2 2 2 2 5 3 2" xfId="23375" xr:uid="{F6840A27-B603-41DB-944A-F2208B954233}"/>
    <cellStyle name="Normal 5 2 2 2 2 5 3 3" xfId="14935" xr:uid="{972140D4-422D-4B96-8B8C-A11B885ED722}"/>
    <cellStyle name="Normal 5 2 2 2 2 5 4" xfId="19158" xr:uid="{31760E74-92EB-4E47-B762-5F5B5AAE499A}"/>
    <cellStyle name="Normal 5 2 2 2 2 5 5" xfId="10718" xr:uid="{C91B6DF8-E1AD-455A-A76D-4702CDAE223B}"/>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25933" xr:uid="{17B24151-F9BD-4A20-BA41-10BFA0126B4A}"/>
    <cellStyle name="Normal 5 2 2 2 2 6 2 2 3" xfId="17493" xr:uid="{E7606C70-8B1F-4D28-879A-0B774AB5F5BD}"/>
    <cellStyle name="Normal 5 2 2 2 2 6 2 3" xfId="21716" xr:uid="{7670CBF2-8AFE-4BCC-BBF5-374D9EF4C135}"/>
    <cellStyle name="Normal 5 2 2 2 2 6 2 4" xfId="13276" xr:uid="{E71AD234-0C6E-40FA-AFF7-635F37CA5A56}"/>
    <cellStyle name="Normal 5 2 2 2 2 6 3" xfId="6022" xr:uid="{00000000-0005-0000-0000-000040170000}"/>
    <cellStyle name="Normal 5 2 2 2 2 6 3 2" xfId="23788" xr:uid="{4A1D7DD6-AFE1-4DC9-8F49-2D96B2B1E1FC}"/>
    <cellStyle name="Normal 5 2 2 2 2 6 3 3" xfId="15348" xr:uid="{3FFF969A-FC8D-481A-BE68-751F56548764}"/>
    <cellStyle name="Normal 5 2 2 2 2 6 4" xfId="19571" xr:uid="{D2B5A4C3-B78A-4557-B737-5E47DF284CAD}"/>
    <cellStyle name="Normal 5 2 2 2 2 6 5" xfId="11131" xr:uid="{48D973DF-818D-410E-B367-3EB200716FBD}"/>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26346" xr:uid="{112356D7-D034-40C3-AB0A-D5DE58D64C69}"/>
    <cellStyle name="Normal 5 2 2 2 2 7 2 2 3" xfId="17906" xr:uid="{0C321253-27D9-4172-A268-4DF2B1829ECC}"/>
    <cellStyle name="Normal 5 2 2 2 2 7 2 3" xfId="22129" xr:uid="{70450FCE-45CE-4EAE-8694-A612139F7973}"/>
    <cellStyle name="Normal 5 2 2 2 2 7 2 4" xfId="13689" xr:uid="{5BA8F6AC-C830-4CDA-8139-D08C6F874120}"/>
    <cellStyle name="Normal 5 2 2 2 2 7 3" xfId="6435" xr:uid="{00000000-0005-0000-0000-000044170000}"/>
    <cellStyle name="Normal 5 2 2 2 2 7 3 2" xfId="24201" xr:uid="{B94E73EE-DE92-41AA-9A91-6C1D5E241978}"/>
    <cellStyle name="Normal 5 2 2 2 2 7 3 3" xfId="15761" xr:uid="{2C64966B-689B-459C-A962-0D5A09874DC7}"/>
    <cellStyle name="Normal 5 2 2 2 2 7 4" xfId="19984" xr:uid="{69FBFBE7-0B54-4704-A6B0-C84A5C855DD5}"/>
    <cellStyle name="Normal 5 2 2 2 2 7 5" xfId="11544" xr:uid="{1E349F25-196F-4B46-9895-21B52DF8E9A2}"/>
    <cellStyle name="Normal 5 2 2 2 2 8" xfId="2565" xr:uid="{00000000-0005-0000-0000-000045170000}"/>
    <cellStyle name="Normal 5 2 2 2 2 8 2" xfId="6848" xr:uid="{00000000-0005-0000-0000-000046170000}"/>
    <cellStyle name="Normal 5 2 2 2 2 8 2 2" xfId="24614" xr:uid="{8A37DD08-EB5A-4D32-B841-2170E8EAC645}"/>
    <cellStyle name="Normal 5 2 2 2 2 8 2 3" xfId="16174" xr:uid="{26BEE0B3-065F-4994-B56A-6BEE4E72CBEC}"/>
    <cellStyle name="Normal 5 2 2 2 2 8 3" xfId="20397" xr:uid="{E23EF8A8-718C-4D0B-BE9F-1259FCC782F4}"/>
    <cellStyle name="Normal 5 2 2 2 2 8 4" xfId="11957" xr:uid="{71BDA77B-8708-40E7-8773-E202ED82FB06}"/>
    <cellStyle name="Normal 5 2 2 2 2 9" xfId="4783" xr:uid="{00000000-0005-0000-0000-000047170000}"/>
    <cellStyle name="Normal 5 2 2 2 2 9 2" xfId="22549" xr:uid="{9F2C409E-FE75-4EBF-8F31-DD3F3110FDE3}"/>
    <cellStyle name="Normal 5 2 2 2 2 9 3" xfId="14109" xr:uid="{BAB1B7AD-E79B-499E-8EAC-4A0119E8C0D0}"/>
    <cellStyle name="Normal 5 2 2 2 3" xfId="414" xr:uid="{00000000-0005-0000-0000-000048170000}"/>
    <cellStyle name="Normal 5 2 2 2 3 10" xfId="9896" xr:uid="{C65E3DEF-082D-49BA-8F7D-0D738B3D6B45}"/>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25112" xr:uid="{4F9D7FD1-B3DD-4505-A927-E69E6C6993EB}"/>
    <cellStyle name="Normal 5 2 2 2 3 2 2 2 2 3" xfId="16672" xr:uid="{5E130D6E-49AF-447F-B33C-60D41A92DC9B}"/>
    <cellStyle name="Normal 5 2 2 2 3 2 2 2 3" xfId="20895" xr:uid="{E306F8EB-51C7-46E9-8D98-260BBC568BE4}"/>
    <cellStyle name="Normal 5 2 2 2 3 2 2 2 4" xfId="12455" xr:uid="{FB28786F-8176-447B-AAEC-9A4907EAF3C6}"/>
    <cellStyle name="Normal 5 2 2 2 3 2 2 3" xfId="5201" xr:uid="{00000000-0005-0000-0000-00004D170000}"/>
    <cellStyle name="Normal 5 2 2 2 3 2 2 3 2" xfId="22967" xr:uid="{023A83ED-DCE5-414C-821A-E348BF8E0FC2}"/>
    <cellStyle name="Normal 5 2 2 2 3 2 2 3 3" xfId="14527" xr:uid="{4D35CE2D-0C32-4CD0-94D6-58167C750854}"/>
    <cellStyle name="Normal 5 2 2 2 3 2 2 4" xfId="9506" xr:uid="{65E8E1F9-5B62-47C9-8131-412DF42F5268}"/>
    <cellStyle name="Normal 5 2 2 2 3 2 2 4 2" xfId="18750" xr:uid="{83154DD0-B3C2-474E-B5FA-057FBCA9FE05}"/>
    <cellStyle name="Normal 5 2 2 2 3 2 2 5" xfId="10310" xr:uid="{2BB0D226-C8F5-4665-B6B2-C8D18F3D149E}"/>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25525" xr:uid="{F0071ED7-C2B6-44C7-8663-D0E5C6331391}"/>
    <cellStyle name="Normal 5 2 2 2 3 2 3 2 2 3" xfId="17085" xr:uid="{9C05B7AD-1B22-469A-8AFF-E406DA455385}"/>
    <cellStyle name="Normal 5 2 2 2 3 2 3 2 3" xfId="21308" xr:uid="{A29EDFE6-FFC5-4904-A29E-F1EB6F15406B}"/>
    <cellStyle name="Normal 5 2 2 2 3 2 3 2 4" xfId="12868" xr:uid="{ACFF771A-8991-47E4-961D-96AA4A832269}"/>
    <cellStyle name="Normal 5 2 2 2 3 2 3 3" xfId="5614" xr:uid="{00000000-0005-0000-0000-000051170000}"/>
    <cellStyle name="Normal 5 2 2 2 3 2 3 3 2" xfId="23380" xr:uid="{8329A871-EBA5-4C15-A6D2-C2787DA322DB}"/>
    <cellStyle name="Normal 5 2 2 2 3 2 3 3 3" xfId="14940" xr:uid="{AD5EA9E3-2428-44BD-8393-129ECAA5D470}"/>
    <cellStyle name="Normal 5 2 2 2 3 2 3 4" xfId="19163" xr:uid="{C657727C-443D-4AE8-B02B-1124FAA84702}"/>
    <cellStyle name="Normal 5 2 2 2 3 2 3 5" xfId="10723" xr:uid="{DD144136-56C7-45A9-A23B-95CCC08A1E5B}"/>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25938" xr:uid="{5D437F95-0C32-4225-B19F-4CA18887EE71}"/>
    <cellStyle name="Normal 5 2 2 2 3 2 4 2 2 3" xfId="17498" xr:uid="{61A627AD-F6B2-4664-82A2-2FBCF187A9B0}"/>
    <cellStyle name="Normal 5 2 2 2 3 2 4 2 3" xfId="21721" xr:uid="{CA151D8A-5A24-4F8E-9FE8-C29B29B8C43F}"/>
    <cellStyle name="Normal 5 2 2 2 3 2 4 2 4" xfId="13281" xr:uid="{EE7B47F6-B0BB-43AB-AD75-A74B42FF8E71}"/>
    <cellStyle name="Normal 5 2 2 2 3 2 4 3" xfId="6027" xr:uid="{00000000-0005-0000-0000-000055170000}"/>
    <cellStyle name="Normal 5 2 2 2 3 2 4 3 2" xfId="23793" xr:uid="{7AB9C90D-B304-41C6-BD4E-A4D5713A125A}"/>
    <cellStyle name="Normal 5 2 2 2 3 2 4 3 3" xfId="15353" xr:uid="{61CE9AE8-BFCB-490B-880A-804D891293DA}"/>
    <cellStyle name="Normal 5 2 2 2 3 2 4 4" xfId="19576" xr:uid="{46EF6DB0-FD22-40F4-91F6-AFFE663F8F20}"/>
    <cellStyle name="Normal 5 2 2 2 3 2 4 5" xfId="11136" xr:uid="{400BA8DD-2E53-4F83-81B0-4EEFB58558B5}"/>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26351" xr:uid="{11B172B2-B2ED-45A9-B68F-3D32EED3851E}"/>
    <cellStyle name="Normal 5 2 2 2 3 2 5 2 2 3" xfId="17911" xr:uid="{AB985468-4F43-4458-B515-98617CEE526F}"/>
    <cellStyle name="Normal 5 2 2 2 3 2 5 2 3" xfId="22134" xr:uid="{9AD52CD3-A378-4E55-95F8-D102869A03FF}"/>
    <cellStyle name="Normal 5 2 2 2 3 2 5 2 4" xfId="13694" xr:uid="{7EFD4FE3-C3D3-4866-92FB-AE923F893E3D}"/>
    <cellStyle name="Normal 5 2 2 2 3 2 5 3" xfId="6440" xr:uid="{00000000-0005-0000-0000-000059170000}"/>
    <cellStyle name="Normal 5 2 2 2 3 2 5 3 2" xfId="24206" xr:uid="{74401B8E-5444-46F8-8E35-EF3415AAB385}"/>
    <cellStyle name="Normal 5 2 2 2 3 2 5 3 3" xfId="15766" xr:uid="{28826543-2941-420A-965A-37FB38C67C93}"/>
    <cellStyle name="Normal 5 2 2 2 3 2 5 4" xfId="19989" xr:uid="{22313393-A031-4F1D-B70F-5AF54203869C}"/>
    <cellStyle name="Normal 5 2 2 2 3 2 5 5" xfId="11549" xr:uid="{9401C9D6-F224-4898-9698-AC8137659D90}"/>
    <cellStyle name="Normal 5 2 2 2 3 2 6" xfId="2570" xr:uid="{00000000-0005-0000-0000-00005A170000}"/>
    <cellStyle name="Normal 5 2 2 2 3 2 6 2" xfId="6853" xr:uid="{00000000-0005-0000-0000-00005B170000}"/>
    <cellStyle name="Normal 5 2 2 2 3 2 6 2 2" xfId="24619" xr:uid="{359AC2AA-3065-4049-B47B-0E753CA24435}"/>
    <cellStyle name="Normal 5 2 2 2 3 2 6 2 3" xfId="16179" xr:uid="{786DF7AC-5247-4FCA-9955-93BD832D5097}"/>
    <cellStyle name="Normal 5 2 2 2 3 2 6 3" xfId="20402" xr:uid="{9976287A-2DB4-4D1F-AD3C-2964C9033BAE}"/>
    <cellStyle name="Normal 5 2 2 2 3 2 6 4" xfId="11962" xr:uid="{07052D1E-98C1-4957-90D8-BD525B482511}"/>
    <cellStyle name="Normal 5 2 2 2 3 2 7" xfId="4788" xr:uid="{00000000-0005-0000-0000-00005C170000}"/>
    <cellStyle name="Normal 5 2 2 2 3 2 7 2" xfId="22554" xr:uid="{BEE60F66-CCA5-4599-A38D-41D0497B3B13}"/>
    <cellStyle name="Normal 5 2 2 2 3 2 7 3" xfId="14114" xr:uid="{9B587CB4-8298-450A-A5CB-B582E8AF0A03}"/>
    <cellStyle name="Normal 5 2 2 2 3 2 8" xfId="9081" xr:uid="{B0400C6D-4400-4F06-9092-2DCAD3324CF1}"/>
    <cellStyle name="Normal 5 2 2 2 3 2 8 2" xfId="18337" xr:uid="{8F5B8220-02C6-4084-BD48-51416DF23CCB}"/>
    <cellStyle name="Normal 5 2 2 2 3 2 9" xfId="9897" xr:uid="{7A2EDD72-B1E2-41FF-B1B6-E06956205379}"/>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25111" xr:uid="{584AE80A-B209-40FD-813B-F72C5624323F}"/>
    <cellStyle name="Normal 5 2 2 2 3 3 2 2 3" xfId="16671" xr:uid="{393CF66A-2669-4377-AD7C-441C2A85C8FB}"/>
    <cellStyle name="Normal 5 2 2 2 3 3 2 3" xfId="20894" xr:uid="{01B991D4-96F4-4D01-A17F-76CEC50C690A}"/>
    <cellStyle name="Normal 5 2 2 2 3 3 2 4" xfId="12454" xr:uid="{FE01D597-A975-405E-A64D-6F0FF61941C2}"/>
    <cellStyle name="Normal 5 2 2 2 3 3 3" xfId="5200" xr:uid="{00000000-0005-0000-0000-000060170000}"/>
    <cellStyle name="Normal 5 2 2 2 3 3 3 2" xfId="22966" xr:uid="{5F486C88-09CD-41EA-8336-75EB7BAFA16B}"/>
    <cellStyle name="Normal 5 2 2 2 3 3 3 3" xfId="14526" xr:uid="{4F08B95B-5A85-4EBD-AA1D-8CF4EA300F9B}"/>
    <cellStyle name="Normal 5 2 2 2 3 3 4" xfId="9299" xr:uid="{85780536-A38F-4D86-8846-D9FA6BB2D61D}"/>
    <cellStyle name="Normal 5 2 2 2 3 3 4 2" xfId="18749" xr:uid="{F2EDA4A8-3428-4A3D-8EC3-19A9FC8E9FB1}"/>
    <cellStyle name="Normal 5 2 2 2 3 3 5" xfId="10309" xr:uid="{D82268F6-261E-4A67-AF8E-7A611EE196D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25524" xr:uid="{CF247EF5-0BA0-4B43-BE08-AAA0798648AA}"/>
    <cellStyle name="Normal 5 2 2 2 3 4 2 2 3" xfId="17084" xr:uid="{059C0D4A-CCC0-4CF4-90D2-780CC5D37F9A}"/>
    <cellStyle name="Normal 5 2 2 2 3 4 2 3" xfId="21307" xr:uid="{B49840F9-10CD-4554-938C-1D3014532C40}"/>
    <cellStyle name="Normal 5 2 2 2 3 4 2 4" xfId="12867" xr:uid="{A511FE53-E855-410E-AE6D-E1ED72A53D91}"/>
    <cellStyle name="Normal 5 2 2 2 3 4 3" xfId="5613" xr:uid="{00000000-0005-0000-0000-000064170000}"/>
    <cellStyle name="Normal 5 2 2 2 3 4 3 2" xfId="23379" xr:uid="{74542665-2D4B-4C43-9F87-C7FBA42C4A8E}"/>
    <cellStyle name="Normal 5 2 2 2 3 4 3 3" xfId="14939" xr:uid="{4E07CFBA-340B-43CC-9957-3C7138D3028C}"/>
    <cellStyle name="Normal 5 2 2 2 3 4 4" xfId="19162" xr:uid="{BBAF68CC-74F9-43F1-9E1A-DF8E63C9E84F}"/>
    <cellStyle name="Normal 5 2 2 2 3 4 5" xfId="10722" xr:uid="{42ACC7FC-F3D2-47A3-A8AA-F7ECC9074162}"/>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25937" xr:uid="{D94B1579-4D99-403B-B132-9A2DA47ECCB4}"/>
    <cellStyle name="Normal 5 2 2 2 3 5 2 2 3" xfId="17497" xr:uid="{2986D62E-49C2-43A2-8AA0-345B57C021B8}"/>
    <cellStyle name="Normal 5 2 2 2 3 5 2 3" xfId="21720" xr:uid="{A220FC61-E38C-422D-A507-EE5B9D3AF370}"/>
    <cellStyle name="Normal 5 2 2 2 3 5 2 4" xfId="13280" xr:uid="{24195372-38A6-4BE6-99AB-C4F315BE09E5}"/>
    <cellStyle name="Normal 5 2 2 2 3 5 3" xfId="6026" xr:uid="{00000000-0005-0000-0000-000068170000}"/>
    <cellStyle name="Normal 5 2 2 2 3 5 3 2" xfId="23792" xr:uid="{C895C036-F2D8-4E8F-A1B2-5D374EF1CE16}"/>
    <cellStyle name="Normal 5 2 2 2 3 5 3 3" xfId="15352" xr:uid="{C8945E6C-60BC-42EA-BCD7-91C8B56D3F12}"/>
    <cellStyle name="Normal 5 2 2 2 3 5 4" xfId="19575" xr:uid="{937DC94C-7117-41C5-89AC-8613D16B8E92}"/>
    <cellStyle name="Normal 5 2 2 2 3 5 5" xfId="11135" xr:uid="{99DC3E6B-AF67-4105-9586-83843FA64C52}"/>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26350" xr:uid="{C8EFB0C2-24B9-41C0-9ABA-EEF33C1278DA}"/>
    <cellStyle name="Normal 5 2 2 2 3 6 2 2 3" xfId="17910" xr:uid="{7D3DBC49-67AF-45DA-823E-0CF5FFD66274}"/>
    <cellStyle name="Normal 5 2 2 2 3 6 2 3" xfId="22133" xr:uid="{0F8CB57F-1175-42AF-875A-F642E3857A2C}"/>
    <cellStyle name="Normal 5 2 2 2 3 6 2 4" xfId="13693" xr:uid="{7F8D2149-9B0F-4D90-AC30-E7907EDF0385}"/>
    <cellStyle name="Normal 5 2 2 2 3 6 3" xfId="6439" xr:uid="{00000000-0005-0000-0000-00006C170000}"/>
    <cellStyle name="Normal 5 2 2 2 3 6 3 2" xfId="24205" xr:uid="{2BFC8E68-3EEC-42BA-963D-385B4F5E8F79}"/>
    <cellStyle name="Normal 5 2 2 2 3 6 3 3" xfId="15765" xr:uid="{F924164E-807B-429D-9700-39923F3BD931}"/>
    <cellStyle name="Normal 5 2 2 2 3 6 4" xfId="19988" xr:uid="{2002D04C-3EA8-48FC-BD49-D499C8C4B669}"/>
    <cellStyle name="Normal 5 2 2 2 3 6 5" xfId="11548" xr:uid="{903FC5B5-37A7-4E3B-8B5E-3EE6E66C3597}"/>
    <cellStyle name="Normal 5 2 2 2 3 7" xfId="2569" xr:uid="{00000000-0005-0000-0000-00006D170000}"/>
    <cellStyle name="Normal 5 2 2 2 3 7 2" xfId="6852" xr:uid="{00000000-0005-0000-0000-00006E170000}"/>
    <cellStyle name="Normal 5 2 2 2 3 7 2 2" xfId="24618" xr:uid="{134C1D5A-AB4F-4331-9615-264D2E035516}"/>
    <cellStyle name="Normal 5 2 2 2 3 7 2 3" xfId="16178" xr:uid="{D441F8D4-49AA-4C20-BF18-E60AE99B7328}"/>
    <cellStyle name="Normal 5 2 2 2 3 7 3" xfId="20401" xr:uid="{B870A7EE-7F72-4011-AF3D-2C3C926C663A}"/>
    <cellStyle name="Normal 5 2 2 2 3 7 4" xfId="11961" xr:uid="{CAAC505C-B233-4698-A773-FEAF89E3C756}"/>
    <cellStyle name="Normal 5 2 2 2 3 8" xfId="4787" xr:uid="{00000000-0005-0000-0000-00006F170000}"/>
    <cellStyle name="Normal 5 2 2 2 3 8 2" xfId="22553" xr:uid="{DCAD852B-7D71-48F9-8675-5DF768D74B90}"/>
    <cellStyle name="Normal 5 2 2 2 3 8 3" xfId="14113" xr:uid="{B57E6B3A-DA8A-4450-8F75-8D033EA54C4B}"/>
    <cellStyle name="Normal 5 2 2 2 3 9" xfId="8874" xr:uid="{D7CEB9F3-DFA5-483F-B08A-C4A582DD7FE8}"/>
    <cellStyle name="Normal 5 2 2 2 3 9 2" xfId="18336" xr:uid="{5BD152CF-70BA-49C5-9C56-5FFCF72271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25113" xr:uid="{6A2EDDA7-0858-479F-9D19-D74EC48F7DB9}"/>
    <cellStyle name="Normal 5 2 2 2 4 2 2 2 3" xfId="16673" xr:uid="{9CF45A27-DC50-4AD8-AEB8-133BC0051DC6}"/>
    <cellStyle name="Normal 5 2 2 2 4 2 2 3" xfId="20896" xr:uid="{CF46D51E-493C-413F-BAE4-0D7F098687A1}"/>
    <cellStyle name="Normal 5 2 2 2 4 2 2 4" xfId="12456" xr:uid="{94200D59-DDF0-4190-B8D0-6B0DFAAA0BA6}"/>
    <cellStyle name="Normal 5 2 2 2 4 2 3" xfId="5202" xr:uid="{00000000-0005-0000-0000-000074170000}"/>
    <cellStyle name="Normal 5 2 2 2 4 2 3 2" xfId="22968" xr:uid="{7EDB3B48-49E8-44E3-B050-39EABC17BF79}"/>
    <cellStyle name="Normal 5 2 2 2 4 2 3 3" xfId="14528" xr:uid="{5FE61AF1-E509-4F4D-86F8-672C88DDD1B7}"/>
    <cellStyle name="Normal 5 2 2 2 4 2 4" xfId="9403" xr:uid="{DDA7C497-662A-4A76-A324-A27E6A0A2B3D}"/>
    <cellStyle name="Normal 5 2 2 2 4 2 4 2" xfId="18751" xr:uid="{9626D110-8262-4F62-AC14-BAA2EE0DB8B4}"/>
    <cellStyle name="Normal 5 2 2 2 4 2 5" xfId="10311" xr:uid="{86859192-56CD-4A4E-B221-3A2F2F1703E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25526" xr:uid="{06760224-1841-4B2A-9B12-40A28292AF04}"/>
    <cellStyle name="Normal 5 2 2 2 4 3 2 2 3" xfId="17086" xr:uid="{C9229027-D6CA-42CB-BB1E-5B1ED5A0B2DC}"/>
    <cellStyle name="Normal 5 2 2 2 4 3 2 3" xfId="21309" xr:uid="{9B160D18-76C0-4340-9DB6-A267A6B0351C}"/>
    <cellStyle name="Normal 5 2 2 2 4 3 2 4" xfId="12869" xr:uid="{5841F62B-713E-42D1-8BD4-3E2560F7DCFD}"/>
    <cellStyle name="Normal 5 2 2 2 4 3 3" xfId="5615" xr:uid="{00000000-0005-0000-0000-000078170000}"/>
    <cellStyle name="Normal 5 2 2 2 4 3 3 2" xfId="23381" xr:uid="{42F9A7B3-D5AA-479B-B80E-ABB433FB0449}"/>
    <cellStyle name="Normal 5 2 2 2 4 3 3 3" xfId="14941" xr:uid="{5FCA48DB-F6B3-45A6-BBD3-5D6FD3A1A3B9}"/>
    <cellStyle name="Normal 5 2 2 2 4 3 4" xfId="19164" xr:uid="{C6F6FCBF-53BD-498E-97E4-9463251B5CCD}"/>
    <cellStyle name="Normal 5 2 2 2 4 3 5" xfId="10724" xr:uid="{2415532D-1A90-4372-A408-383F515213CB}"/>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25939" xr:uid="{069761A1-75C8-4D50-B687-18CA2A8E9A5D}"/>
    <cellStyle name="Normal 5 2 2 2 4 4 2 2 3" xfId="17499" xr:uid="{1E8BD1F8-0798-4329-8E9F-EAB353DCDD0B}"/>
    <cellStyle name="Normal 5 2 2 2 4 4 2 3" xfId="21722" xr:uid="{09C58FB4-5139-4446-9BA2-0F132BF8E62F}"/>
    <cellStyle name="Normal 5 2 2 2 4 4 2 4" xfId="13282" xr:uid="{17E9AD05-8442-4064-80AA-CED8E29B517F}"/>
    <cellStyle name="Normal 5 2 2 2 4 4 3" xfId="6028" xr:uid="{00000000-0005-0000-0000-00007C170000}"/>
    <cellStyle name="Normal 5 2 2 2 4 4 3 2" xfId="23794" xr:uid="{1083802F-242B-4F8F-BFBD-64923E27800B}"/>
    <cellStyle name="Normal 5 2 2 2 4 4 3 3" xfId="15354" xr:uid="{32BDD000-37B5-43C8-96DC-6809D3AA78BA}"/>
    <cellStyle name="Normal 5 2 2 2 4 4 4" xfId="19577" xr:uid="{CF9E8683-9330-42CE-9F95-7F2C46F86EFB}"/>
    <cellStyle name="Normal 5 2 2 2 4 4 5" xfId="11137" xr:uid="{18B6041B-DBDB-481D-A604-2285A7EF81D2}"/>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26352" xr:uid="{3BF67F5C-20D6-4E2C-AA49-8FE3B6CED338}"/>
    <cellStyle name="Normal 5 2 2 2 4 5 2 2 3" xfId="17912" xr:uid="{090E7B82-51E5-4BE5-924B-6B2108977373}"/>
    <cellStyle name="Normal 5 2 2 2 4 5 2 3" xfId="22135" xr:uid="{E88515CD-C024-4BD2-B945-86266E97D03C}"/>
    <cellStyle name="Normal 5 2 2 2 4 5 2 4" xfId="13695" xr:uid="{51F7AA76-7F7C-435E-9547-D8DB4D78F359}"/>
    <cellStyle name="Normal 5 2 2 2 4 5 3" xfId="6441" xr:uid="{00000000-0005-0000-0000-000080170000}"/>
    <cellStyle name="Normal 5 2 2 2 4 5 3 2" xfId="24207" xr:uid="{8DD596AB-DF67-454B-A269-1AE3A3BB0CBA}"/>
    <cellStyle name="Normal 5 2 2 2 4 5 3 3" xfId="15767" xr:uid="{473CBCD5-9120-4CE8-8D68-A89C6FC61021}"/>
    <cellStyle name="Normal 5 2 2 2 4 5 4" xfId="19990" xr:uid="{984E55BF-52BC-4408-8A92-7B1A0564EA1C}"/>
    <cellStyle name="Normal 5 2 2 2 4 5 5" xfId="11550" xr:uid="{FCE701B9-4F2D-433A-88DE-9A0E42626F8F}"/>
    <cellStyle name="Normal 5 2 2 2 4 6" xfId="2571" xr:uid="{00000000-0005-0000-0000-000081170000}"/>
    <cellStyle name="Normal 5 2 2 2 4 6 2" xfId="6854" xr:uid="{00000000-0005-0000-0000-000082170000}"/>
    <cellStyle name="Normal 5 2 2 2 4 6 2 2" xfId="24620" xr:uid="{35F90DBA-C099-4B63-B585-1F0095AD18C1}"/>
    <cellStyle name="Normal 5 2 2 2 4 6 2 3" xfId="16180" xr:uid="{EE6F0F9D-ED48-4FE2-B9A4-C040E2BDA797}"/>
    <cellStyle name="Normal 5 2 2 2 4 6 3" xfId="20403" xr:uid="{EDE695DA-EAB9-4523-867F-94F5C511D684}"/>
    <cellStyle name="Normal 5 2 2 2 4 6 4" xfId="11963" xr:uid="{572514BF-2071-4AFE-9534-65E771CA8F20}"/>
    <cellStyle name="Normal 5 2 2 2 4 7" xfId="4789" xr:uid="{00000000-0005-0000-0000-000083170000}"/>
    <cellStyle name="Normal 5 2 2 2 4 7 2" xfId="22555" xr:uid="{032F68C8-A3AD-46ED-8E72-0EF8CB9A9FE7}"/>
    <cellStyle name="Normal 5 2 2 2 4 7 3" xfId="14115" xr:uid="{D6A5C261-A8B2-4552-B8E7-62A655590DC7}"/>
    <cellStyle name="Normal 5 2 2 2 4 8" xfId="8978" xr:uid="{5B5F86B4-BA0F-43A7-920A-E466FD014739}"/>
    <cellStyle name="Normal 5 2 2 2 4 8 2" xfId="18338" xr:uid="{118F6602-2427-4B22-94CE-F609CC9E5C73}"/>
    <cellStyle name="Normal 5 2 2 2 4 9" xfId="9898" xr:uid="{110D9C5A-2D6B-4C4D-8495-B1F8036AD187}"/>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25106" xr:uid="{5DA75916-B9ED-46AA-A70E-115F827AE870}"/>
    <cellStyle name="Normal 5 2 2 2 5 2 2 3" xfId="16666" xr:uid="{3A7E05E4-6463-41BA-9340-1D6F80AB497F}"/>
    <cellStyle name="Normal 5 2 2 2 5 2 3" xfId="20889" xr:uid="{B1F1518C-BECB-4C84-B893-77F8BBAFCDD6}"/>
    <cellStyle name="Normal 5 2 2 2 5 2 4" xfId="12449" xr:uid="{7237FD56-E535-4C44-8582-C4C85226C5C0}"/>
    <cellStyle name="Normal 5 2 2 2 5 3" xfId="5195" xr:uid="{00000000-0005-0000-0000-000087170000}"/>
    <cellStyle name="Normal 5 2 2 2 5 3 2" xfId="22961" xr:uid="{BA4B2FE9-DD89-4CD4-A9EE-07200F75282B}"/>
    <cellStyle name="Normal 5 2 2 2 5 3 3" xfId="14521" xr:uid="{D60A76A0-130B-4C13-9A9A-8BE36A6891EE}"/>
    <cellStyle name="Normal 5 2 2 2 5 4" xfId="9195" xr:uid="{A7E71EA0-2CA4-4918-870E-A32EEF45C61A}"/>
    <cellStyle name="Normal 5 2 2 2 5 4 2" xfId="18744" xr:uid="{34B9A249-F8F3-4787-9AA8-04CCF4A690E2}"/>
    <cellStyle name="Normal 5 2 2 2 5 5" xfId="10304" xr:uid="{70872587-CC9F-4824-8B6C-1318135C159F}"/>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25519" xr:uid="{669205B4-1038-4E67-8962-A89B369F2F98}"/>
    <cellStyle name="Normal 5 2 2 2 6 2 2 3" xfId="17079" xr:uid="{A2201C2C-756E-45AC-856C-4DB24C287587}"/>
    <cellStyle name="Normal 5 2 2 2 6 2 3" xfId="21302" xr:uid="{AECD83EF-ABE5-4A93-89C9-58A318F67E46}"/>
    <cellStyle name="Normal 5 2 2 2 6 2 4" xfId="12862" xr:uid="{77188A27-B0F6-4CB9-B931-212218681AE8}"/>
    <cellStyle name="Normal 5 2 2 2 6 3" xfId="5608" xr:uid="{00000000-0005-0000-0000-00008B170000}"/>
    <cellStyle name="Normal 5 2 2 2 6 3 2" xfId="23374" xr:uid="{4CA7912E-5E05-423F-A4E2-2234BF8E5F7A}"/>
    <cellStyle name="Normal 5 2 2 2 6 3 3" xfId="14934" xr:uid="{B7FF670E-525F-4CFD-8967-57BE951663B5}"/>
    <cellStyle name="Normal 5 2 2 2 6 4" xfId="19157" xr:uid="{061A3315-EA4A-48DD-B2D8-61E3B230F594}"/>
    <cellStyle name="Normal 5 2 2 2 6 5" xfId="10717" xr:uid="{05E658CE-771A-4B27-AC26-EFEB14D359D4}"/>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25932" xr:uid="{576860EC-E34F-4FE0-8284-89078AFC3F25}"/>
    <cellStyle name="Normal 5 2 2 2 7 2 2 3" xfId="17492" xr:uid="{232019B7-3C4A-46B4-AAAE-02AB9A83D5D2}"/>
    <cellStyle name="Normal 5 2 2 2 7 2 3" xfId="21715" xr:uid="{459ACED1-5D5E-4EEF-A526-BC46079A226E}"/>
    <cellStyle name="Normal 5 2 2 2 7 2 4" xfId="13275" xr:uid="{065F0BDF-633B-4F4C-A777-484BEDB5ED83}"/>
    <cellStyle name="Normal 5 2 2 2 7 3" xfId="6021" xr:uid="{00000000-0005-0000-0000-00008F170000}"/>
    <cellStyle name="Normal 5 2 2 2 7 3 2" xfId="23787" xr:uid="{FEB1FE16-3D72-40F6-A59F-E94781221397}"/>
    <cellStyle name="Normal 5 2 2 2 7 3 3" xfId="15347" xr:uid="{F70D3275-CF44-41F0-9318-BE1D3E831FB4}"/>
    <cellStyle name="Normal 5 2 2 2 7 4" xfId="19570" xr:uid="{D4DD3B67-C18F-48C7-B453-C499077DA4E0}"/>
    <cellStyle name="Normal 5 2 2 2 7 5" xfId="11130" xr:uid="{27CED458-D0E4-450B-B57C-AEA4E2A90CC7}"/>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26345" xr:uid="{B8729D47-A58E-4DD9-91DC-2DDB3D3F8DC0}"/>
    <cellStyle name="Normal 5 2 2 2 8 2 2 3" xfId="17905" xr:uid="{A3F4E7A0-E70E-457D-B327-C506B0DB8ACB}"/>
    <cellStyle name="Normal 5 2 2 2 8 2 3" xfId="22128" xr:uid="{708BB623-4B93-47D5-BE02-F62B2DF407A2}"/>
    <cellStyle name="Normal 5 2 2 2 8 2 4" xfId="13688" xr:uid="{FC7CDA37-296F-44BD-8BA8-4CC41ED43467}"/>
    <cellStyle name="Normal 5 2 2 2 8 3" xfId="6434" xr:uid="{00000000-0005-0000-0000-000093170000}"/>
    <cellStyle name="Normal 5 2 2 2 8 3 2" xfId="24200" xr:uid="{572A582D-D706-4F53-B078-83E06E84AAE1}"/>
    <cellStyle name="Normal 5 2 2 2 8 3 3" xfId="15760" xr:uid="{CB1A314B-A300-4AB0-8D94-D47334410674}"/>
    <cellStyle name="Normal 5 2 2 2 8 4" xfId="19983" xr:uid="{943A7227-9D80-4739-A83B-27ED8A7E3E83}"/>
    <cellStyle name="Normal 5 2 2 2 8 5" xfId="11543" xr:uid="{A43B7E0B-ACB1-4C17-80F8-1F16EAFAB18C}"/>
    <cellStyle name="Normal 5 2 2 2 9" xfId="2564" xr:uid="{00000000-0005-0000-0000-000094170000}"/>
    <cellStyle name="Normal 5 2 2 2 9 2" xfId="6847" xr:uid="{00000000-0005-0000-0000-000095170000}"/>
    <cellStyle name="Normal 5 2 2 2 9 2 2" xfId="24613" xr:uid="{A4E88956-2945-405B-8C00-E81B9B41F757}"/>
    <cellStyle name="Normal 5 2 2 2 9 2 3" xfId="16173" xr:uid="{AE318BE5-321C-4359-B5EF-400700E9D5F8}"/>
    <cellStyle name="Normal 5 2 2 2 9 3" xfId="20396" xr:uid="{F7E86D3F-994A-4E81-9F48-F4050264C09E}"/>
    <cellStyle name="Normal 5 2 2 2 9 4" xfId="11956" xr:uid="{0FCCBC91-F8A9-40B3-A082-3CFC1E50A7A5}"/>
    <cellStyle name="Normal 5 2 2 3" xfId="417" xr:uid="{00000000-0005-0000-0000-000096170000}"/>
    <cellStyle name="Normal 5 2 2 3 10" xfId="8828" xr:uid="{5CED8211-F967-469B-812B-9DF6FC250177}"/>
    <cellStyle name="Normal 5 2 2 3 10 2" xfId="18339" xr:uid="{1C84C199-2F36-4406-B173-431BF3B7EC81}"/>
    <cellStyle name="Normal 5 2 2 3 11" xfId="9899" xr:uid="{995B72BE-6369-432C-8633-07332976D65D}"/>
    <cellStyle name="Normal 5 2 2 3 2" xfId="418" xr:uid="{00000000-0005-0000-0000-000097170000}"/>
    <cellStyle name="Normal 5 2 2 3 2 10" xfId="9900" xr:uid="{E2FFFAEE-4545-45AA-8727-8ACE42CF0DE2}"/>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25116" xr:uid="{9DB6684A-1C50-4367-8A15-6F98797612A0}"/>
    <cellStyle name="Normal 5 2 2 3 2 2 2 2 2 3" xfId="16676" xr:uid="{C8CB4A74-6834-48C3-BE1D-8A65CDCB0615}"/>
    <cellStyle name="Normal 5 2 2 3 2 2 2 2 3" xfId="20899" xr:uid="{4BADDE5A-DA3F-4921-A5BC-03F72C0A46A2}"/>
    <cellStyle name="Normal 5 2 2 3 2 2 2 2 4" xfId="12459" xr:uid="{040DD5C6-2B77-4FEE-838A-D578770E2BF5}"/>
    <cellStyle name="Normal 5 2 2 3 2 2 2 3" xfId="5205" xr:uid="{00000000-0005-0000-0000-00009C170000}"/>
    <cellStyle name="Normal 5 2 2 3 2 2 2 3 2" xfId="22971" xr:uid="{42D67E87-3533-4E68-B158-7A0EA70F445D}"/>
    <cellStyle name="Normal 5 2 2 3 2 2 2 3 3" xfId="14531" xr:uid="{B7C55A1D-481D-4C98-B01C-450614BE852D}"/>
    <cellStyle name="Normal 5 2 2 3 2 2 2 4" xfId="9563" xr:uid="{804E641C-B5FA-46A3-B805-C1D4AF390C28}"/>
    <cellStyle name="Normal 5 2 2 3 2 2 2 4 2" xfId="18754" xr:uid="{062C431B-1B01-4B76-9A8C-9A5E90A7AF89}"/>
    <cellStyle name="Normal 5 2 2 3 2 2 2 5" xfId="10314" xr:uid="{B2E90C3E-435B-4445-974B-EC9D81D1011E}"/>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25529" xr:uid="{3F74C1AE-DCC6-4B2E-B29F-78FBE8F585EC}"/>
    <cellStyle name="Normal 5 2 2 3 2 2 3 2 2 3" xfId="17089" xr:uid="{FF198758-3860-490D-8B63-76A508CBA793}"/>
    <cellStyle name="Normal 5 2 2 3 2 2 3 2 3" xfId="21312" xr:uid="{99ADFF20-9EBE-482B-92E9-2CCD02AE0703}"/>
    <cellStyle name="Normal 5 2 2 3 2 2 3 2 4" xfId="12872" xr:uid="{F981351E-1916-477F-B36B-8444CF11215D}"/>
    <cellStyle name="Normal 5 2 2 3 2 2 3 3" xfId="5618" xr:uid="{00000000-0005-0000-0000-0000A0170000}"/>
    <cellStyle name="Normal 5 2 2 3 2 2 3 3 2" xfId="23384" xr:uid="{D80EC5C1-024A-44FE-8E75-526EEAF0C43A}"/>
    <cellStyle name="Normal 5 2 2 3 2 2 3 3 3" xfId="14944" xr:uid="{98CDFAF4-BCBE-4502-AF65-99A81FF7AFBA}"/>
    <cellStyle name="Normal 5 2 2 3 2 2 3 4" xfId="19167" xr:uid="{4656CBF0-8D71-48E9-96DA-742A39914945}"/>
    <cellStyle name="Normal 5 2 2 3 2 2 3 5" xfId="10727" xr:uid="{17204075-F387-4F88-B82D-6D37736340B9}"/>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25942" xr:uid="{AF5B4890-63EC-4ED5-8D15-0C500C2F9347}"/>
    <cellStyle name="Normal 5 2 2 3 2 2 4 2 2 3" xfId="17502" xr:uid="{9D3785A3-6D61-4087-A053-176DEDE9EC6E}"/>
    <cellStyle name="Normal 5 2 2 3 2 2 4 2 3" xfId="21725" xr:uid="{CD8F67E0-2385-46FE-8305-02BD298722C3}"/>
    <cellStyle name="Normal 5 2 2 3 2 2 4 2 4" xfId="13285" xr:uid="{B743F087-4EAC-4DE7-9C74-D597CCA03627}"/>
    <cellStyle name="Normal 5 2 2 3 2 2 4 3" xfId="6031" xr:uid="{00000000-0005-0000-0000-0000A4170000}"/>
    <cellStyle name="Normal 5 2 2 3 2 2 4 3 2" xfId="23797" xr:uid="{74E2AECA-0C88-4DB0-A0FC-FE090AB96214}"/>
    <cellStyle name="Normal 5 2 2 3 2 2 4 3 3" xfId="15357" xr:uid="{ADE74845-D583-444A-8DF2-4349DD482C2F}"/>
    <cellStyle name="Normal 5 2 2 3 2 2 4 4" xfId="19580" xr:uid="{F463FED0-B773-4B4F-B144-D3769C34CF44}"/>
    <cellStyle name="Normal 5 2 2 3 2 2 4 5" xfId="11140" xr:uid="{72D6A196-7533-4C31-A9FD-9150AED62BD3}"/>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26355" xr:uid="{50D8D153-3B7C-4561-AFA3-B1191DF2EF19}"/>
    <cellStyle name="Normal 5 2 2 3 2 2 5 2 2 3" xfId="17915" xr:uid="{D7DF0F7D-38B6-42DD-B207-62E1B9F5BE60}"/>
    <cellStyle name="Normal 5 2 2 3 2 2 5 2 3" xfId="22138" xr:uid="{A16C1E8E-D0B3-4614-BA76-0A77A506963A}"/>
    <cellStyle name="Normal 5 2 2 3 2 2 5 2 4" xfId="13698" xr:uid="{9E3A4733-0AFE-4F14-8020-3F9420D1F9A0}"/>
    <cellStyle name="Normal 5 2 2 3 2 2 5 3" xfId="6444" xr:uid="{00000000-0005-0000-0000-0000A8170000}"/>
    <cellStyle name="Normal 5 2 2 3 2 2 5 3 2" xfId="24210" xr:uid="{866D12FF-A9D0-444A-8F9F-864C9674B8BE}"/>
    <cellStyle name="Normal 5 2 2 3 2 2 5 3 3" xfId="15770" xr:uid="{23570480-E22B-4B56-BA0D-4DEEDF2F2991}"/>
    <cellStyle name="Normal 5 2 2 3 2 2 5 4" xfId="19993" xr:uid="{1ADC4F3B-AD8B-4512-9E9D-B2657CF7B88A}"/>
    <cellStyle name="Normal 5 2 2 3 2 2 5 5" xfId="11553" xr:uid="{55138436-4AAB-438C-AA68-48F45151C124}"/>
    <cellStyle name="Normal 5 2 2 3 2 2 6" xfId="2574" xr:uid="{00000000-0005-0000-0000-0000A9170000}"/>
    <cellStyle name="Normal 5 2 2 3 2 2 6 2" xfId="6857" xr:uid="{00000000-0005-0000-0000-0000AA170000}"/>
    <cellStyle name="Normal 5 2 2 3 2 2 6 2 2" xfId="24623" xr:uid="{B68C2430-D639-42CA-8BDC-92C083BFC458}"/>
    <cellStyle name="Normal 5 2 2 3 2 2 6 2 3" xfId="16183" xr:uid="{AACA4003-EC39-4E16-AC9B-67866119E8B3}"/>
    <cellStyle name="Normal 5 2 2 3 2 2 6 3" xfId="20406" xr:uid="{AB77C48B-012A-40FF-82A4-E3143AFE1DB7}"/>
    <cellStyle name="Normal 5 2 2 3 2 2 6 4" xfId="11966" xr:uid="{11DFFFCD-18A2-444B-8BDA-C0AB4869A558}"/>
    <cellStyle name="Normal 5 2 2 3 2 2 7" xfId="4792" xr:uid="{00000000-0005-0000-0000-0000AB170000}"/>
    <cellStyle name="Normal 5 2 2 3 2 2 7 2" xfId="22558" xr:uid="{54132F1E-0305-471D-A515-0663934EA404}"/>
    <cellStyle name="Normal 5 2 2 3 2 2 7 3" xfId="14118" xr:uid="{558AAEF6-690F-471C-B4EA-F86E6E1A418F}"/>
    <cellStyle name="Normal 5 2 2 3 2 2 8" xfId="9138" xr:uid="{BE73D583-3CAB-48A9-8A6F-E88EE69D1D1D}"/>
    <cellStyle name="Normal 5 2 2 3 2 2 8 2" xfId="18341" xr:uid="{254D665D-0356-4554-B0CD-C6F43BB56CBE}"/>
    <cellStyle name="Normal 5 2 2 3 2 2 9" xfId="9901" xr:uid="{F5006A31-879F-4FED-96B3-BA8BDB09F7AE}"/>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25115" xr:uid="{5410A8A7-B0E4-469C-8BB0-D390F872F7AB}"/>
    <cellStyle name="Normal 5 2 2 3 2 3 2 2 3" xfId="16675" xr:uid="{FF8780EE-9048-4EB7-96DD-8E5823E9F872}"/>
    <cellStyle name="Normal 5 2 2 3 2 3 2 3" xfId="20898" xr:uid="{7611471E-89F1-4C03-B11C-57627D0F53BD}"/>
    <cellStyle name="Normal 5 2 2 3 2 3 2 4" xfId="12458" xr:uid="{3E447D36-8EA7-4358-98C2-156B4D0B1A90}"/>
    <cellStyle name="Normal 5 2 2 3 2 3 3" xfId="5204" xr:uid="{00000000-0005-0000-0000-0000AF170000}"/>
    <cellStyle name="Normal 5 2 2 3 2 3 3 2" xfId="22970" xr:uid="{0CABCFEC-BE0D-4462-9F66-E42794EEAD8E}"/>
    <cellStyle name="Normal 5 2 2 3 2 3 3 3" xfId="14530" xr:uid="{9A61099C-0816-45B7-B630-2889DFE246AA}"/>
    <cellStyle name="Normal 5 2 2 3 2 3 4" xfId="9356" xr:uid="{58BAA3B3-A7A2-4F6F-9929-D8BE9F0A557D}"/>
    <cellStyle name="Normal 5 2 2 3 2 3 4 2" xfId="18753" xr:uid="{354E2FBC-07E7-4F2B-AD01-6ED5D662FD52}"/>
    <cellStyle name="Normal 5 2 2 3 2 3 5" xfId="10313" xr:uid="{4C9FEF91-990F-46CB-B68F-4CE97FB5BBA6}"/>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25528" xr:uid="{81CB368C-C12C-4714-828D-ADF1A99293A5}"/>
    <cellStyle name="Normal 5 2 2 3 2 4 2 2 3" xfId="17088" xr:uid="{45A472FC-E3E1-4C21-A10E-E309BCDADFCF}"/>
    <cellStyle name="Normal 5 2 2 3 2 4 2 3" xfId="21311" xr:uid="{3E589433-0FBA-4528-AC9E-992F17333008}"/>
    <cellStyle name="Normal 5 2 2 3 2 4 2 4" xfId="12871" xr:uid="{BFAB9808-E051-4E1A-BACA-8948AF5DD712}"/>
    <cellStyle name="Normal 5 2 2 3 2 4 3" xfId="5617" xr:uid="{00000000-0005-0000-0000-0000B3170000}"/>
    <cellStyle name="Normal 5 2 2 3 2 4 3 2" xfId="23383" xr:uid="{0D3DFB2D-802C-4C6A-BCEC-E64E1CD886B9}"/>
    <cellStyle name="Normal 5 2 2 3 2 4 3 3" xfId="14943" xr:uid="{17769193-E349-4C1D-8542-63B980032F89}"/>
    <cellStyle name="Normal 5 2 2 3 2 4 4" xfId="19166" xr:uid="{A0F47DC5-4114-41BC-B0F9-21845F093FCF}"/>
    <cellStyle name="Normal 5 2 2 3 2 4 5" xfId="10726" xr:uid="{F558C06C-9ED2-4900-9647-BB3366620668}"/>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25941" xr:uid="{96011635-A7F6-40FC-93FE-7338F8788EA7}"/>
    <cellStyle name="Normal 5 2 2 3 2 5 2 2 3" xfId="17501" xr:uid="{61E993F1-C592-4628-8760-D54C3588212E}"/>
    <cellStyle name="Normal 5 2 2 3 2 5 2 3" xfId="21724" xr:uid="{5FD00DC4-08CE-4F64-93F1-ACF51B9973CD}"/>
    <cellStyle name="Normal 5 2 2 3 2 5 2 4" xfId="13284" xr:uid="{85A1B266-AB2D-48C2-8E67-46590B0DF4C1}"/>
    <cellStyle name="Normal 5 2 2 3 2 5 3" xfId="6030" xr:uid="{00000000-0005-0000-0000-0000B7170000}"/>
    <cellStyle name="Normal 5 2 2 3 2 5 3 2" xfId="23796" xr:uid="{6073B2BD-B34F-4249-AAD0-FF24A837464D}"/>
    <cellStyle name="Normal 5 2 2 3 2 5 3 3" xfId="15356" xr:uid="{1D38D6D2-82BE-464D-807C-7B37515025FD}"/>
    <cellStyle name="Normal 5 2 2 3 2 5 4" xfId="19579" xr:uid="{A3DDCF7B-DB0B-48F1-A4AF-B6BCD0A4F4F5}"/>
    <cellStyle name="Normal 5 2 2 3 2 5 5" xfId="11139" xr:uid="{2E3313FF-00EE-4E42-9473-0B74BA6C6286}"/>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26354" xr:uid="{0ED17103-9309-450C-B018-3368BA5A3045}"/>
    <cellStyle name="Normal 5 2 2 3 2 6 2 2 3" xfId="17914" xr:uid="{98559A21-C704-484D-A616-3BB7E10E3F0B}"/>
    <cellStyle name="Normal 5 2 2 3 2 6 2 3" xfId="22137" xr:uid="{720DDF25-A164-4B94-9BB7-6D442B84D12A}"/>
    <cellStyle name="Normal 5 2 2 3 2 6 2 4" xfId="13697" xr:uid="{E3652DE6-765C-4050-BFE6-E40390B03616}"/>
    <cellStyle name="Normal 5 2 2 3 2 6 3" xfId="6443" xr:uid="{00000000-0005-0000-0000-0000BB170000}"/>
    <cellStyle name="Normal 5 2 2 3 2 6 3 2" xfId="24209" xr:uid="{40384BDC-C52D-4EF6-9B37-9C0C5FB5F6AD}"/>
    <cellStyle name="Normal 5 2 2 3 2 6 3 3" xfId="15769" xr:uid="{D0261F81-1116-4509-83B6-A62BA4F89177}"/>
    <cellStyle name="Normal 5 2 2 3 2 6 4" xfId="19992" xr:uid="{97234B39-0E41-47D4-9018-E5E494BDF63B}"/>
    <cellStyle name="Normal 5 2 2 3 2 6 5" xfId="11552" xr:uid="{9881F39C-C7C7-405B-9D1D-AF12F28B1D62}"/>
    <cellStyle name="Normal 5 2 2 3 2 7" xfId="2573" xr:uid="{00000000-0005-0000-0000-0000BC170000}"/>
    <cellStyle name="Normal 5 2 2 3 2 7 2" xfId="6856" xr:uid="{00000000-0005-0000-0000-0000BD170000}"/>
    <cellStyle name="Normal 5 2 2 3 2 7 2 2" xfId="24622" xr:uid="{A503BC50-FA1B-4AD0-8AB1-6EBF913B099F}"/>
    <cellStyle name="Normal 5 2 2 3 2 7 2 3" xfId="16182" xr:uid="{99D87421-93D7-47BE-A722-A186EC174E61}"/>
    <cellStyle name="Normal 5 2 2 3 2 7 3" xfId="20405" xr:uid="{7274AD5C-6AC3-411D-B766-2FBEC589C057}"/>
    <cellStyle name="Normal 5 2 2 3 2 7 4" xfId="11965" xr:uid="{E30E2728-B920-45B6-ADF5-1EAF09DC8531}"/>
    <cellStyle name="Normal 5 2 2 3 2 8" xfId="4791" xr:uid="{00000000-0005-0000-0000-0000BE170000}"/>
    <cellStyle name="Normal 5 2 2 3 2 8 2" xfId="22557" xr:uid="{E360245B-259A-44C1-BC41-900427BCF4AC}"/>
    <cellStyle name="Normal 5 2 2 3 2 8 3" xfId="14117" xr:uid="{3A583C53-2F44-48BD-9ECF-54A411B49413}"/>
    <cellStyle name="Normal 5 2 2 3 2 9" xfId="8931" xr:uid="{E27E09D3-2564-4B82-8EA4-A27330B6B436}"/>
    <cellStyle name="Normal 5 2 2 3 2 9 2" xfId="18340" xr:uid="{95A5CE2B-1005-4A2C-9ACE-36B4A6D48E8C}"/>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25117" xr:uid="{9AEC043E-37D7-4197-A5F2-787F1A3CFD79}"/>
    <cellStyle name="Normal 5 2 2 3 3 2 2 2 3" xfId="16677" xr:uid="{A386FD5D-9279-44A0-AA6A-75EE6326CBE8}"/>
    <cellStyle name="Normal 5 2 2 3 3 2 2 3" xfId="20900" xr:uid="{E781217C-1912-492A-AB8D-55199EBACCC5}"/>
    <cellStyle name="Normal 5 2 2 3 3 2 2 4" xfId="12460" xr:uid="{1806D208-A3B9-463A-B130-71EEFBD5D9C5}"/>
    <cellStyle name="Normal 5 2 2 3 3 2 3" xfId="5206" xr:uid="{00000000-0005-0000-0000-0000C3170000}"/>
    <cellStyle name="Normal 5 2 2 3 3 2 3 2" xfId="22972" xr:uid="{FF1B81EA-29D5-4B6E-87A0-EED4869CDBFA}"/>
    <cellStyle name="Normal 5 2 2 3 3 2 3 3" xfId="14532" xr:uid="{51BEFABF-248F-41CF-9D41-BE81FDBF2170}"/>
    <cellStyle name="Normal 5 2 2 3 3 2 4" xfId="9460" xr:uid="{423E0BE9-24F3-4EF0-8962-2565594BF831}"/>
    <cellStyle name="Normal 5 2 2 3 3 2 4 2" xfId="18755" xr:uid="{54ACBC72-2CFC-4647-ACA1-CA3F185EC6B6}"/>
    <cellStyle name="Normal 5 2 2 3 3 2 5" xfId="10315" xr:uid="{E15C04A9-BBFD-4F03-A98D-76262866B2CF}"/>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25530" xr:uid="{CD96A34E-1F19-4969-A30B-264EEE8DD1FD}"/>
    <cellStyle name="Normal 5 2 2 3 3 3 2 2 3" xfId="17090" xr:uid="{29DA8637-9483-4E47-AB50-388A721CE912}"/>
    <cellStyle name="Normal 5 2 2 3 3 3 2 3" xfId="21313" xr:uid="{8345C686-7B29-4312-928A-168816EA65D7}"/>
    <cellStyle name="Normal 5 2 2 3 3 3 2 4" xfId="12873" xr:uid="{03FAD00C-0225-4C32-8AB1-3BB87FFA8488}"/>
    <cellStyle name="Normal 5 2 2 3 3 3 3" xfId="5619" xr:uid="{00000000-0005-0000-0000-0000C7170000}"/>
    <cellStyle name="Normal 5 2 2 3 3 3 3 2" xfId="23385" xr:uid="{89AC048C-C3E5-45D5-8636-31DC7CAB5D60}"/>
    <cellStyle name="Normal 5 2 2 3 3 3 3 3" xfId="14945" xr:uid="{BB9E218E-CFCF-42FA-B118-39833A49E448}"/>
    <cellStyle name="Normal 5 2 2 3 3 3 4" xfId="19168" xr:uid="{3A7414F2-56AC-4AD6-9273-CE579241086C}"/>
    <cellStyle name="Normal 5 2 2 3 3 3 5" xfId="10728" xr:uid="{A24DDC88-BAC0-4547-8454-A46E7321FE96}"/>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25943" xr:uid="{E5D15E00-50D5-4624-8D9E-60FE43476B7F}"/>
    <cellStyle name="Normal 5 2 2 3 3 4 2 2 3" xfId="17503" xr:uid="{74F558EC-77ED-434A-9260-DEA4B59F3DB1}"/>
    <cellStyle name="Normal 5 2 2 3 3 4 2 3" xfId="21726" xr:uid="{5ABE98C7-F4DD-4FFB-A4C8-51B6EEFF938A}"/>
    <cellStyle name="Normal 5 2 2 3 3 4 2 4" xfId="13286" xr:uid="{F7E68644-34D7-45D8-8886-E11D68AE2EE0}"/>
    <cellStyle name="Normal 5 2 2 3 3 4 3" xfId="6032" xr:uid="{00000000-0005-0000-0000-0000CB170000}"/>
    <cellStyle name="Normal 5 2 2 3 3 4 3 2" xfId="23798" xr:uid="{A83848E1-1E2E-4387-BF8B-AB3A370428CF}"/>
    <cellStyle name="Normal 5 2 2 3 3 4 3 3" xfId="15358" xr:uid="{B13C6EFF-629B-41AB-BAAC-89BE2AFFA747}"/>
    <cellStyle name="Normal 5 2 2 3 3 4 4" xfId="19581" xr:uid="{7E280F88-6DA9-43DB-AB3A-1FCDB12127C2}"/>
    <cellStyle name="Normal 5 2 2 3 3 4 5" xfId="11141" xr:uid="{631EA64D-B114-47C8-AE04-CDB35AB95C9A}"/>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26356" xr:uid="{ED0FE149-E77B-4F07-9028-CD1DF961E509}"/>
    <cellStyle name="Normal 5 2 2 3 3 5 2 2 3" xfId="17916" xr:uid="{93593423-52DB-4C91-9ECE-C5CAC6BC12E0}"/>
    <cellStyle name="Normal 5 2 2 3 3 5 2 3" xfId="22139" xr:uid="{E2966A96-B881-432C-B3EF-4E17EA9D310F}"/>
    <cellStyle name="Normal 5 2 2 3 3 5 2 4" xfId="13699" xr:uid="{9A457452-30ED-42C0-A20C-364F99DEAA70}"/>
    <cellStyle name="Normal 5 2 2 3 3 5 3" xfId="6445" xr:uid="{00000000-0005-0000-0000-0000CF170000}"/>
    <cellStyle name="Normal 5 2 2 3 3 5 3 2" xfId="24211" xr:uid="{A54989F0-581D-4B88-9DAA-48A3DD837A37}"/>
    <cellStyle name="Normal 5 2 2 3 3 5 3 3" xfId="15771" xr:uid="{9C07FB99-F51B-4A78-8FFF-120FCAEEEB62}"/>
    <cellStyle name="Normal 5 2 2 3 3 5 4" xfId="19994" xr:uid="{2D246AD9-E155-4AA1-AB4F-1BC20280ACE4}"/>
    <cellStyle name="Normal 5 2 2 3 3 5 5" xfId="11554" xr:uid="{1EDBF11D-11A1-4764-A5B8-99314FEAF2D6}"/>
    <cellStyle name="Normal 5 2 2 3 3 6" xfId="2575" xr:uid="{00000000-0005-0000-0000-0000D0170000}"/>
    <cellStyle name="Normal 5 2 2 3 3 6 2" xfId="6858" xr:uid="{00000000-0005-0000-0000-0000D1170000}"/>
    <cellStyle name="Normal 5 2 2 3 3 6 2 2" xfId="24624" xr:uid="{A4D871E2-A8F3-424B-A92C-2D04D3F58D5C}"/>
    <cellStyle name="Normal 5 2 2 3 3 6 2 3" xfId="16184" xr:uid="{E0F7CD71-D780-47E5-81AD-27C0447897B2}"/>
    <cellStyle name="Normal 5 2 2 3 3 6 3" xfId="20407" xr:uid="{5B35404F-487F-47CD-9C93-5C8C854B8B45}"/>
    <cellStyle name="Normal 5 2 2 3 3 6 4" xfId="11967" xr:uid="{CBF2305A-9C85-4DA0-B9F0-B5729501FB38}"/>
    <cellStyle name="Normal 5 2 2 3 3 7" xfId="4793" xr:uid="{00000000-0005-0000-0000-0000D2170000}"/>
    <cellStyle name="Normal 5 2 2 3 3 7 2" xfId="22559" xr:uid="{22A7FA37-BDBB-4330-B79F-B7D6907B4E93}"/>
    <cellStyle name="Normal 5 2 2 3 3 7 3" xfId="14119" xr:uid="{8C01CF90-E18D-4D86-8906-058555925C4B}"/>
    <cellStyle name="Normal 5 2 2 3 3 8" xfId="9035" xr:uid="{6AC57173-16AF-4847-A277-E4254AACDA36}"/>
    <cellStyle name="Normal 5 2 2 3 3 8 2" xfId="18342" xr:uid="{4B2AD02A-F553-4F6E-84C2-A522AF3966FD}"/>
    <cellStyle name="Normal 5 2 2 3 3 9" xfId="9902" xr:uid="{8CF881DC-5ECE-41F5-BE6C-FB162AD548CE}"/>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25114" xr:uid="{6707008C-2E83-4469-A2B8-82EDC80350A7}"/>
    <cellStyle name="Normal 5 2 2 3 4 2 2 3" xfId="16674" xr:uid="{E5B32B3D-EEDC-45EE-BB25-BEE0C194A22F}"/>
    <cellStyle name="Normal 5 2 2 3 4 2 3" xfId="20897" xr:uid="{67279FD3-BE12-48E2-A39A-0254523BE452}"/>
    <cellStyle name="Normal 5 2 2 3 4 2 4" xfId="12457" xr:uid="{3AA53572-38B1-4AE2-B001-813F1AE5B462}"/>
    <cellStyle name="Normal 5 2 2 3 4 3" xfId="5203" xr:uid="{00000000-0005-0000-0000-0000D6170000}"/>
    <cellStyle name="Normal 5 2 2 3 4 3 2" xfId="22969" xr:uid="{38AC958B-8662-47E3-9A5F-188FA30D5D07}"/>
    <cellStyle name="Normal 5 2 2 3 4 3 3" xfId="14529" xr:uid="{A809589E-A8BD-4524-AE51-E04FDECCBAFA}"/>
    <cellStyle name="Normal 5 2 2 3 4 4" xfId="9253" xr:uid="{A5C3AAF9-67DD-41B1-A0BF-05B69F588F71}"/>
    <cellStyle name="Normal 5 2 2 3 4 4 2" xfId="18752" xr:uid="{218ABA61-46AC-4E73-847C-4C72E84727C6}"/>
    <cellStyle name="Normal 5 2 2 3 4 5" xfId="10312" xr:uid="{45FA44D2-1674-4F72-BBC1-5876ADF67BD9}"/>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25527" xr:uid="{5D34258E-39D4-404A-8545-A42CB1917C16}"/>
    <cellStyle name="Normal 5 2 2 3 5 2 2 3" xfId="17087" xr:uid="{8FB1B96A-9F40-4E51-B9B4-3103ECDC701D}"/>
    <cellStyle name="Normal 5 2 2 3 5 2 3" xfId="21310" xr:uid="{F63B507C-A879-41C7-8EB0-3EED2C81840F}"/>
    <cellStyle name="Normal 5 2 2 3 5 2 4" xfId="12870" xr:uid="{05783974-1A89-49A5-A7DF-1D681BCA9D1E}"/>
    <cellStyle name="Normal 5 2 2 3 5 3" xfId="5616" xr:uid="{00000000-0005-0000-0000-0000DA170000}"/>
    <cellStyle name="Normal 5 2 2 3 5 3 2" xfId="23382" xr:uid="{E5A75DA5-CBEB-4BC7-92E4-491C210A31DE}"/>
    <cellStyle name="Normal 5 2 2 3 5 3 3" xfId="14942" xr:uid="{D153052D-3CCC-4F30-8B63-F32231D59CAB}"/>
    <cellStyle name="Normal 5 2 2 3 5 4" xfId="19165" xr:uid="{A645EB70-AFA2-483F-BAB0-E0A5DFD976DB}"/>
    <cellStyle name="Normal 5 2 2 3 5 5" xfId="10725" xr:uid="{18B48C3D-9472-431F-98FC-03937F6B1746}"/>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25940" xr:uid="{CD4221DD-2786-4DD3-A83D-DFF63B2DB29E}"/>
    <cellStyle name="Normal 5 2 2 3 6 2 2 3" xfId="17500" xr:uid="{3F817744-707F-444D-9140-4B2264B7BF81}"/>
    <cellStyle name="Normal 5 2 2 3 6 2 3" xfId="21723" xr:uid="{9BDAC68D-D601-432F-ACB4-AE56F7BD0525}"/>
    <cellStyle name="Normal 5 2 2 3 6 2 4" xfId="13283" xr:uid="{CA5C15F4-DAD1-4CD2-B240-436F2DFA92BE}"/>
    <cellStyle name="Normal 5 2 2 3 6 3" xfId="6029" xr:uid="{00000000-0005-0000-0000-0000DE170000}"/>
    <cellStyle name="Normal 5 2 2 3 6 3 2" xfId="23795" xr:uid="{3DA12A4A-5CE4-4D2F-9266-A6819F87624C}"/>
    <cellStyle name="Normal 5 2 2 3 6 3 3" xfId="15355" xr:uid="{6E3A0566-2F35-449D-A413-0C48D1BFA1CD}"/>
    <cellStyle name="Normal 5 2 2 3 6 4" xfId="19578" xr:uid="{BD7031BC-6D2F-4762-A251-0627397C7C58}"/>
    <cellStyle name="Normal 5 2 2 3 6 5" xfId="11138" xr:uid="{F58BFB8F-68A3-4095-9503-D6E9FFBC5386}"/>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26353" xr:uid="{6F15FC77-4600-4655-B5B8-944DE6DF8BB5}"/>
    <cellStyle name="Normal 5 2 2 3 7 2 2 3" xfId="17913" xr:uid="{8D22D2AE-C235-4027-913E-667E3CFEA3D8}"/>
    <cellStyle name="Normal 5 2 2 3 7 2 3" xfId="22136" xr:uid="{D8402F04-B998-446C-88C9-BE63D6F9415F}"/>
    <cellStyle name="Normal 5 2 2 3 7 2 4" xfId="13696" xr:uid="{6DCC722F-17A8-4210-8933-E0F8D08936FC}"/>
    <cellStyle name="Normal 5 2 2 3 7 3" xfId="6442" xr:uid="{00000000-0005-0000-0000-0000E2170000}"/>
    <cellStyle name="Normal 5 2 2 3 7 3 2" xfId="24208" xr:uid="{F4C7C723-B780-43E5-A699-3E07891CE957}"/>
    <cellStyle name="Normal 5 2 2 3 7 3 3" xfId="15768" xr:uid="{5F3C4C28-4E8D-4EB8-BC16-1508FB8C1CFB}"/>
    <cellStyle name="Normal 5 2 2 3 7 4" xfId="19991" xr:uid="{B848DBD1-DFEE-4FE7-A9B2-88E35C18FB02}"/>
    <cellStyle name="Normal 5 2 2 3 7 5" xfId="11551" xr:uid="{2EFDACD8-9161-4E66-9BA2-A70BE1808DE5}"/>
    <cellStyle name="Normal 5 2 2 3 8" xfId="2572" xr:uid="{00000000-0005-0000-0000-0000E3170000}"/>
    <cellStyle name="Normal 5 2 2 3 8 2" xfId="6855" xr:uid="{00000000-0005-0000-0000-0000E4170000}"/>
    <cellStyle name="Normal 5 2 2 3 8 2 2" xfId="24621" xr:uid="{C20E4141-F9BC-49B0-846A-3B641DE46E2B}"/>
    <cellStyle name="Normal 5 2 2 3 8 2 3" xfId="16181" xr:uid="{C74F6256-56CD-4663-B9C2-99F2E953ED4D}"/>
    <cellStyle name="Normal 5 2 2 3 8 3" xfId="20404" xr:uid="{2C52F53E-A298-47FA-B7FD-A6996D3D1024}"/>
    <cellStyle name="Normal 5 2 2 3 8 4" xfId="11964" xr:uid="{96C4390E-4800-4D6E-AF6F-60D31E830952}"/>
    <cellStyle name="Normal 5 2 2 3 9" xfId="4790" xr:uid="{00000000-0005-0000-0000-0000E5170000}"/>
    <cellStyle name="Normal 5 2 2 3 9 2" xfId="22556" xr:uid="{ABE40338-346C-4954-80B7-CD63B7CFBA11}"/>
    <cellStyle name="Normal 5 2 2 3 9 3" xfId="14116" xr:uid="{41F31461-2511-4F0A-BFB7-4B4068F047F5}"/>
    <cellStyle name="Normal 5 2 2 4" xfId="421" xr:uid="{00000000-0005-0000-0000-0000E6170000}"/>
    <cellStyle name="Normal 5 2 2 4 10" xfId="9903" xr:uid="{EF62FAFB-87B1-46E2-8F91-00CBB7B3789A}"/>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25119" xr:uid="{25B486AF-3D24-44C3-81C6-934C05ABB50F}"/>
    <cellStyle name="Normal 5 2 2 4 2 2 2 2 3" xfId="16679" xr:uid="{58A5EF17-15A1-49E7-B233-434F2D485D33}"/>
    <cellStyle name="Normal 5 2 2 4 2 2 2 3" xfId="20902" xr:uid="{8889142C-0797-436F-9634-D755D69239A0}"/>
    <cellStyle name="Normal 5 2 2 4 2 2 2 4" xfId="12462" xr:uid="{9062D874-6CA6-43E1-A1F5-78100160BDBE}"/>
    <cellStyle name="Normal 5 2 2 4 2 2 3" xfId="5208" xr:uid="{00000000-0005-0000-0000-0000EB170000}"/>
    <cellStyle name="Normal 5 2 2 4 2 2 3 2" xfId="22974" xr:uid="{DEBE8DA5-ED47-4A76-9800-F5842CDCBC2C}"/>
    <cellStyle name="Normal 5 2 2 4 2 2 3 3" xfId="14534" xr:uid="{FACFD8BE-D1BF-4485-9E86-4C38666970BE}"/>
    <cellStyle name="Normal 5 2 2 4 2 2 4" xfId="9488" xr:uid="{2997B11D-E810-48A4-BD3C-4498479B295E}"/>
    <cellStyle name="Normal 5 2 2 4 2 2 4 2" xfId="18757" xr:uid="{093DC828-667C-4057-956C-59D4ECEFCC4A}"/>
    <cellStyle name="Normal 5 2 2 4 2 2 5" xfId="10317" xr:uid="{CF3AB60E-55E7-46C8-82FE-C591B6105375}"/>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25532" xr:uid="{54E20219-5850-45C9-A3D2-6D62777FBBA9}"/>
    <cellStyle name="Normal 5 2 2 4 2 3 2 2 3" xfId="17092" xr:uid="{9B671015-501F-4C08-9FE0-B946929F1DD5}"/>
    <cellStyle name="Normal 5 2 2 4 2 3 2 3" xfId="21315" xr:uid="{9867FF6B-3981-4B23-88F6-BD20C078453E}"/>
    <cellStyle name="Normal 5 2 2 4 2 3 2 4" xfId="12875" xr:uid="{B5DDFCDD-830C-42BC-9474-52DEE91141FF}"/>
    <cellStyle name="Normal 5 2 2 4 2 3 3" xfId="5621" xr:uid="{00000000-0005-0000-0000-0000EF170000}"/>
    <cellStyle name="Normal 5 2 2 4 2 3 3 2" xfId="23387" xr:uid="{4B184B46-F46B-4440-9B40-24B7402584C9}"/>
    <cellStyle name="Normal 5 2 2 4 2 3 3 3" xfId="14947" xr:uid="{C04F46D2-CB76-47CF-9775-76EB36581E5F}"/>
    <cellStyle name="Normal 5 2 2 4 2 3 4" xfId="19170" xr:uid="{55DF944D-B6EE-4225-9989-4F4890B02180}"/>
    <cellStyle name="Normal 5 2 2 4 2 3 5" xfId="10730" xr:uid="{4E575299-2C18-468A-9E1F-FE8714AA681F}"/>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25945" xr:uid="{AAE2343F-4251-445B-9DA3-BC1465797433}"/>
    <cellStyle name="Normal 5 2 2 4 2 4 2 2 3" xfId="17505" xr:uid="{CA123953-7638-4D79-B59E-8F6319B13691}"/>
    <cellStyle name="Normal 5 2 2 4 2 4 2 3" xfId="21728" xr:uid="{3C9326D1-9EC4-422E-8DE6-CD8A9CD153BA}"/>
    <cellStyle name="Normal 5 2 2 4 2 4 2 4" xfId="13288" xr:uid="{0578E909-43EA-4590-BCFE-6B7D87FBFC00}"/>
    <cellStyle name="Normal 5 2 2 4 2 4 3" xfId="6034" xr:uid="{00000000-0005-0000-0000-0000F3170000}"/>
    <cellStyle name="Normal 5 2 2 4 2 4 3 2" xfId="23800" xr:uid="{10B4FF6A-1B99-48D2-87ED-5FBA50F5813D}"/>
    <cellStyle name="Normal 5 2 2 4 2 4 3 3" xfId="15360" xr:uid="{0B83192F-0CFB-46ED-A1BD-D093C75AE557}"/>
    <cellStyle name="Normal 5 2 2 4 2 4 4" xfId="19583" xr:uid="{22AE6712-00BD-4A8E-A8F6-114CD84D5602}"/>
    <cellStyle name="Normal 5 2 2 4 2 4 5" xfId="11143" xr:uid="{8152AAE8-1D58-4996-AF25-95FA2630D622}"/>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26358" xr:uid="{8D76A381-CEFF-483D-9C1C-CEEE9AE05E6F}"/>
    <cellStyle name="Normal 5 2 2 4 2 5 2 2 3" xfId="17918" xr:uid="{B59B60CC-2A0C-4D89-A9C9-E16D91B362FF}"/>
    <cellStyle name="Normal 5 2 2 4 2 5 2 3" xfId="22141" xr:uid="{24C962C6-F1B7-458C-A6E3-58B15267B9C9}"/>
    <cellStyle name="Normal 5 2 2 4 2 5 2 4" xfId="13701" xr:uid="{F077E878-4921-4F22-B4D4-26CC92A48A55}"/>
    <cellStyle name="Normal 5 2 2 4 2 5 3" xfId="6447" xr:uid="{00000000-0005-0000-0000-0000F7170000}"/>
    <cellStyle name="Normal 5 2 2 4 2 5 3 2" xfId="24213" xr:uid="{725580D5-7913-4309-99C0-60C88CB51AC7}"/>
    <cellStyle name="Normal 5 2 2 4 2 5 3 3" xfId="15773" xr:uid="{4B890499-3FCC-47E5-9032-D3D31D51CB03}"/>
    <cellStyle name="Normal 5 2 2 4 2 5 4" xfId="19996" xr:uid="{88C80EC8-CDFB-4E63-BCA4-E60AA64F97AD}"/>
    <cellStyle name="Normal 5 2 2 4 2 5 5" xfId="11556" xr:uid="{1CFF0DEF-E22F-40AF-A055-1A9F3525D456}"/>
    <cellStyle name="Normal 5 2 2 4 2 6" xfId="2577" xr:uid="{00000000-0005-0000-0000-0000F8170000}"/>
    <cellStyle name="Normal 5 2 2 4 2 6 2" xfId="6860" xr:uid="{00000000-0005-0000-0000-0000F9170000}"/>
    <cellStyle name="Normal 5 2 2 4 2 6 2 2" xfId="24626" xr:uid="{4643F2B7-FC85-453A-AAB1-B6CBAEC7299C}"/>
    <cellStyle name="Normal 5 2 2 4 2 6 2 3" xfId="16186" xr:uid="{6CB0704C-3042-4609-A476-47203BC83161}"/>
    <cellStyle name="Normal 5 2 2 4 2 6 3" xfId="20409" xr:uid="{792972B9-6028-485A-9285-4C5298F7EDD6}"/>
    <cellStyle name="Normal 5 2 2 4 2 6 4" xfId="11969" xr:uid="{A67438A5-E687-441E-9DAD-7B052348860E}"/>
    <cellStyle name="Normal 5 2 2 4 2 7" xfId="4795" xr:uid="{00000000-0005-0000-0000-0000FA170000}"/>
    <cellStyle name="Normal 5 2 2 4 2 7 2" xfId="22561" xr:uid="{887466F3-6ED2-4B6B-BAD4-B44CB2DF69EE}"/>
    <cellStyle name="Normal 5 2 2 4 2 7 3" xfId="14121" xr:uid="{1B1473DF-BEBC-4C91-8338-12E95B276E86}"/>
    <cellStyle name="Normal 5 2 2 4 2 8" xfId="9063" xr:uid="{3B1AA107-8D7F-4938-A60C-EED41E9B9A2A}"/>
    <cellStyle name="Normal 5 2 2 4 2 8 2" xfId="18344" xr:uid="{76553C52-F329-471C-8406-6F18E362529B}"/>
    <cellStyle name="Normal 5 2 2 4 2 9" xfId="9904" xr:uid="{31B60E91-1489-41DD-9C8B-92DD67920103}"/>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25118" xr:uid="{AF9829F9-29CD-4599-B492-055A3BE822F0}"/>
    <cellStyle name="Normal 5 2 2 4 3 2 2 3" xfId="16678" xr:uid="{75810B61-4CAC-4087-944A-B8059B9F3215}"/>
    <cellStyle name="Normal 5 2 2 4 3 2 3" xfId="20901" xr:uid="{FC4F7ED1-EB57-4083-90B1-B19D5204724B}"/>
    <cellStyle name="Normal 5 2 2 4 3 2 4" xfId="12461" xr:uid="{38AE107A-D1D8-4972-9954-7EB1F56ED308}"/>
    <cellStyle name="Normal 5 2 2 4 3 3" xfId="5207" xr:uid="{00000000-0005-0000-0000-0000FE170000}"/>
    <cellStyle name="Normal 5 2 2 4 3 3 2" xfId="22973" xr:uid="{071F20EA-62A6-48AD-9876-05A7CA4673A7}"/>
    <cellStyle name="Normal 5 2 2 4 3 3 3" xfId="14533" xr:uid="{985BE672-4DA1-4A79-8957-B29E1C031CF9}"/>
    <cellStyle name="Normal 5 2 2 4 3 4" xfId="9281" xr:uid="{9304050F-95A7-4BE3-AD21-FEBB7D0875B2}"/>
    <cellStyle name="Normal 5 2 2 4 3 4 2" xfId="18756" xr:uid="{259A72BD-4440-4306-ACC2-5B79FD2B8DD8}"/>
    <cellStyle name="Normal 5 2 2 4 3 5" xfId="10316" xr:uid="{5AD20918-7F06-43DD-AF9F-61093851E29D}"/>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25531" xr:uid="{4449B3E5-36FB-4DC8-811A-20C37688A772}"/>
    <cellStyle name="Normal 5 2 2 4 4 2 2 3" xfId="17091" xr:uid="{F5C381D2-0565-4642-AAC0-53A0BD9E1A93}"/>
    <cellStyle name="Normal 5 2 2 4 4 2 3" xfId="21314" xr:uid="{E5E910E6-2CC2-45ED-88C8-C368B09488AA}"/>
    <cellStyle name="Normal 5 2 2 4 4 2 4" xfId="12874" xr:uid="{CC962138-553D-4B48-A6A9-E7119A3E574B}"/>
    <cellStyle name="Normal 5 2 2 4 4 3" xfId="5620" xr:uid="{00000000-0005-0000-0000-000002180000}"/>
    <cellStyle name="Normal 5 2 2 4 4 3 2" xfId="23386" xr:uid="{407F97FA-381A-41D7-B8E6-AA13E7B8253B}"/>
    <cellStyle name="Normal 5 2 2 4 4 3 3" xfId="14946" xr:uid="{E6185F7A-F21A-447E-A489-15EBB5CB5F23}"/>
    <cellStyle name="Normal 5 2 2 4 4 4" xfId="19169" xr:uid="{6E7D4622-7B42-4166-99C4-BC260A517794}"/>
    <cellStyle name="Normal 5 2 2 4 4 5" xfId="10729" xr:uid="{15AAC2D3-B12F-491D-8DDB-EFC58DFE06B3}"/>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25944" xr:uid="{C2A0E267-2D03-4E56-8864-915162C8D5F6}"/>
    <cellStyle name="Normal 5 2 2 4 5 2 2 3" xfId="17504" xr:uid="{B0D87A9F-6A81-4C1D-A6F0-676B7DB996D3}"/>
    <cellStyle name="Normal 5 2 2 4 5 2 3" xfId="21727" xr:uid="{2A533438-2AF6-4588-9E2E-5345DE61FDCD}"/>
    <cellStyle name="Normal 5 2 2 4 5 2 4" xfId="13287" xr:uid="{0B5B459E-28F6-46A4-B9F3-F81E4B57EB3B}"/>
    <cellStyle name="Normal 5 2 2 4 5 3" xfId="6033" xr:uid="{00000000-0005-0000-0000-000006180000}"/>
    <cellStyle name="Normal 5 2 2 4 5 3 2" xfId="23799" xr:uid="{D38E57DE-168F-472C-BE1C-54906EE547B1}"/>
    <cellStyle name="Normal 5 2 2 4 5 3 3" xfId="15359" xr:uid="{D582A67B-83FF-4A32-AD7A-801C68C292AB}"/>
    <cellStyle name="Normal 5 2 2 4 5 4" xfId="19582" xr:uid="{69E6301E-FC48-490A-8767-2F44C327845B}"/>
    <cellStyle name="Normal 5 2 2 4 5 5" xfId="11142" xr:uid="{183E4406-0CA3-4580-B926-48399F817D82}"/>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26357" xr:uid="{B07E7A6F-AB62-4EF4-A541-DF1AEE0EAC93}"/>
    <cellStyle name="Normal 5 2 2 4 6 2 2 3" xfId="17917" xr:uid="{2A85F946-4DCF-43AB-AF3C-C96BBBD89886}"/>
    <cellStyle name="Normal 5 2 2 4 6 2 3" xfId="22140" xr:uid="{FE88B8D7-1524-4CC5-BE43-FD4575B0D92F}"/>
    <cellStyle name="Normal 5 2 2 4 6 2 4" xfId="13700" xr:uid="{F683B603-48A7-4D91-A068-8D30151CFB07}"/>
    <cellStyle name="Normal 5 2 2 4 6 3" xfId="6446" xr:uid="{00000000-0005-0000-0000-00000A180000}"/>
    <cellStyle name="Normal 5 2 2 4 6 3 2" xfId="24212" xr:uid="{5676FC21-1564-4A04-896B-E284602915FA}"/>
    <cellStyle name="Normal 5 2 2 4 6 3 3" xfId="15772" xr:uid="{A49C8B27-53B8-497A-84D7-76916EB3CCAD}"/>
    <cellStyle name="Normal 5 2 2 4 6 4" xfId="19995" xr:uid="{E0C7FF98-BE99-43A5-B66D-AF64F64AEC3C}"/>
    <cellStyle name="Normal 5 2 2 4 6 5" xfId="11555" xr:uid="{0C4FA22F-C7D8-4CFA-B65E-6A09C0E61E33}"/>
    <cellStyle name="Normal 5 2 2 4 7" xfId="2576" xr:uid="{00000000-0005-0000-0000-00000B180000}"/>
    <cellStyle name="Normal 5 2 2 4 7 2" xfId="6859" xr:uid="{00000000-0005-0000-0000-00000C180000}"/>
    <cellStyle name="Normal 5 2 2 4 7 2 2" xfId="24625" xr:uid="{9D53B395-C2EE-4492-9F0B-E698650DB9E5}"/>
    <cellStyle name="Normal 5 2 2 4 7 2 3" xfId="16185" xr:uid="{E6611E9F-66FC-4C13-8915-947C7078F079}"/>
    <cellStyle name="Normal 5 2 2 4 7 3" xfId="20408" xr:uid="{2E1BDED7-61C9-4D18-8198-0FC42E98526E}"/>
    <cellStyle name="Normal 5 2 2 4 7 4" xfId="11968" xr:uid="{4CB0E7B0-3E3F-47F3-8376-722CE35F212F}"/>
    <cellStyle name="Normal 5 2 2 4 8" xfId="4794" xr:uid="{00000000-0005-0000-0000-00000D180000}"/>
    <cellStyle name="Normal 5 2 2 4 8 2" xfId="22560" xr:uid="{AB8B95F8-8F5F-4664-8DAE-A9E999E6FF70}"/>
    <cellStyle name="Normal 5 2 2 4 8 3" xfId="14120" xr:uid="{196775B9-FF6B-4B0B-90B7-D8B6442ABDDE}"/>
    <cellStyle name="Normal 5 2 2 4 9" xfId="8856" xr:uid="{8A537EF5-BE1D-4B82-9546-B2DC1F74308F}"/>
    <cellStyle name="Normal 5 2 2 4 9 2" xfId="18343" xr:uid="{69055B05-3A94-41DA-B4EC-BEB9C174A9FB}"/>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25120" xr:uid="{5302EB57-AE13-42DC-AB8C-1C24C155796B}"/>
    <cellStyle name="Normal 5 2 2 5 2 2 2 3" xfId="16680" xr:uid="{C4E158B7-09B4-46AB-B286-C305BFDED1F8}"/>
    <cellStyle name="Normal 5 2 2 5 2 2 3" xfId="20903" xr:uid="{DF86EE42-4CFB-43E5-99CA-404A922378A2}"/>
    <cellStyle name="Normal 5 2 2 5 2 2 4" xfId="12463" xr:uid="{0C6EF0E8-B5F3-4710-82F8-B5BD741BE08C}"/>
    <cellStyle name="Normal 5 2 2 5 2 3" xfId="5209" xr:uid="{00000000-0005-0000-0000-000012180000}"/>
    <cellStyle name="Normal 5 2 2 5 2 3 2" xfId="22975" xr:uid="{DD7C78FF-3C39-4DE3-A851-EAD0488816F0}"/>
    <cellStyle name="Normal 5 2 2 5 2 3 3" xfId="14535" xr:uid="{DB76ACFE-5A91-44B9-8DFB-D81B429F7001}"/>
    <cellStyle name="Normal 5 2 2 5 2 4" xfId="9397" xr:uid="{3CB0B9A4-F907-4F52-ACFC-7970F7AF9B13}"/>
    <cellStyle name="Normal 5 2 2 5 2 4 2" xfId="18758" xr:uid="{0BDD3CB2-271B-4C48-97AF-3EDB17DD0E60}"/>
    <cellStyle name="Normal 5 2 2 5 2 5" xfId="10318" xr:uid="{23A96554-4714-4A13-9340-4C03EB87C537}"/>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25533" xr:uid="{BCF31E7F-A7F8-46E7-83AE-D4C5D388CEC3}"/>
    <cellStyle name="Normal 5 2 2 5 3 2 2 3" xfId="17093" xr:uid="{D9A698ED-6CD9-459F-A51A-F16F326B62AB}"/>
    <cellStyle name="Normal 5 2 2 5 3 2 3" xfId="21316" xr:uid="{D381B01A-BCA6-46BD-8E26-467D8B2AA2A6}"/>
    <cellStyle name="Normal 5 2 2 5 3 2 4" xfId="12876" xr:uid="{D6F2D398-E256-4154-BE85-F6E0F6CE09E2}"/>
    <cellStyle name="Normal 5 2 2 5 3 3" xfId="5622" xr:uid="{00000000-0005-0000-0000-000016180000}"/>
    <cellStyle name="Normal 5 2 2 5 3 3 2" xfId="23388" xr:uid="{0CFC08A5-508D-4B0A-A783-C834A8CBF951}"/>
    <cellStyle name="Normal 5 2 2 5 3 3 3" xfId="14948" xr:uid="{E3017824-24C1-43F8-99FB-E445FE53C8DA}"/>
    <cellStyle name="Normal 5 2 2 5 3 4" xfId="19171" xr:uid="{1FF8D85F-5B5E-4F19-AD9E-CFBA452334DD}"/>
    <cellStyle name="Normal 5 2 2 5 3 5" xfId="10731" xr:uid="{F52AADF4-7539-4A13-930B-63D01C374CFB}"/>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25946" xr:uid="{59BB508F-9EEA-4355-88DB-E0C6C71A5431}"/>
    <cellStyle name="Normal 5 2 2 5 4 2 2 3" xfId="17506" xr:uid="{BD900BC6-A0A0-4577-9ED1-13388A52AE7A}"/>
    <cellStyle name="Normal 5 2 2 5 4 2 3" xfId="21729" xr:uid="{1D83ED68-1BDF-441E-AC1F-34DAA6D6BA5B}"/>
    <cellStyle name="Normal 5 2 2 5 4 2 4" xfId="13289" xr:uid="{4ACEF243-8C92-428E-A818-C78A821980C7}"/>
    <cellStyle name="Normal 5 2 2 5 4 3" xfId="6035" xr:uid="{00000000-0005-0000-0000-00001A180000}"/>
    <cellStyle name="Normal 5 2 2 5 4 3 2" xfId="23801" xr:uid="{A0C0D923-8EF7-4DD4-9FE8-726B33D528AD}"/>
    <cellStyle name="Normal 5 2 2 5 4 3 3" xfId="15361" xr:uid="{617997CC-F7F0-427A-8691-26C365B5D3E7}"/>
    <cellStyle name="Normal 5 2 2 5 4 4" xfId="19584" xr:uid="{BC5960D7-6972-4CA7-914A-D62EA9AE6608}"/>
    <cellStyle name="Normal 5 2 2 5 4 5" xfId="11144" xr:uid="{AAF67546-D72B-4609-A106-2398B900157B}"/>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26359" xr:uid="{B218ECBE-81C6-40BE-AA5C-C03BC61F18AE}"/>
    <cellStyle name="Normal 5 2 2 5 5 2 2 3" xfId="17919" xr:uid="{0A18CF2A-AAFB-4F6B-B9C7-AF7D77B4D3F1}"/>
    <cellStyle name="Normal 5 2 2 5 5 2 3" xfId="22142" xr:uid="{48F99ACB-B452-4E0D-8525-FF7837A539B9}"/>
    <cellStyle name="Normal 5 2 2 5 5 2 4" xfId="13702" xr:uid="{7A5FD766-275D-4AE9-8E87-476A9A4EDC3D}"/>
    <cellStyle name="Normal 5 2 2 5 5 3" xfId="6448" xr:uid="{00000000-0005-0000-0000-00001E180000}"/>
    <cellStyle name="Normal 5 2 2 5 5 3 2" xfId="24214" xr:uid="{2D4BC838-59D0-40FA-9F18-CD2C98BC84F4}"/>
    <cellStyle name="Normal 5 2 2 5 5 3 3" xfId="15774" xr:uid="{17C9F208-95EC-4641-81E6-AFC414389F76}"/>
    <cellStyle name="Normal 5 2 2 5 5 4" xfId="19997" xr:uid="{1755B1BF-CE88-4E59-962A-62C2E4195024}"/>
    <cellStyle name="Normal 5 2 2 5 5 5" xfId="11557" xr:uid="{9C5057A9-B34B-43DF-8869-2C07EAAEDEA9}"/>
    <cellStyle name="Normal 5 2 2 5 6" xfId="2578" xr:uid="{00000000-0005-0000-0000-00001F180000}"/>
    <cellStyle name="Normal 5 2 2 5 6 2" xfId="6861" xr:uid="{00000000-0005-0000-0000-000020180000}"/>
    <cellStyle name="Normal 5 2 2 5 6 2 2" xfId="24627" xr:uid="{7707BB63-EA9A-44B7-AAD3-21BA2CFB956F}"/>
    <cellStyle name="Normal 5 2 2 5 6 2 3" xfId="16187" xr:uid="{9946523B-0600-4ADA-8F9F-31C9DA21C67F}"/>
    <cellStyle name="Normal 5 2 2 5 6 3" xfId="20410" xr:uid="{60480C9B-B81E-4A94-BBE9-F04E2A2EA69C}"/>
    <cellStyle name="Normal 5 2 2 5 6 4" xfId="11970" xr:uid="{7F6B9834-BC4A-467F-AC0B-59EE8081DE0D}"/>
    <cellStyle name="Normal 5 2 2 5 7" xfId="4796" xr:uid="{00000000-0005-0000-0000-000021180000}"/>
    <cellStyle name="Normal 5 2 2 5 7 2" xfId="22562" xr:uid="{AB98847A-FFC7-43BB-AC70-40C6A77A177E}"/>
    <cellStyle name="Normal 5 2 2 5 7 3" xfId="14122" xr:uid="{35FC97F9-ABCE-4E54-8EFE-9CA54D5A6433}"/>
    <cellStyle name="Normal 5 2 2 5 8" xfId="8972" xr:uid="{3CCC8856-6464-4309-A4F9-43F74A48C503}"/>
    <cellStyle name="Normal 5 2 2 5 8 2" xfId="18345" xr:uid="{46271B27-7573-4DCE-818E-9F1421475204}"/>
    <cellStyle name="Normal 5 2 2 5 9" xfId="9905" xr:uid="{0985E9D9-A75C-4BFC-B138-92FF004D8E30}"/>
    <cellStyle name="Normal 5 2 2 6" xfId="882" xr:uid="{00000000-0005-0000-0000-000022180000}"/>
    <cellStyle name="Normal 5 2 2 6 2" xfId="3117" xr:uid="{00000000-0005-0000-0000-000023180000}"/>
    <cellStyle name="Normal 5 2 2 6 2 2" xfId="7339" xr:uid="{00000000-0005-0000-0000-000024180000}"/>
    <cellStyle name="Normal 5 2 2 6 2 2 2" xfId="25105" xr:uid="{684ACBAE-6B29-4FF3-817F-BB3F254BF4F6}"/>
    <cellStyle name="Normal 5 2 2 6 2 2 3" xfId="16665" xr:uid="{4F214DC4-716E-4E9E-B2CB-AA2B349FDD64}"/>
    <cellStyle name="Normal 5 2 2 6 2 3" xfId="20888" xr:uid="{4B8ACBAA-3B9B-48B8-B13C-57825E25C6DD}"/>
    <cellStyle name="Normal 5 2 2 6 2 4" xfId="12448" xr:uid="{76CA9F9F-E0D8-4C30-B55C-3310A2B3ADCC}"/>
    <cellStyle name="Normal 5 2 2 6 3" xfId="5194" xr:uid="{00000000-0005-0000-0000-000025180000}"/>
    <cellStyle name="Normal 5 2 2 6 3 2" xfId="22960" xr:uid="{8E6CDA56-13BE-4495-8B20-4079B2D4CA12}"/>
    <cellStyle name="Normal 5 2 2 6 3 3" xfId="14520" xr:uid="{43F6E5EC-164B-4C2B-9709-B7F6327B2202}"/>
    <cellStyle name="Normal 5 2 2 6 4" xfId="9175" xr:uid="{A0BC076A-DB75-4963-A17E-57836FA6391D}"/>
    <cellStyle name="Normal 5 2 2 6 4 2" xfId="18743" xr:uid="{1D03C791-ED4A-4F2F-A45F-DD2387E135E8}"/>
    <cellStyle name="Normal 5 2 2 6 5" xfId="10303" xr:uid="{F531EFD5-0F5B-4D3A-BB0F-E50F07C0BCA9}"/>
    <cellStyle name="Normal 5 2 2 7" xfId="1300" xr:uid="{00000000-0005-0000-0000-000026180000}"/>
    <cellStyle name="Normal 5 2 2 7 2" xfId="3530" xr:uid="{00000000-0005-0000-0000-000027180000}"/>
    <cellStyle name="Normal 5 2 2 7 2 2" xfId="7752" xr:uid="{00000000-0005-0000-0000-000028180000}"/>
    <cellStyle name="Normal 5 2 2 7 2 2 2" xfId="25518" xr:uid="{3521BE9A-917F-43D6-A69E-43EA5B2ECFAF}"/>
    <cellStyle name="Normal 5 2 2 7 2 2 3" xfId="17078" xr:uid="{7AA4004A-6B50-4AF2-9615-B2DFAAB5A9A5}"/>
    <cellStyle name="Normal 5 2 2 7 2 3" xfId="21301" xr:uid="{FDB958D5-B3B9-492D-B9D1-52E2E61EFFFC}"/>
    <cellStyle name="Normal 5 2 2 7 2 4" xfId="12861" xr:uid="{068D25D9-3391-4DA6-A887-3359C1288BBA}"/>
    <cellStyle name="Normal 5 2 2 7 3" xfId="5607" xr:uid="{00000000-0005-0000-0000-000029180000}"/>
    <cellStyle name="Normal 5 2 2 7 3 2" xfId="23373" xr:uid="{5C6AF693-E2AA-4A7F-A6F8-EBD150795747}"/>
    <cellStyle name="Normal 5 2 2 7 3 3" xfId="14933" xr:uid="{95D241B4-AC24-4283-8DBE-8ECAA750B211}"/>
    <cellStyle name="Normal 5 2 2 7 4" xfId="19156" xr:uid="{ABBA4614-4D4F-45CF-B3DD-0C1DF5E1D2B1}"/>
    <cellStyle name="Normal 5 2 2 7 5" xfId="10716" xr:uid="{BD098233-9043-4D15-AF37-E4CC32CC21E2}"/>
    <cellStyle name="Normal 5 2 2 8" xfId="1713" xr:uid="{00000000-0005-0000-0000-00002A180000}"/>
    <cellStyle name="Normal 5 2 2 8 2" xfId="3943" xr:uid="{00000000-0005-0000-0000-00002B180000}"/>
    <cellStyle name="Normal 5 2 2 8 2 2" xfId="8165" xr:uid="{00000000-0005-0000-0000-00002C180000}"/>
    <cellStyle name="Normal 5 2 2 8 2 2 2" xfId="25931" xr:uid="{44F1C9AB-11CF-4731-A2B9-1CCF737C9C23}"/>
    <cellStyle name="Normal 5 2 2 8 2 2 3" xfId="17491" xr:uid="{3A9AE3D0-A08F-40D2-B0BE-02C19E775402}"/>
    <cellStyle name="Normal 5 2 2 8 2 3" xfId="21714" xr:uid="{2A9BAF9C-90FF-4053-A0CF-9584A0E28A12}"/>
    <cellStyle name="Normal 5 2 2 8 2 4" xfId="13274" xr:uid="{1A061EB2-3D04-42EE-82F6-5E0D9681FB64}"/>
    <cellStyle name="Normal 5 2 2 8 3" xfId="6020" xr:uid="{00000000-0005-0000-0000-00002D180000}"/>
    <cellStyle name="Normal 5 2 2 8 3 2" xfId="23786" xr:uid="{D8D31A9A-5363-4393-A80A-587A4D0117EE}"/>
    <cellStyle name="Normal 5 2 2 8 3 3" xfId="15346" xr:uid="{16A817F3-2987-4272-A85B-65A14A879F9B}"/>
    <cellStyle name="Normal 5 2 2 8 4" xfId="19569" xr:uid="{DF80AE9B-B4AE-4707-989A-2FD350201A3C}"/>
    <cellStyle name="Normal 5 2 2 8 5" xfId="11129" xr:uid="{5BE3F1A5-F2C8-4A84-BFC8-CF45BF2729DE}"/>
    <cellStyle name="Normal 5 2 2 9" xfId="2127" xr:uid="{00000000-0005-0000-0000-00002E180000}"/>
    <cellStyle name="Normal 5 2 2 9 2" xfId="4356" xr:uid="{00000000-0005-0000-0000-00002F180000}"/>
    <cellStyle name="Normal 5 2 2 9 2 2" xfId="8578" xr:uid="{00000000-0005-0000-0000-000030180000}"/>
    <cellStyle name="Normal 5 2 2 9 2 2 2" xfId="26344" xr:uid="{555F95C9-ED0C-4185-9331-DD52F9A3E5A1}"/>
    <cellStyle name="Normal 5 2 2 9 2 2 3" xfId="17904" xr:uid="{A30242BB-12C9-4C8F-97F9-608D49CB45D3}"/>
    <cellStyle name="Normal 5 2 2 9 2 3" xfId="22127" xr:uid="{0E404007-6597-4A7F-86DF-1D92F6A4A1F6}"/>
    <cellStyle name="Normal 5 2 2 9 2 4" xfId="13687" xr:uid="{93A2E11C-9729-48B4-9A48-1DE5A5E782EA}"/>
    <cellStyle name="Normal 5 2 2 9 3" xfId="6433" xr:uid="{00000000-0005-0000-0000-000031180000}"/>
    <cellStyle name="Normal 5 2 2 9 3 2" xfId="24199" xr:uid="{9A72DCCD-CE46-4A6A-A76B-468347DA3C18}"/>
    <cellStyle name="Normal 5 2 2 9 3 3" xfId="15759" xr:uid="{57B8D37D-E210-4961-A565-E0EC7B6C04A8}"/>
    <cellStyle name="Normal 5 2 2 9 4" xfId="19982" xr:uid="{3505F417-9128-43C6-BBEC-DFD88BC87B1D}"/>
    <cellStyle name="Normal 5 2 2 9 5" xfId="11542" xr:uid="{4571314C-B0F2-4438-B2BC-4EE3EFA098C7}"/>
    <cellStyle name="Normal 5 2 3" xfId="424" xr:uid="{00000000-0005-0000-0000-000032180000}"/>
    <cellStyle name="Normal 5 2 3 10" xfId="4797" xr:uid="{00000000-0005-0000-0000-000033180000}"/>
    <cellStyle name="Normal 5 2 3 10 2" xfId="22563" xr:uid="{48040B09-BCCA-4B10-8989-06EDA69285D9}"/>
    <cellStyle name="Normal 5 2 3 10 3" xfId="14123" xr:uid="{13C05FD1-B847-48B2-AB4B-696CB436F0DE}"/>
    <cellStyle name="Normal 5 2 3 11" xfId="8776" xr:uid="{883173D2-CE3E-48F3-8E13-32EAEF7B08C3}"/>
    <cellStyle name="Normal 5 2 3 11 2" xfId="18346" xr:uid="{AB409BFB-C952-4E59-BB8D-6A1BCF151CBF}"/>
    <cellStyle name="Normal 5 2 3 12" xfId="9906" xr:uid="{B4A3BB0A-8CB3-4634-90E6-802C0EA873D3}"/>
    <cellStyle name="Normal 5 2 3 2" xfId="425" xr:uid="{00000000-0005-0000-0000-000034180000}"/>
    <cellStyle name="Normal 5 2 3 2 10" xfId="8830" xr:uid="{287E15F2-6F23-4B3E-B8AA-9DE92D950FBA}"/>
    <cellStyle name="Normal 5 2 3 2 10 2" xfId="18347" xr:uid="{F63E13CA-B526-4659-BE85-F6BFE8AA8A68}"/>
    <cellStyle name="Normal 5 2 3 2 11" xfId="9907" xr:uid="{54FD89C0-0FA1-4323-9035-C260A4D5FD13}"/>
    <cellStyle name="Normal 5 2 3 2 2" xfId="426" xr:uid="{00000000-0005-0000-0000-000035180000}"/>
    <cellStyle name="Normal 5 2 3 2 2 10" xfId="9908" xr:uid="{2FF5DBEA-11E5-47F1-B054-018498B57F8C}"/>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25124" xr:uid="{3FB21AAB-81E1-4FDF-A01C-8EAEFBFB5C42}"/>
    <cellStyle name="Normal 5 2 3 2 2 2 2 2 2 3" xfId="16684" xr:uid="{00D60162-0727-403B-B5F0-7A985997E13D}"/>
    <cellStyle name="Normal 5 2 3 2 2 2 2 2 3" xfId="20907" xr:uid="{9499D243-6714-4D2F-A8B3-0928B50DFC3B}"/>
    <cellStyle name="Normal 5 2 3 2 2 2 2 2 4" xfId="12467" xr:uid="{19FE9554-C7D9-4E08-87F7-E24BC6237D09}"/>
    <cellStyle name="Normal 5 2 3 2 2 2 2 3" xfId="5213" xr:uid="{00000000-0005-0000-0000-00003A180000}"/>
    <cellStyle name="Normal 5 2 3 2 2 2 2 3 2" xfId="22979" xr:uid="{AD327E95-D736-44CF-B278-C0020DAB3F9F}"/>
    <cellStyle name="Normal 5 2 3 2 2 2 2 3 3" xfId="14539" xr:uid="{3167DCB0-F055-46B1-8F74-6CBFA9E14D3E}"/>
    <cellStyle name="Normal 5 2 3 2 2 2 2 4" xfId="9565" xr:uid="{B33C5ECB-02D9-4BAF-B467-F38E8EEB7F6E}"/>
    <cellStyle name="Normal 5 2 3 2 2 2 2 4 2" xfId="18762" xr:uid="{10F29DE4-4284-4FE6-9D45-009FD45A3FD8}"/>
    <cellStyle name="Normal 5 2 3 2 2 2 2 5" xfId="10322" xr:uid="{2465600A-40AB-4EBE-AF3F-44641BCECE52}"/>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25537" xr:uid="{2D3007B6-1795-4D03-A3FE-07FEB6430643}"/>
    <cellStyle name="Normal 5 2 3 2 2 2 3 2 2 3" xfId="17097" xr:uid="{54035277-032C-4EB8-B5D3-744354666701}"/>
    <cellStyle name="Normal 5 2 3 2 2 2 3 2 3" xfId="21320" xr:uid="{2563CE54-CEDC-4EE7-8473-A1083368EC8A}"/>
    <cellStyle name="Normal 5 2 3 2 2 2 3 2 4" xfId="12880" xr:uid="{547C4980-A7B9-450B-A46A-5DFA36A7619B}"/>
    <cellStyle name="Normal 5 2 3 2 2 2 3 3" xfId="5626" xr:uid="{00000000-0005-0000-0000-00003E180000}"/>
    <cellStyle name="Normal 5 2 3 2 2 2 3 3 2" xfId="23392" xr:uid="{DDCA5017-10D0-4B3A-989A-8AC08E35F312}"/>
    <cellStyle name="Normal 5 2 3 2 2 2 3 3 3" xfId="14952" xr:uid="{B1185ED1-B345-449C-B085-AF749F7D083C}"/>
    <cellStyle name="Normal 5 2 3 2 2 2 3 4" xfId="19175" xr:uid="{B7D11DC7-4021-4485-850C-A8CE633710DB}"/>
    <cellStyle name="Normal 5 2 3 2 2 2 3 5" xfId="10735" xr:uid="{EC54EC78-47B5-4633-87D3-9AE690823437}"/>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25950" xr:uid="{03F39B65-BFE6-4199-A849-7003C73BFA9D}"/>
    <cellStyle name="Normal 5 2 3 2 2 2 4 2 2 3" xfId="17510" xr:uid="{804AD93B-8CAF-4D04-8D46-575A7456E2B2}"/>
    <cellStyle name="Normal 5 2 3 2 2 2 4 2 3" xfId="21733" xr:uid="{8846305B-E3C4-4669-AFA9-562BFA845278}"/>
    <cellStyle name="Normal 5 2 3 2 2 2 4 2 4" xfId="13293" xr:uid="{51B6F0CB-94E1-4DE7-B0B3-C77676597213}"/>
    <cellStyle name="Normal 5 2 3 2 2 2 4 3" xfId="6039" xr:uid="{00000000-0005-0000-0000-000042180000}"/>
    <cellStyle name="Normal 5 2 3 2 2 2 4 3 2" xfId="23805" xr:uid="{1B401E66-6DD5-4414-94B0-EA3A24961BD1}"/>
    <cellStyle name="Normal 5 2 3 2 2 2 4 3 3" xfId="15365" xr:uid="{7725D024-54E3-4CFD-B19D-775794FF35E4}"/>
    <cellStyle name="Normal 5 2 3 2 2 2 4 4" xfId="19588" xr:uid="{16054402-D092-462D-B42B-F399B7020A52}"/>
    <cellStyle name="Normal 5 2 3 2 2 2 4 5" xfId="11148" xr:uid="{EC7E1ACC-BF78-4536-86A2-5A41859A92B4}"/>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26363" xr:uid="{3827C926-7F9B-4A6F-9F4E-7B56DD675A4F}"/>
    <cellStyle name="Normal 5 2 3 2 2 2 5 2 2 3" xfId="17923" xr:uid="{E5AAB4D4-37B5-4529-BA7E-8243B3C5CF43}"/>
    <cellStyle name="Normal 5 2 3 2 2 2 5 2 3" xfId="22146" xr:uid="{D71A6D95-CDAA-4012-8B98-D187DBAF1E56}"/>
    <cellStyle name="Normal 5 2 3 2 2 2 5 2 4" xfId="13706" xr:uid="{A51BE9D5-9CC5-4F89-A222-B0EA3639730A}"/>
    <cellStyle name="Normal 5 2 3 2 2 2 5 3" xfId="6452" xr:uid="{00000000-0005-0000-0000-000046180000}"/>
    <cellStyle name="Normal 5 2 3 2 2 2 5 3 2" xfId="24218" xr:uid="{1FD18E14-7CDC-479B-BAFB-15EBBBB72AA2}"/>
    <cellStyle name="Normal 5 2 3 2 2 2 5 3 3" xfId="15778" xr:uid="{347AAF56-AEFE-4011-8817-3B459155F989}"/>
    <cellStyle name="Normal 5 2 3 2 2 2 5 4" xfId="20001" xr:uid="{FF36EF86-B28D-4DEE-BC6D-FAE48CDA7D53}"/>
    <cellStyle name="Normal 5 2 3 2 2 2 5 5" xfId="11561" xr:uid="{36357243-9566-4ED7-9F04-E589C884B4CE}"/>
    <cellStyle name="Normal 5 2 3 2 2 2 6" xfId="2582" xr:uid="{00000000-0005-0000-0000-000047180000}"/>
    <cellStyle name="Normal 5 2 3 2 2 2 6 2" xfId="6865" xr:uid="{00000000-0005-0000-0000-000048180000}"/>
    <cellStyle name="Normal 5 2 3 2 2 2 6 2 2" xfId="24631" xr:uid="{65C9C375-181F-47FA-9401-660F7068648C}"/>
    <cellStyle name="Normal 5 2 3 2 2 2 6 2 3" xfId="16191" xr:uid="{D2925F5C-117A-42AE-800A-E78CDCA60CDA}"/>
    <cellStyle name="Normal 5 2 3 2 2 2 6 3" xfId="20414" xr:uid="{2CE5529D-1024-478D-9EE4-7F047DE9D50C}"/>
    <cellStyle name="Normal 5 2 3 2 2 2 6 4" xfId="11974" xr:uid="{3734603C-679B-4C99-9DF7-8A2BEDE72B8E}"/>
    <cellStyle name="Normal 5 2 3 2 2 2 7" xfId="4800" xr:uid="{00000000-0005-0000-0000-000049180000}"/>
    <cellStyle name="Normal 5 2 3 2 2 2 7 2" xfId="22566" xr:uid="{BE532B4A-D362-4BAD-A9CD-E2863E668A5D}"/>
    <cellStyle name="Normal 5 2 3 2 2 2 7 3" xfId="14126" xr:uid="{07A88183-3440-4B8D-9407-CE8379DF2E89}"/>
    <cellStyle name="Normal 5 2 3 2 2 2 8" xfId="9140" xr:uid="{175A16DB-BA54-4083-AB68-1FA46DB27A86}"/>
    <cellStyle name="Normal 5 2 3 2 2 2 8 2" xfId="18349" xr:uid="{D6404C2A-7354-49C6-9334-8F4629A7883C}"/>
    <cellStyle name="Normal 5 2 3 2 2 2 9" xfId="9909" xr:uid="{37E054EB-4773-4798-93C8-FBFFEF2747E9}"/>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25123" xr:uid="{2D85E78F-4490-477C-AF9F-F0D6385CD296}"/>
    <cellStyle name="Normal 5 2 3 2 2 3 2 2 3" xfId="16683" xr:uid="{B4878A89-E241-4752-BFD6-50BD709B8FD5}"/>
    <cellStyle name="Normal 5 2 3 2 2 3 2 3" xfId="20906" xr:uid="{37720A9E-9942-4E73-AD30-5172A343ABA6}"/>
    <cellStyle name="Normal 5 2 3 2 2 3 2 4" xfId="12466" xr:uid="{50B9B65D-4F1A-4D0F-890F-3A5C28D82DA1}"/>
    <cellStyle name="Normal 5 2 3 2 2 3 3" xfId="5212" xr:uid="{00000000-0005-0000-0000-00004D180000}"/>
    <cellStyle name="Normal 5 2 3 2 2 3 3 2" xfId="22978" xr:uid="{526E955D-3F6E-4E18-B2D5-B6AFB293DF00}"/>
    <cellStyle name="Normal 5 2 3 2 2 3 3 3" xfId="14538" xr:uid="{221D069D-E95B-463A-B26F-0E023523A503}"/>
    <cellStyle name="Normal 5 2 3 2 2 3 4" xfId="9358" xr:uid="{5B196E7D-8DD9-4C59-A83C-7626B0E60040}"/>
    <cellStyle name="Normal 5 2 3 2 2 3 4 2" xfId="18761" xr:uid="{B2AB8BD7-ED67-4088-8B02-C5BEF4AFC683}"/>
    <cellStyle name="Normal 5 2 3 2 2 3 5" xfId="10321" xr:uid="{FD49B12F-7454-40CE-85C9-10A018A0D7E7}"/>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25536" xr:uid="{6F4467FE-32BF-4093-90E6-75A2D02335F6}"/>
    <cellStyle name="Normal 5 2 3 2 2 4 2 2 3" xfId="17096" xr:uid="{B9D71A63-23FE-45F4-B059-0B2322F3EA63}"/>
    <cellStyle name="Normal 5 2 3 2 2 4 2 3" xfId="21319" xr:uid="{A52D9ADB-F2DF-499D-AD72-3CCF8B3C033D}"/>
    <cellStyle name="Normal 5 2 3 2 2 4 2 4" xfId="12879" xr:uid="{155C5B31-5AC1-440D-8C1A-F02E179F0BDD}"/>
    <cellStyle name="Normal 5 2 3 2 2 4 3" xfId="5625" xr:uid="{00000000-0005-0000-0000-000051180000}"/>
    <cellStyle name="Normal 5 2 3 2 2 4 3 2" xfId="23391" xr:uid="{2AAD33B4-8491-4051-A0FD-1E9B3707B3EF}"/>
    <cellStyle name="Normal 5 2 3 2 2 4 3 3" xfId="14951" xr:uid="{EF2D3D8C-1663-4F32-88A0-74382F13A597}"/>
    <cellStyle name="Normal 5 2 3 2 2 4 4" xfId="19174" xr:uid="{320D502D-8227-4BB8-993C-8397FB7BE6F6}"/>
    <cellStyle name="Normal 5 2 3 2 2 4 5" xfId="10734" xr:uid="{7392BC03-2F16-48D4-962E-997C70935076}"/>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25949" xr:uid="{CA862C32-6A3C-4677-A52B-73CA7692B2A7}"/>
    <cellStyle name="Normal 5 2 3 2 2 5 2 2 3" xfId="17509" xr:uid="{CC70EC41-BED7-4076-AACE-5492E503F2C3}"/>
    <cellStyle name="Normal 5 2 3 2 2 5 2 3" xfId="21732" xr:uid="{E0CA9D4B-9821-4054-871B-3109DE198E45}"/>
    <cellStyle name="Normal 5 2 3 2 2 5 2 4" xfId="13292" xr:uid="{126DD927-E25B-4057-9BB7-B39889A48311}"/>
    <cellStyle name="Normal 5 2 3 2 2 5 3" xfId="6038" xr:uid="{00000000-0005-0000-0000-000055180000}"/>
    <cellStyle name="Normal 5 2 3 2 2 5 3 2" xfId="23804" xr:uid="{E74995D0-CC92-4C81-9E81-396595168439}"/>
    <cellStyle name="Normal 5 2 3 2 2 5 3 3" xfId="15364" xr:uid="{86A357BB-322E-4925-BE05-2AA31D81234E}"/>
    <cellStyle name="Normal 5 2 3 2 2 5 4" xfId="19587" xr:uid="{A815CDC4-A2EB-4640-9937-7CCB99FCB840}"/>
    <cellStyle name="Normal 5 2 3 2 2 5 5" xfId="11147" xr:uid="{BC0B5AFE-EEAE-4576-8D82-6C6C8C8C92C1}"/>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26362" xr:uid="{780240C2-E696-41E5-BCCD-EB7633A6AA93}"/>
    <cellStyle name="Normal 5 2 3 2 2 6 2 2 3" xfId="17922" xr:uid="{F0C2B7D3-2160-4DD9-99C9-70A9F1D51381}"/>
    <cellStyle name="Normal 5 2 3 2 2 6 2 3" xfId="22145" xr:uid="{B55EF581-8DBE-45C1-BC9B-D73ED32E5075}"/>
    <cellStyle name="Normal 5 2 3 2 2 6 2 4" xfId="13705" xr:uid="{7119A633-5542-4C35-B368-8582825F010D}"/>
    <cellStyle name="Normal 5 2 3 2 2 6 3" xfId="6451" xr:uid="{00000000-0005-0000-0000-000059180000}"/>
    <cellStyle name="Normal 5 2 3 2 2 6 3 2" xfId="24217" xr:uid="{7059354E-EAA5-49E8-A0D8-98484EAA8EBE}"/>
    <cellStyle name="Normal 5 2 3 2 2 6 3 3" xfId="15777" xr:uid="{52E19CAC-9800-4C0B-A928-ED0F71E3AB0C}"/>
    <cellStyle name="Normal 5 2 3 2 2 6 4" xfId="20000" xr:uid="{5B82A06C-3B70-4850-92ED-EE386BF9D016}"/>
    <cellStyle name="Normal 5 2 3 2 2 6 5" xfId="11560" xr:uid="{48713038-832E-411E-92B6-83726AC9CD03}"/>
    <cellStyle name="Normal 5 2 3 2 2 7" xfId="2581" xr:uid="{00000000-0005-0000-0000-00005A180000}"/>
    <cellStyle name="Normal 5 2 3 2 2 7 2" xfId="6864" xr:uid="{00000000-0005-0000-0000-00005B180000}"/>
    <cellStyle name="Normal 5 2 3 2 2 7 2 2" xfId="24630" xr:uid="{6308A45A-461F-4F2F-888D-317D6BD3F40D}"/>
    <cellStyle name="Normal 5 2 3 2 2 7 2 3" xfId="16190" xr:uid="{31697828-1ADD-4213-A4A2-657BA9231C35}"/>
    <cellStyle name="Normal 5 2 3 2 2 7 3" xfId="20413" xr:uid="{D2222DBE-CF49-4B92-AB22-7134D292ECE8}"/>
    <cellStyle name="Normal 5 2 3 2 2 7 4" xfId="11973" xr:uid="{A1D59AE1-DDEC-4A47-936D-6B04E696D960}"/>
    <cellStyle name="Normal 5 2 3 2 2 8" xfId="4799" xr:uid="{00000000-0005-0000-0000-00005C180000}"/>
    <cellStyle name="Normal 5 2 3 2 2 8 2" xfId="22565" xr:uid="{BB572A8D-80D8-4B4D-9BB9-7684B9460B78}"/>
    <cellStyle name="Normal 5 2 3 2 2 8 3" xfId="14125" xr:uid="{EAD46B51-6159-45A8-BEC7-CB842BAE901C}"/>
    <cellStyle name="Normal 5 2 3 2 2 9" xfId="8933" xr:uid="{2228AC18-CB51-4AF4-A227-403A8409C6C2}"/>
    <cellStyle name="Normal 5 2 3 2 2 9 2" xfId="18348" xr:uid="{ECEE550D-D2D7-443C-88F2-4C318AD98FC9}"/>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25125" xr:uid="{545F1986-A346-4542-8C2A-0E69870C9B49}"/>
    <cellStyle name="Normal 5 2 3 2 3 2 2 2 3" xfId="16685" xr:uid="{C8C0C492-61FB-4033-982E-71530533D5EA}"/>
    <cellStyle name="Normal 5 2 3 2 3 2 2 3" xfId="20908" xr:uid="{A34DD0F3-26E4-4A2D-9CD7-8BEB51F5EC13}"/>
    <cellStyle name="Normal 5 2 3 2 3 2 2 4" xfId="12468" xr:uid="{1BB32B8F-332A-48A9-987D-430B468D73E2}"/>
    <cellStyle name="Normal 5 2 3 2 3 2 3" xfId="5214" xr:uid="{00000000-0005-0000-0000-000061180000}"/>
    <cellStyle name="Normal 5 2 3 2 3 2 3 2" xfId="22980" xr:uid="{CA1ED30B-AA7C-4A82-AA7A-540F40703690}"/>
    <cellStyle name="Normal 5 2 3 2 3 2 3 3" xfId="14540" xr:uid="{0523B564-17AA-483E-852C-0E4F0BF3654F}"/>
    <cellStyle name="Normal 5 2 3 2 3 2 4" xfId="9462" xr:uid="{B4C14F1A-A88A-428F-A7F8-BAFD7E5CD045}"/>
    <cellStyle name="Normal 5 2 3 2 3 2 4 2" xfId="18763" xr:uid="{66B65EF0-0F70-4127-823F-AABDF5C4C3D5}"/>
    <cellStyle name="Normal 5 2 3 2 3 2 5" xfId="10323" xr:uid="{68B48675-420D-4274-8042-8ECE871F56EF}"/>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25538" xr:uid="{15E21E34-B26C-407E-9E20-D27C8E7FD152}"/>
    <cellStyle name="Normal 5 2 3 2 3 3 2 2 3" xfId="17098" xr:uid="{29576CAF-AC24-4A5F-A886-64DBAA824B84}"/>
    <cellStyle name="Normal 5 2 3 2 3 3 2 3" xfId="21321" xr:uid="{2B88FA40-A3A0-4B24-99EE-97EDF7B748AF}"/>
    <cellStyle name="Normal 5 2 3 2 3 3 2 4" xfId="12881" xr:uid="{9209C6E9-C140-4777-AB99-C203B8413BFE}"/>
    <cellStyle name="Normal 5 2 3 2 3 3 3" xfId="5627" xr:uid="{00000000-0005-0000-0000-000065180000}"/>
    <cellStyle name="Normal 5 2 3 2 3 3 3 2" xfId="23393" xr:uid="{C2A7E32A-C2B9-4B77-9AB0-2AE72B2B4EC8}"/>
    <cellStyle name="Normal 5 2 3 2 3 3 3 3" xfId="14953" xr:uid="{D03A1926-85F9-4A0E-B1F7-17B0E51FBF59}"/>
    <cellStyle name="Normal 5 2 3 2 3 3 4" xfId="19176" xr:uid="{8BF4A22F-F9A9-446A-9F9A-07CD974E9E3E}"/>
    <cellStyle name="Normal 5 2 3 2 3 3 5" xfId="10736" xr:uid="{BBE1C96E-2A66-47CA-AD3C-BC29DEFF93F8}"/>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25951" xr:uid="{D52ABDDD-CADB-4D3F-B082-FFBCADBF6DBB}"/>
    <cellStyle name="Normal 5 2 3 2 3 4 2 2 3" xfId="17511" xr:uid="{DD7097E3-5AFF-416C-B203-60640A8194AE}"/>
    <cellStyle name="Normal 5 2 3 2 3 4 2 3" xfId="21734" xr:uid="{2CB0E150-FCCC-4F4F-A13C-F66B6641ACB3}"/>
    <cellStyle name="Normal 5 2 3 2 3 4 2 4" xfId="13294" xr:uid="{7CE8EF70-D420-40DC-A870-BBB7F9E4CEDE}"/>
    <cellStyle name="Normal 5 2 3 2 3 4 3" xfId="6040" xr:uid="{00000000-0005-0000-0000-000069180000}"/>
    <cellStyle name="Normal 5 2 3 2 3 4 3 2" xfId="23806" xr:uid="{7F1A6AC1-2A4A-4E28-8642-52A658800893}"/>
    <cellStyle name="Normal 5 2 3 2 3 4 3 3" xfId="15366" xr:uid="{688485B0-9C96-4C1F-B514-1781C8F3783F}"/>
    <cellStyle name="Normal 5 2 3 2 3 4 4" xfId="19589" xr:uid="{BE326FD8-9E8D-4308-8FD6-9A8F6EFC8E21}"/>
    <cellStyle name="Normal 5 2 3 2 3 4 5" xfId="11149" xr:uid="{5B4F6BE2-BA13-4280-8E48-0A87E8BA4DD4}"/>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26364" xr:uid="{9F59F05D-EBE0-4DFC-B97F-47E6C446CDA6}"/>
    <cellStyle name="Normal 5 2 3 2 3 5 2 2 3" xfId="17924" xr:uid="{34AFBFCA-7F53-41FE-8AB9-D3EBCDFB498F}"/>
    <cellStyle name="Normal 5 2 3 2 3 5 2 3" xfId="22147" xr:uid="{11CE7FF5-BEBB-4684-B455-475BB568A9B9}"/>
    <cellStyle name="Normal 5 2 3 2 3 5 2 4" xfId="13707" xr:uid="{11C76447-FB48-4BDA-B612-3823F28EACB8}"/>
    <cellStyle name="Normal 5 2 3 2 3 5 3" xfId="6453" xr:uid="{00000000-0005-0000-0000-00006D180000}"/>
    <cellStyle name="Normal 5 2 3 2 3 5 3 2" xfId="24219" xr:uid="{6303D5C1-449C-4683-9CB9-89E8D3DD5B25}"/>
    <cellStyle name="Normal 5 2 3 2 3 5 3 3" xfId="15779" xr:uid="{6CC20D50-FAD3-4E9D-9196-6C29E2C108D8}"/>
    <cellStyle name="Normal 5 2 3 2 3 5 4" xfId="20002" xr:uid="{ECB91584-18B0-4572-8B09-BF28B4045584}"/>
    <cellStyle name="Normal 5 2 3 2 3 5 5" xfId="11562" xr:uid="{0A904DD3-1642-4BF0-A271-CCDA0A30E0C5}"/>
    <cellStyle name="Normal 5 2 3 2 3 6" xfId="2583" xr:uid="{00000000-0005-0000-0000-00006E180000}"/>
    <cellStyle name="Normal 5 2 3 2 3 6 2" xfId="6866" xr:uid="{00000000-0005-0000-0000-00006F180000}"/>
    <cellStyle name="Normal 5 2 3 2 3 6 2 2" xfId="24632" xr:uid="{5100E7CB-C7E9-4D0B-9E9C-F6B10844EE5D}"/>
    <cellStyle name="Normal 5 2 3 2 3 6 2 3" xfId="16192" xr:uid="{C8732B55-59BA-4577-9200-C4548A767D6F}"/>
    <cellStyle name="Normal 5 2 3 2 3 6 3" xfId="20415" xr:uid="{3894A849-CDDA-4971-AF6B-C5B2BB27F05B}"/>
    <cellStyle name="Normal 5 2 3 2 3 6 4" xfId="11975" xr:uid="{2E74008A-A3DF-45F9-9CA5-F49875ACF3EA}"/>
    <cellStyle name="Normal 5 2 3 2 3 7" xfId="4801" xr:uid="{00000000-0005-0000-0000-000070180000}"/>
    <cellStyle name="Normal 5 2 3 2 3 7 2" xfId="22567" xr:uid="{C9E438E3-13AF-4855-B5DC-89C8F038502D}"/>
    <cellStyle name="Normal 5 2 3 2 3 7 3" xfId="14127" xr:uid="{D115EF38-8AEB-4370-9D8A-E9747E0BA57E}"/>
    <cellStyle name="Normal 5 2 3 2 3 8" xfId="9037" xr:uid="{EED46D7F-EFCD-4AC1-931D-AB06B694E7BE}"/>
    <cellStyle name="Normal 5 2 3 2 3 8 2" xfId="18350" xr:uid="{208E0166-5FC4-4BF6-85E8-92B03E3F4AA2}"/>
    <cellStyle name="Normal 5 2 3 2 3 9" xfId="9910" xr:uid="{097CD1D5-C323-4672-BFC3-715F4BEF4A86}"/>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25122" xr:uid="{0B7E93C2-34D7-481E-9DAA-58ACC1F5E462}"/>
    <cellStyle name="Normal 5 2 3 2 4 2 2 3" xfId="16682" xr:uid="{F46A28F9-4BD0-44D1-9A71-4F25707C1257}"/>
    <cellStyle name="Normal 5 2 3 2 4 2 3" xfId="20905" xr:uid="{F28A9BAB-3D76-4795-91E0-32BE89B7BDB0}"/>
    <cellStyle name="Normal 5 2 3 2 4 2 4" xfId="12465" xr:uid="{8CC300E3-76CE-423A-9409-795DE2469F03}"/>
    <cellStyle name="Normal 5 2 3 2 4 3" xfId="5211" xr:uid="{00000000-0005-0000-0000-000074180000}"/>
    <cellStyle name="Normal 5 2 3 2 4 3 2" xfId="22977" xr:uid="{1AA35FC7-2CB7-4B19-9748-FC863E597254}"/>
    <cellStyle name="Normal 5 2 3 2 4 3 3" xfId="14537" xr:uid="{5C55C374-ED50-40DE-A34E-1D24C4090EE3}"/>
    <cellStyle name="Normal 5 2 3 2 4 4" xfId="9255" xr:uid="{C5A161BB-6C4F-4A9D-BBA7-7500B0B26A70}"/>
    <cellStyle name="Normal 5 2 3 2 4 4 2" xfId="18760" xr:uid="{E759FB49-79ED-468A-8E82-66C33C75C480}"/>
    <cellStyle name="Normal 5 2 3 2 4 5" xfId="10320" xr:uid="{0D37203E-5006-4DBB-9F6D-835EEE95B1E0}"/>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25535" xr:uid="{38755D01-B19B-4019-B5EB-BB49ED9C1853}"/>
    <cellStyle name="Normal 5 2 3 2 5 2 2 3" xfId="17095" xr:uid="{9D236205-8BCD-471F-8D91-E77BCC3AF414}"/>
    <cellStyle name="Normal 5 2 3 2 5 2 3" xfId="21318" xr:uid="{D3295C74-BD52-40DA-84E7-BC839AC26CBC}"/>
    <cellStyle name="Normal 5 2 3 2 5 2 4" xfId="12878" xr:uid="{68FC3227-1C22-45B2-8EF7-DE72D52D8A06}"/>
    <cellStyle name="Normal 5 2 3 2 5 3" xfId="5624" xr:uid="{00000000-0005-0000-0000-000078180000}"/>
    <cellStyle name="Normal 5 2 3 2 5 3 2" xfId="23390" xr:uid="{1293500E-E55F-42C7-AD09-E6D6CD01671B}"/>
    <cellStyle name="Normal 5 2 3 2 5 3 3" xfId="14950" xr:uid="{0A90625D-6C96-4522-804E-441B0F9EFF6C}"/>
    <cellStyle name="Normal 5 2 3 2 5 4" xfId="19173" xr:uid="{A47A638E-E225-48A6-8164-E8DE7AFE0ED6}"/>
    <cellStyle name="Normal 5 2 3 2 5 5" xfId="10733" xr:uid="{C0126DD5-BBEF-42BD-84EA-CDB52D441245}"/>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25948" xr:uid="{816FDCE6-4E0E-42B2-B698-C5475C72CB75}"/>
    <cellStyle name="Normal 5 2 3 2 6 2 2 3" xfId="17508" xr:uid="{6D63BFB5-5EF3-4ADE-95C0-0792EF95147C}"/>
    <cellStyle name="Normal 5 2 3 2 6 2 3" xfId="21731" xr:uid="{2306341C-5AD5-46D9-AB43-C78BE7584C60}"/>
    <cellStyle name="Normal 5 2 3 2 6 2 4" xfId="13291" xr:uid="{B8117135-1913-4329-89BB-3C968EFC8BF9}"/>
    <cellStyle name="Normal 5 2 3 2 6 3" xfId="6037" xr:uid="{00000000-0005-0000-0000-00007C180000}"/>
    <cellStyle name="Normal 5 2 3 2 6 3 2" xfId="23803" xr:uid="{D37703AC-042E-43B0-AEE2-6177F739605F}"/>
    <cellStyle name="Normal 5 2 3 2 6 3 3" xfId="15363" xr:uid="{D29C1F28-D158-4DCE-9372-0828E72A02DA}"/>
    <cellStyle name="Normal 5 2 3 2 6 4" xfId="19586" xr:uid="{51654BB0-F45A-4612-87FF-7C62F0ACCD83}"/>
    <cellStyle name="Normal 5 2 3 2 6 5" xfId="11146" xr:uid="{97A802CF-BA44-4B2D-BB9E-00AD80A93F4A}"/>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26361" xr:uid="{646CC51F-B91D-42BE-89A2-F6AEB0ED29C0}"/>
    <cellStyle name="Normal 5 2 3 2 7 2 2 3" xfId="17921" xr:uid="{42EC0B34-DC4F-45E9-A0EE-56CBE3D27E3D}"/>
    <cellStyle name="Normal 5 2 3 2 7 2 3" xfId="22144" xr:uid="{02953745-BB43-4702-88F9-BCD0B02C7A8F}"/>
    <cellStyle name="Normal 5 2 3 2 7 2 4" xfId="13704" xr:uid="{4E485C7D-DB3F-491D-A150-D06488A6CAB9}"/>
    <cellStyle name="Normal 5 2 3 2 7 3" xfId="6450" xr:uid="{00000000-0005-0000-0000-000080180000}"/>
    <cellStyle name="Normal 5 2 3 2 7 3 2" xfId="24216" xr:uid="{D4D6840C-3C04-4B48-962A-2F47FAEDEBF6}"/>
    <cellStyle name="Normal 5 2 3 2 7 3 3" xfId="15776" xr:uid="{52D60BF4-30A7-41CF-B79D-B206F074F823}"/>
    <cellStyle name="Normal 5 2 3 2 7 4" xfId="19999" xr:uid="{48AA9E92-EAC9-4E0B-8F0E-0D7E55FBE09D}"/>
    <cellStyle name="Normal 5 2 3 2 7 5" xfId="11559" xr:uid="{B25935DF-1DD5-4130-BFDC-E7AD6190CECB}"/>
    <cellStyle name="Normal 5 2 3 2 8" xfId="2580" xr:uid="{00000000-0005-0000-0000-000081180000}"/>
    <cellStyle name="Normal 5 2 3 2 8 2" xfId="6863" xr:uid="{00000000-0005-0000-0000-000082180000}"/>
    <cellStyle name="Normal 5 2 3 2 8 2 2" xfId="24629" xr:uid="{F9877449-D31F-4817-81BF-7AEA8B3A930E}"/>
    <cellStyle name="Normal 5 2 3 2 8 2 3" xfId="16189" xr:uid="{EC2D0443-91DB-4F08-AFFF-B07570F4E43B}"/>
    <cellStyle name="Normal 5 2 3 2 8 3" xfId="20412" xr:uid="{54718C85-3544-41AF-88F4-F07C6645A7D8}"/>
    <cellStyle name="Normal 5 2 3 2 8 4" xfId="11972" xr:uid="{9E4051A9-E20A-40B0-898A-533DF1AF255C}"/>
    <cellStyle name="Normal 5 2 3 2 9" xfId="4798" xr:uid="{00000000-0005-0000-0000-000083180000}"/>
    <cellStyle name="Normal 5 2 3 2 9 2" xfId="22564" xr:uid="{D0803B08-7157-4C15-98E8-987F4067F0FF}"/>
    <cellStyle name="Normal 5 2 3 2 9 3" xfId="14124" xr:uid="{61756554-CAAB-47FD-BEB8-1060994E1F4B}"/>
    <cellStyle name="Normal 5 2 3 3" xfId="429" xr:uid="{00000000-0005-0000-0000-000084180000}"/>
    <cellStyle name="Normal 5 2 3 3 10" xfId="9911" xr:uid="{60168EE5-A839-4454-8F0C-8C70690AB219}"/>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25127" xr:uid="{7D90B108-E9E5-4DB7-B8DA-3FF664C5A0A9}"/>
    <cellStyle name="Normal 5 2 3 3 2 2 2 2 3" xfId="16687" xr:uid="{554DEB40-B456-469B-BC63-3380376560E0}"/>
    <cellStyle name="Normal 5 2 3 3 2 2 2 3" xfId="20910" xr:uid="{2B625E1A-7D23-438A-A5B6-0646BC0E6675}"/>
    <cellStyle name="Normal 5 2 3 3 2 2 2 4" xfId="12470" xr:uid="{19DFFC10-01E4-4ABB-B97F-632B56836144}"/>
    <cellStyle name="Normal 5 2 3 3 2 2 3" xfId="5216" xr:uid="{00000000-0005-0000-0000-000089180000}"/>
    <cellStyle name="Normal 5 2 3 3 2 2 3 2" xfId="22982" xr:uid="{3093E56F-CF1B-4029-8265-E731F4195F6F}"/>
    <cellStyle name="Normal 5 2 3 3 2 2 3 3" xfId="14542" xr:uid="{1847BA18-6EB3-4958-8AD0-C6E9B6BE56B1}"/>
    <cellStyle name="Normal 5 2 3 3 2 2 4" xfId="9511" xr:uid="{75EF02F8-0397-4B30-A858-343ADCA7C08D}"/>
    <cellStyle name="Normal 5 2 3 3 2 2 4 2" xfId="18765" xr:uid="{B1D82EBA-CB9C-4DE4-BED1-2BCC39000E4A}"/>
    <cellStyle name="Normal 5 2 3 3 2 2 5" xfId="10325" xr:uid="{C0995289-C784-47D9-B227-3B5A49B4ADD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25540" xr:uid="{047EEB4F-430D-4996-B270-EC712872F22A}"/>
    <cellStyle name="Normal 5 2 3 3 2 3 2 2 3" xfId="17100" xr:uid="{58FA01EF-1D31-4C91-A226-7133B86B3C85}"/>
    <cellStyle name="Normal 5 2 3 3 2 3 2 3" xfId="21323" xr:uid="{1EB698D1-8020-4D08-BFE3-411552F7A49F}"/>
    <cellStyle name="Normal 5 2 3 3 2 3 2 4" xfId="12883" xr:uid="{BD7B155E-0AC0-4605-B56E-89CEE9205B70}"/>
    <cellStyle name="Normal 5 2 3 3 2 3 3" xfId="5629" xr:uid="{00000000-0005-0000-0000-00008D180000}"/>
    <cellStyle name="Normal 5 2 3 3 2 3 3 2" xfId="23395" xr:uid="{A54BFE75-968D-4ADF-918E-DE4062200C28}"/>
    <cellStyle name="Normal 5 2 3 3 2 3 3 3" xfId="14955" xr:uid="{918B07E2-D730-4E7F-AAFC-9DF135A7A1DF}"/>
    <cellStyle name="Normal 5 2 3 3 2 3 4" xfId="19178" xr:uid="{3046A0B9-6F7B-43FA-B036-7A402F8AF2EE}"/>
    <cellStyle name="Normal 5 2 3 3 2 3 5" xfId="10738" xr:uid="{232A5FBD-9E80-40DF-9249-C4955CAEA808}"/>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25953" xr:uid="{EF8C2CD5-2951-48C8-97AF-80ECB39DBFA3}"/>
    <cellStyle name="Normal 5 2 3 3 2 4 2 2 3" xfId="17513" xr:uid="{7E4564CE-57D0-4233-873A-8A25F35FB056}"/>
    <cellStyle name="Normal 5 2 3 3 2 4 2 3" xfId="21736" xr:uid="{FEFC3DD3-98AB-4AA3-A1D6-A079480FAEF6}"/>
    <cellStyle name="Normal 5 2 3 3 2 4 2 4" xfId="13296" xr:uid="{DA37A15F-8730-4137-94A2-5CD76ACF17F5}"/>
    <cellStyle name="Normal 5 2 3 3 2 4 3" xfId="6042" xr:uid="{00000000-0005-0000-0000-000091180000}"/>
    <cellStyle name="Normal 5 2 3 3 2 4 3 2" xfId="23808" xr:uid="{E45A5F16-8DA1-46E5-A11F-FD62432C3A55}"/>
    <cellStyle name="Normal 5 2 3 3 2 4 3 3" xfId="15368" xr:uid="{0C3293BE-2223-418E-A576-DE85B7BEA074}"/>
    <cellStyle name="Normal 5 2 3 3 2 4 4" xfId="19591" xr:uid="{637773F2-9ACE-4C4E-9D1E-B157EA4B3055}"/>
    <cellStyle name="Normal 5 2 3 3 2 4 5" xfId="11151" xr:uid="{82205BF5-24F8-439F-926A-9C0E9102CD2C}"/>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26366" xr:uid="{C9B81F9F-9331-4B3B-9505-BA072C712690}"/>
    <cellStyle name="Normal 5 2 3 3 2 5 2 2 3" xfId="17926" xr:uid="{7D22B5CD-FB59-49E5-9725-6EC5AB0C8BE0}"/>
    <cellStyle name="Normal 5 2 3 3 2 5 2 3" xfId="22149" xr:uid="{841BB791-E8F4-4E60-B777-F1B92CA4BD7C}"/>
    <cellStyle name="Normal 5 2 3 3 2 5 2 4" xfId="13709" xr:uid="{F9EA5D8F-D535-4E56-BED3-7066E43E14DD}"/>
    <cellStyle name="Normal 5 2 3 3 2 5 3" xfId="6455" xr:uid="{00000000-0005-0000-0000-000095180000}"/>
    <cellStyle name="Normal 5 2 3 3 2 5 3 2" xfId="24221" xr:uid="{5BD96033-690E-45CE-800B-DFDF333F715C}"/>
    <cellStyle name="Normal 5 2 3 3 2 5 3 3" xfId="15781" xr:uid="{B22F5247-5C8D-40A7-8BC2-05D2E813B4AF}"/>
    <cellStyle name="Normal 5 2 3 3 2 5 4" xfId="20004" xr:uid="{A50AA01F-F4DE-4E4F-9D4F-1D8E89B78168}"/>
    <cellStyle name="Normal 5 2 3 3 2 5 5" xfId="11564" xr:uid="{497910CE-735E-4A9A-8EF0-AB75EBCC324F}"/>
    <cellStyle name="Normal 5 2 3 3 2 6" xfId="2585" xr:uid="{00000000-0005-0000-0000-000096180000}"/>
    <cellStyle name="Normal 5 2 3 3 2 6 2" xfId="6868" xr:uid="{00000000-0005-0000-0000-000097180000}"/>
    <cellStyle name="Normal 5 2 3 3 2 6 2 2" xfId="24634" xr:uid="{4CE1D0B4-625E-493E-89E9-F21CF98C3A71}"/>
    <cellStyle name="Normal 5 2 3 3 2 6 2 3" xfId="16194" xr:uid="{AF749B8F-DB32-4914-844B-695B36A8BF5D}"/>
    <cellStyle name="Normal 5 2 3 3 2 6 3" xfId="20417" xr:uid="{745070CE-74D1-45D6-809C-FAA4AB70CADA}"/>
    <cellStyle name="Normal 5 2 3 3 2 6 4" xfId="11977" xr:uid="{E386AE46-7574-4BA9-BF8D-51BF3137FBF9}"/>
    <cellStyle name="Normal 5 2 3 3 2 7" xfId="4803" xr:uid="{00000000-0005-0000-0000-000098180000}"/>
    <cellStyle name="Normal 5 2 3 3 2 7 2" xfId="22569" xr:uid="{81E83550-D809-42E7-BC95-78F9ADE013D8}"/>
    <cellStyle name="Normal 5 2 3 3 2 7 3" xfId="14129" xr:uid="{6A4903EA-9117-438E-9EEA-E64C8FCDCB57}"/>
    <cellStyle name="Normal 5 2 3 3 2 8" xfId="9086" xr:uid="{442E5F61-F00C-4774-822F-4985AB3E1CB7}"/>
    <cellStyle name="Normal 5 2 3 3 2 8 2" xfId="18352" xr:uid="{43D4D074-6302-475E-A166-414298853BC6}"/>
    <cellStyle name="Normal 5 2 3 3 2 9" xfId="9912" xr:uid="{FC75FB6A-7BEE-473F-A0F0-6F0AAFAAB475}"/>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25126" xr:uid="{A880254D-DF68-48CB-8556-EEDDCA6AAEBB}"/>
    <cellStyle name="Normal 5 2 3 3 3 2 2 3" xfId="16686" xr:uid="{72970B13-B54A-4982-8DD4-002A0D03D1AC}"/>
    <cellStyle name="Normal 5 2 3 3 3 2 3" xfId="20909" xr:uid="{13CFD82C-77FD-403B-AD3F-E898BC4E0A6B}"/>
    <cellStyle name="Normal 5 2 3 3 3 2 4" xfId="12469" xr:uid="{713E69A1-13C7-41CC-8547-B97F04D8FF15}"/>
    <cellStyle name="Normal 5 2 3 3 3 3" xfId="5215" xr:uid="{00000000-0005-0000-0000-00009C180000}"/>
    <cellStyle name="Normal 5 2 3 3 3 3 2" xfId="22981" xr:uid="{D3B504DC-8A4A-4337-8A6B-AD68BCF6594B}"/>
    <cellStyle name="Normal 5 2 3 3 3 3 3" xfId="14541" xr:uid="{E93DCAF8-1725-4EC2-B06B-C19E223CF36B}"/>
    <cellStyle name="Normal 5 2 3 3 3 4" xfId="9304" xr:uid="{2C783A77-F32A-4E64-807E-062B95DB0310}"/>
    <cellStyle name="Normal 5 2 3 3 3 4 2" xfId="18764" xr:uid="{EE250A36-08F1-45CE-89FE-83733277F221}"/>
    <cellStyle name="Normal 5 2 3 3 3 5" xfId="10324" xr:uid="{0A12B5D0-8BBC-4AB6-B3AA-DBE589D48628}"/>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25539" xr:uid="{CEA025DB-8D15-48E5-86BE-91A9CDBC17FA}"/>
    <cellStyle name="Normal 5 2 3 3 4 2 2 3" xfId="17099" xr:uid="{261D6938-0C87-42C5-95CE-45405345F774}"/>
    <cellStyle name="Normal 5 2 3 3 4 2 3" xfId="21322" xr:uid="{50BEE49F-97D1-4188-BE11-9CB6EB6C048B}"/>
    <cellStyle name="Normal 5 2 3 3 4 2 4" xfId="12882" xr:uid="{11B9BAF6-4436-4EEE-9FEB-292808EEF99B}"/>
    <cellStyle name="Normal 5 2 3 3 4 3" xfId="5628" xr:uid="{00000000-0005-0000-0000-0000A0180000}"/>
    <cellStyle name="Normal 5 2 3 3 4 3 2" xfId="23394" xr:uid="{A761B2F3-5C38-4315-9B13-EE52ED9AB0DB}"/>
    <cellStyle name="Normal 5 2 3 3 4 3 3" xfId="14954" xr:uid="{F345382C-9F2F-452F-8175-8A359B039B33}"/>
    <cellStyle name="Normal 5 2 3 3 4 4" xfId="19177" xr:uid="{A953DC38-CCD6-4BCB-A416-3EFB1A03794F}"/>
    <cellStyle name="Normal 5 2 3 3 4 5" xfId="10737" xr:uid="{C36A9560-9384-4FA1-8676-AAC778CAAB8D}"/>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25952" xr:uid="{7397E94B-7D49-4CE2-8769-5363F0E74F74}"/>
    <cellStyle name="Normal 5 2 3 3 5 2 2 3" xfId="17512" xr:uid="{D4551E1F-7723-4696-9B87-A1CB03432CF7}"/>
    <cellStyle name="Normal 5 2 3 3 5 2 3" xfId="21735" xr:uid="{BAE2FC69-6B7D-4773-AC3F-CBB275339D64}"/>
    <cellStyle name="Normal 5 2 3 3 5 2 4" xfId="13295" xr:uid="{65426FCC-B009-4654-B9CE-0B9147C123CD}"/>
    <cellStyle name="Normal 5 2 3 3 5 3" xfId="6041" xr:uid="{00000000-0005-0000-0000-0000A4180000}"/>
    <cellStyle name="Normal 5 2 3 3 5 3 2" xfId="23807" xr:uid="{35BAE730-886F-48DC-A393-6A2585D3AE13}"/>
    <cellStyle name="Normal 5 2 3 3 5 3 3" xfId="15367" xr:uid="{DAB7EA44-F017-4FB9-82BD-E308BA940897}"/>
    <cellStyle name="Normal 5 2 3 3 5 4" xfId="19590" xr:uid="{08C50706-52E1-4463-9066-A2A1293C4A26}"/>
    <cellStyle name="Normal 5 2 3 3 5 5" xfId="11150" xr:uid="{7C0BC338-5254-4E32-803F-3E03068B9E81}"/>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26365" xr:uid="{693CD60B-B834-4A0E-A39D-AD084F64721D}"/>
    <cellStyle name="Normal 5 2 3 3 6 2 2 3" xfId="17925" xr:uid="{CE665752-41A1-41C5-80CE-404FA1BE4AAF}"/>
    <cellStyle name="Normal 5 2 3 3 6 2 3" xfId="22148" xr:uid="{E062F269-CF92-426F-B2E9-EAD1AADD7225}"/>
    <cellStyle name="Normal 5 2 3 3 6 2 4" xfId="13708" xr:uid="{B25629C6-6FF7-48F3-8F0E-DF2B29997699}"/>
    <cellStyle name="Normal 5 2 3 3 6 3" xfId="6454" xr:uid="{00000000-0005-0000-0000-0000A8180000}"/>
    <cellStyle name="Normal 5 2 3 3 6 3 2" xfId="24220" xr:uid="{F4FEB415-6289-4A8B-9D41-CC22E6688868}"/>
    <cellStyle name="Normal 5 2 3 3 6 3 3" xfId="15780" xr:uid="{BA0F1D9F-F1C2-41CF-B131-059BAC9D25A6}"/>
    <cellStyle name="Normal 5 2 3 3 6 4" xfId="20003" xr:uid="{A9E31549-D31F-4453-9075-B68CA5AAB7F6}"/>
    <cellStyle name="Normal 5 2 3 3 6 5" xfId="11563" xr:uid="{BE9BA038-9951-4EE5-994C-8B1FF8A1FACA}"/>
    <cellStyle name="Normal 5 2 3 3 7" xfId="2584" xr:uid="{00000000-0005-0000-0000-0000A9180000}"/>
    <cellStyle name="Normal 5 2 3 3 7 2" xfId="6867" xr:uid="{00000000-0005-0000-0000-0000AA180000}"/>
    <cellStyle name="Normal 5 2 3 3 7 2 2" xfId="24633" xr:uid="{D31FC68A-6BC8-4AB2-84A4-5790248B5B4D}"/>
    <cellStyle name="Normal 5 2 3 3 7 2 3" xfId="16193" xr:uid="{434D7787-5565-4D3A-AC06-8841CBE2A9B5}"/>
    <cellStyle name="Normal 5 2 3 3 7 3" xfId="20416" xr:uid="{87871373-88C1-494F-AB5F-71C580E08BF5}"/>
    <cellStyle name="Normal 5 2 3 3 7 4" xfId="11976" xr:uid="{CF281173-D28B-4900-8DE9-6985A84B44D7}"/>
    <cellStyle name="Normal 5 2 3 3 8" xfId="4802" xr:uid="{00000000-0005-0000-0000-0000AB180000}"/>
    <cellStyle name="Normal 5 2 3 3 8 2" xfId="22568" xr:uid="{E7915026-0F66-43E3-B76D-D3935EC359F0}"/>
    <cellStyle name="Normal 5 2 3 3 8 3" xfId="14128" xr:uid="{3E00D269-EE11-44D3-860D-DB6DD533BAE4}"/>
    <cellStyle name="Normal 5 2 3 3 9" xfId="8879" xr:uid="{F521005C-E3E0-4B64-9C0A-0C510FB9AAB2}"/>
    <cellStyle name="Normal 5 2 3 3 9 2" xfId="18351" xr:uid="{5C59DAD8-FF84-497D-A87A-D748EAC8937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25128" xr:uid="{D81B9B4C-72D3-4F63-ABDA-CAA199D950A3}"/>
    <cellStyle name="Normal 5 2 3 4 2 2 2 3" xfId="16688" xr:uid="{373A3C47-0070-4CC3-A6A1-E5442372135D}"/>
    <cellStyle name="Normal 5 2 3 4 2 2 3" xfId="20911" xr:uid="{34DD4B53-3B40-47AD-AE29-E5A8DEA9F5AF}"/>
    <cellStyle name="Normal 5 2 3 4 2 2 4" xfId="12471" xr:uid="{7ABD9192-80DE-4CAD-88F0-87DD5A644A16}"/>
    <cellStyle name="Normal 5 2 3 4 2 3" xfId="5217" xr:uid="{00000000-0005-0000-0000-0000B0180000}"/>
    <cellStyle name="Normal 5 2 3 4 2 3 2" xfId="22983" xr:uid="{8BAB730C-EE05-4BB3-A557-B64FA542FFC7}"/>
    <cellStyle name="Normal 5 2 3 4 2 3 3" xfId="14543" xr:uid="{E948A247-2826-4DBA-ABC4-DAB9E502BF94}"/>
    <cellStyle name="Normal 5 2 3 4 2 4" xfId="9408" xr:uid="{3B6F9C6F-3D7C-45F8-99FE-451C0F8CED36}"/>
    <cellStyle name="Normal 5 2 3 4 2 4 2" xfId="18766" xr:uid="{24942912-7CEA-4D18-BAD2-B936808A6E2E}"/>
    <cellStyle name="Normal 5 2 3 4 2 5" xfId="10326" xr:uid="{F1BF7E54-BF25-4EDC-8BB5-667213FDEF9C}"/>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25541" xr:uid="{BA1AD291-96B5-40FA-87F4-604C0C943FD1}"/>
    <cellStyle name="Normal 5 2 3 4 3 2 2 3" xfId="17101" xr:uid="{00E7487E-7A79-47BA-855D-477A7BAF4BA2}"/>
    <cellStyle name="Normal 5 2 3 4 3 2 3" xfId="21324" xr:uid="{8FF73493-6D62-445D-99CD-0F5F23CC867C}"/>
    <cellStyle name="Normal 5 2 3 4 3 2 4" xfId="12884" xr:uid="{B51282AD-43D9-470C-9446-F871A08DDFB7}"/>
    <cellStyle name="Normal 5 2 3 4 3 3" xfId="5630" xr:uid="{00000000-0005-0000-0000-0000B4180000}"/>
    <cellStyle name="Normal 5 2 3 4 3 3 2" xfId="23396" xr:uid="{C4E37EE7-001F-4B9D-BC24-0275DC6D5114}"/>
    <cellStyle name="Normal 5 2 3 4 3 3 3" xfId="14956" xr:uid="{C0B752D6-4F06-436A-918C-8E440394639F}"/>
    <cellStyle name="Normal 5 2 3 4 3 4" xfId="19179" xr:uid="{B6323627-F911-4E72-8FC3-9BB164878D43}"/>
    <cellStyle name="Normal 5 2 3 4 3 5" xfId="10739" xr:uid="{2F0F234D-00D6-4162-B9B2-09BE7B938197}"/>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25954" xr:uid="{898EC478-3605-41A7-9936-41100B2B51CD}"/>
    <cellStyle name="Normal 5 2 3 4 4 2 2 3" xfId="17514" xr:uid="{3E0B9F83-04CD-4CFB-B524-656A46EF748C}"/>
    <cellStyle name="Normal 5 2 3 4 4 2 3" xfId="21737" xr:uid="{C5EB9045-79B7-4A3C-8864-AD9332B25AC3}"/>
    <cellStyle name="Normal 5 2 3 4 4 2 4" xfId="13297" xr:uid="{B6DDE392-82FA-4484-A2D4-2F483A225D6B}"/>
    <cellStyle name="Normal 5 2 3 4 4 3" xfId="6043" xr:uid="{00000000-0005-0000-0000-0000B8180000}"/>
    <cellStyle name="Normal 5 2 3 4 4 3 2" xfId="23809" xr:uid="{A7285EA1-9D08-4654-A654-B7B9E3E8D216}"/>
    <cellStyle name="Normal 5 2 3 4 4 3 3" xfId="15369" xr:uid="{C0FACAE0-6B65-49EB-BBEF-0D6FC64BE921}"/>
    <cellStyle name="Normal 5 2 3 4 4 4" xfId="19592" xr:uid="{335A7320-6E0C-40CD-AB90-B42E29093453}"/>
    <cellStyle name="Normal 5 2 3 4 4 5" xfId="11152" xr:uid="{7F7B88AF-1D09-4E68-AD65-B64C0F1AB2C9}"/>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26367" xr:uid="{9DBE380B-4A07-4606-9D9E-2D0E43F6900F}"/>
    <cellStyle name="Normal 5 2 3 4 5 2 2 3" xfId="17927" xr:uid="{6D5AD6CB-FEF8-455C-87BE-370FD0C5E234}"/>
    <cellStyle name="Normal 5 2 3 4 5 2 3" xfId="22150" xr:uid="{50BEC279-318B-4600-A25A-8D63D5E8EDE3}"/>
    <cellStyle name="Normal 5 2 3 4 5 2 4" xfId="13710" xr:uid="{09640958-7AF8-4CBE-BE6C-4C09B1035F26}"/>
    <cellStyle name="Normal 5 2 3 4 5 3" xfId="6456" xr:uid="{00000000-0005-0000-0000-0000BC180000}"/>
    <cellStyle name="Normal 5 2 3 4 5 3 2" xfId="24222" xr:uid="{42C1FF26-D788-46B3-A75C-A3CCA66B3C11}"/>
    <cellStyle name="Normal 5 2 3 4 5 3 3" xfId="15782" xr:uid="{EB4C5818-4F7E-42CC-AB46-5A236F8C62DB}"/>
    <cellStyle name="Normal 5 2 3 4 5 4" xfId="20005" xr:uid="{96539E17-808F-4C2C-AA35-98BEE867AFAF}"/>
    <cellStyle name="Normal 5 2 3 4 5 5" xfId="11565" xr:uid="{4D843BFD-CE6C-4E56-AD43-4D9617CF85E4}"/>
    <cellStyle name="Normal 5 2 3 4 6" xfId="2586" xr:uid="{00000000-0005-0000-0000-0000BD180000}"/>
    <cellStyle name="Normal 5 2 3 4 6 2" xfId="6869" xr:uid="{00000000-0005-0000-0000-0000BE180000}"/>
    <cellStyle name="Normal 5 2 3 4 6 2 2" xfId="24635" xr:uid="{60DF9010-BC0F-44BE-B750-8251E4D73B58}"/>
    <cellStyle name="Normal 5 2 3 4 6 2 3" xfId="16195" xr:uid="{59CA5AC0-8857-4CCF-B432-452F562A82D2}"/>
    <cellStyle name="Normal 5 2 3 4 6 3" xfId="20418" xr:uid="{34F247BD-B193-495A-B40A-E97B81572028}"/>
    <cellStyle name="Normal 5 2 3 4 6 4" xfId="11978" xr:uid="{FBB609A8-677E-4997-BD2A-3B4B0AA7DB10}"/>
    <cellStyle name="Normal 5 2 3 4 7" xfId="4804" xr:uid="{00000000-0005-0000-0000-0000BF180000}"/>
    <cellStyle name="Normal 5 2 3 4 7 2" xfId="22570" xr:uid="{1C07525F-B7A3-487C-B775-FAAC40E99FBE}"/>
    <cellStyle name="Normal 5 2 3 4 7 3" xfId="14130" xr:uid="{3C320EEE-CC78-4388-B49F-4741DA2DF91D}"/>
    <cellStyle name="Normal 5 2 3 4 8" xfId="8983" xr:uid="{07388FCC-03DE-4CE8-89CB-9C92F8174E24}"/>
    <cellStyle name="Normal 5 2 3 4 8 2" xfId="18353" xr:uid="{71437547-940D-440F-BA8C-9858D1184CB5}"/>
    <cellStyle name="Normal 5 2 3 4 9" xfId="9913" xr:uid="{BADEEDBE-F7E0-4CB9-91D3-4114CE6F9FD2}"/>
    <cellStyle name="Normal 5 2 3 5" xfId="898" xr:uid="{00000000-0005-0000-0000-0000C0180000}"/>
    <cellStyle name="Normal 5 2 3 5 2" xfId="3133" xr:uid="{00000000-0005-0000-0000-0000C1180000}"/>
    <cellStyle name="Normal 5 2 3 5 2 2" xfId="7355" xr:uid="{00000000-0005-0000-0000-0000C2180000}"/>
    <cellStyle name="Normal 5 2 3 5 2 2 2" xfId="25121" xr:uid="{44881B9A-B62F-45E2-B2C6-3B34F2C2074E}"/>
    <cellStyle name="Normal 5 2 3 5 2 2 3" xfId="16681" xr:uid="{66834551-5F27-4E81-9209-AFE69328A741}"/>
    <cellStyle name="Normal 5 2 3 5 2 3" xfId="20904" xr:uid="{D3D408A5-F9A7-4D60-BBE8-865F25780C20}"/>
    <cellStyle name="Normal 5 2 3 5 2 4" xfId="12464" xr:uid="{83C81DDA-E8FD-47F5-845B-8E0D0F60ECC9}"/>
    <cellStyle name="Normal 5 2 3 5 3" xfId="5210" xr:uid="{00000000-0005-0000-0000-0000C3180000}"/>
    <cellStyle name="Normal 5 2 3 5 3 2" xfId="22976" xr:uid="{149D694A-4F38-4FD4-A9A2-152F62F56460}"/>
    <cellStyle name="Normal 5 2 3 5 3 3" xfId="14536" xr:uid="{A786E251-77B8-40FB-8FA7-15888EF1B611}"/>
    <cellStyle name="Normal 5 2 3 5 4" xfId="9200" xr:uid="{13DE827A-4007-427A-9869-ADBBE6B70993}"/>
    <cellStyle name="Normal 5 2 3 5 4 2" xfId="18759" xr:uid="{26D6C828-047B-4A3B-9E01-74AFCFD00AC4}"/>
    <cellStyle name="Normal 5 2 3 5 5" xfId="10319" xr:uid="{98108B16-4075-42BC-9200-9EDA267A7748}"/>
    <cellStyle name="Normal 5 2 3 6" xfId="1316" xr:uid="{00000000-0005-0000-0000-0000C4180000}"/>
    <cellStyle name="Normal 5 2 3 6 2" xfId="3546" xr:uid="{00000000-0005-0000-0000-0000C5180000}"/>
    <cellStyle name="Normal 5 2 3 6 2 2" xfId="7768" xr:uid="{00000000-0005-0000-0000-0000C6180000}"/>
    <cellStyle name="Normal 5 2 3 6 2 2 2" xfId="25534" xr:uid="{59D0D6FE-ABC0-4683-A998-546CD5C85ECF}"/>
    <cellStyle name="Normal 5 2 3 6 2 2 3" xfId="17094" xr:uid="{67698809-9C01-4A36-AE82-611AADBDE2A6}"/>
    <cellStyle name="Normal 5 2 3 6 2 3" xfId="21317" xr:uid="{7B417572-7F9B-409C-9DDA-0AAB7CF6861A}"/>
    <cellStyle name="Normal 5 2 3 6 2 4" xfId="12877" xr:uid="{F4C68BF9-235D-433E-B911-F1CE274705F9}"/>
    <cellStyle name="Normal 5 2 3 6 3" xfId="5623" xr:uid="{00000000-0005-0000-0000-0000C7180000}"/>
    <cellStyle name="Normal 5 2 3 6 3 2" xfId="23389" xr:uid="{A934AC34-4851-4A1A-8638-678A4E579D75}"/>
    <cellStyle name="Normal 5 2 3 6 3 3" xfId="14949" xr:uid="{45CF826F-07D4-4D8A-95FC-037411EE1828}"/>
    <cellStyle name="Normal 5 2 3 6 4" xfId="19172" xr:uid="{106EB3C0-2B47-428D-96CF-3D454E2A6B58}"/>
    <cellStyle name="Normal 5 2 3 6 5" xfId="10732" xr:uid="{11A3BABE-B00A-458B-A046-CD77F5ADF44F}"/>
    <cellStyle name="Normal 5 2 3 7" xfId="1729" xr:uid="{00000000-0005-0000-0000-0000C8180000}"/>
    <cellStyle name="Normal 5 2 3 7 2" xfId="3959" xr:uid="{00000000-0005-0000-0000-0000C9180000}"/>
    <cellStyle name="Normal 5 2 3 7 2 2" xfId="8181" xr:uid="{00000000-0005-0000-0000-0000CA180000}"/>
    <cellStyle name="Normal 5 2 3 7 2 2 2" xfId="25947" xr:uid="{3FBF9E9E-4747-450B-B4DC-BA4AB877F711}"/>
    <cellStyle name="Normal 5 2 3 7 2 2 3" xfId="17507" xr:uid="{57784E05-570A-406A-9E98-8FF295C2C498}"/>
    <cellStyle name="Normal 5 2 3 7 2 3" xfId="21730" xr:uid="{33F5EE7B-E0BF-4B03-B95B-F4599562927E}"/>
    <cellStyle name="Normal 5 2 3 7 2 4" xfId="13290" xr:uid="{9B463163-52CC-44B1-975D-DC404432B0FF}"/>
    <cellStyle name="Normal 5 2 3 7 3" xfId="6036" xr:uid="{00000000-0005-0000-0000-0000CB180000}"/>
    <cellStyle name="Normal 5 2 3 7 3 2" xfId="23802" xr:uid="{0F03BC92-7F10-4776-8BD9-98E88E8D4889}"/>
    <cellStyle name="Normal 5 2 3 7 3 3" xfId="15362" xr:uid="{7ABB994B-BD3D-4B70-A3D7-A471A40BE8D1}"/>
    <cellStyle name="Normal 5 2 3 7 4" xfId="19585" xr:uid="{5C5A19CC-709B-42AA-9910-79E0752D0560}"/>
    <cellStyle name="Normal 5 2 3 7 5" xfId="11145" xr:uid="{80A7BAC2-4354-4EB5-84D3-0DCC90A1A974}"/>
    <cellStyle name="Normal 5 2 3 8" xfId="2143" xr:uid="{00000000-0005-0000-0000-0000CC180000}"/>
    <cellStyle name="Normal 5 2 3 8 2" xfId="4372" xr:uid="{00000000-0005-0000-0000-0000CD180000}"/>
    <cellStyle name="Normal 5 2 3 8 2 2" xfId="8594" xr:uid="{00000000-0005-0000-0000-0000CE180000}"/>
    <cellStyle name="Normal 5 2 3 8 2 2 2" xfId="26360" xr:uid="{50D6508E-F667-48F6-9814-274F158CBAE2}"/>
    <cellStyle name="Normal 5 2 3 8 2 2 3" xfId="17920" xr:uid="{44AA25C4-5419-4BF5-9334-A4C4FE691806}"/>
    <cellStyle name="Normal 5 2 3 8 2 3" xfId="22143" xr:uid="{A3C65565-FE25-4F8D-96A7-8DCE3E7AE1E4}"/>
    <cellStyle name="Normal 5 2 3 8 2 4" xfId="13703" xr:uid="{E903E7AC-BF31-462C-BD36-72808A85B12E}"/>
    <cellStyle name="Normal 5 2 3 8 3" xfId="6449" xr:uid="{00000000-0005-0000-0000-0000CF180000}"/>
    <cellStyle name="Normal 5 2 3 8 3 2" xfId="24215" xr:uid="{8E6E17AF-6E1B-45D3-B5A1-3751B319741A}"/>
    <cellStyle name="Normal 5 2 3 8 3 3" xfId="15775" xr:uid="{9C873076-C1AE-45DA-845F-10165588CAF8}"/>
    <cellStyle name="Normal 5 2 3 8 4" xfId="19998" xr:uid="{96BD6737-7E3E-4C65-9D38-520A817F4DBF}"/>
    <cellStyle name="Normal 5 2 3 8 5" xfId="11558" xr:uid="{5A8ED8CD-97D9-4F05-A2B5-D7BA3D47DFAC}"/>
    <cellStyle name="Normal 5 2 3 9" xfId="2579" xr:uid="{00000000-0005-0000-0000-0000D0180000}"/>
    <cellStyle name="Normal 5 2 3 9 2" xfId="6862" xr:uid="{00000000-0005-0000-0000-0000D1180000}"/>
    <cellStyle name="Normal 5 2 3 9 2 2" xfId="24628" xr:uid="{C41DC38A-E591-43E9-BB28-2C6A379A61DC}"/>
    <cellStyle name="Normal 5 2 3 9 2 3" xfId="16188" xr:uid="{F9AA4213-4E74-4904-BDCA-60718C5C2280}"/>
    <cellStyle name="Normal 5 2 3 9 3" xfId="20411" xr:uid="{381A34BE-4A0C-4C1B-80D4-C183F8DAB025}"/>
    <cellStyle name="Normal 5 2 3 9 4" xfId="11971" xr:uid="{12E51789-0BB3-4C71-816C-5B89FAB8C366}"/>
    <cellStyle name="Normal 5 2 4" xfId="432" xr:uid="{00000000-0005-0000-0000-0000D2180000}"/>
    <cellStyle name="Normal 5 2 4 10" xfId="8827" xr:uid="{1EC4F605-F0BA-487E-A3C0-2CBAE7C22D8A}"/>
    <cellStyle name="Normal 5 2 4 10 2" xfId="18354" xr:uid="{89F8E862-E482-463B-BC53-941AAAB15371}"/>
    <cellStyle name="Normal 5 2 4 11" xfId="9914" xr:uid="{6C048E19-9A63-49B3-946E-2B6D4D345649}"/>
    <cellStyle name="Normal 5 2 4 2" xfId="433" xr:uid="{00000000-0005-0000-0000-0000D3180000}"/>
    <cellStyle name="Normal 5 2 4 2 10" xfId="9915" xr:uid="{2CCF9D9B-416A-43D1-9510-91FA5DEFF229}"/>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25131" xr:uid="{D9E72CBE-967D-474F-9498-3223A3F22010}"/>
    <cellStyle name="Normal 5 2 4 2 2 2 2 2 3" xfId="16691" xr:uid="{675E5475-2897-479F-9B44-67BAE0EDE018}"/>
    <cellStyle name="Normal 5 2 4 2 2 2 2 3" xfId="20914" xr:uid="{05C78444-640E-4ADC-BD30-5FEF40EB784E}"/>
    <cellStyle name="Normal 5 2 4 2 2 2 2 4" xfId="12474" xr:uid="{EEC2B279-8256-4B2A-9A02-0953A8E19669}"/>
    <cellStyle name="Normal 5 2 4 2 2 2 3" xfId="5220" xr:uid="{00000000-0005-0000-0000-0000D8180000}"/>
    <cellStyle name="Normal 5 2 4 2 2 2 3 2" xfId="22986" xr:uid="{A1CB9F7D-DE30-40D2-8239-BB272010D900}"/>
    <cellStyle name="Normal 5 2 4 2 2 2 3 3" xfId="14546" xr:uid="{ACB89A05-853C-44BA-B91E-09751A312029}"/>
    <cellStyle name="Normal 5 2 4 2 2 2 4" xfId="9562" xr:uid="{5E243FB4-F3B1-4B34-B377-1444454AD19E}"/>
    <cellStyle name="Normal 5 2 4 2 2 2 4 2" xfId="18769" xr:uid="{6F99298A-38F0-4B9C-BE96-B10C227F8597}"/>
    <cellStyle name="Normal 5 2 4 2 2 2 5" xfId="10329" xr:uid="{72C64550-A7D9-45A5-ADA0-149CADA3B86B}"/>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25544" xr:uid="{1B653F0C-C636-4DCB-B059-288D976ACC34}"/>
    <cellStyle name="Normal 5 2 4 2 2 3 2 2 3" xfId="17104" xr:uid="{B2854801-BBAD-45F6-AC24-90C3DAF89927}"/>
    <cellStyle name="Normal 5 2 4 2 2 3 2 3" xfId="21327" xr:uid="{FD0ED156-6F58-4AD3-A17F-5DEB1A890B5D}"/>
    <cellStyle name="Normal 5 2 4 2 2 3 2 4" xfId="12887" xr:uid="{3B6634E2-CBA9-479B-B303-F5AAD9E15F24}"/>
    <cellStyle name="Normal 5 2 4 2 2 3 3" xfId="5633" xr:uid="{00000000-0005-0000-0000-0000DC180000}"/>
    <cellStyle name="Normal 5 2 4 2 2 3 3 2" xfId="23399" xr:uid="{94DA4464-5CA1-4A8B-83E8-543B47D5AD73}"/>
    <cellStyle name="Normal 5 2 4 2 2 3 3 3" xfId="14959" xr:uid="{C6CFD3A6-A6AD-49B6-8A1B-7B83E8F964A7}"/>
    <cellStyle name="Normal 5 2 4 2 2 3 4" xfId="19182" xr:uid="{16967056-B5AF-444B-8A72-7539DD1AA2A4}"/>
    <cellStyle name="Normal 5 2 4 2 2 3 5" xfId="10742" xr:uid="{DF9A3200-86E1-43F5-9A5A-343B68E3F055}"/>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25957" xr:uid="{87D4E09A-B5ED-440E-A7A3-B6E8339884AD}"/>
    <cellStyle name="Normal 5 2 4 2 2 4 2 2 3" xfId="17517" xr:uid="{D54BF5C5-4980-4C00-ACE5-FCAF960501C6}"/>
    <cellStyle name="Normal 5 2 4 2 2 4 2 3" xfId="21740" xr:uid="{19B7398C-65D6-41C0-AE77-65DA240C9A4F}"/>
    <cellStyle name="Normal 5 2 4 2 2 4 2 4" xfId="13300" xr:uid="{6CFDC174-157F-4349-9B41-2118A52ECB4D}"/>
    <cellStyle name="Normal 5 2 4 2 2 4 3" xfId="6046" xr:uid="{00000000-0005-0000-0000-0000E0180000}"/>
    <cellStyle name="Normal 5 2 4 2 2 4 3 2" xfId="23812" xr:uid="{0471B2EA-EAB8-4A34-9193-53DD8379910B}"/>
    <cellStyle name="Normal 5 2 4 2 2 4 3 3" xfId="15372" xr:uid="{07F92E2F-7F2A-41E7-841A-F2AE33FA1188}"/>
    <cellStyle name="Normal 5 2 4 2 2 4 4" xfId="19595" xr:uid="{8865A9C0-7D9E-4B50-8751-49B44F1800A9}"/>
    <cellStyle name="Normal 5 2 4 2 2 4 5" xfId="11155" xr:uid="{D689C3CF-4956-4EB4-841E-8D8F996622A2}"/>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26370" xr:uid="{24812D88-4B9B-4D51-879F-DB4080338458}"/>
    <cellStyle name="Normal 5 2 4 2 2 5 2 2 3" xfId="17930" xr:uid="{2B0C9AE3-5D0D-459C-8D31-27D3EE7EBF6E}"/>
    <cellStyle name="Normal 5 2 4 2 2 5 2 3" xfId="22153" xr:uid="{791FC0EE-A32B-4BDA-93D8-FC9FAA41BC39}"/>
    <cellStyle name="Normal 5 2 4 2 2 5 2 4" xfId="13713" xr:uid="{ED1A9928-2869-47D2-85C4-17AA47DE5814}"/>
    <cellStyle name="Normal 5 2 4 2 2 5 3" xfId="6459" xr:uid="{00000000-0005-0000-0000-0000E4180000}"/>
    <cellStyle name="Normal 5 2 4 2 2 5 3 2" xfId="24225" xr:uid="{39DE5FCD-7B27-4967-B2A3-19C0738A9E55}"/>
    <cellStyle name="Normal 5 2 4 2 2 5 3 3" xfId="15785" xr:uid="{23F2CC0B-94E9-46E4-8E11-4D95CBA80156}"/>
    <cellStyle name="Normal 5 2 4 2 2 5 4" xfId="20008" xr:uid="{ED4BFBFA-1FBA-42CF-A86D-122D4E3D3C56}"/>
    <cellStyle name="Normal 5 2 4 2 2 5 5" xfId="11568" xr:uid="{952F74D5-ECA9-4850-BB59-F641DC0524FC}"/>
    <cellStyle name="Normal 5 2 4 2 2 6" xfId="2589" xr:uid="{00000000-0005-0000-0000-0000E5180000}"/>
    <cellStyle name="Normal 5 2 4 2 2 6 2" xfId="6872" xr:uid="{00000000-0005-0000-0000-0000E6180000}"/>
    <cellStyle name="Normal 5 2 4 2 2 6 2 2" xfId="24638" xr:uid="{061B0923-89C2-4F66-88F2-5BC323B0A6E0}"/>
    <cellStyle name="Normal 5 2 4 2 2 6 2 3" xfId="16198" xr:uid="{1CC30B41-A9A4-4DBA-9B5D-AFF8FE6E1511}"/>
    <cellStyle name="Normal 5 2 4 2 2 6 3" xfId="20421" xr:uid="{C27D66F4-6A61-42AB-80A1-17D74C792CA6}"/>
    <cellStyle name="Normal 5 2 4 2 2 6 4" xfId="11981" xr:uid="{2EC9C314-770A-41FF-A32F-7D89E4F87115}"/>
    <cellStyle name="Normal 5 2 4 2 2 7" xfId="4807" xr:uid="{00000000-0005-0000-0000-0000E7180000}"/>
    <cellStyle name="Normal 5 2 4 2 2 7 2" xfId="22573" xr:uid="{777FBBDB-1A28-4241-8A21-7596F9DD8577}"/>
    <cellStyle name="Normal 5 2 4 2 2 7 3" xfId="14133" xr:uid="{4DBC89FC-4026-488E-9B63-E9CBCDDF3509}"/>
    <cellStyle name="Normal 5 2 4 2 2 8" xfId="9137" xr:uid="{C80E4B27-40CA-4953-ABB8-99E2C575F775}"/>
    <cellStyle name="Normal 5 2 4 2 2 8 2" xfId="18356" xr:uid="{1D11F01D-8ED0-4DAF-8E1C-5AC4DDA16387}"/>
    <cellStyle name="Normal 5 2 4 2 2 9" xfId="9916" xr:uid="{5288D2B5-415A-4EC4-AB54-130C8CD2A416}"/>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25130" xr:uid="{59F889A3-F36F-4AD0-9BD0-54CCC2DCBB7D}"/>
    <cellStyle name="Normal 5 2 4 2 3 2 2 3" xfId="16690" xr:uid="{37494FC4-63DF-4D92-8707-89F2A4A70A10}"/>
    <cellStyle name="Normal 5 2 4 2 3 2 3" xfId="20913" xr:uid="{5A2B3A42-6BD1-4480-92BC-29B0143CCF8C}"/>
    <cellStyle name="Normal 5 2 4 2 3 2 4" xfId="12473" xr:uid="{3670B56C-0707-438A-9837-9449D69C4595}"/>
    <cellStyle name="Normal 5 2 4 2 3 3" xfId="5219" xr:uid="{00000000-0005-0000-0000-0000EB180000}"/>
    <cellStyle name="Normal 5 2 4 2 3 3 2" xfId="22985" xr:uid="{DDC66248-F543-462A-B16A-420F06A45228}"/>
    <cellStyle name="Normal 5 2 4 2 3 3 3" xfId="14545" xr:uid="{C93FAD64-9F69-4B78-B169-7E9CBCEB7988}"/>
    <cellStyle name="Normal 5 2 4 2 3 4" xfId="9355" xr:uid="{9D38A6AA-2F63-4275-9FB8-F86A15F6A4D3}"/>
    <cellStyle name="Normal 5 2 4 2 3 4 2" xfId="18768" xr:uid="{F9728089-1BEF-4B38-AC4C-442A1F5CBFCE}"/>
    <cellStyle name="Normal 5 2 4 2 3 5" xfId="10328" xr:uid="{3DF253C3-8CFE-4DAE-9323-1CB44A6B4064}"/>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25543" xr:uid="{76E1FA18-308D-4944-930D-7D8E5F97E110}"/>
    <cellStyle name="Normal 5 2 4 2 4 2 2 3" xfId="17103" xr:uid="{22040FAE-27A0-429F-A376-A8C9ED0F570C}"/>
    <cellStyle name="Normal 5 2 4 2 4 2 3" xfId="21326" xr:uid="{630BD2EE-3D97-4398-9C38-621883B6934A}"/>
    <cellStyle name="Normal 5 2 4 2 4 2 4" xfId="12886" xr:uid="{5C137493-1623-4CCA-90F7-5D31D2C4E9D5}"/>
    <cellStyle name="Normal 5 2 4 2 4 3" xfId="5632" xr:uid="{00000000-0005-0000-0000-0000EF180000}"/>
    <cellStyle name="Normal 5 2 4 2 4 3 2" xfId="23398" xr:uid="{C6D715DF-ABCE-43A6-9679-6695083E9482}"/>
    <cellStyle name="Normal 5 2 4 2 4 3 3" xfId="14958" xr:uid="{39004007-4F83-48F7-8EC0-3CD3480C5C07}"/>
    <cellStyle name="Normal 5 2 4 2 4 4" xfId="19181" xr:uid="{1EC0A59B-1427-480F-BF0A-D7EA919965E9}"/>
    <cellStyle name="Normal 5 2 4 2 4 5" xfId="10741" xr:uid="{1587BD8C-F3C2-4583-9B17-C91A84FE4A9E}"/>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25956" xr:uid="{AAE441C7-A037-4182-AEB7-A16E4BA05086}"/>
    <cellStyle name="Normal 5 2 4 2 5 2 2 3" xfId="17516" xr:uid="{133E4A0A-D741-49A0-8735-634562E750E7}"/>
    <cellStyle name="Normal 5 2 4 2 5 2 3" xfId="21739" xr:uid="{794EB922-3E40-4855-A154-5E9585C3C153}"/>
    <cellStyle name="Normal 5 2 4 2 5 2 4" xfId="13299" xr:uid="{566CEF72-58FE-47B0-A6B7-B3B03C2EE223}"/>
    <cellStyle name="Normal 5 2 4 2 5 3" xfId="6045" xr:uid="{00000000-0005-0000-0000-0000F3180000}"/>
    <cellStyle name="Normal 5 2 4 2 5 3 2" xfId="23811" xr:uid="{3B6D6D23-A2A8-418F-A9FC-830905553669}"/>
    <cellStyle name="Normal 5 2 4 2 5 3 3" xfId="15371" xr:uid="{D8A6FC17-FF9F-453E-932C-410298C08BF5}"/>
    <cellStyle name="Normal 5 2 4 2 5 4" xfId="19594" xr:uid="{E1456BF6-1860-48D0-9724-D40BEABBA945}"/>
    <cellStyle name="Normal 5 2 4 2 5 5" xfId="11154" xr:uid="{D1D18040-C85D-46E5-83D6-F7E231F430A7}"/>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26369" xr:uid="{D85EBB1C-008C-4EA0-B5A5-AD9D9E7BF6F5}"/>
    <cellStyle name="Normal 5 2 4 2 6 2 2 3" xfId="17929" xr:uid="{4397D087-32B9-4F6E-8A02-CE0F4EE5BD66}"/>
    <cellStyle name="Normal 5 2 4 2 6 2 3" xfId="22152" xr:uid="{191BA0E5-D5E4-405B-A41A-E1C3FF97B657}"/>
    <cellStyle name="Normal 5 2 4 2 6 2 4" xfId="13712" xr:uid="{664E0B00-B9ED-4AE5-8E41-BB1B6BDBCCDA}"/>
    <cellStyle name="Normal 5 2 4 2 6 3" xfId="6458" xr:uid="{00000000-0005-0000-0000-0000F7180000}"/>
    <cellStyle name="Normal 5 2 4 2 6 3 2" xfId="24224" xr:uid="{3FF021AE-8405-43C1-B135-BCF49A6ACDF5}"/>
    <cellStyle name="Normal 5 2 4 2 6 3 3" xfId="15784" xr:uid="{B7C98968-7593-427F-AF7A-F1784107E5AD}"/>
    <cellStyle name="Normal 5 2 4 2 6 4" xfId="20007" xr:uid="{D1C4EE8A-2608-45A3-BCB8-EAFF7F998F64}"/>
    <cellStyle name="Normal 5 2 4 2 6 5" xfId="11567" xr:uid="{0DE08BE0-9E55-47A2-9A2F-8716B35492D4}"/>
    <cellStyle name="Normal 5 2 4 2 7" xfId="2588" xr:uid="{00000000-0005-0000-0000-0000F8180000}"/>
    <cellStyle name="Normal 5 2 4 2 7 2" xfId="6871" xr:uid="{00000000-0005-0000-0000-0000F9180000}"/>
    <cellStyle name="Normal 5 2 4 2 7 2 2" xfId="24637" xr:uid="{C2272312-E14C-4A07-A5B3-A6DDF6DE9B11}"/>
    <cellStyle name="Normal 5 2 4 2 7 2 3" xfId="16197" xr:uid="{A9C1D283-AF9A-47DF-B631-A37DBBF23773}"/>
    <cellStyle name="Normal 5 2 4 2 7 3" xfId="20420" xr:uid="{385C5254-3C00-4478-BB32-06156AAFC617}"/>
    <cellStyle name="Normal 5 2 4 2 7 4" xfId="11980" xr:uid="{75DAC02E-1B2C-4899-9CAE-39E830548258}"/>
    <cellStyle name="Normal 5 2 4 2 8" xfId="4806" xr:uid="{00000000-0005-0000-0000-0000FA180000}"/>
    <cellStyle name="Normal 5 2 4 2 8 2" xfId="22572" xr:uid="{C788CE21-890E-4DCE-8499-67647957B20D}"/>
    <cellStyle name="Normal 5 2 4 2 8 3" xfId="14132" xr:uid="{74B3F7CC-09F4-4F08-8EBE-DD9B9D6F2EFC}"/>
    <cellStyle name="Normal 5 2 4 2 9" xfId="8930" xr:uid="{66B84ABA-CAF3-4BBE-9026-E7A47CB6006F}"/>
    <cellStyle name="Normal 5 2 4 2 9 2" xfId="18355" xr:uid="{A1C9B450-4F93-4313-8E68-D2FD6143BDD6}"/>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25132" xr:uid="{3060603E-4E99-4ED4-8DED-1FD15F7EF667}"/>
    <cellStyle name="Normal 5 2 4 3 2 2 2 3" xfId="16692" xr:uid="{F36C089A-341C-481B-915E-A8197554AAC5}"/>
    <cellStyle name="Normal 5 2 4 3 2 2 3" xfId="20915" xr:uid="{14950CCA-8284-492B-88F1-6DCAE8334B12}"/>
    <cellStyle name="Normal 5 2 4 3 2 2 4" xfId="12475" xr:uid="{A7856E4E-25A3-48E9-963E-F495A03672D5}"/>
    <cellStyle name="Normal 5 2 4 3 2 3" xfId="5221" xr:uid="{00000000-0005-0000-0000-0000FF180000}"/>
    <cellStyle name="Normal 5 2 4 3 2 3 2" xfId="22987" xr:uid="{6CDC8A07-1BA1-4BE3-B7BD-F22C30247D1F}"/>
    <cellStyle name="Normal 5 2 4 3 2 3 3" xfId="14547" xr:uid="{34FBD441-6F91-4A18-A4B7-26B4D8105889}"/>
    <cellStyle name="Normal 5 2 4 3 2 4" xfId="9459" xr:uid="{ED2A936E-5624-4B26-A175-3FCE68E1BF5A}"/>
    <cellStyle name="Normal 5 2 4 3 2 4 2" xfId="18770" xr:uid="{7ED5F099-F7C8-48CC-BE8C-96F26C5BA132}"/>
    <cellStyle name="Normal 5 2 4 3 2 5" xfId="10330" xr:uid="{2AB155AC-3BB4-48C0-872B-29EB6D1957A0}"/>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25545" xr:uid="{75F82287-D305-4282-9496-C848F0175C35}"/>
    <cellStyle name="Normal 5 2 4 3 3 2 2 3" xfId="17105" xr:uid="{C25726A8-82AD-49B3-B5B7-C9589AB9380F}"/>
    <cellStyle name="Normal 5 2 4 3 3 2 3" xfId="21328" xr:uid="{DEB42DAE-6C22-4B66-8915-664125A2EF17}"/>
    <cellStyle name="Normal 5 2 4 3 3 2 4" xfId="12888" xr:uid="{DC6C8CA8-4827-4EAA-AE26-62121CABF25B}"/>
    <cellStyle name="Normal 5 2 4 3 3 3" xfId="5634" xr:uid="{00000000-0005-0000-0000-000003190000}"/>
    <cellStyle name="Normal 5 2 4 3 3 3 2" xfId="23400" xr:uid="{2B548010-D1F3-4B7A-81C7-E40984C05F17}"/>
    <cellStyle name="Normal 5 2 4 3 3 3 3" xfId="14960" xr:uid="{0B804F25-E4E2-4573-AB18-B5838CA83D83}"/>
    <cellStyle name="Normal 5 2 4 3 3 4" xfId="19183" xr:uid="{715989D7-CA71-4ABF-8FEF-8D23F287418C}"/>
    <cellStyle name="Normal 5 2 4 3 3 5" xfId="10743" xr:uid="{B615CE47-D738-4B5A-B3E4-D6E8A21E8F37}"/>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25958" xr:uid="{9CCAC75C-9C09-4567-B4B5-866626AF15AA}"/>
    <cellStyle name="Normal 5 2 4 3 4 2 2 3" xfId="17518" xr:uid="{5DE0B044-B3A4-484D-80E0-28A8FD72AD05}"/>
    <cellStyle name="Normal 5 2 4 3 4 2 3" xfId="21741" xr:uid="{1DADE204-725D-40F1-833E-C80BAC1269D7}"/>
    <cellStyle name="Normal 5 2 4 3 4 2 4" xfId="13301" xr:uid="{186EDA4E-D7B8-40AC-9B5C-4FF1DECB57D1}"/>
    <cellStyle name="Normal 5 2 4 3 4 3" xfId="6047" xr:uid="{00000000-0005-0000-0000-000007190000}"/>
    <cellStyle name="Normal 5 2 4 3 4 3 2" xfId="23813" xr:uid="{81EAB977-B612-4471-B8E3-062F51C39419}"/>
    <cellStyle name="Normal 5 2 4 3 4 3 3" xfId="15373" xr:uid="{A5D12BEE-A661-4615-B63C-B738BE3AC880}"/>
    <cellStyle name="Normal 5 2 4 3 4 4" xfId="19596" xr:uid="{D619576B-FB4B-4643-B928-0228DE1EB251}"/>
    <cellStyle name="Normal 5 2 4 3 4 5" xfId="11156" xr:uid="{E0BCF74A-DD53-4E8F-95E4-3CC8DCEBA309}"/>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26371" xr:uid="{080ACEC0-0C14-49BD-8716-392E1C143890}"/>
    <cellStyle name="Normal 5 2 4 3 5 2 2 3" xfId="17931" xr:uid="{7AF4C164-E308-43E8-9814-1D5839D28CD1}"/>
    <cellStyle name="Normal 5 2 4 3 5 2 3" xfId="22154" xr:uid="{D05A865C-137E-4D84-922C-79BF4788B36A}"/>
    <cellStyle name="Normal 5 2 4 3 5 2 4" xfId="13714" xr:uid="{BD0BA0CC-8DB2-4861-9798-AC573CA8CF8D}"/>
    <cellStyle name="Normal 5 2 4 3 5 3" xfId="6460" xr:uid="{00000000-0005-0000-0000-00000B190000}"/>
    <cellStyle name="Normal 5 2 4 3 5 3 2" xfId="24226" xr:uid="{6F2F404C-E69F-4319-A7A6-6F89F012E0F6}"/>
    <cellStyle name="Normal 5 2 4 3 5 3 3" xfId="15786" xr:uid="{56E995E0-B0DA-4207-8AA8-4C271746B44B}"/>
    <cellStyle name="Normal 5 2 4 3 5 4" xfId="20009" xr:uid="{1D78D9AC-5835-49A3-B168-9187EB0313A7}"/>
    <cellStyle name="Normal 5 2 4 3 5 5" xfId="11569" xr:uid="{B41ACC79-D999-4569-AF69-1E99621B0443}"/>
    <cellStyle name="Normal 5 2 4 3 6" xfId="2590" xr:uid="{00000000-0005-0000-0000-00000C190000}"/>
    <cellStyle name="Normal 5 2 4 3 6 2" xfId="6873" xr:uid="{00000000-0005-0000-0000-00000D190000}"/>
    <cellStyle name="Normal 5 2 4 3 6 2 2" xfId="24639" xr:uid="{B7711B24-1F83-4944-8FAD-54D96F1D3C26}"/>
    <cellStyle name="Normal 5 2 4 3 6 2 3" xfId="16199" xr:uid="{29B7FD59-F04B-4B43-8795-007F55A59560}"/>
    <cellStyle name="Normal 5 2 4 3 6 3" xfId="20422" xr:uid="{25381D7E-9AB6-4F07-B79B-2313DBF0F4DA}"/>
    <cellStyle name="Normal 5 2 4 3 6 4" xfId="11982" xr:uid="{47264247-834E-4B3C-81FA-2E6CEA2F88DD}"/>
    <cellStyle name="Normal 5 2 4 3 7" xfId="4808" xr:uid="{00000000-0005-0000-0000-00000E190000}"/>
    <cellStyle name="Normal 5 2 4 3 7 2" xfId="22574" xr:uid="{174D6AED-EC22-4A33-9992-73DF42FD525F}"/>
    <cellStyle name="Normal 5 2 4 3 7 3" xfId="14134" xr:uid="{5DFB5C8D-8247-40AA-8CE8-80A378BFB544}"/>
    <cellStyle name="Normal 5 2 4 3 8" xfId="9034" xr:uid="{82D3DE5B-E868-4CF9-BA07-6E197DA4FAA5}"/>
    <cellStyle name="Normal 5 2 4 3 8 2" xfId="18357" xr:uid="{F720EFA4-1B02-4E2D-BE95-DE582C25D2BB}"/>
    <cellStyle name="Normal 5 2 4 3 9" xfId="9917" xr:uid="{F1984746-D714-4076-B03A-85AE5C067D20}"/>
    <cellStyle name="Normal 5 2 4 4" xfId="906" xr:uid="{00000000-0005-0000-0000-00000F190000}"/>
    <cellStyle name="Normal 5 2 4 4 2" xfId="3141" xr:uid="{00000000-0005-0000-0000-000010190000}"/>
    <cellStyle name="Normal 5 2 4 4 2 2" xfId="7363" xr:uid="{00000000-0005-0000-0000-000011190000}"/>
    <cellStyle name="Normal 5 2 4 4 2 2 2" xfId="25129" xr:uid="{69A669E3-D940-4A35-AF8E-7A1E2550A54C}"/>
    <cellStyle name="Normal 5 2 4 4 2 2 3" xfId="16689" xr:uid="{07BB02F2-0AE4-4D55-9B90-905C816CB291}"/>
    <cellStyle name="Normal 5 2 4 4 2 3" xfId="20912" xr:uid="{5C9AF443-99A5-4686-B3C1-9A6220F4B844}"/>
    <cellStyle name="Normal 5 2 4 4 2 4" xfId="12472" xr:uid="{B8ACB386-DF62-4BDF-BD6A-AA1346865181}"/>
    <cellStyle name="Normal 5 2 4 4 3" xfId="5218" xr:uid="{00000000-0005-0000-0000-000012190000}"/>
    <cellStyle name="Normal 5 2 4 4 3 2" xfId="22984" xr:uid="{59A355FC-1CC1-4C59-9E09-4EF6C8DA1D2C}"/>
    <cellStyle name="Normal 5 2 4 4 3 3" xfId="14544" xr:uid="{552BBA67-30CE-4AEA-AEF3-99DE3045DEC5}"/>
    <cellStyle name="Normal 5 2 4 4 4" xfId="9252" xr:uid="{1D1A8EC4-7286-46A1-B40C-E987F273E760}"/>
    <cellStyle name="Normal 5 2 4 4 4 2" xfId="18767" xr:uid="{0A7A0E29-680A-45BF-ACC1-66DFFB09DDB6}"/>
    <cellStyle name="Normal 5 2 4 4 5" xfId="10327" xr:uid="{B8759E36-4B8D-4F26-9F31-88A2AAF18FAF}"/>
    <cellStyle name="Normal 5 2 4 5" xfId="1324" xr:uid="{00000000-0005-0000-0000-000013190000}"/>
    <cellStyle name="Normal 5 2 4 5 2" xfId="3554" xr:uid="{00000000-0005-0000-0000-000014190000}"/>
    <cellStyle name="Normal 5 2 4 5 2 2" xfId="7776" xr:uid="{00000000-0005-0000-0000-000015190000}"/>
    <cellStyle name="Normal 5 2 4 5 2 2 2" xfId="25542" xr:uid="{CBC4120F-0A08-46CF-870D-081D8E9A6244}"/>
    <cellStyle name="Normal 5 2 4 5 2 2 3" xfId="17102" xr:uid="{E09CA230-616B-4FC6-9159-4A34009A50D8}"/>
    <cellStyle name="Normal 5 2 4 5 2 3" xfId="21325" xr:uid="{D2465BE8-8104-41A8-B30F-BD102FCBCC47}"/>
    <cellStyle name="Normal 5 2 4 5 2 4" xfId="12885" xr:uid="{EDB834FB-0BAA-42C4-8087-5D0A1C08F913}"/>
    <cellStyle name="Normal 5 2 4 5 3" xfId="5631" xr:uid="{00000000-0005-0000-0000-000016190000}"/>
    <cellStyle name="Normal 5 2 4 5 3 2" xfId="23397" xr:uid="{C4444DE1-3E5F-4F16-BA89-E166615E2011}"/>
    <cellStyle name="Normal 5 2 4 5 3 3" xfId="14957" xr:uid="{337FE860-388F-42C2-99DD-8984C9FC0739}"/>
    <cellStyle name="Normal 5 2 4 5 4" xfId="19180" xr:uid="{B335CAA3-C672-4C81-93E0-7D5C19AD769D}"/>
    <cellStyle name="Normal 5 2 4 5 5" xfId="10740" xr:uid="{A096ACBB-B542-421A-AFD0-C77723D225BD}"/>
    <cellStyle name="Normal 5 2 4 6" xfId="1737" xr:uid="{00000000-0005-0000-0000-000017190000}"/>
    <cellStyle name="Normal 5 2 4 6 2" xfId="3967" xr:uid="{00000000-0005-0000-0000-000018190000}"/>
    <cellStyle name="Normal 5 2 4 6 2 2" xfId="8189" xr:uid="{00000000-0005-0000-0000-000019190000}"/>
    <cellStyle name="Normal 5 2 4 6 2 2 2" xfId="25955" xr:uid="{23A1CDE3-9CBB-478A-B2E7-0AA391D9376A}"/>
    <cellStyle name="Normal 5 2 4 6 2 2 3" xfId="17515" xr:uid="{8DC27444-2A42-4B48-A50B-DD1638457030}"/>
    <cellStyle name="Normal 5 2 4 6 2 3" xfId="21738" xr:uid="{84EBB0B5-D7E8-4366-9F8B-345F090C6492}"/>
    <cellStyle name="Normal 5 2 4 6 2 4" xfId="13298" xr:uid="{CBC65917-DECB-468A-B734-8737DBF6EA66}"/>
    <cellStyle name="Normal 5 2 4 6 3" xfId="6044" xr:uid="{00000000-0005-0000-0000-00001A190000}"/>
    <cellStyle name="Normal 5 2 4 6 3 2" xfId="23810" xr:uid="{951D7BE8-B354-4956-9E08-8DA598B98221}"/>
    <cellStyle name="Normal 5 2 4 6 3 3" xfId="15370" xr:uid="{0B960E10-F076-402D-81AE-7CF68D5CB6E7}"/>
    <cellStyle name="Normal 5 2 4 6 4" xfId="19593" xr:uid="{B706C81E-848A-4CCC-A390-39F80EE2CC5A}"/>
    <cellStyle name="Normal 5 2 4 6 5" xfId="11153" xr:uid="{4F63230E-DB78-483C-A6BA-56A9AF3A5A92}"/>
    <cellStyle name="Normal 5 2 4 7" xfId="2151" xr:uid="{00000000-0005-0000-0000-00001B190000}"/>
    <cellStyle name="Normal 5 2 4 7 2" xfId="4380" xr:uid="{00000000-0005-0000-0000-00001C190000}"/>
    <cellStyle name="Normal 5 2 4 7 2 2" xfId="8602" xr:uid="{00000000-0005-0000-0000-00001D190000}"/>
    <cellStyle name="Normal 5 2 4 7 2 2 2" xfId="26368" xr:uid="{7AA5DFAE-A127-4710-8418-4C3A766575DE}"/>
    <cellStyle name="Normal 5 2 4 7 2 2 3" xfId="17928" xr:uid="{CE5DB687-945E-45FA-B557-AB57889EE33D}"/>
    <cellStyle name="Normal 5 2 4 7 2 3" xfId="22151" xr:uid="{BE54BC94-1262-4B6A-8E07-CA66C7C0FE6E}"/>
    <cellStyle name="Normal 5 2 4 7 2 4" xfId="13711" xr:uid="{2F68FE72-F4FC-4E62-ABF2-EFC5DC871983}"/>
    <cellStyle name="Normal 5 2 4 7 3" xfId="6457" xr:uid="{00000000-0005-0000-0000-00001E190000}"/>
    <cellStyle name="Normal 5 2 4 7 3 2" xfId="24223" xr:uid="{B3E76B61-C50A-4D3B-B5C3-A431DE0366F9}"/>
    <cellStyle name="Normal 5 2 4 7 3 3" xfId="15783" xr:uid="{193E2498-61D2-45FA-A110-4CA372C47371}"/>
    <cellStyle name="Normal 5 2 4 7 4" xfId="20006" xr:uid="{AA9CE0B4-6412-4613-B95F-1758271DABED}"/>
    <cellStyle name="Normal 5 2 4 7 5" xfId="11566" xr:uid="{F387B1E7-B7A4-41EC-A423-942EBC2D13CB}"/>
    <cellStyle name="Normal 5 2 4 8" xfId="2587" xr:uid="{00000000-0005-0000-0000-00001F190000}"/>
    <cellStyle name="Normal 5 2 4 8 2" xfId="6870" xr:uid="{00000000-0005-0000-0000-000020190000}"/>
    <cellStyle name="Normal 5 2 4 8 2 2" xfId="24636" xr:uid="{D4874E4D-C24B-4160-B584-069CD626BC5F}"/>
    <cellStyle name="Normal 5 2 4 8 2 3" xfId="16196" xr:uid="{82B73E33-7AC1-432C-9D0A-C6E841BCF3E3}"/>
    <cellStyle name="Normal 5 2 4 8 3" xfId="20419" xr:uid="{338BDD13-03ED-4B59-B9C2-C8EBC31F0F6B}"/>
    <cellStyle name="Normal 5 2 4 8 4" xfId="11979" xr:uid="{8DCB7002-B569-4026-86B5-31969CE8173C}"/>
    <cellStyle name="Normal 5 2 4 9" xfId="4805" xr:uid="{00000000-0005-0000-0000-000021190000}"/>
    <cellStyle name="Normal 5 2 4 9 2" xfId="22571" xr:uid="{9012C633-5812-4D76-A55E-859898359AE4}"/>
    <cellStyle name="Normal 5 2 4 9 3" xfId="14131" xr:uid="{4A689D21-B5E9-4B87-9CD8-2716B2237F30}"/>
    <cellStyle name="Normal 5 2 5" xfId="436" xr:uid="{00000000-0005-0000-0000-000022190000}"/>
    <cellStyle name="Normal 5 2 5 10" xfId="9918" xr:uid="{4E4D79DD-B2FE-4B49-9CAC-249F16AF726A}"/>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25134" xr:uid="{BE97391F-93CE-4B32-8E73-3D665628C60D}"/>
    <cellStyle name="Normal 5 2 5 2 2 2 2 3" xfId="16694" xr:uid="{142D6FEA-5A10-445F-911F-E17C74111D2A}"/>
    <cellStyle name="Normal 5 2 5 2 2 2 3" xfId="20917" xr:uid="{6D066FF9-B18F-4A62-9C73-391F1F816A94}"/>
    <cellStyle name="Normal 5 2 5 2 2 2 4" xfId="12477" xr:uid="{E1B42635-3ECF-4E43-BC4C-54EFF9656D5E}"/>
    <cellStyle name="Normal 5 2 5 2 2 3" xfId="5223" xr:uid="{00000000-0005-0000-0000-000027190000}"/>
    <cellStyle name="Normal 5 2 5 2 2 3 2" xfId="22989" xr:uid="{D72093AA-B279-460C-A8C7-605A5CBCCBB8}"/>
    <cellStyle name="Normal 5 2 5 2 2 3 3" xfId="14549" xr:uid="{897F9099-49FD-4115-8623-2FE854EB1DD0}"/>
    <cellStyle name="Normal 5 2 5 2 2 4" xfId="9479" xr:uid="{0DDFFFD4-5D62-4038-B6D4-9E9BD7CBA380}"/>
    <cellStyle name="Normal 5 2 5 2 2 4 2" xfId="18772" xr:uid="{E20DEBD1-CC56-4C51-A139-483830F6FF63}"/>
    <cellStyle name="Normal 5 2 5 2 2 5" xfId="10332" xr:uid="{F6DB8764-03A3-4808-A0BA-86C833D01ABD}"/>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25547" xr:uid="{16BE5F3F-8E1D-4EEE-B413-72A6D15CFE49}"/>
    <cellStyle name="Normal 5 2 5 2 3 2 2 3" xfId="17107" xr:uid="{758032B4-712E-4726-B0B9-884C017AF5B7}"/>
    <cellStyle name="Normal 5 2 5 2 3 2 3" xfId="21330" xr:uid="{BC797425-D142-44D5-A6FB-3DC5B7B21764}"/>
    <cellStyle name="Normal 5 2 5 2 3 2 4" xfId="12890" xr:uid="{CE811FB5-ACD1-465D-8BB2-0DF9E8315CFB}"/>
    <cellStyle name="Normal 5 2 5 2 3 3" xfId="5636" xr:uid="{00000000-0005-0000-0000-00002B190000}"/>
    <cellStyle name="Normal 5 2 5 2 3 3 2" xfId="23402" xr:uid="{786826CF-AE4A-4F9F-A68B-3D97E885AA60}"/>
    <cellStyle name="Normal 5 2 5 2 3 3 3" xfId="14962" xr:uid="{28A22E60-DF57-44EA-B3E4-CCDA9A13B73A}"/>
    <cellStyle name="Normal 5 2 5 2 3 4" xfId="19185" xr:uid="{52D366FC-ACCA-464E-97A0-438652605BBD}"/>
    <cellStyle name="Normal 5 2 5 2 3 5" xfId="10745" xr:uid="{2F5DAAD1-D2B9-4112-A3DC-000E97D2E80F}"/>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25960" xr:uid="{5CD71BBC-FFE1-4126-89E8-655109E1DF5A}"/>
    <cellStyle name="Normal 5 2 5 2 4 2 2 3" xfId="17520" xr:uid="{8B32FFBD-B643-4EC3-9E37-D9F23C816839}"/>
    <cellStyle name="Normal 5 2 5 2 4 2 3" xfId="21743" xr:uid="{E2803954-52EC-4390-9F0E-8C961E3A235F}"/>
    <cellStyle name="Normal 5 2 5 2 4 2 4" xfId="13303" xr:uid="{14E37490-9A55-4309-95B9-B58EAEF6B5BF}"/>
    <cellStyle name="Normal 5 2 5 2 4 3" xfId="6049" xr:uid="{00000000-0005-0000-0000-00002F190000}"/>
    <cellStyle name="Normal 5 2 5 2 4 3 2" xfId="23815" xr:uid="{41282003-1248-475C-87F7-B6ACADDAEEC7}"/>
    <cellStyle name="Normal 5 2 5 2 4 3 3" xfId="15375" xr:uid="{09BB7C7D-6393-4E2C-A0DA-9AF3AD232963}"/>
    <cellStyle name="Normal 5 2 5 2 4 4" xfId="19598" xr:uid="{E187B691-B91A-4407-8876-D71F7BF596D0}"/>
    <cellStyle name="Normal 5 2 5 2 4 5" xfId="11158" xr:uid="{40897214-E6BA-40A4-9A43-B4DD09869336}"/>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26373" xr:uid="{E960666E-648D-480E-990C-E91B04AA3659}"/>
    <cellStyle name="Normal 5 2 5 2 5 2 2 3" xfId="17933" xr:uid="{B4FE5702-5BD4-46CF-B545-1EFC69E39053}"/>
    <cellStyle name="Normal 5 2 5 2 5 2 3" xfId="22156" xr:uid="{48C9548B-CF37-4E6E-8A1C-3C2E304BDB67}"/>
    <cellStyle name="Normal 5 2 5 2 5 2 4" xfId="13716" xr:uid="{10D48047-7619-40C6-AF57-100133E7E47C}"/>
    <cellStyle name="Normal 5 2 5 2 5 3" xfId="6462" xr:uid="{00000000-0005-0000-0000-000033190000}"/>
    <cellStyle name="Normal 5 2 5 2 5 3 2" xfId="24228" xr:uid="{A0B3DF18-7AA0-45AF-A224-3C716C6F0269}"/>
    <cellStyle name="Normal 5 2 5 2 5 3 3" xfId="15788" xr:uid="{3005AFE3-A677-4BF4-928D-4F4C0906BCBB}"/>
    <cellStyle name="Normal 5 2 5 2 5 4" xfId="20011" xr:uid="{1427669E-949E-4C0E-92A6-0F2195F0487F}"/>
    <cellStyle name="Normal 5 2 5 2 5 5" xfId="11571" xr:uid="{B272FDAB-A0BA-4892-826F-80392EAB1200}"/>
    <cellStyle name="Normal 5 2 5 2 6" xfId="2592" xr:uid="{00000000-0005-0000-0000-000034190000}"/>
    <cellStyle name="Normal 5 2 5 2 6 2" xfId="6875" xr:uid="{00000000-0005-0000-0000-000035190000}"/>
    <cellStyle name="Normal 5 2 5 2 6 2 2" xfId="24641" xr:uid="{A24BD3F4-8ED7-417A-873C-F822DFFA31DD}"/>
    <cellStyle name="Normal 5 2 5 2 6 2 3" xfId="16201" xr:uid="{AFC098C7-2D47-4118-9BED-F78B1697D70C}"/>
    <cellStyle name="Normal 5 2 5 2 6 3" xfId="20424" xr:uid="{BC729B92-5EDD-4042-A715-442AB40FB26A}"/>
    <cellStyle name="Normal 5 2 5 2 6 4" xfId="11984" xr:uid="{67821A57-8285-41D6-B2C5-C295687C1216}"/>
    <cellStyle name="Normal 5 2 5 2 7" xfId="4810" xr:uid="{00000000-0005-0000-0000-000036190000}"/>
    <cellStyle name="Normal 5 2 5 2 7 2" xfId="22576" xr:uid="{DDF3531B-48A0-4425-BD05-BC014F45B4A3}"/>
    <cellStyle name="Normal 5 2 5 2 7 3" xfId="14136" xr:uid="{9D6C3B08-ED47-4A98-AD75-335F4F49B62C}"/>
    <cellStyle name="Normal 5 2 5 2 8" xfId="9054" xr:uid="{844F6476-DDB9-4C38-A2B2-83AB0DCF1773}"/>
    <cellStyle name="Normal 5 2 5 2 8 2" xfId="18359" xr:uid="{4F813443-D155-488F-9CCF-900092F12215}"/>
    <cellStyle name="Normal 5 2 5 2 9" xfId="9919" xr:uid="{6FE3C80C-D04C-4BFD-8541-9B25109E6519}"/>
    <cellStyle name="Normal 5 2 5 3" xfId="910" xr:uid="{00000000-0005-0000-0000-000037190000}"/>
    <cellStyle name="Normal 5 2 5 3 2" xfId="3145" xr:uid="{00000000-0005-0000-0000-000038190000}"/>
    <cellStyle name="Normal 5 2 5 3 2 2" xfId="7367" xr:uid="{00000000-0005-0000-0000-000039190000}"/>
    <cellStyle name="Normal 5 2 5 3 2 2 2" xfId="25133" xr:uid="{671AA2A6-096C-4E9C-8996-1B90B06F0463}"/>
    <cellStyle name="Normal 5 2 5 3 2 2 3" xfId="16693" xr:uid="{0EEF15BF-73DE-40CF-9DF9-0E3CE791F410}"/>
    <cellStyle name="Normal 5 2 5 3 2 3" xfId="20916" xr:uid="{C635E4A6-4021-4C59-BA4E-2944A9A9B6E9}"/>
    <cellStyle name="Normal 5 2 5 3 2 4" xfId="12476" xr:uid="{7A5B5B35-AA9C-490B-AC1F-58F99A0A52BB}"/>
    <cellStyle name="Normal 5 2 5 3 3" xfId="5222" xr:uid="{00000000-0005-0000-0000-00003A190000}"/>
    <cellStyle name="Normal 5 2 5 3 3 2" xfId="22988" xr:uid="{E34E9C8F-3048-4339-AD5F-5556C1865224}"/>
    <cellStyle name="Normal 5 2 5 3 3 3" xfId="14548" xr:uid="{4E7524C1-6CA9-4B0A-924A-2FA96B7EBC36}"/>
    <cellStyle name="Normal 5 2 5 3 4" xfId="9272" xr:uid="{8865498C-CC61-4C5F-A1F4-57A1D301E1CE}"/>
    <cellStyle name="Normal 5 2 5 3 4 2" xfId="18771" xr:uid="{BA75DBF9-D511-4E42-8EFF-40A29B63E30B}"/>
    <cellStyle name="Normal 5 2 5 3 5" xfId="10331" xr:uid="{2867FF49-C532-456F-B837-A2EF9D7AFDF5}"/>
    <cellStyle name="Normal 5 2 5 4" xfId="1328" xr:uid="{00000000-0005-0000-0000-00003B190000}"/>
    <cellStyle name="Normal 5 2 5 4 2" xfId="3558" xr:uid="{00000000-0005-0000-0000-00003C190000}"/>
    <cellStyle name="Normal 5 2 5 4 2 2" xfId="7780" xr:uid="{00000000-0005-0000-0000-00003D190000}"/>
    <cellStyle name="Normal 5 2 5 4 2 2 2" xfId="25546" xr:uid="{27F76EC4-E808-4422-8A30-B8CC28109AB0}"/>
    <cellStyle name="Normal 5 2 5 4 2 2 3" xfId="17106" xr:uid="{0848D3B6-646D-4B24-871D-93F021C52CB1}"/>
    <cellStyle name="Normal 5 2 5 4 2 3" xfId="21329" xr:uid="{1A5617E4-C36C-4412-824D-A901E11EA808}"/>
    <cellStyle name="Normal 5 2 5 4 2 4" xfId="12889" xr:uid="{C9F95CDB-1127-4D70-8FB7-0CA325DE6B25}"/>
    <cellStyle name="Normal 5 2 5 4 3" xfId="5635" xr:uid="{00000000-0005-0000-0000-00003E190000}"/>
    <cellStyle name="Normal 5 2 5 4 3 2" xfId="23401" xr:uid="{607583E8-CD74-49F1-9BB3-13FE5295AE34}"/>
    <cellStyle name="Normal 5 2 5 4 3 3" xfId="14961" xr:uid="{7673FFE2-663A-4C5A-A0DB-CC638E8F05A9}"/>
    <cellStyle name="Normal 5 2 5 4 4" xfId="19184" xr:uid="{D602DE7C-5967-4F43-BE08-C1025F436456}"/>
    <cellStyle name="Normal 5 2 5 4 5" xfId="10744" xr:uid="{89AFC01E-E0F9-44D6-B5DE-4A9F9ED3B212}"/>
    <cellStyle name="Normal 5 2 5 5" xfId="1741" xr:uid="{00000000-0005-0000-0000-00003F190000}"/>
    <cellStyle name="Normal 5 2 5 5 2" xfId="3971" xr:uid="{00000000-0005-0000-0000-000040190000}"/>
    <cellStyle name="Normal 5 2 5 5 2 2" xfId="8193" xr:uid="{00000000-0005-0000-0000-000041190000}"/>
    <cellStyle name="Normal 5 2 5 5 2 2 2" xfId="25959" xr:uid="{F70BBD34-FC9C-47C5-AAC3-9B4444A28F31}"/>
    <cellStyle name="Normal 5 2 5 5 2 2 3" xfId="17519" xr:uid="{2B709B46-6005-4449-A3C2-F31FC296D278}"/>
    <cellStyle name="Normal 5 2 5 5 2 3" xfId="21742" xr:uid="{DDE37A1D-DFBB-418D-9548-E17230BE2000}"/>
    <cellStyle name="Normal 5 2 5 5 2 4" xfId="13302" xr:uid="{A95698A1-9C7C-4BC7-92C7-BB6A9D72EE5D}"/>
    <cellStyle name="Normal 5 2 5 5 3" xfId="6048" xr:uid="{00000000-0005-0000-0000-000042190000}"/>
    <cellStyle name="Normal 5 2 5 5 3 2" xfId="23814" xr:uid="{1725C98B-6389-409A-A58D-E4867D032763}"/>
    <cellStyle name="Normal 5 2 5 5 3 3" xfId="15374" xr:uid="{7B4A78FE-CB29-49F0-9535-8A4562442B25}"/>
    <cellStyle name="Normal 5 2 5 5 4" xfId="19597" xr:uid="{7A799946-80AB-46D7-B719-84A99BE44161}"/>
    <cellStyle name="Normal 5 2 5 5 5" xfId="11157" xr:uid="{8D95F1C0-ED42-487C-9A4C-3282188E273B}"/>
    <cellStyle name="Normal 5 2 5 6" xfId="2155" xr:uid="{00000000-0005-0000-0000-000043190000}"/>
    <cellStyle name="Normal 5 2 5 6 2" xfId="4384" xr:uid="{00000000-0005-0000-0000-000044190000}"/>
    <cellStyle name="Normal 5 2 5 6 2 2" xfId="8606" xr:uid="{00000000-0005-0000-0000-000045190000}"/>
    <cellStyle name="Normal 5 2 5 6 2 2 2" xfId="26372" xr:uid="{DF16F03A-BF5A-458B-B17A-18DA81CAC830}"/>
    <cellStyle name="Normal 5 2 5 6 2 2 3" xfId="17932" xr:uid="{873BBD25-DE8D-48F0-9243-86FB2724ADA4}"/>
    <cellStyle name="Normal 5 2 5 6 2 3" xfId="22155" xr:uid="{0CB20762-2CCC-4D6D-B52E-FCE7B7881C1E}"/>
    <cellStyle name="Normal 5 2 5 6 2 4" xfId="13715" xr:uid="{16701630-E4EE-4F9D-8E54-96DED2D16979}"/>
    <cellStyle name="Normal 5 2 5 6 3" xfId="6461" xr:uid="{00000000-0005-0000-0000-000046190000}"/>
    <cellStyle name="Normal 5 2 5 6 3 2" xfId="24227" xr:uid="{A1662EA6-20F9-487F-A01E-4ACDCC229367}"/>
    <cellStyle name="Normal 5 2 5 6 3 3" xfId="15787" xr:uid="{49728AAC-D3DC-4219-BE6E-BCB6A1A5E893}"/>
    <cellStyle name="Normal 5 2 5 6 4" xfId="20010" xr:uid="{9CF98443-FFCE-47DB-A0DE-BF5C54915BBB}"/>
    <cellStyle name="Normal 5 2 5 6 5" xfId="11570" xr:uid="{42B19F16-18E1-46EF-89A1-1FC9AA06431B}"/>
    <cellStyle name="Normal 5 2 5 7" xfId="2591" xr:uid="{00000000-0005-0000-0000-000047190000}"/>
    <cellStyle name="Normal 5 2 5 7 2" xfId="6874" xr:uid="{00000000-0005-0000-0000-000048190000}"/>
    <cellStyle name="Normal 5 2 5 7 2 2" xfId="24640" xr:uid="{EFF3733B-7CD8-479D-9BE2-8576219DD279}"/>
    <cellStyle name="Normal 5 2 5 7 2 3" xfId="16200" xr:uid="{78E4365E-ABB2-4E2A-83BC-F9D54E91C29E}"/>
    <cellStyle name="Normal 5 2 5 7 3" xfId="20423" xr:uid="{D2F63393-2C18-48F7-8B1F-5A9878CFE605}"/>
    <cellStyle name="Normal 5 2 5 7 4" xfId="11983" xr:uid="{975143DB-2223-4A9C-B5AA-A055F0BEC51C}"/>
    <cellStyle name="Normal 5 2 5 8" xfId="4809" xr:uid="{00000000-0005-0000-0000-000049190000}"/>
    <cellStyle name="Normal 5 2 5 8 2" xfId="22575" xr:uid="{845ACDA4-D0AB-45A5-BAA0-02F2C684D816}"/>
    <cellStyle name="Normal 5 2 5 8 3" xfId="14135" xr:uid="{82D461F0-F001-4C46-81AB-04F49E0CB76B}"/>
    <cellStyle name="Normal 5 2 5 9" xfId="8847" xr:uid="{504334B5-BB84-4906-81A5-68746D711AC3}"/>
    <cellStyle name="Normal 5 2 5 9 2" xfId="18358" xr:uid="{6FE18705-32EC-4462-A60C-6EE503024828}"/>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25135" xr:uid="{81000F78-DF6D-4BC3-B2EC-EF02934A5DE7}"/>
    <cellStyle name="Normal 5 2 6 2 2 2 3" xfId="16695" xr:uid="{6BDA94E3-48E1-4DFB-858E-7D560EE24EB1}"/>
    <cellStyle name="Normal 5 2 6 2 2 3" xfId="20918" xr:uid="{7F20303E-A577-4BDA-87D0-CFC7B8CE418B}"/>
    <cellStyle name="Normal 5 2 6 2 2 4" xfId="12478" xr:uid="{F1CE0989-E8E7-4501-B244-F1CC12B500F5}"/>
    <cellStyle name="Normal 5 2 6 2 3" xfId="5224" xr:uid="{00000000-0005-0000-0000-00004E190000}"/>
    <cellStyle name="Normal 5 2 6 2 3 2" xfId="22990" xr:uid="{BF08DE4E-1BA6-48D0-A1E8-5DA94881F892}"/>
    <cellStyle name="Normal 5 2 6 2 3 3" xfId="14550" xr:uid="{24A79FCD-FC0C-492B-AD02-AB7BA199E38E}"/>
    <cellStyle name="Normal 5 2 6 2 4" xfId="9388" xr:uid="{38BE55A5-085B-499D-8766-DF826B77D03C}"/>
    <cellStyle name="Normal 5 2 6 2 4 2" xfId="18773" xr:uid="{A3D6C351-4987-4FC1-95CE-D6B9DAE1B432}"/>
    <cellStyle name="Normal 5 2 6 2 5" xfId="10333" xr:uid="{9B9A3595-0243-4395-BF22-79546BD9C10C}"/>
    <cellStyle name="Normal 5 2 6 3" xfId="1330" xr:uid="{00000000-0005-0000-0000-00004F190000}"/>
    <cellStyle name="Normal 5 2 6 3 2" xfId="3560" xr:uid="{00000000-0005-0000-0000-000050190000}"/>
    <cellStyle name="Normal 5 2 6 3 2 2" xfId="7782" xr:uid="{00000000-0005-0000-0000-000051190000}"/>
    <cellStyle name="Normal 5 2 6 3 2 2 2" xfId="25548" xr:uid="{F4C98284-523E-4065-B560-1D76FC8FB7E9}"/>
    <cellStyle name="Normal 5 2 6 3 2 2 3" xfId="17108" xr:uid="{15F08B00-71D5-4F06-81B5-7CDCD7367B57}"/>
    <cellStyle name="Normal 5 2 6 3 2 3" xfId="21331" xr:uid="{8C46B816-7C25-4728-A489-A74F987BC1DF}"/>
    <cellStyle name="Normal 5 2 6 3 2 4" xfId="12891" xr:uid="{A39E05B6-7903-48B7-824B-45068A0E7F0D}"/>
    <cellStyle name="Normal 5 2 6 3 3" xfId="5637" xr:uid="{00000000-0005-0000-0000-000052190000}"/>
    <cellStyle name="Normal 5 2 6 3 3 2" xfId="23403" xr:uid="{5AEAA6D6-C157-46FB-A979-A2ACE7C22EE7}"/>
    <cellStyle name="Normal 5 2 6 3 3 3" xfId="14963" xr:uid="{3EB36C2F-CC60-494F-9630-1BEEDEA94982}"/>
    <cellStyle name="Normal 5 2 6 3 4" xfId="19186" xr:uid="{5E2EF409-1922-4291-A83D-B04C7658ABA8}"/>
    <cellStyle name="Normal 5 2 6 3 5" xfId="10746" xr:uid="{BA3F6547-332F-4BB8-BB80-0B612CEF07B8}"/>
    <cellStyle name="Normal 5 2 6 4" xfId="1743" xr:uid="{00000000-0005-0000-0000-000053190000}"/>
    <cellStyle name="Normal 5 2 6 4 2" xfId="3973" xr:uid="{00000000-0005-0000-0000-000054190000}"/>
    <cellStyle name="Normal 5 2 6 4 2 2" xfId="8195" xr:uid="{00000000-0005-0000-0000-000055190000}"/>
    <cellStyle name="Normal 5 2 6 4 2 2 2" xfId="25961" xr:uid="{75756207-7518-4BD8-9074-258AD3BD8D98}"/>
    <cellStyle name="Normal 5 2 6 4 2 2 3" xfId="17521" xr:uid="{502EAB4B-40B3-4E3F-BA25-1B6E0E9B1293}"/>
    <cellStyle name="Normal 5 2 6 4 2 3" xfId="21744" xr:uid="{9881C9A4-7E40-4720-A79C-33DF6969CB81}"/>
    <cellStyle name="Normal 5 2 6 4 2 4" xfId="13304" xr:uid="{9C4F423C-0C75-4926-B620-A3F1A9F0D4EE}"/>
    <cellStyle name="Normal 5 2 6 4 3" xfId="6050" xr:uid="{00000000-0005-0000-0000-000056190000}"/>
    <cellStyle name="Normal 5 2 6 4 3 2" xfId="23816" xr:uid="{771CB4F4-B058-4760-885C-12338A48B9D7}"/>
    <cellStyle name="Normal 5 2 6 4 3 3" xfId="15376" xr:uid="{FCA41D2D-915D-4936-AC35-28094F5BEF79}"/>
    <cellStyle name="Normal 5 2 6 4 4" xfId="19599" xr:uid="{DDE6841F-80A1-4B00-8D6E-90FE4988E4DB}"/>
    <cellStyle name="Normal 5 2 6 4 5" xfId="11159" xr:uid="{CDD7A368-C705-4346-BC83-AE568EA71181}"/>
    <cellStyle name="Normal 5 2 6 5" xfId="2157" xr:uid="{00000000-0005-0000-0000-000057190000}"/>
    <cellStyle name="Normal 5 2 6 5 2" xfId="4386" xr:uid="{00000000-0005-0000-0000-000058190000}"/>
    <cellStyle name="Normal 5 2 6 5 2 2" xfId="8608" xr:uid="{00000000-0005-0000-0000-000059190000}"/>
    <cellStyle name="Normal 5 2 6 5 2 2 2" xfId="26374" xr:uid="{CEAF121D-C652-4A96-A1F2-A8A6873893EF}"/>
    <cellStyle name="Normal 5 2 6 5 2 2 3" xfId="17934" xr:uid="{5272C74B-0344-42F8-98B8-96F1BEC9D741}"/>
    <cellStyle name="Normal 5 2 6 5 2 3" xfId="22157" xr:uid="{8C6A6CFD-7D1A-404C-9C4B-907C08E336DB}"/>
    <cellStyle name="Normal 5 2 6 5 2 4" xfId="13717" xr:uid="{E7E65028-3C48-404B-8A16-9BE9401E9BC4}"/>
    <cellStyle name="Normal 5 2 6 5 3" xfId="6463" xr:uid="{00000000-0005-0000-0000-00005A190000}"/>
    <cellStyle name="Normal 5 2 6 5 3 2" xfId="24229" xr:uid="{EF2BB1AB-9B66-4E2F-9B73-CF2EFF9A1366}"/>
    <cellStyle name="Normal 5 2 6 5 3 3" xfId="15789" xr:uid="{0547A977-D7C5-4625-9358-600A2AFFD282}"/>
    <cellStyle name="Normal 5 2 6 5 4" xfId="20012" xr:uid="{496425AD-68A3-4548-83F1-74CFFCB759FD}"/>
    <cellStyle name="Normal 5 2 6 5 5" xfId="11572" xr:uid="{F0788800-9680-4D1A-8819-5A87CE3CCBC0}"/>
    <cellStyle name="Normal 5 2 6 6" xfId="2593" xr:uid="{00000000-0005-0000-0000-00005B190000}"/>
    <cellStyle name="Normal 5 2 6 6 2" xfId="6876" xr:uid="{00000000-0005-0000-0000-00005C190000}"/>
    <cellStyle name="Normal 5 2 6 6 2 2" xfId="24642" xr:uid="{5DC26F2E-096A-4A9E-9BE0-D5188974FAE5}"/>
    <cellStyle name="Normal 5 2 6 6 2 3" xfId="16202" xr:uid="{2CE665EA-7124-42DD-A550-9D80600B0FAA}"/>
    <cellStyle name="Normal 5 2 6 6 3" xfId="20425" xr:uid="{62D66997-27F0-4C01-9ECC-294103F0E077}"/>
    <cellStyle name="Normal 5 2 6 6 4" xfId="11985" xr:uid="{365D5D23-8940-44C1-B0C8-86E53080ECE8}"/>
    <cellStyle name="Normal 5 2 6 7" xfId="4811" xr:uid="{00000000-0005-0000-0000-00005D190000}"/>
    <cellStyle name="Normal 5 2 6 7 2" xfId="22577" xr:uid="{B9F3E286-1A7A-4AC4-B076-550CF4A8449F}"/>
    <cellStyle name="Normal 5 2 6 7 3" xfId="14137" xr:uid="{24D5CE47-ACEA-4692-828E-6F9F129D6B0F}"/>
    <cellStyle name="Normal 5 2 6 8" xfId="8963" xr:uid="{01BDB756-0B70-4C0D-AC32-9959EE0C8F11}"/>
    <cellStyle name="Normal 5 2 6 8 2" xfId="18360" xr:uid="{995A3EDF-5638-4F41-B2A9-5110105F84AF}"/>
    <cellStyle name="Normal 5 2 6 9" xfId="9920" xr:uid="{ABD4C6D8-3F48-47AE-9D05-731F6EB0C00B}"/>
    <cellStyle name="Normal 5 2 7" xfId="881" xr:uid="{00000000-0005-0000-0000-00005E190000}"/>
    <cellStyle name="Normal 5 2 7 2" xfId="3116" xr:uid="{00000000-0005-0000-0000-00005F190000}"/>
    <cellStyle name="Normal 5 2 7 2 2" xfId="7338" xr:uid="{00000000-0005-0000-0000-000060190000}"/>
    <cellStyle name="Normal 5 2 7 2 2 2" xfId="25104" xr:uid="{51A35C14-FF73-484A-B8B3-B5284B3F1B5D}"/>
    <cellStyle name="Normal 5 2 7 2 2 3" xfId="16664" xr:uid="{58EFB022-6451-4A5B-9E45-B30761C1B0DA}"/>
    <cellStyle name="Normal 5 2 7 2 3" xfId="20887" xr:uid="{5CBC697E-A7DC-4ECA-A275-8D2A57B05F77}"/>
    <cellStyle name="Normal 5 2 7 2 4" xfId="12447" xr:uid="{56628C7F-776B-4AEA-A669-E53B044E4216}"/>
    <cellStyle name="Normal 5 2 7 3" xfId="5193" xr:uid="{00000000-0005-0000-0000-000061190000}"/>
    <cellStyle name="Normal 5 2 7 3 2" xfId="22959" xr:uid="{D8ED3450-2ADD-4EFA-A669-AE8A31CCFA0D}"/>
    <cellStyle name="Normal 5 2 7 3 3" xfId="14519" xr:uid="{C3614630-FE65-4806-A030-9037E51DFAB1}"/>
    <cellStyle name="Normal 5 2 7 4" xfId="9166" xr:uid="{903BB692-5043-4803-B109-F7C532EB2A09}"/>
    <cellStyle name="Normal 5 2 7 4 2" xfId="18742" xr:uid="{5F6DDC58-957B-4489-B49F-14CA8CBDE138}"/>
    <cellStyle name="Normal 5 2 7 5" xfId="10302" xr:uid="{C41A76D1-6174-4A20-990E-3BFD66972BFF}"/>
    <cellStyle name="Normal 5 2 8" xfId="1299" xr:uid="{00000000-0005-0000-0000-000062190000}"/>
    <cellStyle name="Normal 5 2 8 2" xfId="3529" xr:uid="{00000000-0005-0000-0000-000063190000}"/>
    <cellStyle name="Normal 5 2 8 2 2" xfId="7751" xr:uid="{00000000-0005-0000-0000-000064190000}"/>
    <cellStyle name="Normal 5 2 8 2 2 2" xfId="25517" xr:uid="{169AD116-FC0B-4AEC-BFC6-95A0ED975DA1}"/>
    <cellStyle name="Normal 5 2 8 2 2 3" xfId="17077" xr:uid="{1BFD62BC-6551-4811-B704-5042B05F2BAE}"/>
    <cellStyle name="Normal 5 2 8 2 3" xfId="21300" xr:uid="{DC3BC36D-2448-4383-8E21-286E7DCCAA4A}"/>
    <cellStyle name="Normal 5 2 8 2 4" xfId="12860" xr:uid="{52AF66D8-060E-4D74-BF7D-40E4EC164F11}"/>
    <cellStyle name="Normal 5 2 8 3" xfId="5606" xr:uid="{00000000-0005-0000-0000-000065190000}"/>
    <cellStyle name="Normal 5 2 8 3 2" xfId="23372" xr:uid="{EB679043-4D4C-458F-99F4-B2C913967D09}"/>
    <cellStyle name="Normal 5 2 8 3 3" xfId="14932" xr:uid="{7E2CBDE7-3C0B-4E78-873A-9D51DEBFA833}"/>
    <cellStyle name="Normal 5 2 8 4" xfId="19155" xr:uid="{2C244036-C854-4FA8-996F-B3F7E9895375}"/>
    <cellStyle name="Normal 5 2 8 5" xfId="10715" xr:uid="{E0C5A2F4-8A1C-455D-BCF6-9893FB26C7A7}"/>
    <cellStyle name="Normal 5 2 9" xfId="1712" xr:uid="{00000000-0005-0000-0000-000066190000}"/>
    <cellStyle name="Normal 5 2 9 2" xfId="3942" xr:uid="{00000000-0005-0000-0000-000067190000}"/>
    <cellStyle name="Normal 5 2 9 2 2" xfId="8164" xr:uid="{00000000-0005-0000-0000-000068190000}"/>
    <cellStyle name="Normal 5 2 9 2 2 2" xfId="25930" xr:uid="{70613577-A947-4D1D-81D6-70A508847BEA}"/>
    <cellStyle name="Normal 5 2 9 2 2 3" xfId="17490" xr:uid="{DD4B1CEA-7714-4E6F-A1B2-D04949BE8AED}"/>
    <cellStyle name="Normal 5 2 9 2 3" xfId="21713" xr:uid="{51680DD4-9C47-4864-B352-ED75819254F4}"/>
    <cellStyle name="Normal 5 2 9 2 4" xfId="13273" xr:uid="{56423AB8-CF8B-45D2-A045-85AEC28B2A95}"/>
    <cellStyle name="Normal 5 2 9 3" xfId="6019" xr:uid="{00000000-0005-0000-0000-000069190000}"/>
    <cellStyle name="Normal 5 2 9 3 2" xfId="23785" xr:uid="{81441E7F-8DBC-4C19-A08D-676E0E42C760}"/>
    <cellStyle name="Normal 5 2 9 3 3" xfId="15345" xr:uid="{A794B6F2-0DF7-47BD-8B5B-F02698F25DD3}"/>
    <cellStyle name="Normal 5 2 9 4" xfId="19568" xr:uid="{EE3245C6-09A3-4FA1-9548-1CF2502F62F1}"/>
    <cellStyle name="Normal 5 2 9 5" xfId="11128" xr:uid="{79A8DC44-0433-43F0-9C6E-5AFBF5C73EAB}"/>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26375" xr:uid="{A844222F-057E-4AB0-A3DF-71862C3CB9F2}"/>
    <cellStyle name="Normal 5 3 10 2 2 3" xfId="17935" xr:uid="{0E87C7E6-076B-4A7F-BF0F-221AFE6416FC}"/>
    <cellStyle name="Normal 5 3 10 2 3" xfId="22158" xr:uid="{BF7BF7CA-71F4-454D-8B81-6104F1990A7A}"/>
    <cellStyle name="Normal 5 3 10 2 4" xfId="13718" xr:uid="{16262257-9DC8-46E0-AA91-11A52D411BB1}"/>
    <cellStyle name="Normal 5 3 10 3" xfId="6464" xr:uid="{00000000-0005-0000-0000-00006E190000}"/>
    <cellStyle name="Normal 5 3 10 3 2" xfId="24230" xr:uid="{C204DB81-C42D-47F0-A3A5-10D79AD78BAA}"/>
    <cellStyle name="Normal 5 3 10 3 3" xfId="15790" xr:uid="{580E0092-AC05-405A-8AFE-E98CC22BA697}"/>
    <cellStyle name="Normal 5 3 10 4" xfId="20013" xr:uid="{422B871C-3793-4E8F-9404-5A92836AFADE}"/>
    <cellStyle name="Normal 5 3 10 5" xfId="11573" xr:uid="{041A51EB-ACFA-4512-B709-9E73F75282B9}"/>
    <cellStyle name="Normal 5 3 11" xfId="2594" xr:uid="{00000000-0005-0000-0000-00006F190000}"/>
    <cellStyle name="Normal 5 3 11 2" xfId="6877" xr:uid="{00000000-0005-0000-0000-000070190000}"/>
    <cellStyle name="Normal 5 3 11 2 2" xfId="24643" xr:uid="{61732A1E-4E9E-4C3A-B3B6-93B75D0D2502}"/>
    <cellStyle name="Normal 5 3 11 2 3" xfId="16203" xr:uid="{EABFEED9-B883-42E7-8D81-92E6705C48EF}"/>
    <cellStyle name="Normal 5 3 11 3" xfId="20426" xr:uid="{743B7C08-E43F-4661-8DE9-5701B258A98C}"/>
    <cellStyle name="Normal 5 3 11 4" xfId="11986" xr:uid="{BF5B0E6F-394B-43ED-B0AA-4A161C4F1F9D}"/>
    <cellStyle name="Normal 5 3 12" xfId="4812" xr:uid="{00000000-0005-0000-0000-000071190000}"/>
    <cellStyle name="Normal 5 3 12 2" xfId="22578" xr:uid="{CE9026A4-3462-4B72-A313-362863E4F3B3}"/>
    <cellStyle name="Normal 5 3 12 3" xfId="14138" xr:uid="{144B30CB-448F-4673-A096-3D53B5AD30E5}"/>
    <cellStyle name="Normal 5 3 13" xfId="8750" xr:uid="{36957AEF-D081-4A23-AEE3-073A5901863C}"/>
    <cellStyle name="Normal 5 3 13 2" xfId="18361" xr:uid="{5450BFAE-2128-472B-B6CC-A154F9867576}"/>
    <cellStyle name="Normal 5 3 14" xfId="9921" xr:uid="{F55407A1-DF49-4BB5-A5FE-4C458F0B0085}"/>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22579" xr:uid="{92A07BD7-BF71-45AA-B8D5-FB4B913E7BFE}"/>
    <cellStyle name="Normal 5 3 3 10 3" xfId="14139" xr:uid="{7E4D176E-08BC-4156-8DA5-60CA5EBAB23A}"/>
    <cellStyle name="Normal 5 3 3 11" xfId="8782" xr:uid="{4219AD28-469A-4693-BD0B-B0536AC433E5}"/>
    <cellStyle name="Normal 5 3 3 11 2" xfId="18362" xr:uid="{975BF2C5-7EDC-4421-AC03-DB87C22B876B}"/>
    <cellStyle name="Normal 5 3 3 12" xfId="9922" xr:uid="{3888F1C7-5D89-4F09-ADF5-C8A36A01884A}"/>
    <cellStyle name="Normal 5 3 3 2" xfId="442" xr:uid="{00000000-0005-0000-0000-000076190000}"/>
    <cellStyle name="Normal 5 3 3 2 10" xfId="8832" xr:uid="{03323DDB-E4E1-4078-8BBE-EA3DD4471E1B}"/>
    <cellStyle name="Normal 5 3 3 2 10 2" xfId="18363" xr:uid="{29C7176F-26B1-4BBB-8F66-63652BA46D18}"/>
    <cellStyle name="Normal 5 3 3 2 11" xfId="9923" xr:uid="{47AACE5E-D040-43FA-8C99-516379AE3EF3}"/>
    <cellStyle name="Normal 5 3 3 2 2" xfId="443" xr:uid="{00000000-0005-0000-0000-000077190000}"/>
    <cellStyle name="Normal 5 3 3 2 2 10" xfId="9924" xr:uid="{1F0DE2FA-8FC0-44CC-BD30-85BA03C4E47F}"/>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25140" xr:uid="{967B7844-42F1-426C-971E-E5DC457E97E7}"/>
    <cellStyle name="Normal 5 3 3 2 2 2 2 2 2 3" xfId="16700" xr:uid="{49509FC7-472F-41F0-A7CF-87E04D2BE65E}"/>
    <cellStyle name="Normal 5 3 3 2 2 2 2 2 3" xfId="20923" xr:uid="{C03C3782-A41B-4A1A-B96D-25D202735454}"/>
    <cellStyle name="Normal 5 3 3 2 2 2 2 2 4" xfId="12483" xr:uid="{3126EF29-67B1-40CA-A3AA-398FB2ED93D3}"/>
    <cellStyle name="Normal 5 3 3 2 2 2 2 3" xfId="5229" xr:uid="{00000000-0005-0000-0000-00007C190000}"/>
    <cellStyle name="Normal 5 3 3 2 2 2 2 3 2" xfId="22995" xr:uid="{348B2954-B455-4D1D-8924-8C1AC60D4FC3}"/>
    <cellStyle name="Normal 5 3 3 2 2 2 2 3 3" xfId="14555" xr:uid="{242D3888-56D3-4889-9BA5-0A3B80B46F53}"/>
    <cellStyle name="Normal 5 3 3 2 2 2 2 4" xfId="9567" xr:uid="{C2519486-6BC5-47D1-879F-EC6040BC9E9D}"/>
    <cellStyle name="Normal 5 3 3 2 2 2 2 4 2" xfId="18778" xr:uid="{AA4E1023-760C-4092-8634-EA37EAA00079}"/>
    <cellStyle name="Normal 5 3 3 2 2 2 2 5" xfId="10338" xr:uid="{C1A2CEA2-32A8-4623-8D7E-0D358CBA90DE}"/>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25553" xr:uid="{E3D717A1-6631-4425-A1EC-135109F38B62}"/>
    <cellStyle name="Normal 5 3 3 2 2 2 3 2 2 3" xfId="17113" xr:uid="{5351F923-EE27-4E45-A526-74D49EF926DA}"/>
    <cellStyle name="Normal 5 3 3 2 2 2 3 2 3" xfId="21336" xr:uid="{FB4A33A2-9794-40F0-8AE8-CB568BB2E4C5}"/>
    <cellStyle name="Normal 5 3 3 2 2 2 3 2 4" xfId="12896" xr:uid="{7C1D1618-B14D-4D8B-975C-D8EC14B786A5}"/>
    <cellStyle name="Normal 5 3 3 2 2 2 3 3" xfId="5642" xr:uid="{00000000-0005-0000-0000-000080190000}"/>
    <cellStyle name="Normal 5 3 3 2 2 2 3 3 2" xfId="23408" xr:uid="{E5356FDA-8D04-46ED-9DE4-121571D91F38}"/>
    <cellStyle name="Normal 5 3 3 2 2 2 3 3 3" xfId="14968" xr:uid="{B2D7092A-29A4-47ED-8EE6-3C9673A3F280}"/>
    <cellStyle name="Normal 5 3 3 2 2 2 3 4" xfId="19191" xr:uid="{B8B630A9-BD18-4132-B2BB-1A7A474BEC00}"/>
    <cellStyle name="Normal 5 3 3 2 2 2 3 5" xfId="10751" xr:uid="{389342AD-1BAB-49DC-8134-5C60E472E30C}"/>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25966" xr:uid="{B22EABB8-1F44-4099-9B82-4BA9A2ED6B45}"/>
    <cellStyle name="Normal 5 3 3 2 2 2 4 2 2 3" xfId="17526" xr:uid="{431FAC18-58EC-424E-9289-7E9646734918}"/>
    <cellStyle name="Normal 5 3 3 2 2 2 4 2 3" xfId="21749" xr:uid="{64C2AEA2-74EF-4261-B46B-0D845A621D3F}"/>
    <cellStyle name="Normal 5 3 3 2 2 2 4 2 4" xfId="13309" xr:uid="{23B1443C-1C71-42B8-8518-D00A53F74F78}"/>
    <cellStyle name="Normal 5 3 3 2 2 2 4 3" xfId="6055" xr:uid="{00000000-0005-0000-0000-000084190000}"/>
    <cellStyle name="Normal 5 3 3 2 2 2 4 3 2" xfId="23821" xr:uid="{8760ADFB-142D-4906-9B4A-E9B47D637764}"/>
    <cellStyle name="Normal 5 3 3 2 2 2 4 3 3" xfId="15381" xr:uid="{D24970EF-51E2-4D73-8760-9658E4F168BF}"/>
    <cellStyle name="Normal 5 3 3 2 2 2 4 4" xfId="19604" xr:uid="{16C1E913-2329-4999-9855-E47F137317AE}"/>
    <cellStyle name="Normal 5 3 3 2 2 2 4 5" xfId="11164" xr:uid="{5855F415-AB58-4A58-92B9-386A5A930378}"/>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26379" xr:uid="{9277FFA8-088A-4050-95D1-01C12D9AAC95}"/>
    <cellStyle name="Normal 5 3 3 2 2 2 5 2 2 3" xfId="17939" xr:uid="{61D52FEE-814D-4E32-B4D2-F17F0B65277C}"/>
    <cellStyle name="Normal 5 3 3 2 2 2 5 2 3" xfId="22162" xr:uid="{F7D943F3-FC00-4D35-AD00-5312B936B13A}"/>
    <cellStyle name="Normal 5 3 3 2 2 2 5 2 4" xfId="13722" xr:uid="{4014F256-BBB8-48D7-AC2D-E2CD5DC09E53}"/>
    <cellStyle name="Normal 5 3 3 2 2 2 5 3" xfId="6468" xr:uid="{00000000-0005-0000-0000-000088190000}"/>
    <cellStyle name="Normal 5 3 3 2 2 2 5 3 2" xfId="24234" xr:uid="{FC03AB60-371C-46DF-B00E-C7B36493E352}"/>
    <cellStyle name="Normal 5 3 3 2 2 2 5 3 3" xfId="15794" xr:uid="{AD2053A0-44A4-4193-8280-0156D8F46944}"/>
    <cellStyle name="Normal 5 3 3 2 2 2 5 4" xfId="20017" xr:uid="{0C254088-1307-476C-845D-FD25B4F29ECF}"/>
    <cellStyle name="Normal 5 3 3 2 2 2 5 5" xfId="11577" xr:uid="{C72E537D-6DB8-47E7-B076-6B99B90304A0}"/>
    <cellStyle name="Normal 5 3 3 2 2 2 6" xfId="2598" xr:uid="{00000000-0005-0000-0000-000089190000}"/>
    <cellStyle name="Normal 5 3 3 2 2 2 6 2" xfId="6881" xr:uid="{00000000-0005-0000-0000-00008A190000}"/>
    <cellStyle name="Normal 5 3 3 2 2 2 6 2 2" xfId="24647" xr:uid="{9634A9CC-6A37-4FA0-8503-3D20E334BF2B}"/>
    <cellStyle name="Normal 5 3 3 2 2 2 6 2 3" xfId="16207" xr:uid="{A3D91F58-EB96-44B8-A242-5C6A61B34828}"/>
    <cellStyle name="Normal 5 3 3 2 2 2 6 3" xfId="20430" xr:uid="{66CDA86B-94DB-41C7-937D-B51066C937EF}"/>
    <cellStyle name="Normal 5 3 3 2 2 2 6 4" xfId="11990" xr:uid="{640FBD4E-DA0F-4054-A9F7-4BDD7DAD814B}"/>
    <cellStyle name="Normal 5 3 3 2 2 2 7" xfId="4816" xr:uid="{00000000-0005-0000-0000-00008B190000}"/>
    <cellStyle name="Normal 5 3 3 2 2 2 7 2" xfId="22582" xr:uid="{CD6BBFE2-E3FF-4A3B-BAB8-46E7A731BB6B}"/>
    <cellStyle name="Normal 5 3 3 2 2 2 7 3" xfId="14142" xr:uid="{E86D075F-E040-4DF7-80E1-008C68FD27D3}"/>
    <cellStyle name="Normal 5 3 3 2 2 2 8" xfId="9142" xr:uid="{81CF9711-3A0B-4712-8E8F-033C974AA9E3}"/>
    <cellStyle name="Normal 5 3 3 2 2 2 8 2" xfId="18365" xr:uid="{079A54BC-3082-4A78-AD12-33B8AC7DCF3E}"/>
    <cellStyle name="Normal 5 3 3 2 2 2 9" xfId="9925" xr:uid="{A281E8E9-CB88-4F54-BF15-ACC2D473B148}"/>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25139" xr:uid="{E64FDE6A-8B5A-4981-9AF4-93C5EFF5A6E4}"/>
    <cellStyle name="Normal 5 3 3 2 2 3 2 2 3" xfId="16699" xr:uid="{2993FD85-1F96-4369-ABBF-790C9394EF61}"/>
    <cellStyle name="Normal 5 3 3 2 2 3 2 3" xfId="20922" xr:uid="{AF453469-15CA-4742-B782-5026D26D9F77}"/>
    <cellStyle name="Normal 5 3 3 2 2 3 2 4" xfId="12482" xr:uid="{51F4B3D8-47E4-4768-A014-3F7457296584}"/>
    <cellStyle name="Normal 5 3 3 2 2 3 3" xfId="5228" xr:uid="{00000000-0005-0000-0000-00008F190000}"/>
    <cellStyle name="Normal 5 3 3 2 2 3 3 2" xfId="22994" xr:uid="{40ADCDCE-59DA-4BC4-A019-F59A9003BA1F}"/>
    <cellStyle name="Normal 5 3 3 2 2 3 3 3" xfId="14554" xr:uid="{4B79D391-AD35-4FB4-9211-9985DDBD76A3}"/>
    <cellStyle name="Normal 5 3 3 2 2 3 4" xfId="9360" xr:uid="{07447062-3C9B-4A41-BE9D-50DE495FF588}"/>
    <cellStyle name="Normal 5 3 3 2 2 3 4 2" xfId="18777" xr:uid="{7319F3DD-4D11-4660-8A4B-267250E8EE39}"/>
    <cellStyle name="Normal 5 3 3 2 2 3 5" xfId="10337" xr:uid="{EFE1D99F-D3EE-4AD7-8F90-EA4C03DDD1CC}"/>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25552" xr:uid="{10C777C0-4D48-4CAC-9219-5A24FD11F1D5}"/>
    <cellStyle name="Normal 5 3 3 2 2 4 2 2 3" xfId="17112" xr:uid="{B00CEC7A-9819-4431-B06C-BC23A8E53A9E}"/>
    <cellStyle name="Normal 5 3 3 2 2 4 2 3" xfId="21335" xr:uid="{F3AD58FE-C02B-4D75-91AE-6CD9D9C4B9CB}"/>
    <cellStyle name="Normal 5 3 3 2 2 4 2 4" xfId="12895" xr:uid="{3078AD29-BA0B-44CD-9BB5-3E3B589C2A93}"/>
    <cellStyle name="Normal 5 3 3 2 2 4 3" xfId="5641" xr:uid="{00000000-0005-0000-0000-000093190000}"/>
    <cellStyle name="Normal 5 3 3 2 2 4 3 2" xfId="23407" xr:uid="{1AA31CCB-635B-4205-872C-8D810F5A8420}"/>
    <cellStyle name="Normal 5 3 3 2 2 4 3 3" xfId="14967" xr:uid="{3E4B6951-E901-4E25-BBDE-6A862B8FE135}"/>
    <cellStyle name="Normal 5 3 3 2 2 4 4" xfId="19190" xr:uid="{33A5FA32-0557-4449-A40A-DA5FA1C90B3D}"/>
    <cellStyle name="Normal 5 3 3 2 2 4 5" xfId="10750" xr:uid="{2C8A7305-21E1-4584-AE80-E97E34FF046D}"/>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25965" xr:uid="{1BE7853F-9792-4EF1-A3CF-E5C8F18ADE2B}"/>
    <cellStyle name="Normal 5 3 3 2 2 5 2 2 3" xfId="17525" xr:uid="{38A31FA2-CE2A-4BC3-8BE6-F22B1CDB7362}"/>
    <cellStyle name="Normal 5 3 3 2 2 5 2 3" xfId="21748" xr:uid="{B2B75322-B74A-4519-8A89-9F4C9986664D}"/>
    <cellStyle name="Normal 5 3 3 2 2 5 2 4" xfId="13308" xr:uid="{D77E6583-1398-479E-8B6E-3025C4202019}"/>
    <cellStyle name="Normal 5 3 3 2 2 5 3" xfId="6054" xr:uid="{00000000-0005-0000-0000-000097190000}"/>
    <cellStyle name="Normal 5 3 3 2 2 5 3 2" xfId="23820" xr:uid="{C3096E40-E4A2-428F-B6F9-6490CD9891E7}"/>
    <cellStyle name="Normal 5 3 3 2 2 5 3 3" xfId="15380" xr:uid="{A4D4FDDE-A1D0-46C1-B34B-FD06144EE04D}"/>
    <cellStyle name="Normal 5 3 3 2 2 5 4" xfId="19603" xr:uid="{8B19B11E-5DB8-4B33-844D-80B39486FE08}"/>
    <cellStyle name="Normal 5 3 3 2 2 5 5" xfId="11163" xr:uid="{4F4709B4-994E-4A2D-B93A-AACFF35A4118}"/>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26378" xr:uid="{FDAE531E-F03F-4DE2-9572-693866154C96}"/>
    <cellStyle name="Normal 5 3 3 2 2 6 2 2 3" xfId="17938" xr:uid="{36226801-F368-4AAA-88C9-9B1EEC481DDC}"/>
    <cellStyle name="Normal 5 3 3 2 2 6 2 3" xfId="22161" xr:uid="{D7DEE699-3FBB-4EB5-8399-3D07336FB662}"/>
    <cellStyle name="Normal 5 3 3 2 2 6 2 4" xfId="13721" xr:uid="{72ABE0BC-9D20-4181-9180-0AC087B0126E}"/>
    <cellStyle name="Normal 5 3 3 2 2 6 3" xfId="6467" xr:uid="{00000000-0005-0000-0000-00009B190000}"/>
    <cellStyle name="Normal 5 3 3 2 2 6 3 2" xfId="24233" xr:uid="{580A9091-1914-4D43-BB17-C00D860E863D}"/>
    <cellStyle name="Normal 5 3 3 2 2 6 3 3" xfId="15793" xr:uid="{13AD005D-64ED-4DD3-8346-064D9032693C}"/>
    <cellStyle name="Normal 5 3 3 2 2 6 4" xfId="20016" xr:uid="{55CBFC65-D16B-4287-8FDC-E5FF7F5865F2}"/>
    <cellStyle name="Normal 5 3 3 2 2 6 5" xfId="11576" xr:uid="{AF2D3CDC-629C-44B8-9166-477D170436AB}"/>
    <cellStyle name="Normal 5 3 3 2 2 7" xfId="2597" xr:uid="{00000000-0005-0000-0000-00009C190000}"/>
    <cellStyle name="Normal 5 3 3 2 2 7 2" xfId="6880" xr:uid="{00000000-0005-0000-0000-00009D190000}"/>
    <cellStyle name="Normal 5 3 3 2 2 7 2 2" xfId="24646" xr:uid="{F540BB97-CD10-4459-8605-01EE88D01EBD}"/>
    <cellStyle name="Normal 5 3 3 2 2 7 2 3" xfId="16206" xr:uid="{501B2E66-CB80-458F-8EF8-86F66734FA5B}"/>
    <cellStyle name="Normal 5 3 3 2 2 7 3" xfId="20429" xr:uid="{C210C8F2-3840-4433-92F3-A9628ED94C8B}"/>
    <cellStyle name="Normal 5 3 3 2 2 7 4" xfId="11989" xr:uid="{2CDDC39D-014A-4A6D-8388-EA13D5FFC15A}"/>
    <cellStyle name="Normal 5 3 3 2 2 8" xfId="4815" xr:uid="{00000000-0005-0000-0000-00009E190000}"/>
    <cellStyle name="Normal 5 3 3 2 2 8 2" xfId="22581" xr:uid="{D85BF76C-141F-4092-BAE4-3C2DE4943CA9}"/>
    <cellStyle name="Normal 5 3 3 2 2 8 3" xfId="14141" xr:uid="{28FD0E01-5B7F-440F-9751-DE8095A201C6}"/>
    <cellStyle name="Normal 5 3 3 2 2 9" xfId="8935" xr:uid="{94B8766B-0DD5-4CC7-9403-D37FC711344B}"/>
    <cellStyle name="Normal 5 3 3 2 2 9 2" xfId="18364" xr:uid="{235027EB-D394-4D1C-835F-1CAE2E225E58}"/>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25141" xr:uid="{AD1D01AA-4327-424C-8CB8-2823C2658F37}"/>
    <cellStyle name="Normal 5 3 3 2 3 2 2 2 3" xfId="16701" xr:uid="{841E5ACA-32CC-4AFB-855E-30CF0AAD885A}"/>
    <cellStyle name="Normal 5 3 3 2 3 2 2 3" xfId="20924" xr:uid="{8DB40611-9827-4DFE-8C26-0C9D17292209}"/>
    <cellStyle name="Normal 5 3 3 2 3 2 2 4" xfId="12484" xr:uid="{9E451EAA-A421-4121-B676-73F3E94A0AEE}"/>
    <cellStyle name="Normal 5 3 3 2 3 2 3" xfId="5230" xr:uid="{00000000-0005-0000-0000-0000A3190000}"/>
    <cellStyle name="Normal 5 3 3 2 3 2 3 2" xfId="22996" xr:uid="{B07FAF05-011D-41EA-8774-089FBE3A940B}"/>
    <cellStyle name="Normal 5 3 3 2 3 2 3 3" xfId="14556" xr:uid="{900FEED5-1028-450F-AAF2-1D3BFB618D64}"/>
    <cellStyle name="Normal 5 3 3 2 3 2 4" xfId="9464" xr:uid="{6A182EEF-0879-47AD-839A-17D560B4AF3D}"/>
    <cellStyle name="Normal 5 3 3 2 3 2 4 2" xfId="18779" xr:uid="{A26CB81B-71A8-46FE-9F6E-426C70AE1E09}"/>
    <cellStyle name="Normal 5 3 3 2 3 2 5" xfId="10339" xr:uid="{CEC91327-5ED5-45E5-BCEB-A144A3A84428}"/>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25554" xr:uid="{55CA2FF8-97B1-42D0-8802-C3533155A299}"/>
    <cellStyle name="Normal 5 3 3 2 3 3 2 2 3" xfId="17114" xr:uid="{F0BD2CB4-F4A3-4A60-8811-EDDEF076ACC8}"/>
    <cellStyle name="Normal 5 3 3 2 3 3 2 3" xfId="21337" xr:uid="{B347ADA5-AC27-45C1-91B2-C9AB7D700EE1}"/>
    <cellStyle name="Normal 5 3 3 2 3 3 2 4" xfId="12897" xr:uid="{5EECAE1F-D418-40EA-A8B3-DFD6442E401F}"/>
    <cellStyle name="Normal 5 3 3 2 3 3 3" xfId="5643" xr:uid="{00000000-0005-0000-0000-0000A7190000}"/>
    <cellStyle name="Normal 5 3 3 2 3 3 3 2" xfId="23409" xr:uid="{1679DF63-8E50-4321-9F92-F726F0A54627}"/>
    <cellStyle name="Normal 5 3 3 2 3 3 3 3" xfId="14969" xr:uid="{B73D04AB-7D3B-41BE-B280-03FAB2A448D6}"/>
    <cellStyle name="Normal 5 3 3 2 3 3 4" xfId="19192" xr:uid="{27AF2B04-52A1-4540-A0BD-1BF2F4A343E2}"/>
    <cellStyle name="Normal 5 3 3 2 3 3 5" xfId="10752" xr:uid="{06B18F40-05DC-45F5-8B79-AF097ED5A3D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25967" xr:uid="{1AEA5813-CC83-485A-8192-23E60CE60100}"/>
    <cellStyle name="Normal 5 3 3 2 3 4 2 2 3" xfId="17527" xr:uid="{5956CA45-B58D-46DB-AA44-04C223FE6793}"/>
    <cellStyle name="Normal 5 3 3 2 3 4 2 3" xfId="21750" xr:uid="{4F3B63C4-59CA-4A67-A25E-8D0DEA04A683}"/>
    <cellStyle name="Normal 5 3 3 2 3 4 2 4" xfId="13310" xr:uid="{BC0D1D43-E0DB-4365-9791-74AA82BDE814}"/>
    <cellStyle name="Normal 5 3 3 2 3 4 3" xfId="6056" xr:uid="{00000000-0005-0000-0000-0000AB190000}"/>
    <cellStyle name="Normal 5 3 3 2 3 4 3 2" xfId="23822" xr:uid="{2508ED1C-3E54-473B-B6E7-9B0818C18CE2}"/>
    <cellStyle name="Normal 5 3 3 2 3 4 3 3" xfId="15382" xr:uid="{5A6D2FDF-304D-4382-91E0-0A44F15E52C3}"/>
    <cellStyle name="Normal 5 3 3 2 3 4 4" xfId="19605" xr:uid="{FE493ECB-50D2-49AA-AC58-019ADB8CFB2A}"/>
    <cellStyle name="Normal 5 3 3 2 3 4 5" xfId="11165" xr:uid="{41E4CB55-DFD7-423E-BDF5-CDF29B96564D}"/>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26380" xr:uid="{A95AB030-AD86-4D40-BB09-E6FFE65755DE}"/>
    <cellStyle name="Normal 5 3 3 2 3 5 2 2 3" xfId="17940" xr:uid="{14D8EE38-B130-4603-BED6-A50E08D50D61}"/>
    <cellStyle name="Normal 5 3 3 2 3 5 2 3" xfId="22163" xr:uid="{4DE9695C-3BF1-403A-B915-B3185C2BF683}"/>
    <cellStyle name="Normal 5 3 3 2 3 5 2 4" xfId="13723" xr:uid="{65DE4F5E-271B-4A9F-9720-A8EACC48D76E}"/>
    <cellStyle name="Normal 5 3 3 2 3 5 3" xfId="6469" xr:uid="{00000000-0005-0000-0000-0000AF190000}"/>
    <cellStyle name="Normal 5 3 3 2 3 5 3 2" xfId="24235" xr:uid="{6D930449-553A-4E0C-9F7E-E18E40FACBA1}"/>
    <cellStyle name="Normal 5 3 3 2 3 5 3 3" xfId="15795" xr:uid="{0081BCFC-C0C7-4D52-82B9-883E8498CAD3}"/>
    <cellStyle name="Normal 5 3 3 2 3 5 4" xfId="20018" xr:uid="{32F0352B-D1F6-4D88-BA04-427026E6836D}"/>
    <cellStyle name="Normal 5 3 3 2 3 5 5" xfId="11578" xr:uid="{042F5E5F-B672-48F2-958E-C37AB72873BC}"/>
    <cellStyle name="Normal 5 3 3 2 3 6" xfId="2599" xr:uid="{00000000-0005-0000-0000-0000B0190000}"/>
    <cellStyle name="Normal 5 3 3 2 3 6 2" xfId="6882" xr:uid="{00000000-0005-0000-0000-0000B1190000}"/>
    <cellStyle name="Normal 5 3 3 2 3 6 2 2" xfId="24648" xr:uid="{DCE54907-C2EB-4E1F-84DE-791288B58DC0}"/>
    <cellStyle name="Normal 5 3 3 2 3 6 2 3" xfId="16208" xr:uid="{C38DA8E7-FE79-40E0-A9ED-4B98EAE72DF4}"/>
    <cellStyle name="Normal 5 3 3 2 3 6 3" xfId="20431" xr:uid="{7657584C-C368-44CC-A1F3-F5F4D45D959D}"/>
    <cellStyle name="Normal 5 3 3 2 3 6 4" xfId="11991" xr:uid="{72A5DBE6-7A6F-4796-ABD4-1E5617335FC1}"/>
    <cellStyle name="Normal 5 3 3 2 3 7" xfId="4817" xr:uid="{00000000-0005-0000-0000-0000B2190000}"/>
    <cellStyle name="Normal 5 3 3 2 3 7 2" xfId="22583" xr:uid="{BD2FDC48-F3B7-490E-994D-61B3D48AB57C}"/>
    <cellStyle name="Normal 5 3 3 2 3 7 3" xfId="14143" xr:uid="{BE5B760C-3E18-40D1-B74F-876CA02A56EB}"/>
    <cellStyle name="Normal 5 3 3 2 3 8" xfId="9039" xr:uid="{84D80CE6-A0CA-4841-8673-26EA7EC6806D}"/>
    <cellStyle name="Normal 5 3 3 2 3 8 2" xfId="18366" xr:uid="{F6ADC115-8A39-4970-80FA-75CF482EC4C5}"/>
    <cellStyle name="Normal 5 3 3 2 3 9" xfId="9926" xr:uid="{9A59527A-60DA-4188-99A0-7DC4549CDA2B}"/>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25138" xr:uid="{A39A2E4C-29D8-4DFD-9710-4B329B1BD7C5}"/>
    <cellStyle name="Normal 5 3 3 2 4 2 2 3" xfId="16698" xr:uid="{7A6364F9-6DAE-4AB7-BB2F-F2C3BD48AD15}"/>
    <cellStyle name="Normal 5 3 3 2 4 2 3" xfId="20921" xr:uid="{1A67E2E2-4359-4947-8A44-EC4589B397C0}"/>
    <cellStyle name="Normal 5 3 3 2 4 2 4" xfId="12481" xr:uid="{721669C4-4680-4C5B-9527-7ACF36FDAACE}"/>
    <cellStyle name="Normal 5 3 3 2 4 3" xfId="5227" xr:uid="{00000000-0005-0000-0000-0000B6190000}"/>
    <cellStyle name="Normal 5 3 3 2 4 3 2" xfId="22993" xr:uid="{1F7F54A3-16BC-45A9-BE1B-BDBB9F80E3F7}"/>
    <cellStyle name="Normal 5 3 3 2 4 3 3" xfId="14553" xr:uid="{B32F0EB5-B767-44E9-8B5E-A3B2D76BDBB9}"/>
    <cellStyle name="Normal 5 3 3 2 4 4" xfId="9257" xr:uid="{E6656214-6E5B-491F-B1E3-227CB6568726}"/>
    <cellStyle name="Normal 5 3 3 2 4 4 2" xfId="18776" xr:uid="{7FDBA5FE-D28D-4D23-A516-79437F8E6EB0}"/>
    <cellStyle name="Normal 5 3 3 2 4 5" xfId="10336" xr:uid="{87D2D4D4-8F72-4818-8E7D-38F6CBFB1906}"/>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25551" xr:uid="{08AE95E9-A893-451A-BA9B-27EB2E137464}"/>
    <cellStyle name="Normal 5 3 3 2 5 2 2 3" xfId="17111" xr:uid="{6C4FF914-B908-4537-8699-5846D9AE3C06}"/>
    <cellStyle name="Normal 5 3 3 2 5 2 3" xfId="21334" xr:uid="{4EE9E125-343F-4FFF-9835-C078947763CB}"/>
    <cellStyle name="Normal 5 3 3 2 5 2 4" xfId="12894" xr:uid="{2C9A8EEF-45E0-4A65-9286-88E9FA52FFB1}"/>
    <cellStyle name="Normal 5 3 3 2 5 3" xfId="5640" xr:uid="{00000000-0005-0000-0000-0000BA190000}"/>
    <cellStyle name="Normal 5 3 3 2 5 3 2" xfId="23406" xr:uid="{8B92F799-56DA-4A7C-9CC5-B322CE380AF5}"/>
    <cellStyle name="Normal 5 3 3 2 5 3 3" xfId="14966" xr:uid="{2834358C-319F-4BDE-84EF-7298C1A65829}"/>
    <cellStyle name="Normal 5 3 3 2 5 4" xfId="19189" xr:uid="{945BB091-F147-44C6-9243-4211E43986C9}"/>
    <cellStyle name="Normal 5 3 3 2 5 5" xfId="10749" xr:uid="{AB346B4B-B6AD-433B-94F6-9AE374BCE879}"/>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25964" xr:uid="{498EBAB0-023D-44BB-9971-F63F63CB16D2}"/>
    <cellStyle name="Normal 5 3 3 2 6 2 2 3" xfId="17524" xr:uid="{319BF4C0-A8CB-46AD-ACD5-89346131DE4F}"/>
    <cellStyle name="Normal 5 3 3 2 6 2 3" xfId="21747" xr:uid="{4ED74012-26B2-43BF-8D85-4679556355FC}"/>
    <cellStyle name="Normal 5 3 3 2 6 2 4" xfId="13307" xr:uid="{6E19FF19-FE6C-4BD8-9023-3130C768A2EC}"/>
    <cellStyle name="Normal 5 3 3 2 6 3" xfId="6053" xr:uid="{00000000-0005-0000-0000-0000BE190000}"/>
    <cellStyle name="Normal 5 3 3 2 6 3 2" xfId="23819" xr:uid="{BDB226B3-F07C-4B1A-901D-69A8B52D7DD4}"/>
    <cellStyle name="Normal 5 3 3 2 6 3 3" xfId="15379" xr:uid="{1FE0E48F-0980-4CAC-A345-D65CE5D88EAD}"/>
    <cellStyle name="Normal 5 3 3 2 6 4" xfId="19602" xr:uid="{48786DED-8EB3-4CB0-B7C9-ADDBA3E56401}"/>
    <cellStyle name="Normal 5 3 3 2 6 5" xfId="11162" xr:uid="{9D36E4C1-C3BE-4EB2-A53B-09B70C728198}"/>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26377" xr:uid="{B4744531-9667-414B-9D7D-C77DC7DFF9F7}"/>
    <cellStyle name="Normal 5 3 3 2 7 2 2 3" xfId="17937" xr:uid="{A8040AB5-9E16-472D-AA78-C9AFDAA0D7A3}"/>
    <cellStyle name="Normal 5 3 3 2 7 2 3" xfId="22160" xr:uid="{FC828553-7B22-496F-9940-5FAAE99533B6}"/>
    <cellStyle name="Normal 5 3 3 2 7 2 4" xfId="13720" xr:uid="{8A81466E-C01D-423F-8372-55C7F94C94EE}"/>
    <cellStyle name="Normal 5 3 3 2 7 3" xfId="6466" xr:uid="{00000000-0005-0000-0000-0000C2190000}"/>
    <cellStyle name="Normal 5 3 3 2 7 3 2" xfId="24232" xr:uid="{C14F4E24-3C74-49DB-A033-77886EF80EC4}"/>
    <cellStyle name="Normal 5 3 3 2 7 3 3" xfId="15792" xr:uid="{8E99B64D-519E-48EE-B422-F0BA2287806E}"/>
    <cellStyle name="Normal 5 3 3 2 7 4" xfId="20015" xr:uid="{D8CAD677-C053-4473-9577-A3B8252112FA}"/>
    <cellStyle name="Normal 5 3 3 2 7 5" xfId="11575" xr:uid="{F2790C06-9E3D-472D-8792-47409EDFEF8E}"/>
    <cellStyle name="Normal 5 3 3 2 8" xfId="2596" xr:uid="{00000000-0005-0000-0000-0000C3190000}"/>
    <cellStyle name="Normal 5 3 3 2 8 2" xfId="6879" xr:uid="{00000000-0005-0000-0000-0000C4190000}"/>
    <cellStyle name="Normal 5 3 3 2 8 2 2" xfId="24645" xr:uid="{9CBF919D-81CD-40A7-A98A-70797851A2C6}"/>
    <cellStyle name="Normal 5 3 3 2 8 2 3" xfId="16205" xr:uid="{927737C1-0D51-4CC5-8AA3-F3F141429BDD}"/>
    <cellStyle name="Normal 5 3 3 2 8 3" xfId="20428" xr:uid="{F99D082E-856E-469F-A361-160830A3DAE3}"/>
    <cellStyle name="Normal 5 3 3 2 8 4" xfId="11988" xr:uid="{2F50B831-A041-4145-8441-78D79B86F47F}"/>
    <cellStyle name="Normal 5 3 3 2 9" xfId="4814" xr:uid="{00000000-0005-0000-0000-0000C5190000}"/>
    <cellStyle name="Normal 5 3 3 2 9 2" xfId="22580" xr:uid="{7FEE8E49-FA95-46F0-8B8D-AEF285994296}"/>
    <cellStyle name="Normal 5 3 3 2 9 3" xfId="14140" xr:uid="{F6620299-717D-4D9A-B02B-15898B8D33C6}"/>
    <cellStyle name="Normal 5 3 3 3" xfId="446" xr:uid="{00000000-0005-0000-0000-0000C6190000}"/>
    <cellStyle name="Normal 5 3 3 3 10" xfId="9927" xr:uid="{443AC84A-7C86-44D7-95AF-602AD618600D}"/>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25143" xr:uid="{DEE719D7-5181-4DF0-8EBF-74CD0A643567}"/>
    <cellStyle name="Normal 5 3 3 3 2 2 2 2 3" xfId="16703" xr:uid="{ED4BCAD3-C4F0-4207-B957-407642A12DC6}"/>
    <cellStyle name="Normal 5 3 3 3 2 2 2 3" xfId="20926" xr:uid="{0B7CF25D-AAE2-4776-88E0-33516701A0DF}"/>
    <cellStyle name="Normal 5 3 3 3 2 2 2 4" xfId="12486" xr:uid="{C2CC1F92-9EBF-442E-8217-43524FE3BCFD}"/>
    <cellStyle name="Normal 5 3 3 3 2 2 3" xfId="5232" xr:uid="{00000000-0005-0000-0000-0000CB190000}"/>
    <cellStyle name="Normal 5 3 3 3 2 2 3 2" xfId="22998" xr:uid="{8978CD81-5457-4916-846D-50A1B4A7822E}"/>
    <cellStyle name="Normal 5 3 3 3 2 2 3 3" xfId="14558" xr:uid="{8AB93349-383A-4917-9F57-C935791B2B78}"/>
    <cellStyle name="Normal 5 3 3 3 2 2 4" xfId="9517" xr:uid="{EA62A3B1-8ED5-4A6F-ACE0-B924BC16AA9E}"/>
    <cellStyle name="Normal 5 3 3 3 2 2 4 2" xfId="18781" xr:uid="{0CC0AEA1-8294-43F4-813C-EB46CE32E98E}"/>
    <cellStyle name="Normal 5 3 3 3 2 2 5" xfId="10341" xr:uid="{DD56702D-7FA2-4F19-93F1-3FD770D293A9}"/>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25556" xr:uid="{4B9FE8F7-A6F0-49A8-9AB0-BE5BF877649B}"/>
    <cellStyle name="Normal 5 3 3 3 2 3 2 2 3" xfId="17116" xr:uid="{FF6D8DD3-9FA4-4F85-81C3-BAAA38F3F4EC}"/>
    <cellStyle name="Normal 5 3 3 3 2 3 2 3" xfId="21339" xr:uid="{7777F31F-B542-4162-B448-A4EF0B4A8C0E}"/>
    <cellStyle name="Normal 5 3 3 3 2 3 2 4" xfId="12899" xr:uid="{451DDD0A-2969-4DBE-8ED1-776F87345843}"/>
    <cellStyle name="Normal 5 3 3 3 2 3 3" xfId="5645" xr:uid="{00000000-0005-0000-0000-0000CF190000}"/>
    <cellStyle name="Normal 5 3 3 3 2 3 3 2" xfId="23411" xr:uid="{1DDBAEE1-1657-45A9-87C7-9B6E68022D86}"/>
    <cellStyle name="Normal 5 3 3 3 2 3 3 3" xfId="14971" xr:uid="{32F0EC5C-6426-41CA-96BA-F05E95A8EC01}"/>
    <cellStyle name="Normal 5 3 3 3 2 3 4" xfId="19194" xr:uid="{45FD8CA5-3131-4F00-B83A-CAC8DA60EC53}"/>
    <cellStyle name="Normal 5 3 3 3 2 3 5" xfId="10754" xr:uid="{E5773E58-59B5-4AC1-B0D9-90C25868BDCB}"/>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25969" xr:uid="{5174F850-7B2E-4B95-95B7-31122E28F2C5}"/>
    <cellStyle name="Normal 5 3 3 3 2 4 2 2 3" xfId="17529" xr:uid="{B36DB86F-BDFB-46B9-8050-FA33A104345A}"/>
    <cellStyle name="Normal 5 3 3 3 2 4 2 3" xfId="21752" xr:uid="{DA997A28-0313-4D0E-B645-BE50E09C8AEB}"/>
    <cellStyle name="Normal 5 3 3 3 2 4 2 4" xfId="13312" xr:uid="{06B24D54-5CC1-43B4-9EFB-763918FA25CD}"/>
    <cellStyle name="Normal 5 3 3 3 2 4 3" xfId="6058" xr:uid="{00000000-0005-0000-0000-0000D3190000}"/>
    <cellStyle name="Normal 5 3 3 3 2 4 3 2" xfId="23824" xr:uid="{4B042A50-11A7-41B9-8912-C8AFFEC346A8}"/>
    <cellStyle name="Normal 5 3 3 3 2 4 3 3" xfId="15384" xr:uid="{DD8343ED-EE0E-442F-87BC-D7C79B53A97F}"/>
    <cellStyle name="Normal 5 3 3 3 2 4 4" xfId="19607" xr:uid="{7BB8B7B4-D147-43E4-B0C1-415DD04122CF}"/>
    <cellStyle name="Normal 5 3 3 3 2 4 5" xfId="11167" xr:uid="{BD09E712-30CC-463A-BA04-0A9EEE1FA576}"/>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26382" xr:uid="{F406AC2B-3681-401E-B8DB-9F459A880067}"/>
    <cellStyle name="Normal 5 3 3 3 2 5 2 2 3" xfId="17942" xr:uid="{91D6B1B7-C30C-4721-AD1A-AEA8D9AD5DC1}"/>
    <cellStyle name="Normal 5 3 3 3 2 5 2 3" xfId="22165" xr:uid="{59741F21-13BD-4837-B6CD-83BDFF6E4CD5}"/>
    <cellStyle name="Normal 5 3 3 3 2 5 2 4" xfId="13725" xr:uid="{6C57983C-2853-4119-8C1A-859EECA9D71E}"/>
    <cellStyle name="Normal 5 3 3 3 2 5 3" xfId="6471" xr:uid="{00000000-0005-0000-0000-0000D7190000}"/>
    <cellStyle name="Normal 5 3 3 3 2 5 3 2" xfId="24237" xr:uid="{B50C7879-3DDA-4F95-A19C-D155B929C9AD}"/>
    <cellStyle name="Normal 5 3 3 3 2 5 3 3" xfId="15797" xr:uid="{8BB92A88-1AD7-4746-A343-157492886937}"/>
    <cellStyle name="Normal 5 3 3 3 2 5 4" xfId="20020" xr:uid="{EC4E179D-EC9B-4665-9870-D0A82B567524}"/>
    <cellStyle name="Normal 5 3 3 3 2 5 5" xfId="11580" xr:uid="{B7D8D600-8F3C-4129-B4F3-4D2AFA434B74}"/>
    <cellStyle name="Normal 5 3 3 3 2 6" xfId="2601" xr:uid="{00000000-0005-0000-0000-0000D8190000}"/>
    <cellStyle name="Normal 5 3 3 3 2 6 2" xfId="6884" xr:uid="{00000000-0005-0000-0000-0000D9190000}"/>
    <cellStyle name="Normal 5 3 3 3 2 6 2 2" xfId="24650" xr:uid="{5B752B05-F691-4A65-9F95-2B72D03B2CF5}"/>
    <cellStyle name="Normal 5 3 3 3 2 6 2 3" xfId="16210" xr:uid="{94019033-513B-47D3-B8FA-BBEB6E00AB44}"/>
    <cellStyle name="Normal 5 3 3 3 2 6 3" xfId="20433" xr:uid="{33A83978-88F2-475E-B1BF-2B5C4127770E}"/>
    <cellStyle name="Normal 5 3 3 3 2 6 4" xfId="11993" xr:uid="{F856AD19-B8F6-4DB5-8540-DC179BBB9481}"/>
    <cellStyle name="Normal 5 3 3 3 2 7" xfId="4819" xr:uid="{00000000-0005-0000-0000-0000DA190000}"/>
    <cellStyle name="Normal 5 3 3 3 2 7 2" xfId="22585" xr:uid="{82C8CAF5-E94B-4921-99CB-4F8C9E947778}"/>
    <cellStyle name="Normal 5 3 3 3 2 7 3" xfId="14145" xr:uid="{DB652EE0-0D15-419E-AF6A-001BC4D3A0CD}"/>
    <cellStyle name="Normal 5 3 3 3 2 8" xfId="9092" xr:uid="{A018BC5E-3880-4BA4-8CFB-322C89A13B5F}"/>
    <cellStyle name="Normal 5 3 3 3 2 8 2" xfId="18368" xr:uid="{26007CC8-DCF5-4EB6-AA27-C6B602E9BC05}"/>
    <cellStyle name="Normal 5 3 3 3 2 9" xfId="9928" xr:uid="{D2C899AE-B21C-4E89-8F6C-C199CD7B73B4}"/>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25142" xr:uid="{E68496EE-EFA2-48E1-8652-D963E9172F1C}"/>
    <cellStyle name="Normal 5 3 3 3 3 2 2 3" xfId="16702" xr:uid="{D4F4A213-C833-4252-A5BD-E654D73CF301}"/>
    <cellStyle name="Normal 5 3 3 3 3 2 3" xfId="20925" xr:uid="{7CC8EAC8-D4FF-4EC2-ADB3-AFB6DB1C29DA}"/>
    <cellStyle name="Normal 5 3 3 3 3 2 4" xfId="12485" xr:uid="{C1B3960C-8311-4EF0-A6F0-02C07F2C4E9D}"/>
    <cellStyle name="Normal 5 3 3 3 3 3" xfId="5231" xr:uid="{00000000-0005-0000-0000-0000DE190000}"/>
    <cellStyle name="Normal 5 3 3 3 3 3 2" xfId="22997" xr:uid="{514C4BD2-4CA7-4F02-9A6D-2FB29AA8EDB0}"/>
    <cellStyle name="Normal 5 3 3 3 3 3 3" xfId="14557" xr:uid="{C45790B8-BA10-4B4D-A05A-B304F6D5D90A}"/>
    <cellStyle name="Normal 5 3 3 3 3 4" xfId="9310" xr:uid="{D169C31A-17C5-4934-97DF-D90479FD2654}"/>
    <cellStyle name="Normal 5 3 3 3 3 4 2" xfId="18780" xr:uid="{F190864B-EDE8-4B06-8894-F382A6DED2CD}"/>
    <cellStyle name="Normal 5 3 3 3 3 5" xfId="10340" xr:uid="{E8D31FF2-472B-49B0-AB78-D90A7A8B8445}"/>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25555" xr:uid="{23368A0B-C1D4-4154-9881-79E25D8CE36B}"/>
    <cellStyle name="Normal 5 3 3 3 4 2 2 3" xfId="17115" xr:uid="{403464ED-3C95-4286-BA5F-929BC2277FFF}"/>
    <cellStyle name="Normal 5 3 3 3 4 2 3" xfId="21338" xr:uid="{36AE3B1C-D2DD-479C-B5B4-C4F0A54D89AC}"/>
    <cellStyle name="Normal 5 3 3 3 4 2 4" xfId="12898" xr:uid="{D65EE0C2-B112-457E-9E0C-2D461CA6F64D}"/>
    <cellStyle name="Normal 5 3 3 3 4 3" xfId="5644" xr:uid="{00000000-0005-0000-0000-0000E2190000}"/>
    <cellStyle name="Normal 5 3 3 3 4 3 2" xfId="23410" xr:uid="{3D157813-65BE-4F0F-95C6-3ECE5D19147C}"/>
    <cellStyle name="Normal 5 3 3 3 4 3 3" xfId="14970" xr:uid="{ADC23D63-E6C9-4462-B008-36E9CA5CCFB4}"/>
    <cellStyle name="Normal 5 3 3 3 4 4" xfId="19193" xr:uid="{A8013044-08D7-45EA-A095-3FCCB049EC75}"/>
    <cellStyle name="Normal 5 3 3 3 4 5" xfId="10753" xr:uid="{8777F1B9-48D1-4C88-A78E-3953B346BE05}"/>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25968" xr:uid="{68BE1B65-BF90-4AF0-87F4-CFFC49598B6E}"/>
    <cellStyle name="Normal 5 3 3 3 5 2 2 3" xfId="17528" xr:uid="{BC493D53-B3FF-4DE2-9E49-563702B1F150}"/>
    <cellStyle name="Normal 5 3 3 3 5 2 3" xfId="21751" xr:uid="{FA036080-E2AA-4159-BAE4-DA940F0D8D7B}"/>
    <cellStyle name="Normal 5 3 3 3 5 2 4" xfId="13311" xr:uid="{7CB67085-9AC6-425C-96EB-E0ED0F966030}"/>
    <cellStyle name="Normal 5 3 3 3 5 3" xfId="6057" xr:uid="{00000000-0005-0000-0000-0000E6190000}"/>
    <cellStyle name="Normal 5 3 3 3 5 3 2" xfId="23823" xr:uid="{B94F4622-B320-4688-AD67-F1C4E277B73D}"/>
    <cellStyle name="Normal 5 3 3 3 5 3 3" xfId="15383" xr:uid="{5B70AA71-7DD6-4769-BB77-DE4C004CA598}"/>
    <cellStyle name="Normal 5 3 3 3 5 4" xfId="19606" xr:uid="{76E2BC21-86DB-4569-8CA7-9DBC3B02EE72}"/>
    <cellStyle name="Normal 5 3 3 3 5 5" xfId="11166" xr:uid="{AD530B46-6A1C-4D99-ABE2-DCF4BF9C7972}"/>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26381" xr:uid="{EF0E3B67-5CCF-4835-9105-FC171BBF2F0F}"/>
    <cellStyle name="Normal 5 3 3 3 6 2 2 3" xfId="17941" xr:uid="{26822070-B485-40A0-9C0D-D095C4B9DF47}"/>
    <cellStyle name="Normal 5 3 3 3 6 2 3" xfId="22164" xr:uid="{A82B5103-2F96-4552-B802-C23A5078234C}"/>
    <cellStyle name="Normal 5 3 3 3 6 2 4" xfId="13724" xr:uid="{62FB3B9D-2A08-4AE9-A631-3F59D8CA903E}"/>
    <cellStyle name="Normal 5 3 3 3 6 3" xfId="6470" xr:uid="{00000000-0005-0000-0000-0000EA190000}"/>
    <cellStyle name="Normal 5 3 3 3 6 3 2" xfId="24236" xr:uid="{D14E2A90-7274-45C2-9CED-D0EF5975A5A1}"/>
    <cellStyle name="Normal 5 3 3 3 6 3 3" xfId="15796" xr:uid="{3625BCD9-1140-4F5B-9E88-9EE3A20812A3}"/>
    <cellStyle name="Normal 5 3 3 3 6 4" xfId="20019" xr:uid="{0249015C-BBC2-4CA8-BF35-1824761384CA}"/>
    <cellStyle name="Normal 5 3 3 3 6 5" xfId="11579" xr:uid="{18BADAA3-643F-4878-9B7A-7D4B46EF058F}"/>
    <cellStyle name="Normal 5 3 3 3 7" xfId="2600" xr:uid="{00000000-0005-0000-0000-0000EB190000}"/>
    <cellStyle name="Normal 5 3 3 3 7 2" xfId="6883" xr:uid="{00000000-0005-0000-0000-0000EC190000}"/>
    <cellStyle name="Normal 5 3 3 3 7 2 2" xfId="24649" xr:uid="{867BE510-F835-4C40-9A4D-38AA36BE49AB}"/>
    <cellStyle name="Normal 5 3 3 3 7 2 3" xfId="16209" xr:uid="{E52FF8B2-128A-4DEA-8232-F878A23D0A0A}"/>
    <cellStyle name="Normal 5 3 3 3 7 3" xfId="20432" xr:uid="{4E6DE60D-C647-4625-9CEA-D24F2F87DF98}"/>
    <cellStyle name="Normal 5 3 3 3 7 4" xfId="11992" xr:uid="{D98D47FF-E84E-43E4-8F9A-2635DB747E77}"/>
    <cellStyle name="Normal 5 3 3 3 8" xfId="4818" xr:uid="{00000000-0005-0000-0000-0000ED190000}"/>
    <cellStyle name="Normal 5 3 3 3 8 2" xfId="22584" xr:uid="{6865211D-7FD7-43E3-A4B8-9F24A26AA422}"/>
    <cellStyle name="Normal 5 3 3 3 8 3" xfId="14144" xr:uid="{11B2254B-414E-4289-B913-045B953200C1}"/>
    <cellStyle name="Normal 5 3 3 3 9" xfId="8885" xr:uid="{BFA59703-C126-4DE9-A819-9190501D5C5B}"/>
    <cellStyle name="Normal 5 3 3 3 9 2" xfId="18367" xr:uid="{838038F9-905A-439D-892F-B41915DD8025}"/>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25144" xr:uid="{C8977639-9E84-4B19-A08F-BB6152DED49C}"/>
    <cellStyle name="Normal 5 3 3 4 2 2 2 3" xfId="16704" xr:uid="{185C4E7E-A718-4A75-B8DB-7B595DCE6963}"/>
    <cellStyle name="Normal 5 3 3 4 2 2 3" xfId="20927" xr:uid="{49836928-D822-4312-9E8E-C5F5F542A074}"/>
    <cellStyle name="Normal 5 3 3 4 2 2 4" xfId="12487" xr:uid="{C05A9866-A7BD-4BE7-8323-E3388873FBD2}"/>
    <cellStyle name="Normal 5 3 3 4 2 3" xfId="5233" xr:uid="{00000000-0005-0000-0000-0000F2190000}"/>
    <cellStyle name="Normal 5 3 3 4 2 3 2" xfId="22999" xr:uid="{250EE003-70FE-433D-9DBD-427B424D6FE4}"/>
    <cellStyle name="Normal 5 3 3 4 2 3 3" xfId="14559" xr:uid="{9E66F864-8047-41A4-BCE8-DB5916E88203}"/>
    <cellStyle name="Normal 5 3 3 4 2 4" xfId="9414" xr:uid="{BD781A4C-FDA7-4D11-87F3-3D38EC19B37A}"/>
    <cellStyle name="Normal 5 3 3 4 2 4 2" xfId="18782" xr:uid="{E1B871A5-394A-4D4A-9662-7B8536995440}"/>
    <cellStyle name="Normal 5 3 3 4 2 5" xfId="10342" xr:uid="{E6F9010C-8ACF-43F6-A2F1-A3F63817120E}"/>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25557" xr:uid="{3CF4AFB0-AB0B-41C2-AFB5-C1293FF93A92}"/>
    <cellStyle name="Normal 5 3 3 4 3 2 2 3" xfId="17117" xr:uid="{383E475E-52DA-4439-93A9-60026BC517E9}"/>
    <cellStyle name="Normal 5 3 3 4 3 2 3" xfId="21340" xr:uid="{3F765ADF-08F8-4F36-A035-F1109733465B}"/>
    <cellStyle name="Normal 5 3 3 4 3 2 4" xfId="12900" xr:uid="{82D2893D-24FF-48EB-876C-C8ECF284E798}"/>
    <cellStyle name="Normal 5 3 3 4 3 3" xfId="5646" xr:uid="{00000000-0005-0000-0000-0000F6190000}"/>
    <cellStyle name="Normal 5 3 3 4 3 3 2" xfId="23412" xr:uid="{1B6AF98F-6C78-4D83-A364-7D46490BA802}"/>
    <cellStyle name="Normal 5 3 3 4 3 3 3" xfId="14972" xr:uid="{75CBB316-D26B-43D7-B9BE-45E80B979756}"/>
    <cellStyle name="Normal 5 3 3 4 3 4" xfId="19195" xr:uid="{CD2D9CB6-FF64-4049-9C57-A0863AA93251}"/>
    <cellStyle name="Normal 5 3 3 4 3 5" xfId="10755" xr:uid="{72CADA6F-2857-40C7-99C2-B8C3C11C45E3}"/>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25970" xr:uid="{3D843937-469A-4186-B623-F69EA66E36DB}"/>
    <cellStyle name="Normal 5 3 3 4 4 2 2 3" xfId="17530" xr:uid="{A505A65F-0428-4EC9-8C9C-BB6B71DC59DB}"/>
    <cellStyle name="Normal 5 3 3 4 4 2 3" xfId="21753" xr:uid="{9FA90972-084B-4EFB-8061-55AA04CE730E}"/>
    <cellStyle name="Normal 5 3 3 4 4 2 4" xfId="13313" xr:uid="{E5BD603F-E5A3-4EAE-866D-51C3890B3FF5}"/>
    <cellStyle name="Normal 5 3 3 4 4 3" xfId="6059" xr:uid="{00000000-0005-0000-0000-0000FA190000}"/>
    <cellStyle name="Normal 5 3 3 4 4 3 2" xfId="23825" xr:uid="{3267429C-7CBE-4255-BDCC-11FEB28C21C2}"/>
    <cellStyle name="Normal 5 3 3 4 4 3 3" xfId="15385" xr:uid="{97A91F8B-5F3C-4D72-95FD-879F41B99B81}"/>
    <cellStyle name="Normal 5 3 3 4 4 4" xfId="19608" xr:uid="{4E100639-D1D0-4E39-9776-04D7640AE107}"/>
    <cellStyle name="Normal 5 3 3 4 4 5" xfId="11168" xr:uid="{7BFBF1F6-CC91-44A6-BC4E-0AFBA898256F}"/>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26383" xr:uid="{A4A751D8-103F-4940-B5D4-88D0C4F3372D}"/>
    <cellStyle name="Normal 5 3 3 4 5 2 2 3" xfId="17943" xr:uid="{94208C2F-02A6-469D-A8B3-77074E728D05}"/>
    <cellStyle name="Normal 5 3 3 4 5 2 3" xfId="22166" xr:uid="{A51B3484-B7C3-428E-B471-89345BC142A6}"/>
    <cellStyle name="Normal 5 3 3 4 5 2 4" xfId="13726" xr:uid="{2DE82883-5A50-4E4E-A3C8-649515B4D7BE}"/>
    <cellStyle name="Normal 5 3 3 4 5 3" xfId="6472" xr:uid="{00000000-0005-0000-0000-0000FE190000}"/>
    <cellStyle name="Normal 5 3 3 4 5 3 2" xfId="24238" xr:uid="{88DE462B-139E-41C3-8904-9D3FA0184F85}"/>
    <cellStyle name="Normal 5 3 3 4 5 3 3" xfId="15798" xr:uid="{97CE1964-D91C-4B66-A315-953565947E04}"/>
    <cellStyle name="Normal 5 3 3 4 5 4" xfId="20021" xr:uid="{1A656E22-BE7F-4E1F-95F7-4AE38C452447}"/>
    <cellStyle name="Normal 5 3 3 4 5 5" xfId="11581" xr:uid="{50F3908D-8EF0-4A99-A766-EF2AEB22C975}"/>
    <cellStyle name="Normal 5 3 3 4 6" xfId="2602" xr:uid="{00000000-0005-0000-0000-0000FF190000}"/>
    <cellStyle name="Normal 5 3 3 4 6 2" xfId="6885" xr:uid="{00000000-0005-0000-0000-0000001A0000}"/>
    <cellStyle name="Normal 5 3 3 4 6 2 2" xfId="24651" xr:uid="{88CD5D36-F121-4274-9B6B-3BCF582B4140}"/>
    <cellStyle name="Normal 5 3 3 4 6 2 3" xfId="16211" xr:uid="{F06D97F7-3761-4FA8-B1C8-041D51949913}"/>
    <cellStyle name="Normal 5 3 3 4 6 3" xfId="20434" xr:uid="{D081A7FA-75C8-4B27-B429-132E126093DF}"/>
    <cellStyle name="Normal 5 3 3 4 6 4" xfId="11994" xr:uid="{2C30C838-DCDD-4EE6-B6BE-5DED8FE196B6}"/>
    <cellStyle name="Normal 5 3 3 4 7" xfId="4820" xr:uid="{00000000-0005-0000-0000-0000011A0000}"/>
    <cellStyle name="Normal 5 3 3 4 7 2" xfId="22586" xr:uid="{F52E4B88-DFC6-4150-85E0-081D0873A152}"/>
    <cellStyle name="Normal 5 3 3 4 7 3" xfId="14146" xr:uid="{0A7DBEF6-B5A4-48AD-8EC0-C991073B76C4}"/>
    <cellStyle name="Normal 5 3 3 4 8" xfId="8989" xr:uid="{20FA1483-98E6-46C4-B00B-4EAF7957981D}"/>
    <cellStyle name="Normal 5 3 3 4 8 2" xfId="18369" xr:uid="{F47929A6-3C2D-4032-BF0B-ED071102162A}"/>
    <cellStyle name="Normal 5 3 3 4 9" xfId="9929" xr:uid="{70872B0E-CC63-49D5-8CCA-53C91A148001}"/>
    <cellStyle name="Normal 5 3 3 5" xfId="915" xr:uid="{00000000-0005-0000-0000-0000021A0000}"/>
    <cellStyle name="Normal 5 3 3 5 2" xfId="3149" xr:uid="{00000000-0005-0000-0000-0000031A0000}"/>
    <cellStyle name="Normal 5 3 3 5 2 2" xfId="7371" xr:uid="{00000000-0005-0000-0000-0000041A0000}"/>
    <cellStyle name="Normal 5 3 3 5 2 2 2" xfId="25137" xr:uid="{9EA6CA96-9DEC-4FE8-A508-C850C57E1D7C}"/>
    <cellStyle name="Normal 5 3 3 5 2 2 3" xfId="16697" xr:uid="{F050DAC2-7863-431E-BD90-4308B517BF1A}"/>
    <cellStyle name="Normal 5 3 3 5 2 3" xfId="20920" xr:uid="{32B84041-AEF2-446C-BFEE-BDC5D0E106D6}"/>
    <cellStyle name="Normal 5 3 3 5 2 4" xfId="12480" xr:uid="{C38A60B3-7A9C-4076-BF0B-3921D33E39C6}"/>
    <cellStyle name="Normal 5 3 3 5 3" xfId="5226" xr:uid="{00000000-0005-0000-0000-0000051A0000}"/>
    <cellStyle name="Normal 5 3 3 5 3 2" xfId="22992" xr:uid="{39064207-9462-4AC2-ACEE-3C0F148F50F4}"/>
    <cellStyle name="Normal 5 3 3 5 3 3" xfId="14552" xr:uid="{3BAE5516-C157-4D68-AD21-057823348FF7}"/>
    <cellStyle name="Normal 5 3 3 5 4" xfId="9206" xr:uid="{CA749CBB-EAB5-483B-862D-D7B95A23D45C}"/>
    <cellStyle name="Normal 5 3 3 5 4 2" xfId="18775" xr:uid="{5E89BDC9-AB0D-4FE8-A4BD-96EC49904CFD}"/>
    <cellStyle name="Normal 5 3 3 5 5" xfId="10335" xr:uid="{7ACE1501-290E-4AF7-A504-14392188A3B9}"/>
    <cellStyle name="Normal 5 3 3 6" xfId="1332" xr:uid="{00000000-0005-0000-0000-0000061A0000}"/>
    <cellStyle name="Normal 5 3 3 6 2" xfId="3562" xr:uid="{00000000-0005-0000-0000-0000071A0000}"/>
    <cellStyle name="Normal 5 3 3 6 2 2" xfId="7784" xr:uid="{00000000-0005-0000-0000-0000081A0000}"/>
    <cellStyle name="Normal 5 3 3 6 2 2 2" xfId="25550" xr:uid="{968D1B35-7A8F-4651-9D46-7F64ED2251CC}"/>
    <cellStyle name="Normal 5 3 3 6 2 2 3" xfId="17110" xr:uid="{FB07972A-6310-4252-888C-78475826F126}"/>
    <cellStyle name="Normal 5 3 3 6 2 3" xfId="21333" xr:uid="{D03C0E0D-3137-4849-874E-5706BE433A7E}"/>
    <cellStyle name="Normal 5 3 3 6 2 4" xfId="12893" xr:uid="{1B0C5A35-B607-4808-AF42-365252B42AD3}"/>
    <cellStyle name="Normal 5 3 3 6 3" xfId="5639" xr:uid="{00000000-0005-0000-0000-0000091A0000}"/>
    <cellStyle name="Normal 5 3 3 6 3 2" xfId="23405" xr:uid="{172FEEF3-2FC2-46F5-B336-30EE8F8460FE}"/>
    <cellStyle name="Normal 5 3 3 6 3 3" xfId="14965" xr:uid="{EAAD10D5-4D35-46F3-A4B1-2E14E3BB799B}"/>
    <cellStyle name="Normal 5 3 3 6 4" xfId="19188" xr:uid="{F7F72BF0-5638-47D4-BD25-95C8035E9623}"/>
    <cellStyle name="Normal 5 3 3 6 5" xfId="10748" xr:uid="{6CA68EA4-C1B7-44FF-B67D-BA0F1BEBB62E}"/>
    <cellStyle name="Normal 5 3 3 7" xfId="1745" xr:uid="{00000000-0005-0000-0000-00000A1A0000}"/>
    <cellStyle name="Normal 5 3 3 7 2" xfId="3975" xr:uid="{00000000-0005-0000-0000-00000B1A0000}"/>
    <cellStyle name="Normal 5 3 3 7 2 2" xfId="8197" xr:uid="{00000000-0005-0000-0000-00000C1A0000}"/>
    <cellStyle name="Normal 5 3 3 7 2 2 2" xfId="25963" xr:uid="{397DF062-36EE-473A-AD0C-77A763685654}"/>
    <cellStyle name="Normal 5 3 3 7 2 2 3" xfId="17523" xr:uid="{320D41A4-7083-4A07-837E-0B4173881D16}"/>
    <cellStyle name="Normal 5 3 3 7 2 3" xfId="21746" xr:uid="{34C57E95-EF75-44E6-882E-A57025B4B76E}"/>
    <cellStyle name="Normal 5 3 3 7 2 4" xfId="13306" xr:uid="{96A71F59-BEDD-4AE3-B08F-FFD35BDAC604}"/>
    <cellStyle name="Normal 5 3 3 7 3" xfId="6052" xr:uid="{00000000-0005-0000-0000-00000D1A0000}"/>
    <cellStyle name="Normal 5 3 3 7 3 2" xfId="23818" xr:uid="{EFDB4272-8E49-4B2A-B140-0C39290CE424}"/>
    <cellStyle name="Normal 5 3 3 7 3 3" xfId="15378" xr:uid="{0708EFB5-FC8B-479F-8720-82A6929DA365}"/>
    <cellStyle name="Normal 5 3 3 7 4" xfId="19601" xr:uid="{2C665C4C-C7B4-4873-A842-105F6B141C95}"/>
    <cellStyle name="Normal 5 3 3 7 5" xfId="11161" xr:uid="{0C6452E9-E332-4CA9-B006-D7FBB44C8012}"/>
    <cellStyle name="Normal 5 3 3 8" xfId="2159" xr:uid="{00000000-0005-0000-0000-00000E1A0000}"/>
    <cellStyle name="Normal 5 3 3 8 2" xfId="4388" xr:uid="{00000000-0005-0000-0000-00000F1A0000}"/>
    <cellStyle name="Normal 5 3 3 8 2 2" xfId="8610" xr:uid="{00000000-0005-0000-0000-0000101A0000}"/>
    <cellStyle name="Normal 5 3 3 8 2 2 2" xfId="26376" xr:uid="{60A70010-A4A1-4D1F-AC77-46D3025C00D9}"/>
    <cellStyle name="Normal 5 3 3 8 2 2 3" xfId="17936" xr:uid="{41A8A770-F216-4CC9-8A86-22AA077E3062}"/>
    <cellStyle name="Normal 5 3 3 8 2 3" xfId="22159" xr:uid="{486BDC8B-CB61-4C98-8935-E50AC2CC8059}"/>
    <cellStyle name="Normal 5 3 3 8 2 4" xfId="13719" xr:uid="{43A13EA8-CEBF-4E8B-842C-EFF655A96439}"/>
    <cellStyle name="Normal 5 3 3 8 3" xfId="6465" xr:uid="{00000000-0005-0000-0000-0000111A0000}"/>
    <cellStyle name="Normal 5 3 3 8 3 2" xfId="24231" xr:uid="{34CB70D2-5667-483E-B3C9-318ABEC07E26}"/>
    <cellStyle name="Normal 5 3 3 8 3 3" xfId="15791" xr:uid="{22A6391A-10F3-457D-9770-46CBBE55800C}"/>
    <cellStyle name="Normal 5 3 3 8 4" xfId="20014" xr:uid="{F1F54280-905A-475A-A98A-763CF3F6CA13}"/>
    <cellStyle name="Normal 5 3 3 8 5" xfId="11574" xr:uid="{6980719E-3177-4B83-BE0D-5B8E5210B85D}"/>
    <cellStyle name="Normal 5 3 3 9" xfId="2595" xr:uid="{00000000-0005-0000-0000-0000121A0000}"/>
    <cellStyle name="Normal 5 3 3 9 2" xfId="6878" xr:uid="{00000000-0005-0000-0000-0000131A0000}"/>
    <cellStyle name="Normal 5 3 3 9 2 2" xfId="24644" xr:uid="{C02A6D5C-4378-4ADD-B22C-256111D682D6}"/>
    <cellStyle name="Normal 5 3 3 9 2 3" xfId="16204" xr:uid="{1AF7304A-1F1A-4CD5-80F6-BEC7990DB77D}"/>
    <cellStyle name="Normal 5 3 3 9 3" xfId="20427" xr:uid="{8FDCB61C-8700-4C0C-B4A3-65D38BB748C1}"/>
    <cellStyle name="Normal 5 3 3 9 4" xfId="11987" xr:uid="{612356EC-29E1-4C7A-B474-35A02883526B}"/>
    <cellStyle name="Normal 5 3 4" xfId="449" xr:uid="{00000000-0005-0000-0000-0000141A0000}"/>
    <cellStyle name="Normal 5 3 4 10" xfId="8831" xr:uid="{39AD872D-FBC2-4C4A-B537-79F8014E4247}"/>
    <cellStyle name="Normal 5 3 4 10 2" xfId="18370" xr:uid="{76D87EB3-FA87-4442-9BCC-5EA04AC230B0}"/>
    <cellStyle name="Normal 5 3 4 11" xfId="9930" xr:uid="{490A06B1-0307-4581-82ED-DEFF459D6F1F}"/>
    <cellStyle name="Normal 5 3 4 2" xfId="450" xr:uid="{00000000-0005-0000-0000-0000151A0000}"/>
    <cellStyle name="Normal 5 3 4 2 10" xfId="9931" xr:uid="{70595C55-074B-44BD-9398-F796B6E9BFA8}"/>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25147" xr:uid="{6223B1EC-47D6-4E1E-BADD-2311939FED6F}"/>
    <cellStyle name="Normal 5 3 4 2 2 2 2 2 3" xfId="16707" xr:uid="{0CA7C2D9-F552-40C7-966C-1DB7334EFFC3}"/>
    <cellStyle name="Normal 5 3 4 2 2 2 2 3" xfId="20930" xr:uid="{45EEC0E3-71A2-4033-BC28-02F367E2EA24}"/>
    <cellStyle name="Normal 5 3 4 2 2 2 2 4" xfId="12490" xr:uid="{B3B05218-8333-4266-B0DC-F46F32C8087A}"/>
    <cellStyle name="Normal 5 3 4 2 2 2 3" xfId="5236" xr:uid="{00000000-0005-0000-0000-00001A1A0000}"/>
    <cellStyle name="Normal 5 3 4 2 2 2 3 2" xfId="23002" xr:uid="{0853A68D-210D-4EB5-8E71-DFADE813C299}"/>
    <cellStyle name="Normal 5 3 4 2 2 2 3 3" xfId="14562" xr:uid="{E4EC88E7-8484-45E1-949E-E487474DB1A9}"/>
    <cellStyle name="Normal 5 3 4 2 2 2 4" xfId="9566" xr:uid="{D483C248-9680-462F-989C-42C712CD6EB7}"/>
    <cellStyle name="Normal 5 3 4 2 2 2 4 2" xfId="18785" xr:uid="{4D4B7665-9CF4-40A7-8C93-56E407B38985}"/>
    <cellStyle name="Normal 5 3 4 2 2 2 5" xfId="10345" xr:uid="{71EE5176-F8A1-432C-A99E-6FF5FDD6848B}"/>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25560" xr:uid="{FE4A218D-0E48-4255-9D9A-9BECC73B6143}"/>
    <cellStyle name="Normal 5 3 4 2 2 3 2 2 3" xfId="17120" xr:uid="{363A62CA-56E1-4D56-A88F-D0513E643FE7}"/>
    <cellStyle name="Normal 5 3 4 2 2 3 2 3" xfId="21343" xr:uid="{DF242551-468B-42A8-8335-9484CDB4F433}"/>
    <cellStyle name="Normal 5 3 4 2 2 3 2 4" xfId="12903" xr:uid="{E68B0E87-9B53-4E40-B28B-1A8970184F0E}"/>
    <cellStyle name="Normal 5 3 4 2 2 3 3" xfId="5649" xr:uid="{00000000-0005-0000-0000-00001E1A0000}"/>
    <cellStyle name="Normal 5 3 4 2 2 3 3 2" xfId="23415" xr:uid="{5FCBCE39-D0A6-4A54-A4D5-D35A86CD3A6E}"/>
    <cellStyle name="Normal 5 3 4 2 2 3 3 3" xfId="14975" xr:uid="{0E39468C-6779-4E96-BDE3-665918FB7C02}"/>
    <cellStyle name="Normal 5 3 4 2 2 3 4" xfId="19198" xr:uid="{356DB0AE-FDED-4948-A323-482FA040C415}"/>
    <cellStyle name="Normal 5 3 4 2 2 3 5" xfId="10758" xr:uid="{B8765996-3E4C-4DDD-B3A6-FE900EF915CA}"/>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25973" xr:uid="{91CB2FC8-5AE0-4792-BAB7-204FDAB01345}"/>
    <cellStyle name="Normal 5 3 4 2 2 4 2 2 3" xfId="17533" xr:uid="{AA7A3646-E250-4A38-8BCB-45B9881DF9F5}"/>
    <cellStyle name="Normal 5 3 4 2 2 4 2 3" xfId="21756" xr:uid="{34E9F86B-D548-47EC-BBD0-0054970A54E0}"/>
    <cellStyle name="Normal 5 3 4 2 2 4 2 4" xfId="13316" xr:uid="{A5DE254C-4B90-4CCA-8A76-B7F12A288515}"/>
    <cellStyle name="Normal 5 3 4 2 2 4 3" xfId="6062" xr:uid="{00000000-0005-0000-0000-0000221A0000}"/>
    <cellStyle name="Normal 5 3 4 2 2 4 3 2" xfId="23828" xr:uid="{10100D3F-F784-4247-ADE7-A47534F7724B}"/>
    <cellStyle name="Normal 5 3 4 2 2 4 3 3" xfId="15388" xr:uid="{40710764-DEDA-4733-B4A0-40E0CB2F2315}"/>
    <cellStyle name="Normal 5 3 4 2 2 4 4" xfId="19611" xr:uid="{B7754F38-EBE0-4740-B2E1-D4ACD29B44CB}"/>
    <cellStyle name="Normal 5 3 4 2 2 4 5" xfId="11171" xr:uid="{3EA92A47-0A99-4220-89E1-88ED21938667}"/>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26386" xr:uid="{6880BF42-A106-45B3-9FF5-6BA161A5A767}"/>
    <cellStyle name="Normal 5 3 4 2 2 5 2 2 3" xfId="17946" xr:uid="{08F64C83-0561-4ACC-A859-4BABC23C7DC6}"/>
    <cellStyle name="Normal 5 3 4 2 2 5 2 3" xfId="22169" xr:uid="{7A44B4C2-B441-427B-BC30-CCFB5FF04201}"/>
    <cellStyle name="Normal 5 3 4 2 2 5 2 4" xfId="13729" xr:uid="{9670EE2F-E87B-4431-A4A8-51DE53CA9405}"/>
    <cellStyle name="Normal 5 3 4 2 2 5 3" xfId="6475" xr:uid="{00000000-0005-0000-0000-0000261A0000}"/>
    <cellStyle name="Normal 5 3 4 2 2 5 3 2" xfId="24241" xr:uid="{118577D1-AAF8-49D8-AD3C-77EC7D2640D5}"/>
    <cellStyle name="Normal 5 3 4 2 2 5 3 3" xfId="15801" xr:uid="{C224483D-14AD-472B-8F95-264B8895A103}"/>
    <cellStyle name="Normal 5 3 4 2 2 5 4" xfId="20024" xr:uid="{A6D47CC5-AAED-4285-A630-FED964C9AC38}"/>
    <cellStyle name="Normal 5 3 4 2 2 5 5" xfId="11584" xr:uid="{1DE0173F-10DF-436E-A057-486EB7575BAC}"/>
    <cellStyle name="Normal 5 3 4 2 2 6" xfId="2605" xr:uid="{00000000-0005-0000-0000-0000271A0000}"/>
    <cellStyle name="Normal 5 3 4 2 2 6 2" xfId="6888" xr:uid="{00000000-0005-0000-0000-0000281A0000}"/>
    <cellStyle name="Normal 5 3 4 2 2 6 2 2" xfId="24654" xr:uid="{0E5CDC7B-4917-44B8-B1D6-018587A6FCC9}"/>
    <cellStyle name="Normal 5 3 4 2 2 6 2 3" xfId="16214" xr:uid="{2651A0E3-0C29-4446-8D46-1BC9BEAA1DB1}"/>
    <cellStyle name="Normal 5 3 4 2 2 6 3" xfId="20437" xr:uid="{1206A16A-CBF7-4949-8819-6A0E3B9534CB}"/>
    <cellStyle name="Normal 5 3 4 2 2 6 4" xfId="11997" xr:uid="{3594FF4B-B409-48F9-8478-CC7F56B24408}"/>
    <cellStyle name="Normal 5 3 4 2 2 7" xfId="4823" xr:uid="{00000000-0005-0000-0000-0000291A0000}"/>
    <cellStyle name="Normal 5 3 4 2 2 7 2" xfId="22589" xr:uid="{17AA6CED-860B-48A3-8D87-40702D8C3C1E}"/>
    <cellStyle name="Normal 5 3 4 2 2 7 3" xfId="14149" xr:uid="{2723CD96-71CF-499C-A10E-9977CFE1D373}"/>
    <cellStyle name="Normal 5 3 4 2 2 8" xfId="9141" xr:uid="{6B63A6D0-0E60-498B-8E53-451D5144533A}"/>
    <cellStyle name="Normal 5 3 4 2 2 8 2" xfId="18372" xr:uid="{855B2417-A2FC-4A3D-9E47-AC32D8B6CACF}"/>
    <cellStyle name="Normal 5 3 4 2 2 9" xfId="9932" xr:uid="{5EAAD0B7-528A-4C3C-AAEC-42EF22761563}"/>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25146" xr:uid="{5EA42D08-30B8-4F95-8128-641A8B538A18}"/>
    <cellStyle name="Normal 5 3 4 2 3 2 2 3" xfId="16706" xr:uid="{5DA4AE11-4E06-40B2-A0FC-810362C5A07D}"/>
    <cellStyle name="Normal 5 3 4 2 3 2 3" xfId="20929" xr:uid="{60146E40-D38E-4F06-91F2-1397AF32ABB0}"/>
    <cellStyle name="Normal 5 3 4 2 3 2 4" xfId="12489" xr:uid="{BAD11028-9294-4A04-A603-424B8DBA63A0}"/>
    <cellStyle name="Normal 5 3 4 2 3 3" xfId="5235" xr:uid="{00000000-0005-0000-0000-00002D1A0000}"/>
    <cellStyle name="Normal 5 3 4 2 3 3 2" xfId="23001" xr:uid="{7A09A559-7835-4B1A-B8CA-561B2A43CBA9}"/>
    <cellStyle name="Normal 5 3 4 2 3 3 3" xfId="14561" xr:uid="{6D261AD0-98C4-4A7A-AB5C-BBBC7C2B1F78}"/>
    <cellStyle name="Normal 5 3 4 2 3 4" xfId="9359" xr:uid="{FAC41203-2BC4-411F-9296-10781BA4F1AB}"/>
    <cellStyle name="Normal 5 3 4 2 3 4 2" xfId="18784" xr:uid="{896A77E0-36A3-4976-8444-217D6F880F50}"/>
    <cellStyle name="Normal 5 3 4 2 3 5" xfId="10344" xr:uid="{79BCC7EA-6CC8-4239-9635-EC54DE6F2777}"/>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25559" xr:uid="{C10D82B9-2295-4F82-ADF2-6897F36D6BFA}"/>
    <cellStyle name="Normal 5 3 4 2 4 2 2 3" xfId="17119" xr:uid="{ED954DAA-FC53-4293-A024-BDD24321DED6}"/>
    <cellStyle name="Normal 5 3 4 2 4 2 3" xfId="21342" xr:uid="{279721BE-459D-42CF-8CAF-C658731B0619}"/>
    <cellStyle name="Normal 5 3 4 2 4 2 4" xfId="12902" xr:uid="{2765817C-1EFF-4A9B-9549-4FB8E477D0B3}"/>
    <cellStyle name="Normal 5 3 4 2 4 3" xfId="5648" xr:uid="{00000000-0005-0000-0000-0000311A0000}"/>
    <cellStyle name="Normal 5 3 4 2 4 3 2" xfId="23414" xr:uid="{21C35123-F632-40B5-A514-5E972D55F18C}"/>
    <cellStyle name="Normal 5 3 4 2 4 3 3" xfId="14974" xr:uid="{5D86F76F-2EFC-4EAE-B5E8-417601BE5DA3}"/>
    <cellStyle name="Normal 5 3 4 2 4 4" xfId="19197" xr:uid="{9E16C646-28F7-4401-BC0F-8F5C067C492D}"/>
    <cellStyle name="Normal 5 3 4 2 4 5" xfId="10757" xr:uid="{26CEFFF8-A459-4024-B7EA-1EFFB38A5C99}"/>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25972" xr:uid="{7B2FB754-680A-41BD-A743-1E6C744FAA81}"/>
    <cellStyle name="Normal 5 3 4 2 5 2 2 3" xfId="17532" xr:uid="{EE6ABE0A-C176-4201-981A-3EFB2A3A3FAA}"/>
    <cellStyle name="Normal 5 3 4 2 5 2 3" xfId="21755" xr:uid="{AF4A1280-6463-4148-A7B4-7F75FA167AA6}"/>
    <cellStyle name="Normal 5 3 4 2 5 2 4" xfId="13315" xr:uid="{815F69F3-5CDB-4766-A504-51EAB74B66C4}"/>
    <cellStyle name="Normal 5 3 4 2 5 3" xfId="6061" xr:uid="{00000000-0005-0000-0000-0000351A0000}"/>
    <cellStyle name="Normal 5 3 4 2 5 3 2" xfId="23827" xr:uid="{C4E8E227-463F-42CF-BD17-32EC4EA76AA5}"/>
    <cellStyle name="Normal 5 3 4 2 5 3 3" xfId="15387" xr:uid="{D6993D7A-B60B-40BD-8601-E69DE342ED1B}"/>
    <cellStyle name="Normal 5 3 4 2 5 4" xfId="19610" xr:uid="{572259AF-2EF6-402A-AB3C-1538F73747DC}"/>
    <cellStyle name="Normal 5 3 4 2 5 5" xfId="11170" xr:uid="{9E583D85-F51D-4923-A10D-A76FDF611782}"/>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26385" xr:uid="{DBDE8D61-3B47-46DE-B7E4-822851870732}"/>
    <cellStyle name="Normal 5 3 4 2 6 2 2 3" xfId="17945" xr:uid="{74397897-7084-40CE-B31E-A68655B692D8}"/>
    <cellStyle name="Normal 5 3 4 2 6 2 3" xfId="22168" xr:uid="{9A714466-7C83-442B-99F5-59CB85A22A85}"/>
    <cellStyle name="Normal 5 3 4 2 6 2 4" xfId="13728" xr:uid="{90AB3869-1431-4014-B692-E3714CF17B98}"/>
    <cellStyle name="Normal 5 3 4 2 6 3" xfId="6474" xr:uid="{00000000-0005-0000-0000-0000391A0000}"/>
    <cellStyle name="Normal 5 3 4 2 6 3 2" xfId="24240" xr:uid="{512F2FA1-5BF4-4966-B161-57725A37E42B}"/>
    <cellStyle name="Normal 5 3 4 2 6 3 3" xfId="15800" xr:uid="{D8CF5793-E08C-4D6A-B50D-599CC388630E}"/>
    <cellStyle name="Normal 5 3 4 2 6 4" xfId="20023" xr:uid="{F67F88B1-CE67-4090-B934-0A84A9DEA981}"/>
    <cellStyle name="Normal 5 3 4 2 6 5" xfId="11583" xr:uid="{5325FAE7-0C6C-4805-A5AB-07E091342EAB}"/>
    <cellStyle name="Normal 5 3 4 2 7" xfId="2604" xr:uid="{00000000-0005-0000-0000-00003A1A0000}"/>
    <cellStyle name="Normal 5 3 4 2 7 2" xfId="6887" xr:uid="{00000000-0005-0000-0000-00003B1A0000}"/>
    <cellStyle name="Normal 5 3 4 2 7 2 2" xfId="24653" xr:uid="{62C48BA1-E4E2-4C7C-A066-3F035E6B1223}"/>
    <cellStyle name="Normal 5 3 4 2 7 2 3" xfId="16213" xr:uid="{1B03F30F-15B6-4154-B4EE-2016216EED46}"/>
    <cellStyle name="Normal 5 3 4 2 7 3" xfId="20436" xr:uid="{CAAF1D65-7751-4909-A297-C85D81808960}"/>
    <cellStyle name="Normal 5 3 4 2 7 4" xfId="11996" xr:uid="{BFC20541-4C79-4CD4-8BED-6C65B7925D03}"/>
    <cellStyle name="Normal 5 3 4 2 8" xfId="4822" xr:uid="{00000000-0005-0000-0000-00003C1A0000}"/>
    <cellStyle name="Normal 5 3 4 2 8 2" xfId="22588" xr:uid="{6F33F210-4D6C-478A-9661-14E307736575}"/>
    <cellStyle name="Normal 5 3 4 2 8 3" xfId="14148" xr:uid="{8F41AE69-B7AD-4106-9DBC-E1ECE40BF845}"/>
    <cellStyle name="Normal 5 3 4 2 9" xfId="8934" xr:uid="{D16D0DF9-4576-4200-8972-8AAD50545E0D}"/>
    <cellStyle name="Normal 5 3 4 2 9 2" xfId="18371" xr:uid="{58C649F8-C365-46EA-8454-B4D6A431FBBB}"/>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25148" xr:uid="{66526B31-BDD8-4CD0-8CE1-1358548D51B8}"/>
    <cellStyle name="Normal 5 3 4 3 2 2 2 3" xfId="16708" xr:uid="{669A6ABE-6FF1-418F-82F3-6A29E7225F72}"/>
    <cellStyle name="Normal 5 3 4 3 2 2 3" xfId="20931" xr:uid="{0D4D1A2B-B3E3-4781-BD55-ED0908651330}"/>
    <cellStyle name="Normal 5 3 4 3 2 2 4" xfId="12491" xr:uid="{484B0A1B-E11C-4689-88BD-A8EA14DA7A16}"/>
    <cellStyle name="Normal 5 3 4 3 2 3" xfId="5237" xr:uid="{00000000-0005-0000-0000-0000411A0000}"/>
    <cellStyle name="Normal 5 3 4 3 2 3 2" xfId="23003" xr:uid="{31D5597C-D77B-4A57-9668-04B9E1DDEE4D}"/>
    <cellStyle name="Normal 5 3 4 3 2 3 3" xfId="14563" xr:uid="{63E98372-0150-4ABA-86E9-3B1A957E1DF1}"/>
    <cellStyle name="Normal 5 3 4 3 2 4" xfId="9463" xr:uid="{1CC38E89-013B-404F-9F3E-11BABC37F656}"/>
    <cellStyle name="Normal 5 3 4 3 2 4 2" xfId="18786" xr:uid="{C08D4E5D-90C1-4C71-B4EF-33D63A7D1A24}"/>
    <cellStyle name="Normal 5 3 4 3 2 5" xfId="10346" xr:uid="{8B45240D-7ACC-4CB5-B115-9FED98F753F5}"/>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25561" xr:uid="{838B363E-64B2-4EB6-AE31-D0B0A5D71487}"/>
    <cellStyle name="Normal 5 3 4 3 3 2 2 3" xfId="17121" xr:uid="{11C7CBAD-8156-47CB-8186-9F3BE689072F}"/>
    <cellStyle name="Normal 5 3 4 3 3 2 3" xfId="21344" xr:uid="{1D4A3B72-1E7F-4C4F-A8C4-A510A8DD8B76}"/>
    <cellStyle name="Normal 5 3 4 3 3 2 4" xfId="12904" xr:uid="{78BC48FF-AFF5-4E8D-A120-5AA46C1B38CB}"/>
    <cellStyle name="Normal 5 3 4 3 3 3" xfId="5650" xr:uid="{00000000-0005-0000-0000-0000451A0000}"/>
    <cellStyle name="Normal 5 3 4 3 3 3 2" xfId="23416" xr:uid="{06426276-F93E-4A1C-BAB8-9CDBA395C514}"/>
    <cellStyle name="Normal 5 3 4 3 3 3 3" xfId="14976" xr:uid="{6E30ADD1-E735-4373-885F-03253324107F}"/>
    <cellStyle name="Normal 5 3 4 3 3 4" xfId="19199" xr:uid="{574CCF0C-1464-4F92-8500-9AAC3815CA8B}"/>
    <cellStyle name="Normal 5 3 4 3 3 5" xfId="10759" xr:uid="{D657AB65-0045-4E2C-A216-88610A2FCB2E}"/>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25974" xr:uid="{3ADAE8CF-ADD9-45DD-8CD2-835F108EC0C4}"/>
    <cellStyle name="Normal 5 3 4 3 4 2 2 3" xfId="17534" xr:uid="{0CC644B0-4376-4196-BE1D-EBD79885109A}"/>
    <cellStyle name="Normal 5 3 4 3 4 2 3" xfId="21757" xr:uid="{D4D9886D-AB78-48EC-BB95-AE382EF2DFBC}"/>
    <cellStyle name="Normal 5 3 4 3 4 2 4" xfId="13317" xr:uid="{0E4D9AB6-1EB8-42FC-8C1F-0BB33A01C6FC}"/>
    <cellStyle name="Normal 5 3 4 3 4 3" xfId="6063" xr:uid="{00000000-0005-0000-0000-0000491A0000}"/>
    <cellStyle name="Normal 5 3 4 3 4 3 2" xfId="23829" xr:uid="{E6C27B69-CBF6-4132-8E14-75F06C8E2221}"/>
    <cellStyle name="Normal 5 3 4 3 4 3 3" xfId="15389" xr:uid="{40289276-50C0-45CC-87A1-E2F34CAC5897}"/>
    <cellStyle name="Normal 5 3 4 3 4 4" xfId="19612" xr:uid="{68E65068-3EAC-47A4-9849-F7339F5426D5}"/>
    <cellStyle name="Normal 5 3 4 3 4 5" xfId="11172" xr:uid="{1E4FD1BB-72B2-40B6-A05D-8B87CB389CCF}"/>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26387" xr:uid="{AC455228-8767-428D-97C7-9786EFC531F3}"/>
    <cellStyle name="Normal 5 3 4 3 5 2 2 3" xfId="17947" xr:uid="{7560C115-8624-44DE-9E76-19E65EDD5218}"/>
    <cellStyle name="Normal 5 3 4 3 5 2 3" xfId="22170" xr:uid="{4513704E-8657-4296-A7D2-FC7B3E26C615}"/>
    <cellStyle name="Normal 5 3 4 3 5 2 4" xfId="13730" xr:uid="{5A0E7549-DA76-4EF5-A1D2-31596699F776}"/>
    <cellStyle name="Normal 5 3 4 3 5 3" xfId="6476" xr:uid="{00000000-0005-0000-0000-00004D1A0000}"/>
    <cellStyle name="Normal 5 3 4 3 5 3 2" xfId="24242" xr:uid="{DAF9473A-CDE0-44C1-9390-A6A187ACC9A7}"/>
    <cellStyle name="Normal 5 3 4 3 5 3 3" xfId="15802" xr:uid="{AFDB3AF9-29ED-4BB4-B625-F8F69A30A6BD}"/>
    <cellStyle name="Normal 5 3 4 3 5 4" xfId="20025" xr:uid="{4DE7D852-FFD1-48CB-8811-AF7857411C0E}"/>
    <cellStyle name="Normal 5 3 4 3 5 5" xfId="11585" xr:uid="{1FE6B88C-BEE1-493D-892E-C4077B963B0E}"/>
    <cellStyle name="Normal 5 3 4 3 6" xfId="2606" xr:uid="{00000000-0005-0000-0000-00004E1A0000}"/>
    <cellStyle name="Normal 5 3 4 3 6 2" xfId="6889" xr:uid="{00000000-0005-0000-0000-00004F1A0000}"/>
    <cellStyle name="Normal 5 3 4 3 6 2 2" xfId="24655" xr:uid="{00C55B43-D147-45EF-88E1-600CBDB900E1}"/>
    <cellStyle name="Normal 5 3 4 3 6 2 3" xfId="16215" xr:uid="{A7A1AF91-536F-451E-A86D-6EDDFB28432D}"/>
    <cellStyle name="Normal 5 3 4 3 6 3" xfId="20438" xr:uid="{CBCD1BE4-EE8A-41ED-A758-CD9E350E637A}"/>
    <cellStyle name="Normal 5 3 4 3 6 4" xfId="11998" xr:uid="{F7A9277B-F675-4171-B307-47991273BAA3}"/>
    <cellStyle name="Normal 5 3 4 3 7" xfId="4824" xr:uid="{00000000-0005-0000-0000-0000501A0000}"/>
    <cellStyle name="Normal 5 3 4 3 7 2" xfId="22590" xr:uid="{B9A7FC79-753A-4618-BE8B-6EF6EB1397A9}"/>
    <cellStyle name="Normal 5 3 4 3 7 3" xfId="14150" xr:uid="{CF8D8F5D-599C-429F-9BA8-66AD5294FFDB}"/>
    <cellStyle name="Normal 5 3 4 3 8" xfId="9038" xr:uid="{15024032-E3C2-4FDD-B674-481D39A836C5}"/>
    <cellStyle name="Normal 5 3 4 3 8 2" xfId="18373" xr:uid="{1446E47E-BB8D-46C9-A7A5-23DD3BDD9A93}"/>
    <cellStyle name="Normal 5 3 4 3 9" xfId="9933" xr:uid="{B6E09949-5C2F-4A49-90C5-2375817203EA}"/>
    <cellStyle name="Normal 5 3 4 4" xfId="923" xr:uid="{00000000-0005-0000-0000-0000511A0000}"/>
    <cellStyle name="Normal 5 3 4 4 2" xfId="3157" xr:uid="{00000000-0005-0000-0000-0000521A0000}"/>
    <cellStyle name="Normal 5 3 4 4 2 2" xfId="7379" xr:uid="{00000000-0005-0000-0000-0000531A0000}"/>
    <cellStyle name="Normal 5 3 4 4 2 2 2" xfId="25145" xr:uid="{D9E754EC-50BB-4EFD-951A-D7F166BCAE03}"/>
    <cellStyle name="Normal 5 3 4 4 2 2 3" xfId="16705" xr:uid="{71D6CE2A-1144-4E0B-840A-DBA901A2EF24}"/>
    <cellStyle name="Normal 5 3 4 4 2 3" xfId="20928" xr:uid="{0480A270-6C77-430A-8BAF-1074EDA94E55}"/>
    <cellStyle name="Normal 5 3 4 4 2 4" xfId="12488" xr:uid="{648D3856-9A2A-4F48-9B4A-DD35A83CE5AF}"/>
    <cellStyle name="Normal 5 3 4 4 3" xfId="5234" xr:uid="{00000000-0005-0000-0000-0000541A0000}"/>
    <cellStyle name="Normal 5 3 4 4 3 2" xfId="23000" xr:uid="{A4274AD9-0ED2-4DE1-85EE-B54090D67323}"/>
    <cellStyle name="Normal 5 3 4 4 3 3" xfId="14560" xr:uid="{05E3436B-6D99-4FAA-83B1-DE91930C221D}"/>
    <cellStyle name="Normal 5 3 4 4 4" xfId="9256" xr:uid="{69A14F57-2B46-4294-8CA5-E21858516C25}"/>
    <cellStyle name="Normal 5 3 4 4 4 2" xfId="18783" xr:uid="{20B537FE-57D0-4FFA-8A85-4D5C7A1D060A}"/>
    <cellStyle name="Normal 5 3 4 4 5" xfId="10343" xr:uid="{FAF89608-4048-4C95-8312-3F90C5974669}"/>
    <cellStyle name="Normal 5 3 4 5" xfId="1340" xr:uid="{00000000-0005-0000-0000-0000551A0000}"/>
    <cellStyle name="Normal 5 3 4 5 2" xfId="3570" xr:uid="{00000000-0005-0000-0000-0000561A0000}"/>
    <cellStyle name="Normal 5 3 4 5 2 2" xfId="7792" xr:uid="{00000000-0005-0000-0000-0000571A0000}"/>
    <cellStyle name="Normal 5 3 4 5 2 2 2" xfId="25558" xr:uid="{5F5E9AC2-F82A-463D-9742-19CB35359AED}"/>
    <cellStyle name="Normal 5 3 4 5 2 2 3" xfId="17118" xr:uid="{3B5EC258-056C-44FB-A6E6-DAC780D5FECD}"/>
    <cellStyle name="Normal 5 3 4 5 2 3" xfId="21341" xr:uid="{F3D7F433-14C2-4BF0-A469-31982DF1C819}"/>
    <cellStyle name="Normal 5 3 4 5 2 4" xfId="12901" xr:uid="{4430801E-4039-4E95-B013-8A9F0D1DF309}"/>
    <cellStyle name="Normal 5 3 4 5 3" xfId="5647" xr:uid="{00000000-0005-0000-0000-0000581A0000}"/>
    <cellStyle name="Normal 5 3 4 5 3 2" xfId="23413" xr:uid="{995B42BB-31F0-4F2B-B322-7ECDB6AEDFD4}"/>
    <cellStyle name="Normal 5 3 4 5 3 3" xfId="14973" xr:uid="{6C916074-8B9E-4EDB-82C5-28330687087B}"/>
    <cellStyle name="Normal 5 3 4 5 4" xfId="19196" xr:uid="{1099463C-9B11-4F91-A2F9-C1AC1BBF7C57}"/>
    <cellStyle name="Normal 5 3 4 5 5" xfId="10756" xr:uid="{04CA62A5-921B-45A0-8118-301016F0047E}"/>
    <cellStyle name="Normal 5 3 4 6" xfId="1753" xr:uid="{00000000-0005-0000-0000-0000591A0000}"/>
    <cellStyle name="Normal 5 3 4 6 2" xfId="3983" xr:uid="{00000000-0005-0000-0000-00005A1A0000}"/>
    <cellStyle name="Normal 5 3 4 6 2 2" xfId="8205" xr:uid="{00000000-0005-0000-0000-00005B1A0000}"/>
    <cellStyle name="Normal 5 3 4 6 2 2 2" xfId="25971" xr:uid="{97CF955E-C417-4094-A5F2-A8CB3054CA3B}"/>
    <cellStyle name="Normal 5 3 4 6 2 2 3" xfId="17531" xr:uid="{DD364707-6944-493A-AD0B-8C7DEFB0A8A2}"/>
    <cellStyle name="Normal 5 3 4 6 2 3" xfId="21754" xr:uid="{7FEE01F7-1A39-48B1-B2CC-ADD5DC6032E3}"/>
    <cellStyle name="Normal 5 3 4 6 2 4" xfId="13314" xr:uid="{60E485B6-FB2A-447C-9160-684976A107E3}"/>
    <cellStyle name="Normal 5 3 4 6 3" xfId="6060" xr:uid="{00000000-0005-0000-0000-00005C1A0000}"/>
    <cellStyle name="Normal 5 3 4 6 3 2" xfId="23826" xr:uid="{92281CF2-F9AC-498B-9A97-A537B775E4A4}"/>
    <cellStyle name="Normal 5 3 4 6 3 3" xfId="15386" xr:uid="{1406AA56-EB37-4675-AAC4-1F214E96C192}"/>
    <cellStyle name="Normal 5 3 4 6 4" xfId="19609" xr:uid="{C5624BF6-CA14-4E81-95F8-2F49E47CBB11}"/>
    <cellStyle name="Normal 5 3 4 6 5" xfId="11169" xr:uid="{756AFACB-A548-4ABC-9726-2C2EDAFCE35C}"/>
    <cellStyle name="Normal 5 3 4 7" xfId="2167" xr:uid="{00000000-0005-0000-0000-00005D1A0000}"/>
    <cellStyle name="Normal 5 3 4 7 2" xfId="4396" xr:uid="{00000000-0005-0000-0000-00005E1A0000}"/>
    <cellStyle name="Normal 5 3 4 7 2 2" xfId="8618" xr:uid="{00000000-0005-0000-0000-00005F1A0000}"/>
    <cellStyle name="Normal 5 3 4 7 2 2 2" xfId="26384" xr:uid="{D6CE6E5D-FAC3-4BDB-96F2-07372B1DA9CB}"/>
    <cellStyle name="Normal 5 3 4 7 2 2 3" xfId="17944" xr:uid="{78197AD0-F2ED-4441-96AB-D405486A2AB2}"/>
    <cellStyle name="Normal 5 3 4 7 2 3" xfId="22167" xr:uid="{1778F2B3-F8B4-497B-B296-CB00E21F1753}"/>
    <cellStyle name="Normal 5 3 4 7 2 4" xfId="13727" xr:uid="{EB4429D2-3A91-4ECF-901E-F00A69347E7E}"/>
    <cellStyle name="Normal 5 3 4 7 3" xfId="6473" xr:uid="{00000000-0005-0000-0000-0000601A0000}"/>
    <cellStyle name="Normal 5 3 4 7 3 2" xfId="24239" xr:uid="{D91E2528-28B4-479F-8530-F3464B6BBA66}"/>
    <cellStyle name="Normal 5 3 4 7 3 3" xfId="15799" xr:uid="{FF5A57EC-C93F-4D9F-9DE1-C0B713E82ECE}"/>
    <cellStyle name="Normal 5 3 4 7 4" xfId="20022" xr:uid="{44364359-0CD7-468D-ADA3-D26081DA72D5}"/>
    <cellStyle name="Normal 5 3 4 7 5" xfId="11582" xr:uid="{954D89B8-B3E6-47D0-9E59-275760DE1143}"/>
    <cellStyle name="Normal 5 3 4 8" xfId="2603" xr:uid="{00000000-0005-0000-0000-0000611A0000}"/>
    <cellStyle name="Normal 5 3 4 8 2" xfId="6886" xr:uid="{00000000-0005-0000-0000-0000621A0000}"/>
    <cellStyle name="Normal 5 3 4 8 2 2" xfId="24652" xr:uid="{2C08459D-5880-4DE6-9D78-D4FDA3337504}"/>
    <cellStyle name="Normal 5 3 4 8 2 3" xfId="16212" xr:uid="{2EBB599B-D7C1-41DD-BC3F-1DD36D21BCF4}"/>
    <cellStyle name="Normal 5 3 4 8 3" xfId="20435" xr:uid="{74D1E50A-7235-498E-847F-715A60DB4D08}"/>
    <cellStyle name="Normal 5 3 4 8 4" xfId="11995" xr:uid="{F79013BC-2AC4-4E2F-82F8-3554FC485218}"/>
    <cellStyle name="Normal 5 3 4 9" xfId="4821" xr:uid="{00000000-0005-0000-0000-0000631A0000}"/>
    <cellStyle name="Normal 5 3 4 9 2" xfId="22587" xr:uid="{A616B021-8AFA-4694-AE57-8AD1A25E8100}"/>
    <cellStyle name="Normal 5 3 4 9 3" xfId="14147" xr:uid="{237DF42F-4579-4122-8893-5B84359E879F}"/>
    <cellStyle name="Normal 5 3 5" xfId="453" xr:uid="{00000000-0005-0000-0000-0000641A0000}"/>
    <cellStyle name="Normal 5 3 5 10" xfId="9934" xr:uid="{80203C68-110B-49D2-B623-BBA862C1CFE8}"/>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25150" xr:uid="{E6D90048-8820-453B-B93E-FB3D554F67EA}"/>
    <cellStyle name="Normal 5 3 5 2 2 2 2 3" xfId="16710" xr:uid="{3E677451-55BC-4790-A203-02A97D61A576}"/>
    <cellStyle name="Normal 5 3 5 2 2 2 3" xfId="20933" xr:uid="{4AA20167-9C0C-49BC-8D99-31C304AEB564}"/>
    <cellStyle name="Normal 5 3 5 2 2 2 4" xfId="12493" xr:uid="{8072B9EF-2E5C-409E-8249-286FCEF17871}"/>
    <cellStyle name="Normal 5 3 5 2 2 3" xfId="5239" xr:uid="{00000000-0005-0000-0000-0000691A0000}"/>
    <cellStyle name="Normal 5 3 5 2 2 3 2" xfId="23005" xr:uid="{195D57EF-9405-4431-A8E7-DCF4808E17D5}"/>
    <cellStyle name="Normal 5 3 5 2 2 3 3" xfId="14565" xr:uid="{A5E80058-9E53-4E98-9CBF-1FAE122631CF}"/>
    <cellStyle name="Normal 5 3 5 2 2 4" xfId="9485" xr:uid="{E88A0512-4544-44F7-B02F-696DEB177F8E}"/>
    <cellStyle name="Normal 5 3 5 2 2 4 2" xfId="18788" xr:uid="{1D138D49-C4A1-4833-92DB-B7AB6AD50CD1}"/>
    <cellStyle name="Normal 5 3 5 2 2 5" xfId="10348" xr:uid="{F7F188E7-D636-4ECF-AED2-AEB37E1E0026}"/>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25563" xr:uid="{8709C329-9A45-4C15-85BE-5A3D10A661ED}"/>
    <cellStyle name="Normal 5 3 5 2 3 2 2 3" xfId="17123" xr:uid="{2DDC55B8-B5F8-4188-A8A6-746EDBCD3483}"/>
    <cellStyle name="Normal 5 3 5 2 3 2 3" xfId="21346" xr:uid="{0755EB30-E8A4-4C0B-B508-46BD8A81E5B4}"/>
    <cellStyle name="Normal 5 3 5 2 3 2 4" xfId="12906" xr:uid="{BA080111-F763-459F-86ED-A19A43977D6D}"/>
    <cellStyle name="Normal 5 3 5 2 3 3" xfId="5652" xr:uid="{00000000-0005-0000-0000-00006D1A0000}"/>
    <cellStyle name="Normal 5 3 5 2 3 3 2" xfId="23418" xr:uid="{371B3F58-65BB-4587-9EE8-73EA4476AFB4}"/>
    <cellStyle name="Normal 5 3 5 2 3 3 3" xfId="14978" xr:uid="{30C9F289-1B04-4B73-95D1-FF059D5BD74F}"/>
    <cellStyle name="Normal 5 3 5 2 3 4" xfId="19201" xr:uid="{20013177-1EFA-4339-A89A-EE5416DB1BFE}"/>
    <cellStyle name="Normal 5 3 5 2 3 5" xfId="10761" xr:uid="{20EC33AA-EB17-4269-8F20-4AF24F7F67E2}"/>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25976" xr:uid="{B518F91D-F198-4B80-8575-E0D8C80FB135}"/>
    <cellStyle name="Normal 5 3 5 2 4 2 2 3" xfId="17536" xr:uid="{72548366-01CF-4EF1-AFA0-C9E37A85538E}"/>
    <cellStyle name="Normal 5 3 5 2 4 2 3" xfId="21759" xr:uid="{066E3B51-0BF0-467A-9959-50BBC16BA839}"/>
    <cellStyle name="Normal 5 3 5 2 4 2 4" xfId="13319" xr:uid="{9EAD5FB2-FC66-4A1C-8D47-F1DAD3FBDD7F}"/>
    <cellStyle name="Normal 5 3 5 2 4 3" xfId="6065" xr:uid="{00000000-0005-0000-0000-0000711A0000}"/>
    <cellStyle name="Normal 5 3 5 2 4 3 2" xfId="23831" xr:uid="{D4834BE7-6C27-45BA-A6AA-0E86CDBD197B}"/>
    <cellStyle name="Normal 5 3 5 2 4 3 3" xfId="15391" xr:uid="{02A4075F-0FE3-4EBB-B4AD-4A7B86EE61B5}"/>
    <cellStyle name="Normal 5 3 5 2 4 4" xfId="19614" xr:uid="{903F8504-7B92-4D7B-9A87-3FFFCB9294B9}"/>
    <cellStyle name="Normal 5 3 5 2 4 5" xfId="11174" xr:uid="{B00E058E-C228-490A-A4BC-8BD780C9D5F9}"/>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26389" xr:uid="{B96E1F50-924D-4409-983B-0CA137975B77}"/>
    <cellStyle name="Normal 5 3 5 2 5 2 2 3" xfId="17949" xr:uid="{3A22644B-373F-4A76-8C9D-A89A84CF5584}"/>
    <cellStyle name="Normal 5 3 5 2 5 2 3" xfId="22172" xr:uid="{914E07AA-F9DD-4254-A7AE-9E2332F08124}"/>
    <cellStyle name="Normal 5 3 5 2 5 2 4" xfId="13732" xr:uid="{801C1821-381D-4054-A1D6-19B8BCA6A710}"/>
    <cellStyle name="Normal 5 3 5 2 5 3" xfId="6478" xr:uid="{00000000-0005-0000-0000-0000751A0000}"/>
    <cellStyle name="Normal 5 3 5 2 5 3 2" xfId="24244" xr:uid="{5897D048-462B-4063-B704-2FD7F561D79D}"/>
    <cellStyle name="Normal 5 3 5 2 5 3 3" xfId="15804" xr:uid="{64FC7534-62BA-4091-A7D9-73A54BD34557}"/>
    <cellStyle name="Normal 5 3 5 2 5 4" xfId="20027" xr:uid="{92E287DE-9DBC-4B98-BACD-F409C7D3DB14}"/>
    <cellStyle name="Normal 5 3 5 2 5 5" xfId="11587" xr:uid="{71A1A1D6-B111-423C-A888-D1C9D7E4D82E}"/>
    <cellStyle name="Normal 5 3 5 2 6" xfId="2608" xr:uid="{00000000-0005-0000-0000-0000761A0000}"/>
    <cellStyle name="Normal 5 3 5 2 6 2" xfId="6891" xr:uid="{00000000-0005-0000-0000-0000771A0000}"/>
    <cellStyle name="Normal 5 3 5 2 6 2 2" xfId="24657" xr:uid="{9041D406-5087-4950-A2ED-2D18CCA36413}"/>
    <cellStyle name="Normal 5 3 5 2 6 2 3" xfId="16217" xr:uid="{7A0CCBF2-E3AA-47DB-92DB-DC7FA1571F5A}"/>
    <cellStyle name="Normal 5 3 5 2 6 3" xfId="20440" xr:uid="{A079AFAC-CAB3-43A5-A017-3D0397DFC3AF}"/>
    <cellStyle name="Normal 5 3 5 2 6 4" xfId="12000" xr:uid="{D1C9A851-6002-4B60-9F2C-CE1F5441AE77}"/>
    <cellStyle name="Normal 5 3 5 2 7" xfId="4826" xr:uid="{00000000-0005-0000-0000-0000781A0000}"/>
    <cellStyle name="Normal 5 3 5 2 7 2" xfId="22592" xr:uid="{058B0B4A-F2DD-47E1-9CC7-D20C8D72ECDC}"/>
    <cellStyle name="Normal 5 3 5 2 7 3" xfId="14152" xr:uid="{1460AF74-0263-4429-81B5-7DFFEE07095E}"/>
    <cellStyle name="Normal 5 3 5 2 8" xfId="9060" xr:uid="{D76124DC-5753-46E4-97E7-1D76E6E20EEE}"/>
    <cellStyle name="Normal 5 3 5 2 8 2" xfId="18375" xr:uid="{D5D53F40-B713-4DFE-83B1-CCD428AF4549}"/>
    <cellStyle name="Normal 5 3 5 2 9" xfId="9935" xr:uid="{4BFEA307-AEEE-4273-B581-C8D2AE3FEABC}"/>
    <cellStyle name="Normal 5 3 5 3" xfId="927" xr:uid="{00000000-0005-0000-0000-0000791A0000}"/>
    <cellStyle name="Normal 5 3 5 3 2" xfId="3161" xr:uid="{00000000-0005-0000-0000-00007A1A0000}"/>
    <cellStyle name="Normal 5 3 5 3 2 2" xfId="7383" xr:uid="{00000000-0005-0000-0000-00007B1A0000}"/>
    <cellStyle name="Normal 5 3 5 3 2 2 2" xfId="25149" xr:uid="{17DB7E00-21AB-49D7-BB73-014E2F59F4F5}"/>
    <cellStyle name="Normal 5 3 5 3 2 2 3" xfId="16709" xr:uid="{8552B7F0-3AFE-460D-9410-330A82CABE59}"/>
    <cellStyle name="Normal 5 3 5 3 2 3" xfId="20932" xr:uid="{AAA35597-7073-474C-BCA8-D3CBB185C4B7}"/>
    <cellStyle name="Normal 5 3 5 3 2 4" xfId="12492" xr:uid="{D04CC97E-4E1B-4EC9-9D3A-8FC66C97C7BE}"/>
    <cellStyle name="Normal 5 3 5 3 3" xfId="5238" xr:uid="{00000000-0005-0000-0000-00007C1A0000}"/>
    <cellStyle name="Normal 5 3 5 3 3 2" xfId="23004" xr:uid="{FCC9B9C6-3DEF-4EDA-A198-05096EC31D6F}"/>
    <cellStyle name="Normal 5 3 5 3 3 3" xfId="14564" xr:uid="{CBD1462A-2236-4728-9B83-820DA8802E98}"/>
    <cellStyle name="Normal 5 3 5 3 4" xfId="9278" xr:uid="{6197750A-97CA-41EF-A67C-63E25EE58E9E}"/>
    <cellStyle name="Normal 5 3 5 3 4 2" xfId="18787" xr:uid="{9551E874-7F71-4E24-8515-F86830ADB9F7}"/>
    <cellStyle name="Normal 5 3 5 3 5" xfId="10347" xr:uid="{338FBB23-8823-4989-BF7B-B20E35996486}"/>
    <cellStyle name="Normal 5 3 5 4" xfId="1344" xr:uid="{00000000-0005-0000-0000-00007D1A0000}"/>
    <cellStyle name="Normal 5 3 5 4 2" xfId="3574" xr:uid="{00000000-0005-0000-0000-00007E1A0000}"/>
    <cellStyle name="Normal 5 3 5 4 2 2" xfId="7796" xr:uid="{00000000-0005-0000-0000-00007F1A0000}"/>
    <cellStyle name="Normal 5 3 5 4 2 2 2" xfId="25562" xr:uid="{C55C75FF-36E2-4D1A-A789-08C4AB069FB6}"/>
    <cellStyle name="Normal 5 3 5 4 2 2 3" xfId="17122" xr:uid="{EACF7638-B4C8-4F01-9D46-7CD5A06DF261}"/>
    <cellStyle name="Normal 5 3 5 4 2 3" xfId="21345" xr:uid="{EE182597-A52F-447E-93C9-91477B6841AA}"/>
    <cellStyle name="Normal 5 3 5 4 2 4" xfId="12905" xr:uid="{C8BAAE10-30FA-428B-8124-EA9376DB06F3}"/>
    <cellStyle name="Normal 5 3 5 4 3" xfId="5651" xr:uid="{00000000-0005-0000-0000-0000801A0000}"/>
    <cellStyle name="Normal 5 3 5 4 3 2" xfId="23417" xr:uid="{BADC85A8-FC98-449A-8D08-24D384E35925}"/>
    <cellStyle name="Normal 5 3 5 4 3 3" xfId="14977" xr:uid="{5A0B0B76-C01F-4C05-8B1C-EF8D55A19578}"/>
    <cellStyle name="Normal 5 3 5 4 4" xfId="19200" xr:uid="{0C6F0425-229B-4F09-9E69-5D044FA347F3}"/>
    <cellStyle name="Normal 5 3 5 4 5" xfId="10760" xr:uid="{C4673B24-E748-46BF-A364-CDD68374947C}"/>
    <cellStyle name="Normal 5 3 5 5" xfId="1757" xr:uid="{00000000-0005-0000-0000-0000811A0000}"/>
    <cellStyle name="Normal 5 3 5 5 2" xfId="3987" xr:uid="{00000000-0005-0000-0000-0000821A0000}"/>
    <cellStyle name="Normal 5 3 5 5 2 2" xfId="8209" xr:uid="{00000000-0005-0000-0000-0000831A0000}"/>
    <cellStyle name="Normal 5 3 5 5 2 2 2" xfId="25975" xr:uid="{B9933E07-C384-4741-BB2C-1B4E55FE031E}"/>
    <cellStyle name="Normal 5 3 5 5 2 2 3" xfId="17535" xr:uid="{5EA8E48E-14D3-41C1-A728-EC12EBFC23E2}"/>
    <cellStyle name="Normal 5 3 5 5 2 3" xfId="21758" xr:uid="{C5D7D696-D76A-489E-9E6C-F4174A59DC83}"/>
    <cellStyle name="Normal 5 3 5 5 2 4" xfId="13318" xr:uid="{E7EFECA0-68FB-4F13-9F28-85B9D099FB03}"/>
    <cellStyle name="Normal 5 3 5 5 3" xfId="6064" xr:uid="{00000000-0005-0000-0000-0000841A0000}"/>
    <cellStyle name="Normal 5 3 5 5 3 2" xfId="23830" xr:uid="{2EC0F76D-F918-4715-A0FD-A2D4F74E03B9}"/>
    <cellStyle name="Normal 5 3 5 5 3 3" xfId="15390" xr:uid="{4A3B4664-A0C5-4A82-AC63-5D14AC2D67B8}"/>
    <cellStyle name="Normal 5 3 5 5 4" xfId="19613" xr:uid="{FB76B63B-67D3-48C4-B8E5-2DAF2FB1E356}"/>
    <cellStyle name="Normal 5 3 5 5 5" xfId="11173" xr:uid="{EB7E3119-D797-4AF6-B959-B658CCFCE030}"/>
    <cellStyle name="Normal 5 3 5 6" xfId="2171" xr:uid="{00000000-0005-0000-0000-0000851A0000}"/>
    <cellStyle name="Normal 5 3 5 6 2" xfId="4400" xr:uid="{00000000-0005-0000-0000-0000861A0000}"/>
    <cellStyle name="Normal 5 3 5 6 2 2" xfId="8622" xr:uid="{00000000-0005-0000-0000-0000871A0000}"/>
    <cellStyle name="Normal 5 3 5 6 2 2 2" xfId="26388" xr:uid="{7D449233-37F0-4832-8600-92349D238C61}"/>
    <cellStyle name="Normal 5 3 5 6 2 2 3" xfId="17948" xr:uid="{FA51E8E6-004C-4B1E-A6B3-9D6DF46AB47C}"/>
    <cellStyle name="Normal 5 3 5 6 2 3" xfId="22171" xr:uid="{B2443879-0AB2-45FB-A0A4-B3ACC55E9507}"/>
    <cellStyle name="Normal 5 3 5 6 2 4" xfId="13731" xr:uid="{84EE35EF-190B-4CFE-B52E-099B7A09889F}"/>
    <cellStyle name="Normal 5 3 5 6 3" xfId="6477" xr:uid="{00000000-0005-0000-0000-0000881A0000}"/>
    <cellStyle name="Normal 5 3 5 6 3 2" xfId="24243" xr:uid="{6928C88F-922F-4CAD-91F7-2A21F9C0C09D}"/>
    <cellStyle name="Normal 5 3 5 6 3 3" xfId="15803" xr:uid="{4B729AE0-C15A-463E-828B-82A126ACEA74}"/>
    <cellStyle name="Normal 5 3 5 6 4" xfId="20026" xr:uid="{739545E1-997C-434E-9E2E-D2B93EEE4A2A}"/>
    <cellStyle name="Normal 5 3 5 6 5" xfId="11586" xr:uid="{079BB5E9-E06C-41C4-98CC-FBC303B568D8}"/>
    <cellStyle name="Normal 5 3 5 7" xfId="2607" xr:uid="{00000000-0005-0000-0000-0000891A0000}"/>
    <cellStyle name="Normal 5 3 5 7 2" xfId="6890" xr:uid="{00000000-0005-0000-0000-00008A1A0000}"/>
    <cellStyle name="Normal 5 3 5 7 2 2" xfId="24656" xr:uid="{2DB49C3A-E620-4183-88C2-9372E91A9B29}"/>
    <cellStyle name="Normal 5 3 5 7 2 3" xfId="16216" xr:uid="{AE3D5C96-9338-4810-8644-D780E51D7003}"/>
    <cellStyle name="Normal 5 3 5 7 3" xfId="20439" xr:uid="{9B3F7672-C031-4299-A42F-4671E7481A06}"/>
    <cellStyle name="Normal 5 3 5 7 4" xfId="11999" xr:uid="{AAB0DEE8-0276-4368-8ABB-DBD626CE9897}"/>
    <cellStyle name="Normal 5 3 5 8" xfId="4825" xr:uid="{00000000-0005-0000-0000-00008B1A0000}"/>
    <cellStyle name="Normal 5 3 5 8 2" xfId="22591" xr:uid="{AE545629-355B-412D-BA14-05D3C23740F5}"/>
    <cellStyle name="Normal 5 3 5 8 3" xfId="14151" xr:uid="{8A234F45-BBA7-4269-AA4F-8848808935BD}"/>
    <cellStyle name="Normal 5 3 5 9" xfId="8853" xr:uid="{049FA2CE-003F-47C1-A264-645323886F35}"/>
    <cellStyle name="Normal 5 3 5 9 2" xfId="18374" xr:uid="{716352A3-63BD-4FE9-AB95-61CF10D75872}"/>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25151" xr:uid="{44CED218-5729-4C18-ACA7-E3DDA94AE6D9}"/>
    <cellStyle name="Normal 5 3 6 2 2 2 3" xfId="16711" xr:uid="{E8AE6FA0-6535-4EFD-92C3-006D0EE9FA8B}"/>
    <cellStyle name="Normal 5 3 6 2 2 3" xfId="20934" xr:uid="{59DDF8CF-1DB0-479F-9BE4-70E34CD6133F}"/>
    <cellStyle name="Normal 5 3 6 2 2 4" xfId="12494" xr:uid="{0308422D-856C-4104-B9B0-083ACA81825C}"/>
    <cellStyle name="Normal 5 3 6 2 3" xfId="5240" xr:uid="{00000000-0005-0000-0000-0000901A0000}"/>
    <cellStyle name="Normal 5 3 6 2 3 2" xfId="23006" xr:uid="{36B232B7-0914-4B23-B761-92CFEB2FC4B2}"/>
    <cellStyle name="Normal 5 3 6 2 3 3" xfId="14566" xr:uid="{F92B8573-F9D8-4FFB-9E76-5C6F1CCC9AAC}"/>
    <cellStyle name="Normal 5 3 6 2 4" xfId="9394" xr:uid="{040FDD8C-10C9-4583-9A6E-8F76047ECA0C}"/>
    <cellStyle name="Normal 5 3 6 2 4 2" xfId="18789" xr:uid="{B8C15BFF-EF8A-4C17-B3EA-5EAD15065AE3}"/>
    <cellStyle name="Normal 5 3 6 2 5" xfId="10349" xr:uid="{36C8AA22-7570-4978-92D8-E28483BD4CB2}"/>
    <cellStyle name="Normal 5 3 6 3" xfId="1346" xr:uid="{00000000-0005-0000-0000-0000911A0000}"/>
    <cellStyle name="Normal 5 3 6 3 2" xfId="3576" xr:uid="{00000000-0005-0000-0000-0000921A0000}"/>
    <cellStyle name="Normal 5 3 6 3 2 2" xfId="7798" xr:uid="{00000000-0005-0000-0000-0000931A0000}"/>
    <cellStyle name="Normal 5 3 6 3 2 2 2" xfId="25564" xr:uid="{209804D1-E79F-477E-A673-BF8F4DD51554}"/>
    <cellStyle name="Normal 5 3 6 3 2 2 3" xfId="17124" xr:uid="{874E36EF-8BC9-47D0-AFA2-B3147A881135}"/>
    <cellStyle name="Normal 5 3 6 3 2 3" xfId="21347" xr:uid="{FA41AC4C-0AEE-4A23-AA6C-C74774A49A49}"/>
    <cellStyle name="Normal 5 3 6 3 2 4" xfId="12907" xr:uid="{00AC041E-8E3E-4601-8BB2-9F3C02B0A2D6}"/>
    <cellStyle name="Normal 5 3 6 3 3" xfId="5653" xr:uid="{00000000-0005-0000-0000-0000941A0000}"/>
    <cellStyle name="Normal 5 3 6 3 3 2" xfId="23419" xr:uid="{85C72AD5-335F-4B13-9E02-37C572DC20BF}"/>
    <cellStyle name="Normal 5 3 6 3 3 3" xfId="14979" xr:uid="{3DB99EB8-4DB5-49AB-B768-AB5A2E5CB2E3}"/>
    <cellStyle name="Normal 5 3 6 3 4" xfId="19202" xr:uid="{BAB8CF29-ED2B-49C5-910C-677B7A046FC3}"/>
    <cellStyle name="Normal 5 3 6 3 5" xfId="10762" xr:uid="{56508061-FAE6-43C0-B6A0-E5736F059645}"/>
    <cellStyle name="Normal 5 3 6 4" xfId="1759" xr:uid="{00000000-0005-0000-0000-0000951A0000}"/>
    <cellStyle name="Normal 5 3 6 4 2" xfId="3989" xr:uid="{00000000-0005-0000-0000-0000961A0000}"/>
    <cellStyle name="Normal 5 3 6 4 2 2" xfId="8211" xr:uid="{00000000-0005-0000-0000-0000971A0000}"/>
    <cellStyle name="Normal 5 3 6 4 2 2 2" xfId="25977" xr:uid="{C25AE697-238E-49B0-852C-745C47F05A63}"/>
    <cellStyle name="Normal 5 3 6 4 2 2 3" xfId="17537" xr:uid="{C6FF540B-5B51-43D1-994A-13556AF89A9F}"/>
    <cellStyle name="Normal 5 3 6 4 2 3" xfId="21760" xr:uid="{0AB3ECE2-38A4-483F-80EE-80CBB4063041}"/>
    <cellStyle name="Normal 5 3 6 4 2 4" xfId="13320" xr:uid="{FFF9D938-DCE7-477E-B42C-697D4349D496}"/>
    <cellStyle name="Normal 5 3 6 4 3" xfId="6066" xr:uid="{00000000-0005-0000-0000-0000981A0000}"/>
    <cellStyle name="Normal 5 3 6 4 3 2" xfId="23832" xr:uid="{7F715A35-BEE1-4C75-86E9-17C11E2EC07D}"/>
    <cellStyle name="Normal 5 3 6 4 3 3" xfId="15392" xr:uid="{CCE54ECD-6112-4484-B278-D5A11E1877C8}"/>
    <cellStyle name="Normal 5 3 6 4 4" xfId="19615" xr:uid="{15255D98-60A9-4F20-B718-618EA540AEFB}"/>
    <cellStyle name="Normal 5 3 6 4 5" xfId="11175" xr:uid="{FFEB3558-52A8-4AB4-AE66-D03BB4B1D5D2}"/>
    <cellStyle name="Normal 5 3 6 5" xfId="2173" xr:uid="{00000000-0005-0000-0000-0000991A0000}"/>
    <cellStyle name="Normal 5 3 6 5 2" xfId="4402" xr:uid="{00000000-0005-0000-0000-00009A1A0000}"/>
    <cellStyle name="Normal 5 3 6 5 2 2" xfId="8624" xr:uid="{00000000-0005-0000-0000-00009B1A0000}"/>
    <cellStyle name="Normal 5 3 6 5 2 2 2" xfId="26390" xr:uid="{09F84005-2E70-4761-91B2-86E22FEA1E4E}"/>
    <cellStyle name="Normal 5 3 6 5 2 2 3" xfId="17950" xr:uid="{6B5CEF50-316D-4CBC-942D-9854144FC078}"/>
    <cellStyle name="Normal 5 3 6 5 2 3" xfId="22173" xr:uid="{4645C2F2-F5AC-4E69-A774-520BA1BFF7B3}"/>
    <cellStyle name="Normal 5 3 6 5 2 4" xfId="13733" xr:uid="{200E030E-BA1D-4044-83F6-EA29BE88C266}"/>
    <cellStyle name="Normal 5 3 6 5 3" xfId="6479" xr:uid="{00000000-0005-0000-0000-00009C1A0000}"/>
    <cellStyle name="Normal 5 3 6 5 3 2" xfId="24245" xr:uid="{A8B90623-C9C6-4C1D-A207-E0B512DD25F1}"/>
    <cellStyle name="Normal 5 3 6 5 3 3" xfId="15805" xr:uid="{817329F3-DA9E-4ABB-9467-63B97D5BBAFD}"/>
    <cellStyle name="Normal 5 3 6 5 4" xfId="20028" xr:uid="{17B5C44B-4678-476A-A850-5712FE31510E}"/>
    <cellStyle name="Normal 5 3 6 5 5" xfId="11588" xr:uid="{A9515529-D00C-449D-90F2-0B6DC9970DE0}"/>
    <cellStyle name="Normal 5 3 6 6" xfId="2609" xr:uid="{00000000-0005-0000-0000-00009D1A0000}"/>
    <cellStyle name="Normal 5 3 6 6 2" xfId="6892" xr:uid="{00000000-0005-0000-0000-00009E1A0000}"/>
    <cellStyle name="Normal 5 3 6 6 2 2" xfId="24658" xr:uid="{858E1698-992B-49BB-A072-75EDC7736D3A}"/>
    <cellStyle name="Normal 5 3 6 6 2 3" xfId="16218" xr:uid="{9223955B-C18B-405B-A216-AB2557C92763}"/>
    <cellStyle name="Normal 5 3 6 6 3" xfId="20441" xr:uid="{21FD5AB6-B850-4655-A824-0B6517A11EE3}"/>
    <cellStyle name="Normal 5 3 6 6 4" xfId="12001" xr:uid="{8B795313-9F2A-4C55-BE16-C9A1A29C0AEC}"/>
    <cellStyle name="Normal 5 3 6 7" xfId="4827" xr:uid="{00000000-0005-0000-0000-00009F1A0000}"/>
    <cellStyle name="Normal 5 3 6 7 2" xfId="22593" xr:uid="{472F77F0-2E41-4F95-8AB1-981A3936DB47}"/>
    <cellStyle name="Normal 5 3 6 7 3" xfId="14153" xr:uid="{63E38F86-D592-4AE7-BBDC-7C55EF8DB194}"/>
    <cellStyle name="Normal 5 3 6 8" xfId="8969" xr:uid="{FA7ABEAF-BFEA-4D3E-A53B-E23F3117BFD8}"/>
    <cellStyle name="Normal 5 3 6 8 2" xfId="18376" xr:uid="{974E3525-D226-488A-9E9D-80EEED9E001F}"/>
    <cellStyle name="Normal 5 3 6 9" xfId="9936" xr:uid="{45E8E244-880F-4F1A-A361-9E2296DF27DD}"/>
    <cellStyle name="Normal 5 3 7" xfId="913" xr:uid="{00000000-0005-0000-0000-0000A01A0000}"/>
    <cellStyle name="Normal 5 3 7 2" xfId="3148" xr:uid="{00000000-0005-0000-0000-0000A11A0000}"/>
    <cellStyle name="Normal 5 3 7 2 2" xfId="7370" xr:uid="{00000000-0005-0000-0000-0000A21A0000}"/>
    <cellStyle name="Normal 5 3 7 2 2 2" xfId="25136" xr:uid="{3B3011AE-BE19-48EC-8539-A8D67776EDDF}"/>
    <cellStyle name="Normal 5 3 7 2 2 3" xfId="16696" xr:uid="{012A53D5-AF3E-42F3-998D-1CDC83C773E8}"/>
    <cellStyle name="Normal 5 3 7 2 3" xfId="20919" xr:uid="{1A4F8041-6B5B-4A63-96BB-FF5EB3773A82}"/>
    <cellStyle name="Normal 5 3 7 2 4" xfId="12479" xr:uid="{3F6A75D2-5F7E-455F-9452-8B95C1BEFBF0}"/>
    <cellStyle name="Normal 5 3 7 3" xfId="5225" xr:uid="{00000000-0005-0000-0000-0000A31A0000}"/>
    <cellStyle name="Normal 5 3 7 3 2" xfId="22991" xr:uid="{9B03FF31-F158-44DC-A6D9-2C5F9778D488}"/>
    <cellStyle name="Normal 5 3 7 3 3" xfId="14551" xr:uid="{EBAF9CFC-C62A-4863-9C50-1012D4942A82}"/>
    <cellStyle name="Normal 5 3 7 4" xfId="9172" xr:uid="{5609ABAF-B913-41DD-9CCE-B28C6A880815}"/>
    <cellStyle name="Normal 5 3 7 4 2" xfId="18774" xr:uid="{029D8EEC-C328-47A4-A843-D585DAE74C49}"/>
    <cellStyle name="Normal 5 3 7 5" xfId="10334" xr:uid="{77B38FEF-3E3A-41D3-8A90-B044FA7CEEAD}"/>
    <cellStyle name="Normal 5 3 8" xfId="1331" xr:uid="{00000000-0005-0000-0000-0000A41A0000}"/>
    <cellStyle name="Normal 5 3 8 2" xfId="3561" xr:uid="{00000000-0005-0000-0000-0000A51A0000}"/>
    <cellStyle name="Normal 5 3 8 2 2" xfId="7783" xr:uid="{00000000-0005-0000-0000-0000A61A0000}"/>
    <cellStyle name="Normal 5 3 8 2 2 2" xfId="25549" xr:uid="{A4A4AAC4-398A-485E-A59B-0AB20FC91943}"/>
    <cellStyle name="Normal 5 3 8 2 2 3" xfId="17109" xr:uid="{6EDC9CE7-BA6D-4974-BD31-B788D445DD89}"/>
    <cellStyle name="Normal 5 3 8 2 3" xfId="21332" xr:uid="{520F1086-FA41-4794-8805-CCA106BA2BE5}"/>
    <cellStyle name="Normal 5 3 8 2 4" xfId="12892" xr:uid="{242CDFCC-F339-48C6-8BF1-9B139BB6CA4F}"/>
    <cellStyle name="Normal 5 3 8 3" xfId="5638" xr:uid="{00000000-0005-0000-0000-0000A71A0000}"/>
    <cellStyle name="Normal 5 3 8 3 2" xfId="23404" xr:uid="{2B7B7C50-2AB3-411B-A809-EABFDE17FBEC}"/>
    <cellStyle name="Normal 5 3 8 3 3" xfId="14964" xr:uid="{5441ED7F-3E99-47FF-BF48-52374FEA30E4}"/>
    <cellStyle name="Normal 5 3 8 4" xfId="19187" xr:uid="{F8B882F2-D607-4E98-9864-D94BBB3F623C}"/>
    <cellStyle name="Normal 5 3 8 5" xfId="10747" xr:uid="{7CEE54F0-382E-4A1E-A17A-B03BB3A5E77E}"/>
    <cellStyle name="Normal 5 3 9" xfId="1744" xr:uid="{00000000-0005-0000-0000-0000A81A0000}"/>
    <cellStyle name="Normal 5 3 9 2" xfId="3974" xr:uid="{00000000-0005-0000-0000-0000A91A0000}"/>
    <cellStyle name="Normal 5 3 9 2 2" xfId="8196" xr:uid="{00000000-0005-0000-0000-0000AA1A0000}"/>
    <cellStyle name="Normal 5 3 9 2 2 2" xfId="25962" xr:uid="{948F643A-C1AC-444A-AF03-6294B625D9CE}"/>
    <cellStyle name="Normal 5 3 9 2 2 3" xfId="17522" xr:uid="{617AFED0-6B87-45F9-B8F5-A1851F58377C}"/>
    <cellStyle name="Normal 5 3 9 2 3" xfId="21745" xr:uid="{83015F05-0344-480B-8F72-02C1279B9EA8}"/>
    <cellStyle name="Normal 5 3 9 2 4" xfId="13305" xr:uid="{253C51C8-252C-4210-8026-0D4BA170CCA2}"/>
    <cellStyle name="Normal 5 3 9 3" xfId="6051" xr:uid="{00000000-0005-0000-0000-0000AB1A0000}"/>
    <cellStyle name="Normal 5 3 9 3 2" xfId="23817" xr:uid="{0945C4D6-AA6C-4386-BE1A-4836EEEB3053}"/>
    <cellStyle name="Normal 5 3 9 3 3" xfId="15377" xr:uid="{04A88254-E9BA-488D-9138-A1FEB6FA6566}"/>
    <cellStyle name="Normal 5 3 9 4" xfId="19600" xr:uid="{B004588D-B66C-4A84-8FD3-83CABEBA2452}"/>
    <cellStyle name="Normal 5 3 9 5" xfId="11160" xr:uid="{C211DCA4-FC51-4237-9007-67525BBF1340}"/>
    <cellStyle name="Normal 5 4" xfId="456" xr:uid="{00000000-0005-0000-0000-0000AC1A0000}"/>
    <cellStyle name="Normal 5 4 10" xfId="4828" xr:uid="{00000000-0005-0000-0000-0000AD1A0000}"/>
    <cellStyle name="Normal 5 4 10 2" xfId="22594" xr:uid="{47C7C44E-A13D-40FF-B355-5657DBBEE6A9}"/>
    <cellStyle name="Normal 5 4 10 3" xfId="14154" xr:uid="{0E67A87F-9931-4AA7-BF13-5593DD3AAD49}"/>
    <cellStyle name="Normal 5 4 11" xfId="8773" xr:uid="{50472F80-32FD-428C-B078-8DE338D6CA16}"/>
    <cellStyle name="Normal 5 4 11 2" xfId="18377" xr:uid="{A1484223-757D-4571-91F8-B9C27C56284C}"/>
    <cellStyle name="Normal 5 4 12" xfId="9937" xr:uid="{EC3F1A21-D33F-491A-BD27-3DFCA56D0284}"/>
    <cellStyle name="Normal 5 4 2" xfId="457" xr:uid="{00000000-0005-0000-0000-0000AE1A0000}"/>
    <cellStyle name="Normal 5 4 2 10" xfId="8833" xr:uid="{6EA55230-8E5B-4EF6-B83C-8DF4202F8C31}"/>
    <cellStyle name="Normal 5 4 2 10 2" xfId="18378" xr:uid="{9C581F48-FA7E-4CCF-9CA3-2D1C3B2708BD}"/>
    <cellStyle name="Normal 5 4 2 11" xfId="9938" xr:uid="{6CD445B5-3A47-402D-B5BD-9794EFAA251A}"/>
    <cellStyle name="Normal 5 4 2 2" xfId="458" xr:uid="{00000000-0005-0000-0000-0000AF1A0000}"/>
    <cellStyle name="Normal 5 4 2 2 10" xfId="9939" xr:uid="{34EC950D-4DA4-43E2-9402-292E2A8420A5}"/>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25155" xr:uid="{85A0C080-6153-409A-A7E9-A8407B7D5057}"/>
    <cellStyle name="Normal 5 4 2 2 2 2 2 2 3" xfId="16715" xr:uid="{C1F45440-B25F-4E3F-AEF1-16F6A8ACCFD2}"/>
    <cellStyle name="Normal 5 4 2 2 2 2 2 3" xfId="20938" xr:uid="{F3888E60-20A3-489C-8FE8-D156C32B4324}"/>
    <cellStyle name="Normal 5 4 2 2 2 2 2 4" xfId="12498" xr:uid="{4376F322-C8B4-4FED-8FC6-3B9CA896EA0A}"/>
    <cellStyle name="Normal 5 4 2 2 2 2 3" xfId="5244" xr:uid="{00000000-0005-0000-0000-0000B41A0000}"/>
    <cellStyle name="Normal 5 4 2 2 2 2 3 2" xfId="23010" xr:uid="{F17FD969-B3AC-4C99-ACD7-FC406BDCF81C}"/>
    <cellStyle name="Normal 5 4 2 2 2 2 3 3" xfId="14570" xr:uid="{4E9351DB-87B8-406E-9847-876ADBEA9A5F}"/>
    <cellStyle name="Normal 5 4 2 2 2 2 4" xfId="9568" xr:uid="{C9922021-D284-4633-BD4E-F2DB1197482A}"/>
    <cellStyle name="Normal 5 4 2 2 2 2 4 2" xfId="18793" xr:uid="{71A49420-6591-490C-AD51-D1F9B6D58ACA}"/>
    <cellStyle name="Normal 5 4 2 2 2 2 5" xfId="10353" xr:uid="{C84AF47A-9858-4E6A-970B-BD14D3D28C86}"/>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25568" xr:uid="{187B46A3-DFF2-4CED-B754-CE3ACED7E0CD}"/>
    <cellStyle name="Normal 5 4 2 2 2 3 2 2 3" xfId="17128" xr:uid="{22F683B1-6BB3-48F1-8832-B7BF9FD5B13C}"/>
    <cellStyle name="Normal 5 4 2 2 2 3 2 3" xfId="21351" xr:uid="{CF737739-D933-4481-8D27-080B666F8DC7}"/>
    <cellStyle name="Normal 5 4 2 2 2 3 2 4" xfId="12911" xr:uid="{F87666B6-2C8B-49E9-8A02-C1939CC655DB}"/>
    <cellStyle name="Normal 5 4 2 2 2 3 3" xfId="5657" xr:uid="{00000000-0005-0000-0000-0000B81A0000}"/>
    <cellStyle name="Normal 5 4 2 2 2 3 3 2" xfId="23423" xr:uid="{5BBD1B72-69DD-4767-B029-42793FDB3593}"/>
    <cellStyle name="Normal 5 4 2 2 2 3 3 3" xfId="14983" xr:uid="{F71FBC75-63C0-456C-B601-48ACBBB65E63}"/>
    <cellStyle name="Normal 5 4 2 2 2 3 4" xfId="19206" xr:uid="{F2462428-CC90-4F54-BF5C-BA2DD6F7A284}"/>
    <cellStyle name="Normal 5 4 2 2 2 3 5" xfId="10766" xr:uid="{729EF3B3-3B9C-41F5-80A4-27E2A7836278}"/>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25981" xr:uid="{08C5DD48-5D20-4489-B077-D0DFB7B24813}"/>
    <cellStyle name="Normal 5 4 2 2 2 4 2 2 3" xfId="17541" xr:uid="{1B79FC74-CB56-4B36-AC5B-EF2950C7A182}"/>
    <cellStyle name="Normal 5 4 2 2 2 4 2 3" xfId="21764" xr:uid="{D8562528-F9BA-4C8B-91FA-8E21DA56A11F}"/>
    <cellStyle name="Normal 5 4 2 2 2 4 2 4" xfId="13324" xr:uid="{488AB7BE-0FD1-4DFF-9C23-0E8318DF7C7C}"/>
    <cellStyle name="Normal 5 4 2 2 2 4 3" xfId="6070" xr:uid="{00000000-0005-0000-0000-0000BC1A0000}"/>
    <cellStyle name="Normal 5 4 2 2 2 4 3 2" xfId="23836" xr:uid="{FFDE6107-72E2-465D-9034-4929ACD71D7D}"/>
    <cellStyle name="Normal 5 4 2 2 2 4 3 3" xfId="15396" xr:uid="{3EC279A2-31E8-4E18-867F-5E765E43CDD2}"/>
    <cellStyle name="Normal 5 4 2 2 2 4 4" xfId="19619" xr:uid="{ABE2CBBD-947B-4D53-B9E7-F1BF0C574BC4}"/>
    <cellStyle name="Normal 5 4 2 2 2 4 5" xfId="11179" xr:uid="{B34AD68D-5384-445B-9407-C7609647EC62}"/>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26394" xr:uid="{C4F9F4AF-9362-482F-9FAD-0F1E32E73737}"/>
    <cellStyle name="Normal 5 4 2 2 2 5 2 2 3" xfId="17954" xr:uid="{9CF3F932-01C6-49C3-B32C-5D7387F22BCB}"/>
    <cellStyle name="Normal 5 4 2 2 2 5 2 3" xfId="22177" xr:uid="{E508D9F7-D573-4C55-9859-CF56F4EF8D00}"/>
    <cellStyle name="Normal 5 4 2 2 2 5 2 4" xfId="13737" xr:uid="{4D679DD1-FBB5-4FE0-87CF-A0484D59B32E}"/>
    <cellStyle name="Normal 5 4 2 2 2 5 3" xfId="6483" xr:uid="{00000000-0005-0000-0000-0000C01A0000}"/>
    <cellStyle name="Normal 5 4 2 2 2 5 3 2" xfId="24249" xr:uid="{750DCE7E-562B-47BC-8744-FBD334309898}"/>
    <cellStyle name="Normal 5 4 2 2 2 5 3 3" xfId="15809" xr:uid="{E8E1786C-3AD2-4200-8BAE-574CFE83FDE5}"/>
    <cellStyle name="Normal 5 4 2 2 2 5 4" xfId="20032" xr:uid="{839CA45D-776A-4498-B1F2-273801ACAB0E}"/>
    <cellStyle name="Normal 5 4 2 2 2 5 5" xfId="11592" xr:uid="{A7D39FAF-9C01-4026-AC81-39446CF0FECF}"/>
    <cellStyle name="Normal 5 4 2 2 2 6" xfId="2613" xr:uid="{00000000-0005-0000-0000-0000C11A0000}"/>
    <cellStyle name="Normal 5 4 2 2 2 6 2" xfId="6896" xr:uid="{00000000-0005-0000-0000-0000C21A0000}"/>
    <cellStyle name="Normal 5 4 2 2 2 6 2 2" xfId="24662" xr:uid="{3E35A160-6C5A-42C1-BE15-EF44B5B08025}"/>
    <cellStyle name="Normal 5 4 2 2 2 6 2 3" xfId="16222" xr:uid="{8B5249A3-B146-4E02-960E-6857DCA48785}"/>
    <cellStyle name="Normal 5 4 2 2 2 6 3" xfId="20445" xr:uid="{F3E73A30-E0F7-46BD-B61B-0EEB6F9AF8D3}"/>
    <cellStyle name="Normal 5 4 2 2 2 6 4" xfId="12005" xr:uid="{73AE6651-FC28-4004-B94C-FE56B7CE49EA}"/>
    <cellStyle name="Normal 5 4 2 2 2 7" xfId="4831" xr:uid="{00000000-0005-0000-0000-0000C31A0000}"/>
    <cellStyle name="Normal 5 4 2 2 2 7 2" xfId="22597" xr:uid="{DBFAD054-15A7-4611-B5BA-FDF7F25807CA}"/>
    <cellStyle name="Normal 5 4 2 2 2 7 3" xfId="14157" xr:uid="{F3572B6A-600D-4FB3-8A3A-3C558CF4981A}"/>
    <cellStyle name="Normal 5 4 2 2 2 8" xfId="9143" xr:uid="{C8F15FA9-FDFE-4358-95A8-17B14299B14C}"/>
    <cellStyle name="Normal 5 4 2 2 2 8 2" xfId="18380" xr:uid="{4942B31F-A356-4726-A777-7DB507151B86}"/>
    <cellStyle name="Normal 5 4 2 2 2 9" xfId="9940" xr:uid="{5A2F53D3-19F0-474F-885E-5DC7527CC03A}"/>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25154" xr:uid="{14245A0F-B7F5-47B4-B5F7-DF730F6D99FB}"/>
    <cellStyle name="Normal 5 4 2 2 3 2 2 3" xfId="16714" xr:uid="{C344F73B-18C5-4131-B38E-B82687720366}"/>
    <cellStyle name="Normal 5 4 2 2 3 2 3" xfId="20937" xr:uid="{F476ADA9-1377-4033-BD49-225CAA2D4D96}"/>
    <cellStyle name="Normal 5 4 2 2 3 2 4" xfId="12497" xr:uid="{92383364-1807-479D-9DC0-F9E5FC6B517D}"/>
    <cellStyle name="Normal 5 4 2 2 3 3" xfId="5243" xr:uid="{00000000-0005-0000-0000-0000C71A0000}"/>
    <cellStyle name="Normal 5 4 2 2 3 3 2" xfId="23009" xr:uid="{AFF3BE1A-33F1-4556-812A-9EBAD2C60491}"/>
    <cellStyle name="Normal 5 4 2 2 3 3 3" xfId="14569" xr:uid="{822890A9-3BC1-4C2B-B321-3E160EFE2181}"/>
    <cellStyle name="Normal 5 4 2 2 3 4" xfId="9361" xr:uid="{421F0FC8-8E8F-498F-BD31-B00CB58D5B43}"/>
    <cellStyle name="Normal 5 4 2 2 3 4 2" xfId="18792" xr:uid="{ED955BAF-4FC1-4652-9894-7B8C5DA47EE9}"/>
    <cellStyle name="Normal 5 4 2 2 3 5" xfId="10352" xr:uid="{0C15541B-A3DC-44C0-B139-D0919A5E41FF}"/>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25567" xr:uid="{0FA4B85C-4F68-40D2-92E5-5C5C40DC9339}"/>
    <cellStyle name="Normal 5 4 2 2 4 2 2 3" xfId="17127" xr:uid="{79F8A03B-CFF8-47EF-9824-6011B63A2039}"/>
    <cellStyle name="Normal 5 4 2 2 4 2 3" xfId="21350" xr:uid="{39ABD10D-856D-42A2-92AB-97C261BB269C}"/>
    <cellStyle name="Normal 5 4 2 2 4 2 4" xfId="12910" xr:uid="{8F9991F2-E954-4C47-B897-156DF5007806}"/>
    <cellStyle name="Normal 5 4 2 2 4 3" xfId="5656" xr:uid="{00000000-0005-0000-0000-0000CB1A0000}"/>
    <cellStyle name="Normal 5 4 2 2 4 3 2" xfId="23422" xr:uid="{3EFCBF1E-A5B9-444D-809A-2ECBDCA1BFE8}"/>
    <cellStyle name="Normal 5 4 2 2 4 3 3" xfId="14982" xr:uid="{EA11F93B-8B9A-4AB3-A717-11759AF4A18E}"/>
    <cellStyle name="Normal 5 4 2 2 4 4" xfId="19205" xr:uid="{F430BAFC-1347-4571-9E06-0ED2B96BF91E}"/>
    <cellStyle name="Normal 5 4 2 2 4 5" xfId="10765" xr:uid="{5824C88C-9A2D-445E-8E35-CAFB59D7F123}"/>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25980" xr:uid="{AC6F043F-C696-40F5-A232-48D9B72BFAEC}"/>
    <cellStyle name="Normal 5 4 2 2 5 2 2 3" xfId="17540" xr:uid="{FBC532E8-33E4-4825-A8C4-D499BFA9ECED}"/>
    <cellStyle name="Normal 5 4 2 2 5 2 3" xfId="21763" xr:uid="{2CE0253E-069A-408A-A988-44DBE41B89BD}"/>
    <cellStyle name="Normal 5 4 2 2 5 2 4" xfId="13323" xr:uid="{E61EF94A-AC50-4252-9AFA-B2703B27B0D5}"/>
    <cellStyle name="Normal 5 4 2 2 5 3" xfId="6069" xr:uid="{00000000-0005-0000-0000-0000CF1A0000}"/>
    <cellStyle name="Normal 5 4 2 2 5 3 2" xfId="23835" xr:uid="{DA8B9CEA-9532-4315-B4E5-60D7982A85E5}"/>
    <cellStyle name="Normal 5 4 2 2 5 3 3" xfId="15395" xr:uid="{32FEADF7-EC2B-4F6A-8076-26AEC19F77DE}"/>
    <cellStyle name="Normal 5 4 2 2 5 4" xfId="19618" xr:uid="{669D4308-FCB6-415F-9C92-A2946F8883F5}"/>
    <cellStyle name="Normal 5 4 2 2 5 5" xfId="11178" xr:uid="{944DC2B9-2EAC-4178-92DD-B00209D0E778}"/>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26393" xr:uid="{FC5E9161-37E4-4C0D-BE3F-8D4480D48CE2}"/>
    <cellStyle name="Normal 5 4 2 2 6 2 2 3" xfId="17953" xr:uid="{065837F8-3624-4644-821E-04646276DA99}"/>
    <cellStyle name="Normal 5 4 2 2 6 2 3" xfId="22176" xr:uid="{0B63B588-B16B-4233-B314-351C0A4E67AF}"/>
    <cellStyle name="Normal 5 4 2 2 6 2 4" xfId="13736" xr:uid="{C02C39D6-555D-4CFA-BCA9-536DF7A1166A}"/>
    <cellStyle name="Normal 5 4 2 2 6 3" xfId="6482" xr:uid="{00000000-0005-0000-0000-0000D31A0000}"/>
    <cellStyle name="Normal 5 4 2 2 6 3 2" xfId="24248" xr:uid="{FDC386BC-418C-4480-9D23-80373059B031}"/>
    <cellStyle name="Normal 5 4 2 2 6 3 3" xfId="15808" xr:uid="{231DD22E-231E-4661-B24D-D8E77721344A}"/>
    <cellStyle name="Normal 5 4 2 2 6 4" xfId="20031" xr:uid="{0647F3AE-BF98-46AA-9058-74A941B5130E}"/>
    <cellStyle name="Normal 5 4 2 2 6 5" xfId="11591" xr:uid="{8E836D60-A6BF-4085-980F-696BE65EFE7C}"/>
    <cellStyle name="Normal 5 4 2 2 7" xfId="2612" xr:uid="{00000000-0005-0000-0000-0000D41A0000}"/>
    <cellStyle name="Normal 5 4 2 2 7 2" xfId="6895" xr:uid="{00000000-0005-0000-0000-0000D51A0000}"/>
    <cellStyle name="Normal 5 4 2 2 7 2 2" xfId="24661" xr:uid="{8338A473-C608-413A-B2A2-2265184E2391}"/>
    <cellStyle name="Normal 5 4 2 2 7 2 3" xfId="16221" xr:uid="{8EB92593-7847-4456-B74F-E40E2EC8279D}"/>
    <cellStyle name="Normal 5 4 2 2 7 3" xfId="20444" xr:uid="{E9164A8E-D4A5-4891-BD8D-8085CB23AD9F}"/>
    <cellStyle name="Normal 5 4 2 2 7 4" xfId="12004" xr:uid="{9205F2B3-8002-45BA-AC30-A92C3B3CEF2B}"/>
    <cellStyle name="Normal 5 4 2 2 8" xfId="4830" xr:uid="{00000000-0005-0000-0000-0000D61A0000}"/>
    <cellStyle name="Normal 5 4 2 2 8 2" xfId="22596" xr:uid="{85311A42-94B0-447B-8E2D-9843A335A4D3}"/>
    <cellStyle name="Normal 5 4 2 2 8 3" xfId="14156" xr:uid="{41C8EBA9-C3B6-4483-B2D6-C14AE354A826}"/>
    <cellStyle name="Normal 5 4 2 2 9" xfId="8936" xr:uid="{31CF7A09-919D-40D2-B5FD-098CEA44D314}"/>
    <cellStyle name="Normal 5 4 2 2 9 2" xfId="18379" xr:uid="{38EC5A29-1ED1-4442-8925-790C2EAEE37C}"/>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25156" xr:uid="{E98C07B6-DADD-40D9-BCC9-EED62CCBF026}"/>
    <cellStyle name="Normal 5 4 2 3 2 2 2 3" xfId="16716" xr:uid="{6500CA51-53E4-4FB5-A56F-4807CE40876C}"/>
    <cellStyle name="Normal 5 4 2 3 2 2 3" xfId="20939" xr:uid="{434FF857-67EF-474C-AF0C-C6B356785591}"/>
    <cellStyle name="Normal 5 4 2 3 2 2 4" xfId="12499" xr:uid="{4189FECE-C20C-4053-A156-EE528A881BA5}"/>
    <cellStyle name="Normal 5 4 2 3 2 3" xfId="5245" xr:uid="{00000000-0005-0000-0000-0000DB1A0000}"/>
    <cellStyle name="Normal 5 4 2 3 2 3 2" xfId="23011" xr:uid="{698FEDC8-D868-46B0-8575-38A024F570E9}"/>
    <cellStyle name="Normal 5 4 2 3 2 3 3" xfId="14571" xr:uid="{FEB59791-4259-47BF-AB8E-51D7867566EA}"/>
    <cellStyle name="Normal 5 4 2 3 2 4" xfId="9465" xr:uid="{B8459C73-266B-467B-A163-FFDFF015A460}"/>
    <cellStyle name="Normal 5 4 2 3 2 4 2" xfId="18794" xr:uid="{3688B988-B3D0-4C79-8787-FDC7406932A0}"/>
    <cellStyle name="Normal 5 4 2 3 2 5" xfId="10354" xr:uid="{272D0A9D-4237-42DD-867E-33A4DAB57DA4}"/>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25569" xr:uid="{729D0BE5-F30E-4908-B2AF-B8C9864D4FEE}"/>
    <cellStyle name="Normal 5 4 2 3 3 2 2 3" xfId="17129" xr:uid="{8E3B4B20-12A7-47B6-9132-2AC1544EB986}"/>
    <cellStyle name="Normal 5 4 2 3 3 2 3" xfId="21352" xr:uid="{1296360C-03ED-430F-84C1-F0929884F10F}"/>
    <cellStyle name="Normal 5 4 2 3 3 2 4" xfId="12912" xr:uid="{4B2BFED8-33DD-40C5-851C-F75091CFD745}"/>
    <cellStyle name="Normal 5 4 2 3 3 3" xfId="5658" xr:uid="{00000000-0005-0000-0000-0000DF1A0000}"/>
    <cellStyle name="Normal 5 4 2 3 3 3 2" xfId="23424" xr:uid="{9EC2E08A-E31A-4C7E-9FF7-3D84EF7269A3}"/>
    <cellStyle name="Normal 5 4 2 3 3 3 3" xfId="14984" xr:uid="{55BFE6B4-5C22-49D5-928A-E03AE0BB7D4B}"/>
    <cellStyle name="Normal 5 4 2 3 3 4" xfId="19207" xr:uid="{BDB0D721-3802-4F16-B1EF-CA4E72B710B1}"/>
    <cellStyle name="Normal 5 4 2 3 3 5" xfId="10767" xr:uid="{6B7FE22D-CEA8-46FB-BEB4-8696B7C6975E}"/>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25982" xr:uid="{3FB0BEB9-57D7-439B-98FF-6D9482BB7CBF}"/>
    <cellStyle name="Normal 5 4 2 3 4 2 2 3" xfId="17542" xr:uid="{DAEC932C-EAC9-4907-86C5-0363C2F16184}"/>
    <cellStyle name="Normal 5 4 2 3 4 2 3" xfId="21765" xr:uid="{D52352A8-8518-4E42-89F1-A82DEF15A6CD}"/>
    <cellStyle name="Normal 5 4 2 3 4 2 4" xfId="13325" xr:uid="{D5DA1B26-C207-4EC6-93C9-37115F284D07}"/>
    <cellStyle name="Normal 5 4 2 3 4 3" xfId="6071" xr:uid="{00000000-0005-0000-0000-0000E31A0000}"/>
    <cellStyle name="Normal 5 4 2 3 4 3 2" xfId="23837" xr:uid="{FC332743-EC30-4B96-851F-8734AE8ABE09}"/>
    <cellStyle name="Normal 5 4 2 3 4 3 3" xfId="15397" xr:uid="{6ABA3902-019F-4701-B7B3-0007EE0AE3F4}"/>
    <cellStyle name="Normal 5 4 2 3 4 4" xfId="19620" xr:uid="{A8C83150-DD39-456A-8600-FC42330C9D16}"/>
    <cellStyle name="Normal 5 4 2 3 4 5" xfId="11180" xr:uid="{24063915-BE50-41A0-8CEB-326CA83C3645}"/>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26395" xr:uid="{1B8757B4-1666-4FB8-B5FF-CAD5C844752C}"/>
    <cellStyle name="Normal 5 4 2 3 5 2 2 3" xfId="17955" xr:uid="{3010D51F-11A5-42CC-A27F-B73F33458292}"/>
    <cellStyle name="Normal 5 4 2 3 5 2 3" xfId="22178" xr:uid="{EDC48D51-33FB-479C-A741-CC32C4C21018}"/>
    <cellStyle name="Normal 5 4 2 3 5 2 4" xfId="13738" xr:uid="{E69D5F7B-D7D6-4097-A8AC-9113079882F7}"/>
    <cellStyle name="Normal 5 4 2 3 5 3" xfId="6484" xr:uid="{00000000-0005-0000-0000-0000E71A0000}"/>
    <cellStyle name="Normal 5 4 2 3 5 3 2" xfId="24250" xr:uid="{B36BADBF-7EF6-4A74-9A84-625E4FB8C3E5}"/>
    <cellStyle name="Normal 5 4 2 3 5 3 3" xfId="15810" xr:uid="{63BD5BD9-2ED0-43F5-B8B7-F7E891F98925}"/>
    <cellStyle name="Normal 5 4 2 3 5 4" xfId="20033" xr:uid="{29807D33-1108-48D4-998C-F6BC1C2B6FB6}"/>
    <cellStyle name="Normal 5 4 2 3 5 5" xfId="11593" xr:uid="{3C29278B-B6A7-49B6-8EC0-4557A8EF24AE}"/>
    <cellStyle name="Normal 5 4 2 3 6" xfId="2614" xr:uid="{00000000-0005-0000-0000-0000E81A0000}"/>
    <cellStyle name="Normal 5 4 2 3 6 2" xfId="6897" xr:uid="{00000000-0005-0000-0000-0000E91A0000}"/>
    <cellStyle name="Normal 5 4 2 3 6 2 2" xfId="24663" xr:uid="{D064A0CE-0DCC-45ED-9C9F-5458F289E59E}"/>
    <cellStyle name="Normal 5 4 2 3 6 2 3" xfId="16223" xr:uid="{EC2FA688-F2D9-40CC-AFE3-9616B0E8C70E}"/>
    <cellStyle name="Normal 5 4 2 3 6 3" xfId="20446" xr:uid="{29C64524-8B96-424A-A2AD-D60F7062CE40}"/>
    <cellStyle name="Normal 5 4 2 3 6 4" xfId="12006" xr:uid="{DCD9B917-5049-4A0C-B0CE-E7D2768B6A77}"/>
    <cellStyle name="Normal 5 4 2 3 7" xfId="4832" xr:uid="{00000000-0005-0000-0000-0000EA1A0000}"/>
    <cellStyle name="Normal 5 4 2 3 7 2" xfId="22598" xr:uid="{8EEBD696-E7B2-4C67-A77A-7F2977C0D342}"/>
    <cellStyle name="Normal 5 4 2 3 7 3" xfId="14158" xr:uid="{41F52D59-6573-43D2-BF5F-E35DE4EB7CB8}"/>
    <cellStyle name="Normal 5 4 2 3 8" xfId="9040" xr:uid="{D68CAB17-BB41-4D9B-AA76-76FE511392DC}"/>
    <cellStyle name="Normal 5 4 2 3 8 2" xfId="18381" xr:uid="{1827B1EC-4A27-4A08-BF6B-98B14B5EC345}"/>
    <cellStyle name="Normal 5 4 2 3 9" xfId="9941" xr:uid="{DDA9EAD6-74D6-494E-9202-50D2EA83EF4A}"/>
    <cellStyle name="Normal 5 4 2 4" xfId="931" xr:uid="{00000000-0005-0000-0000-0000EB1A0000}"/>
    <cellStyle name="Normal 5 4 2 4 2" xfId="3165" xr:uid="{00000000-0005-0000-0000-0000EC1A0000}"/>
    <cellStyle name="Normal 5 4 2 4 2 2" xfId="7387" xr:uid="{00000000-0005-0000-0000-0000ED1A0000}"/>
    <cellStyle name="Normal 5 4 2 4 2 2 2" xfId="25153" xr:uid="{995DF61C-48DD-40B0-86E3-2DC75F6E55DE}"/>
    <cellStyle name="Normal 5 4 2 4 2 2 3" xfId="16713" xr:uid="{EFBEEE24-994F-45A9-B99C-6F77974C7727}"/>
    <cellStyle name="Normal 5 4 2 4 2 3" xfId="20936" xr:uid="{F0D646FC-BDE9-4317-AD0C-E2065A7BBB84}"/>
    <cellStyle name="Normal 5 4 2 4 2 4" xfId="12496" xr:uid="{7D84F852-C49B-4C84-A79C-A0AA80F98411}"/>
    <cellStyle name="Normal 5 4 2 4 3" xfId="5242" xr:uid="{00000000-0005-0000-0000-0000EE1A0000}"/>
    <cellStyle name="Normal 5 4 2 4 3 2" xfId="23008" xr:uid="{E050C365-625C-469C-8AD1-5DED5EFB56E5}"/>
    <cellStyle name="Normal 5 4 2 4 3 3" xfId="14568" xr:uid="{0EA1CB67-7D83-4812-AB14-F4C5BD748B40}"/>
    <cellStyle name="Normal 5 4 2 4 4" xfId="9258" xr:uid="{971C48A9-8200-405B-A9BE-B3AFD2CDDA76}"/>
    <cellStyle name="Normal 5 4 2 4 4 2" xfId="18791" xr:uid="{41490E44-F91E-4BE2-9C68-4B87A1534874}"/>
    <cellStyle name="Normal 5 4 2 4 5" xfId="10351" xr:uid="{4C5694AB-4BA1-4CE0-989E-0F46A4E002A6}"/>
    <cellStyle name="Normal 5 4 2 5" xfId="1348" xr:uid="{00000000-0005-0000-0000-0000EF1A0000}"/>
    <cellStyle name="Normal 5 4 2 5 2" xfId="3578" xr:uid="{00000000-0005-0000-0000-0000F01A0000}"/>
    <cellStyle name="Normal 5 4 2 5 2 2" xfId="7800" xr:uid="{00000000-0005-0000-0000-0000F11A0000}"/>
    <cellStyle name="Normal 5 4 2 5 2 2 2" xfId="25566" xr:uid="{CAE436D7-53F9-4FCC-84CA-22A1D3469261}"/>
    <cellStyle name="Normal 5 4 2 5 2 2 3" xfId="17126" xr:uid="{70358F82-8D47-4C3C-A4AB-CDEABBEA7333}"/>
    <cellStyle name="Normal 5 4 2 5 2 3" xfId="21349" xr:uid="{D420C07A-3C60-451E-ADCC-A0FE96184675}"/>
    <cellStyle name="Normal 5 4 2 5 2 4" xfId="12909" xr:uid="{0C45CD73-2989-4628-99E4-48277F5ADA6A}"/>
    <cellStyle name="Normal 5 4 2 5 3" xfId="5655" xr:uid="{00000000-0005-0000-0000-0000F21A0000}"/>
    <cellStyle name="Normal 5 4 2 5 3 2" xfId="23421" xr:uid="{4A6D3071-B1D5-4F8C-866B-ADE8E16B9341}"/>
    <cellStyle name="Normal 5 4 2 5 3 3" xfId="14981" xr:uid="{A62DB2E5-35EB-44F1-B7C0-4DAE10F59DB3}"/>
    <cellStyle name="Normal 5 4 2 5 4" xfId="19204" xr:uid="{43B76C1A-0740-4085-B31E-B0769A61C81C}"/>
    <cellStyle name="Normal 5 4 2 5 5" xfId="10764" xr:uid="{A8388A36-37C5-4857-8E40-C7383101022C}"/>
    <cellStyle name="Normal 5 4 2 6" xfId="1761" xr:uid="{00000000-0005-0000-0000-0000F31A0000}"/>
    <cellStyle name="Normal 5 4 2 6 2" xfId="3991" xr:uid="{00000000-0005-0000-0000-0000F41A0000}"/>
    <cellStyle name="Normal 5 4 2 6 2 2" xfId="8213" xr:uid="{00000000-0005-0000-0000-0000F51A0000}"/>
    <cellStyle name="Normal 5 4 2 6 2 2 2" xfId="25979" xr:uid="{2DAF91E7-27E6-4FBF-8C34-2586EC4C1ECB}"/>
    <cellStyle name="Normal 5 4 2 6 2 2 3" xfId="17539" xr:uid="{A9ED9B2F-985B-44DC-9449-2FFA32D1216F}"/>
    <cellStyle name="Normal 5 4 2 6 2 3" xfId="21762" xr:uid="{470D25CC-87B7-4288-944F-CD8D80F8BC5B}"/>
    <cellStyle name="Normal 5 4 2 6 2 4" xfId="13322" xr:uid="{3FD241C8-C5A5-49BA-A2D3-58C55A99E09E}"/>
    <cellStyle name="Normal 5 4 2 6 3" xfId="6068" xr:uid="{00000000-0005-0000-0000-0000F61A0000}"/>
    <cellStyle name="Normal 5 4 2 6 3 2" xfId="23834" xr:uid="{4ED0D71A-0698-420F-AD10-CDF9A4FE47FA}"/>
    <cellStyle name="Normal 5 4 2 6 3 3" xfId="15394" xr:uid="{16310A5B-F39E-47A5-9DB6-69B511C08803}"/>
    <cellStyle name="Normal 5 4 2 6 4" xfId="19617" xr:uid="{286CA4B0-AAC9-46D2-A890-5CD1D25EA9D6}"/>
    <cellStyle name="Normal 5 4 2 6 5" xfId="11177" xr:uid="{55549F68-DBBD-4B2A-909F-CC4956590D0F}"/>
    <cellStyle name="Normal 5 4 2 7" xfId="2175" xr:uid="{00000000-0005-0000-0000-0000F71A0000}"/>
    <cellStyle name="Normal 5 4 2 7 2" xfId="4404" xr:uid="{00000000-0005-0000-0000-0000F81A0000}"/>
    <cellStyle name="Normal 5 4 2 7 2 2" xfId="8626" xr:uid="{00000000-0005-0000-0000-0000F91A0000}"/>
    <cellStyle name="Normal 5 4 2 7 2 2 2" xfId="26392" xr:uid="{9E3DFFC7-FA8F-4F9B-ACE6-D793D1B57282}"/>
    <cellStyle name="Normal 5 4 2 7 2 2 3" xfId="17952" xr:uid="{6AECAAF5-D3EE-4088-A121-F49599DC2359}"/>
    <cellStyle name="Normal 5 4 2 7 2 3" xfId="22175" xr:uid="{E96A0D4B-0940-4896-983A-2C1DD026A545}"/>
    <cellStyle name="Normal 5 4 2 7 2 4" xfId="13735" xr:uid="{1C407A3C-7BB2-492B-953F-EF642CAAD5D9}"/>
    <cellStyle name="Normal 5 4 2 7 3" xfId="6481" xr:uid="{00000000-0005-0000-0000-0000FA1A0000}"/>
    <cellStyle name="Normal 5 4 2 7 3 2" xfId="24247" xr:uid="{184EE4C3-B93B-4451-9733-FBC84FDE650D}"/>
    <cellStyle name="Normal 5 4 2 7 3 3" xfId="15807" xr:uid="{8D0FB8E3-31F5-4B65-A146-D72BE7EB864F}"/>
    <cellStyle name="Normal 5 4 2 7 4" xfId="20030" xr:uid="{5E087F83-FDD4-49EE-ABB6-4C270DE101C1}"/>
    <cellStyle name="Normal 5 4 2 7 5" xfId="11590" xr:uid="{66262D1D-35A2-42C3-891C-F622D1858205}"/>
    <cellStyle name="Normal 5 4 2 8" xfId="2611" xr:uid="{00000000-0005-0000-0000-0000FB1A0000}"/>
    <cellStyle name="Normal 5 4 2 8 2" xfId="6894" xr:uid="{00000000-0005-0000-0000-0000FC1A0000}"/>
    <cellStyle name="Normal 5 4 2 8 2 2" xfId="24660" xr:uid="{91003B33-30DB-4F7A-A4DC-CE4CC0C4E59D}"/>
    <cellStyle name="Normal 5 4 2 8 2 3" xfId="16220" xr:uid="{DCBA81F3-C7F0-4C25-9E54-9A302916D0D7}"/>
    <cellStyle name="Normal 5 4 2 8 3" xfId="20443" xr:uid="{BB053A02-6689-44CE-B452-28A063B4F953}"/>
    <cellStyle name="Normal 5 4 2 8 4" xfId="12003" xr:uid="{F094C0CE-49AF-4B8A-8491-D3B7928C059C}"/>
    <cellStyle name="Normal 5 4 2 9" xfId="4829" xr:uid="{00000000-0005-0000-0000-0000FD1A0000}"/>
    <cellStyle name="Normal 5 4 2 9 2" xfId="22595" xr:uid="{7C65D019-0AD7-43C0-B685-F1D07D175CA6}"/>
    <cellStyle name="Normal 5 4 2 9 3" xfId="14155" xr:uid="{2CF7C661-8230-4DDD-92D3-433C589E88AA}"/>
    <cellStyle name="Normal 5 4 3" xfId="461" xr:uid="{00000000-0005-0000-0000-0000FE1A0000}"/>
    <cellStyle name="Normal 5 4 3 10" xfId="9942" xr:uid="{F70E85DA-DA6C-4137-AA8D-BA74755B85D9}"/>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25158" xr:uid="{BC74756F-94B5-4A79-B18D-61214567B670}"/>
    <cellStyle name="Normal 5 4 3 2 2 2 2 3" xfId="16718" xr:uid="{0AB708CD-AC78-424E-9B64-9F7DA89D1E99}"/>
    <cellStyle name="Normal 5 4 3 2 2 2 3" xfId="20941" xr:uid="{7FFFD2B6-28E4-4D9E-B8C1-2AD0C86B6417}"/>
    <cellStyle name="Normal 5 4 3 2 2 2 4" xfId="12501" xr:uid="{F698B2D1-47D4-45C7-9082-CC001BF830D9}"/>
    <cellStyle name="Normal 5 4 3 2 2 3" xfId="5247" xr:uid="{00000000-0005-0000-0000-0000031B0000}"/>
    <cellStyle name="Normal 5 4 3 2 2 3 2" xfId="23013" xr:uid="{3D2FA7E5-7920-448E-9D78-5E5989A18409}"/>
    <cellStyle name="Normal 5 4 3 2 2 3 3" xfId="14573" xr:uid="{E295FAF4-92D7-489E-A13A-6601EDD3F1B4}"/>
    <cellStyle name="Normal 5 4 3 2 2 4" xfId="9508" xr:uid="{1F9B5A8F-2A45-43C5-9422-E8BC84424A55}"/>
    <cellStyle name="Normal 5 4 3 2 2 4 2" xfId="18796" xr:uid="{CBC3B810-9046-4098-8F1F-93DFE31C61DF}"/>
    <cellStyle name="Normal 5 4 3 2 2 5" xfId="10356" xr:uid="{73D67DCE-D589-40E4-BC4E-8B1722586B38}"/>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25571" xr:uid="{7AD487DD-656C-44F4-B8DB-5010F2B5D96A}"/>
    <cellStyle name="Normal 5 4 3 2 3 2 2 3" xfId="17131" xr:uid="{073453BC-0AE5-41D8-8958-87006A36F3E2}"/>
    <cellStyle name="Normal 5 4 3 2 3 2 3" xfId="21354" xr:uid="{4B4316FB-9888-4135-B470-AC2BF6DD6261}"/>
    <cellStyle name="Normal 5 4 3 2 3 2 4" xfId="12914" xr:uid="{A934154F-97F9-407B-B2DD-D29E5F40817E}"/>
    <cellStyle name="Normal 5 4 3 2 3 3" xfId="5660" xr:uid="{00000000-0005-0000-0000-0000071B0000}"/>
    <cellStyle name="Normal 5 4 3 2 3 3 2" xfId="23426" xr:uid="{40FFD80B-0717-46D9-87E7-0ECE84C69DCB}"/>
    <cellStyle name="Normal 5 4 3 2 3 3 3" xfId="14986" xr:uid="{C6E70388-937A-4498-BCC3-A5EBEA19C106}"/>
    <cellStyle name="Normal 5 4 3 2 3 4" xfId="19209" xr:uid="{145A625E-64F9-4F1D-978E-E97AB8DE175B}"/>
    <cellStyle name="Normal 5 4 3 2 3 5" xfId="10769" xr:uid="{302E0434-C3D3-4B1D-A900-0B9FB9563A8F}"/>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25984" xr:uid="{1BF31860-630D-4D30-9BE2-21192BBCC2C7}"/>
    <cellStyle name="Normal 5 4 3 2 4 2 2 3" xfId="17544" xr:uid="{5E9173FA-4160-4B33-BF47-CAAFFEF11BD4}"/>
    <cellStyle name="Normal 5 4 3 2 4 2 3" xfId="21767" xr:uid="{DD2D28EF-8676-4F37-B465-B5A0FCF6FCC0}"/>
    <cellStyle name="Normal 5 4 3 2 4 2 4" xfId="13327" xr:uid="{2615AA77-CAFA-4319-9688-12BAC4583353}"/>
    <cellStyle name="Normal 5 4 3 2 4 3" xfId="6073" xr:uid="{00000000-0005-0000-0000-00000B1B0000}"/>
    <cellStyle name="Normal 5 4 3 2 4 3 2" xfId="23839" xr:uid="{F210C6D1-3C31-417C-BF8C-92B3B247EFE1}"/>
    <cellStyle name="Normal 5 4 3 2 4 3 3" xfId="15399" xr:uid="{D1920B0C-1EA6-498C-A46D-27A07C2D458B}"/>
    <cellStyle name="Normal 5 4 3 2 4 4" xfId="19622" xr:uid="{230D4564-80A4-41D4-9F1E-6A0B484B5DFC}"/>
    <cellStyle name="Normal 5 4 3 2 4 5" xfId="11182" xr:uid="{7869D4C6-6533-48A7-B226-6A9BBB6F768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26397" xr:uid="{9CFA7C5A-267C-4EF1-B8A6-2AB3199EEB40}"/>
    <cellStyle name="Normal 5 4 3 2 5 2 2 3" xfId="17957" xr:uid="{4CBFE6FB-B795-409C-B676-15AD9610D454}"/>
    <cellStyle name="Normal 5 4 3 2 5 2 3" xfId="22180" xr:uid="{93D908C3-BD2F-418C-80DB-74C130896A68}"/>
    <cellStyle name="Normal 5 4 3 2 5 2 4" xfId="13740" xr:uid="{807411F9-48B8-4137-A12B-60B54A91984B}"/>
    <cellStyle name="Normal 5 4 3 2 5 3" xfId="6486" xr:uid="{00000000-0005-0000-0000-00000F1B0000}"/>
    <cellStyle name="Normal 5 4 3 2 5 3 2" xfId="24252" xr:uid="{EB619699-EB12-468E-B5D7-CBBEB9EA8DD2}"/>
    <cellStyle name="Normal 5 4 3 2 5 3 3" xfId="15812" xr:uid="{8EF216A1-70EA-4765-B5B0-A910E3C608B1}"/>
    <cellStyle name="Normal 5 4 3 2 5 4" xfId="20035" xr:uid="{08A8CD30-CDBA-4D39-82AF-DA00680041FD}"/>
    <cellStyle name="Normal 5 4 3 2 5 5" xfId="11595" xr:uid="{228C2899-CE37-49F8-B815-E0116452DC12}"/>
    <cellStyle name="Normal 5 4 3 2 6" xfId="2616" xr:uid="{00000000-0005-0000-0000-0000101B0000}"/>
    <cellStyle name="Normal 5 4 3 2 6 2" xfId="6899" xr:uid="{00000000-0005-0000-0000-0000111B0000}"/>
    <cellStyle name="Normal 5 4 3 2 6 2 2" xfId="24665" xr:uid="{10B61968-9F9C-417D-8756-C0E6404BC3FC}"/>
    <cellStyle name="Normal 5 4 3 2 6 2 3" xfId="16225" xr:uid="{9FFEA5B8-E0D4-4A06-828C-38FBA0CD6BA5}"/>
    <cellStyle name="Normal 5 4 3 2 6 3" xfId="20448" xr:uid="{CB2C01FB-FD6B-435D-8731-AA141B8FDE1A}"/>
    <cellStyle name="Normal 5 4 3 2 6 4" xfId="12008" xr:uid="{963E1BAD-C2FC-4B0C-9AE0-861763315DFA}"/>
    <cellStyle name="Normal 5 4 3 2 7" xfId="4834" xr:uid="{00000000-0005-0000-0000-0000121B0000}"/>
    <cellStyle name="Normal 5 4 3 2 7 2" xfId="22600" xr:uid="{5256C3E6-DA2F-47ED-B76D-6E70B7DBBAEE}"/>
    <cellStyle name="Normal 5 4 3 2 7 3" xfId="14160" xr:uid="{5522834C-5565-48FB-AF42-FD2B9F5E70E1}"/>
    <cellStyle name="Normal 5 4 3 2 8" xfId="9083" xr:uid="{206384C8-6AD8-4D28-8F99-3033A80D68FC}"/>
    <cellStyle name="Normal 5 4 3 2 8 2" xfId="18383" xr:uid="{FA8DBC7C-1054-472B-B7FD-9562772C12A1}"/>
    <cellStyle name="Normal 5 4 3 2 9" xfId="9943" xr:uid="{2C3E82E8-B6F3-46FB-8075-FFD0267C13C7}"/>
    <cellStyle name="Normal 5 4 3 3" xfId="935" xr:uid="{00000000-0005-0000-0000-0000131B0000}"/>
    <cellStyle name="Normal 5 4 3 3 2" xfId="3169" xr:uid="{00000000-0005-0000-0000-0000141B0000}"/>
    <cellStyle name="Normal 5 4 3 3 2 2" xfId="7391" xr:uid="{00000000-0005-0000-0000-0000151B0000}"/>
    <cellStyle name="Normal 5 4 3 3 2 2 2" xfId="25157" xr:uid="{D529D495-8677-46D9-8FCA-DF9E3A68C03D}"/>
    <cellStyle name="Normal 5 4 3 3 2 2 3" xfId="16717" xr:uid="{9F468310-2F49-461D-BD43-9F5D6587E10D}"/>
    <cellStyle name="Normal 5 4 3 3 2 3" xfId="20940" xr:uid="{02398AE8-7BE1-41AD-8786-E75B5C3226E9}"/>
    <cellStyle name="Normal 5 4 3 3 2 4" xfId="12500" xr:uid="{C4153614-7490-4736-8583-32226BA75E42}"/>
    <cellStyle name="Normal 5 4 3 3 3" xfId="5246" xr:uid="{00000000-0005-0000-0000-0000161B0000}"/>
    <cellStyle name="Normal 5 4 3 3 3 2" xfId="23012" xr:uid="{3AA3892A-3330-4A43-8E4E-B7DA185D1F82}"/>
    <cellStyle name="Normal 5 4 3 3 3 3" xfId="14572" xr:uid="{5FDF189D-7E1C-4BB8-A43E-10EAC4F0DE8F}"/>
    <cellStyle name="Normal 5 4 3 3 4" xfId="9301" xr:uid="{CB02BBE7-2E3D-4C67-A62E-BA84DE882039}"/>
    <cellStyle name="Normal 5 4 3 3 4 2" xfId="18795" xr:uid="{8701AC0B-95A8-48BD-AF87-E52DB394AACE}"/>
    <cellStyle name="Normal 5 4 3 3 5" xfId="10355" xr:uid="{D487E650-AE99-4467-94CE-E93B00F9F807}"/>
    <cellStyle name="Normal 5 4 3 4" xfId="1352" xr:uid="{00000000-0005-0000-0000-0000171B0000}"/>
    <cellStyle name="Normal 5 4 3 4 2" xfId="3582" xr:uid="{00000000-0005-0000-0000-0000181B0000}"/>
    <cellStyle name="Normal 5 4 3 4 2 2" xfId="7804" xr:uid="{00000000-0005-0000-0000-0000191B0000}"/>
    <cellStyle name="Normal 5 4 3 4 2 2 2" xfId="25570" xr:uid="{295FD524-0AC8-4EFB-ADF9-3581FEBCC766}"/>
    <cellStyle name="Normal 5 4 3 4 2 2 3" xfId="17130" xr:uid="{826CA243-FC44-4C8D-A1F4-EC0069656326}"/>
    <cellStyle name="Normal 5 4 3 4 2 3" xfId="21353" xr:uid="{52132F23-AE3B-488F-A07F-0EDF33ADE7CB}"/>
    <cellStyle name="Normal 5 4 3 4 2 4" xfId="12913" xr:uid="{C609A179-AFBC-40CE-A4DF-4BEB23DB2333}"/>
    <cellStyle name="Normal 5 4 3 4 3" xfId="5659" xr:uid="{00000000-0005-0000-0000-00001A1B0000}"/>
    <cellStyle name="Normal 5 4 3 4 3 2" xfId="23425" xr:uid="{C357F4DF-CE9F-4DC5-A190-5F494D3851FE}"/>
    <cellStyle name="Normal 5 4 3 4 3 3" xfId="14985" xr:uid="{069E80A6-59AB-468B-9A74-88EB4B6ECA60}"/>
    <cellStyle name="Normal 5 4 3 4 4" xfId="19208" xr:uid="{59EFD4DE-9402-4CB5-9A64-588B3753D9A5}"/>
    <cellStyle name="Normal 5 4 3 4 5" xfId="10768" xr:uid="{87D1BF80-A49B-4429-B76C-3D7891ADE1E5}"/>
    <cellStyle name="Normal 5 4 3 5" xfId="1765" xr:uid="{00000000-0005-0000-0000-00001B1B0000}"/>
    <cellStyle name="Normal 5 4 3 5 2" xfId="3995" xr:uid="{00000000-0005-0000-0000-00001C1B0000}"/>
    <cellStyle name="Normal 5 4 3 5 2 2" xfId="8217" xr:uid="{00000000-0005-0000-0000-00001D1B0000}"/>
    <cellStyle name="Normal 5 4 3 5 2 2 2" xfId="25983" xr:uid="{DBE75865-1348-4BDD-8530-CE54AD21A679}"/>
    <cellStyle name="Normal 5 4 3 5 2 2 3" xfId="17543" xr:uid="{554F2080-954B-4F0E-AFE2-C595CE4A5FA6}"/>
    <cellStyle name="Normal 5 4 3 5 2 3" xfId="21766" xr:uid="{F03E735F-05B2-4624-AD93-8EA0949771CB}"/>
    <cellStyle name="Normal 5 4 3 5 2 4" xfId="13326" xr:uid="{80EFC699-40F4-4BF2-B360-CA32F9C51BFA}"/>
    <cellStyle name="Normal 5 4 3 5 3" xfId="6072" xr:uid="{00000000-0005-0000-0000-00001E1B0000}"/>
    <cellStyle name="Normal 5 4 3 5 3 2" xfId="23838" xr:uid="{1C970409-2665-4E0A-8B3E-B5A038E2923E}"/>
    <cellStyle name="Normal 5 4 3 5 3 3" xfId="15398" xr:uid="{8E5E8DA7-73FF-4989-8D20-52F5CDA6A618}"/>
    <cellStyle name="Normal 5 4 3 5 4" xfId="19621" xr:uid="{156335E2-7DA9-4AF5-A0B9-E60B5082457E}"/>
    <cellStyle name="Normal 5 4 3 5 5" xfId="11181" xr:uid="{3E512DB4-8E50-4ADE-AAC2-5939B9E2C19C}"/>
    <cellStyle name="Normal 5 4 3 6" xfId="2179" xr:uid="{00000000-0005-0000-0000-00001F1B0000}"/>
    <cellStyle name="Normal 5 4 3 6 2" xfId="4408" xr:uid="{00000000-0005-0000-0000-0000201B0000}"/>
    <cellStyle name="Normal 5 4 3 6 2 2" xfId="8630" xr:uid="{00000000-0005-0000-0000-0000211B0000}"/>
    <cellStyle name="Normal 5 4 3 6 2 2 2" xfId="26396" xr:uid="{0C2B0183-E956-4347-A8C1-AE340EDE6B48}"/>
    <cellStyle name="Normal 5 4 3 6 2 2 3" xfId="17956" xr:uid="{B2BBCD0A-E450-45CA-B828-46FA5D3DF513}"/>
    <cellStyle name="Normal 5 4 3 6 2 3" xfId="22179" xr:uid="{70270259-AB2D-4A2D-A15D-1EC1F07A5575}"/>
    <cellStyle name="Normal 5 4 3 6 2 4" xfId="13739" xr:uid="{976180CB-C7F3-4D70-A52A-FA14A028B721}"/>
    <cellStyle name="Normal 5 4 3 6 3" xfId="6485" xr:uid="{00000000-0005-0000-0000-0000221B0000}"/>
    <cellStyle name="Normal 5 4 3 6 3 2" xfId="24251" xr:uid="{763E8690-93C1-4925-A712-D9F323841B76}"/>
    <cellStyle name="Normal 5 4 3 6 3 3" xfId="15811" xr:uid="{436A7F9F-631C-4031-99DB-F0BD65313A49}"/>
    <cellStyle name="Normal 5 4 3 6 4" xfId="20034" xr:uid="{2DDD81E6-58AC-4E63-8AB8-F35E75CEF6C5}"/>
    <cellStyle name="Normal 5 4 3 6 5" xfId="11594" xr:uid="{AB47F098-71F7-4382-AB32-7D2DA4D06198}"/>
    <cellStyle name="Normal 5 4 3 7" xfId="2615" xr:uid="{00000000-0005-0000-0000-0000231B0000}"/>
    <cellStyle name="Normal 5 4 3 7 2" xfId="6898" xr:uid="{00000000-0005-0000-0000-0000241B0000}"/>
    <cellStyle name="Normal 5 4 3 7 2 2" xfId="24664" xr:uid="{5DB99291-FB0F-4438-B152-552E862E71AE}"/>
    <cellStyle name="Normal 5 4 3 7 2 3" xfId="16224" xr:uid="{359FE7B1-4F29-4FA7-BA73-D77F6934D4AA}"/>
    <cellStyle name="Normal 5 4 3 7 3" xfId="20447" xr:uid="{605ED12C-6904-489D-A048-C19DFBA3131A}"/>
    <cellStyle name="Normal 5 4 3 7 4" xfId="12007" xr:uid="{A4BC2263-54BF-48D4-9D40-8CC347C8B24B}"/>
    <cellStyle name="Normal 5 4 3 8" xfId="4833" xr:uid="{00000000-0005-0000-0000-0000251B0000}"/>
    <cellStyle name="Normal 5 4 3 8 2" xfId="22599" xr:uid="{C9356659-FBCC-4A3E-941D-521057837E2F}"/>
    <cellStyle name="Normal 5 4 3 8 3" xfId="14159" xr:uid="{D2BE6085-34C3-42D3-A272-13F5C57D4D6C}"/>
    <cellStyle name="Normal 5 4 3 9" xfId="8876" xr:uid="{D636A598-175F-46A4-8005-1A20EC6CCEC9}"/>
    <cellStyle name="Normal 5 4 3 9 2" xfId="18382" xr:uid="{1C522A0B-BE6B-4F5F-AD8C-D7693EE60CE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25159" xr:uid="{93D0730D-317A-41E0-8D51-DB73FFFEC1D5}"/>
    <cellStyle name="Normal 5 4 4 2 2 2 3" xfId="16719" xr:uid="{B0B2F8AF-135F-4B37-9164-299C17B7EC5B}"/>
    <cellStyle name="Normal 5 4 4 2 2 3" xfId="20942" xr:uid="{FE165D7F-3777-496F-B1AC-F28BCDF61AC0}"/>
    <cellStyle name="Normal 5 4 4 2 2 4" xfId="12502" xr:uid="{D3920F00-AB7A-40EB-85A2-196F52E0432C}"/>
    <cellStyle name="Normal 5 4 4 2 3" xfId="5248" xr:uid="{00000000-0005-0000-0000-00002A1B0000}"/>
    <cellStyle name="Normal 5 4 4 2 3 2" xfId="23014" xr:uid="{D713B094-2955-4655-B553-E4DD764E3435}"/>
    <cellStyle name="Normal 5 4 4 2 3 3" xfId="14574" xr:uid="{286201D8-A294-4833-B23F-F9FFB7B2433A}"/>
    <cellStyle name="Normal 5 4 4 2 4" xfId="9405" xr:uid="{F05DE0DC-A0AA-4CEB-9ABC-0D70F781B819}"/>
    <cellStyle name="Normal 5 4 4 2 4 2" xfId="18797" xr:uid="{328014EC-0C16-48C9-835E-159BB3841F4A}"/>
    <cellStyle name="Normal 5 4 4 2 5" xfId="10357" xr:uid="{8655E666-64C3-48E4-B24A-35702C15706E}"/>
    <cellStyle name="Normal 5 4 4 3" xfId="1354" xr:uid="{00000000-0005-0000-0000-00002B1B0000}"/>
    <cellStyle name="Normal 5 4 4 3 2" xfId="3584" xr:uid="{00000000-0005-0000-0000-00002C1B0000}"/>
    <cellStyle name="Normal 5 4 4 3 2 2" xfId="7806" xr:uid="{00000000-0005-0000-0000-00002D1B0000}"/>
    <cellStyle name="Normal 5 4 4 3 2 2 2" xfId="25572" xr:uid="{347455C3-EF3A-47BC-8995-4DBEC6ACC965}"/>
    <cellStyle name="Normal 5 4 4 3 2 2 3" xfId="17132" xr:uid="{0F1F113B-C401-410A-B009-6451A5BED008}"/>
    <cellStyle name="Normal 5 4 4 3 2 3" xfId="21355" xr:uid="{1A102766-03D9-481F-B3DD-74998AC1DD81}"/>
    <cellStyle name="Normal 5 4 4 3 2 4" xfId="12915" xr:uid="{63CBE65E-CE1D-4D8A-8332-AFA2124B4F0D}"/>
    <cellStyle name="Normal 5 4 4 3 3" xfId="5661" xr:uid="{00000000-0005-0000-0000-00002E1B0000}"/>
    <cellStyle name="Normal 5 4 4 3 3 2" xfId="23427" xr:uid="{BC699684-B344-4B54-90FA-624BBD3D9BE6}"/>
    <cellStyle name="Normal 5 4 4 3 3 3" xfId="14987" xr:uid="{35024151-9449-45C7-BBD0-9D09B6890D89}"/>
    <cellStyle name="Normal 5 4 4 3 4" xfId="19210" xr:uid="{7E55F56D-AA64-4D21-A349-0CE28BB2A67D}"/>
    <cellStyle name="Normal 5 4 4 3 5" xfId="10770" xr:uid="{0C645A7A-1D3D-4F38-8441-636EA3B7A695}"/>
    <cellStyle name="Normal 5 4 4 4" xfId="1767" xr:uid="{00000000-0005-0000-0000-00002F1B0000}"/>
    <cellStyle name="Normal 5 4 4 4 2" xfId="3997" xr:uid="{00000000-0005-0000-0000-0000301B0000}"/>
    <cellStyle name="Normal 5 4 4 4 2 2" xfId="8219" xr:uid="{00000000-0005-0000-0000-0000311B0000}"/>
    <cellStyle name="Normal 5 4 4 4 2 2 2" xfId="25985" xr:uid="{EC6AA01C-A904-4D85-9769-8B1DF3BD7516}"/>
    <cellStyle name="Normal 5 4 4 4 2 2 3" xfId="17545" xr:uid="{D34476FC-2F30-421E-949E-18B4019501E3}"/>
    <cellStyle name="Normal 5 4 4 4 2 3" xfId="21768" xr:uid="{751117F6-20E6-4E7E-BCE6-3DDC4298C024}"/>
    <cellStyle name="Normal 5 4 4 4 2 4" xfId="13328" xr:uid="{4F5636E2-C31A-429B-BD29-1B1148175652}"/>
    <cellStyle name="Normal 5 4 4 4 3" xfId="6074" xr:uid="{00000000-0005-0000-0000-0000321B0000}"/>
    <cellStyle name="Normal 5 4 4 4 3 2" xfId="23840" xr:uid="{21DA299B-26E5-424D-BBF8-3F31075515A4}"/>
    <cellStyle name="Normal 5 4 4 4 3 3" xfId="15400" xr:uid="{793BB7E9-DAC0-42E9-9CE2-0D41712C4B1C}"/>
    <cellStyle name="Normal 5 4 4 4 4" xfId="19623" xr:uid="{3C4A34FC-8A2D-4574-A082-C0FB993A66C3}"/>
    <cellStyle name="Normal 5 4 4 4 5" xfId="11183" xr:uid="{CDB49E0B-0E31-47E8-9804-FAAF9221F3B1}"/>
    <cellStyle name="Normal 5 4 4 5" xfId="2181" xr:uid="{00000000-0005-0000-0000-0000331B0000}"/>
    <cellStyle name="Normal 5 4 4 5 2" xfId="4410" xr:uid="{00000000-0005-0000-0000-0000341B0000}"/>
    <cellStyle name="Normal 5 4 4 5 2 2" xfId="8632" xr:uid="{00000000-0005-0000-0000-0000351B0000}"/>
    <cellStyle name="Normal 5 4 4 5 2 2 2" xfId="26398" xr:uid="{210D3241-6109-407A-BDA8-1892860E1ACB}"/>
    <cellStyle name="Normal 5 4 4 5 2 2 3" xfId="17958" xr:uid="{2E54F2E3-6B88-453E-BD2C-C6C56E65196C}"/>
    <cellStyle name="Normal 5 4 4 5 2 3" xfId="22181" xr:uid="{9BAF3B89-B611-4276-B4DF-F36441F6D6F6}"/>
    <cellStyle name="Normal 5 4 4 5 2 4" xfId="13741" xr:uid="{8B7BE75A-88AC-4BF3-887D-7F4254E97C64}"/>
    <cellStyle name="Normal 5 4 4 5 3" xfId="6487" xr:uid="{00000000-0005-0000-0000-0000361B0000}"/>
    <cellStyle name="Normal 5 4 4 5 3 2" xfId="24253" xr:uid="{1726B74D-B61C-4A2E-8977-278B58D34ABC}"/>
    <cellStyle name="Normal 5 4 4 5 3 3" xfId="15813" xr:uid="{E7B711E3-0B2E-4A28-A73C-25DBA0677AE1}"/>
    <cellStyle name="Normal 5 4 4 5 4" xfId="20036" xr:uid="{D8285CB1-CB37-4A13-AC2F-183E3EEC55BF}"/>
    <cellStyle name="Normal 5 4 4 5 5" xfId="11596" xr:uid="{C20EB21E-C410-41E3-A66A-E0867C179560}"/>
    <cellStyle name="Normal 5 4 4 6" xfId="2617" xr:uid="{00000000-0005-0000-0000-0000371B0000}"/>
    <cellStyle name="Normal 5 4 4 6 2" xfId="6900" xr:uid="{00000000-0005-0000-0000-0000381B0000}"/>
    <cellStyle name="Normal 5 4 4 6 2 2" xfId="24666" xr:uid="{41A40F58-BD5D-43E0-8DBE-7A737A49AEE8}"/>
    <cellStyle name="Normal 5 4 4 6 2 3" xfId="16226" xr:uid="{A046FCC4-6C34-4A34-A7E5-13A92E60BDF5}"/>
    <cellStyle name="Normal 5 4 4 6 3" xfId="20449" xr:uid="{545A8298-52A0-4800-B6B5-281778FCF236}"/>
    <cellStyle name="Normal 5 4 4 6 4" xfId="12009" xr:uid="{DB954CCD-A899-4C2F-8F42-BAFA2808C6F1}"/>
    <cellStyle name="Normal 5 4 4 7" xfId="4835" xr:uid="{00000000-0005-0000-0000-0000391B0000}"/>
    <cellStyle name="Normal 5 4 4 7 2" xfId="22601" xr:uid="{5F0FE6FF-AB78-4C60-B833-5741472B5EA5}"/>
    <cellStyle name="Normal 5 4 4 7 3" xfId="14161" xr:uid="{EECDFD19-84DF-47AC-8A2D-D2B7224D9477}"/>
    <cellStyle name="Normal 5 4 4 8" xfId="8980" xr:uid="{B1DB48A4-94CB-4CC2-8D4B-8FD478363D48}"/>
    <cellStyle name="Normal 5 4 4 8 2" xfId="18384" xr:uid="{2DC0192B-7367-41F7-B2C0-7F158E69A10F}"/>
    <cellStyle name="Normal 5 4 4 9" xfId="9944" xr:uid="{10F27CA9-5BCC-4405-A4D7-96BAA1004A58}"/>
    <cellStyle name="Normal 5 4 5" xfId="930" xr:uid="{00000000-0005-0000-0000-00003A1B0000}"/>
    <cellStyle name="Normal 5 4 5 2" xfId="3164" xr:uid="{00000000-0005-0000-0000-00003B1B0000}"/>
    <cellStyle name="Normal 5 4 5 2 2" xfId="7386" xr:uid="{00000000-0005-0000-0000-00003C1B0000}"/>
    <cellStyle name="Normal 5 4 5 2 2 2" xfId="25152" xr:uid="{F7D249D0-0179-4416-8276-4537A4ADE7FA}"/>
    <cellStyle name="Normal 5 4 5 2 2 3" xfId="16712" xr:uid="{5DCC42A3-BB7A-4947-BE15-042E69BB2133}"/>
    <cellStyle name="Normal 5 4 5 2 3" xfId="20935" xr:uid="{0B462662-CB48-4284-B2C8-D026EE6C5BE5}"/>
    <cellStyle name="Normal 5 4 5 2 4" xfId="12495" xr:uid="{C1DF15E7-AD44-46AF-8C00-B6F32888A680}"/>
    <cellStyle name="Normal 5 4 5 3" xfId="5241" xr:uid="{00000000-0005-0000-0000-00003D1B0000}"/>
    <cellStyle name="Normal 5 4 5 3 2" xfId="23007" xr:uid="{AFB6A198-9AAC-426B-A46A-22852EB59649}"/>
    <cellStyle name="Normal 5 4 5 3 3" xfId="14567" xr:uid="{2D094723-78AD-4523-B9E6-113A66C9FF86}"/>
    <cellStyle name="Normal 5 4 5 4" xfId="9197" xr:uid="{44FF0EFB-444B-4C40-B695-8C256ADB5563}"/>
    <cellStyle name="Normal 5 4 5 4 2" xfId="18790" xr:uid="{FAC0371B-A038-4BD0-A06C-FAE8EDEA629C}"/>
    <cellStyle name="Normal 5 4 5 5" xfId="10350" xr:uid="{7D422EE1-BA00-4B58-872D-9A69F0CAD7D9}"/>
    <cellStyle name="Normal 5 4 6" xfId="1347" xr:uid="{00000000-0005-0000-0000-00003E1B0000}"/>
    <cellStyle name="Normal 5 4 6 2" xfId="3577" xr:uid="{00000000-0005-0000-0000-00003F1B0000}"/>
    <cellStyle name="Normal 5 4 6 2 2" xfId="7799" xr:uid="{00000000-0005-0000-0000-0000401B0000}"/>
    <cellStyle name="Normal 5 4 6 2 2 2" xfId="25565" xr:uid="{939C287A-E36F-42FC-9203-5FD633F7D889}"/>
    <cellStyle name="Normal 5 4 6 2 2 3" xfId="17125" xr:uid="{E39B086A-AB36-483A-9D34-9CC119377023}"/>
    <cellStyle name="Normal 5 4 6 2 3" xfId="21348" xr:uid="{83CDCC72-4673-4D61-979D-CB77DB22AAB3}"/>
    <cellStyle name="Normal 5 4 6 2 4" xfId="12908" xr:uid="{3FD6EE40-101A-48EC-B704-229C517377A8}"/>
    <cellStyle name="Normal 5 4 6 3" xfId="5654" xr:uid="{00000000-0005-0000-0000-0000411B0000}"/>
    <cellStyle name="Normal 5 4 6 3 2" xfId="23420" xr:uid="{4B21A476-7B83-4C4D-A6BB-8E51EA65BE6C}"/>
    <cellStyle name="Normal 5 4 6 3 3" xfId="14980" xr:uid="{E258A248-B599-4255-8CCB-E877F4D317BC}"/>
    <cellStyle name="Normal 5 4 6 4" xfId="19203" xr:uid="{253FF374-BD37-44DE-8C97-372F21CEDDFF}"/>
    <cellStyle name="Normal 5 4 6 5" xfId="10763" xr:uid="{5B7C3B4B-C383-46EA-9E71-0468CAA7AD39}"/>
    <cellStyle name="Normal 5 4 7" xfId="1760" xr:uid="{00000000-0005-0000-0000-0000421B0000}"/>
    <cellStyle name="Normal 5 4 7 2" xfId="3990" xr:uid="{00000000-0005-0000-0000-0000431B0000}"/>
    <cellStyle name="Normal 5 4 7 2 2" xfId="8212" xr:uid="{00000000-0005-0000-0000-0000441B0000}"/>
    <cellStyle name="Normal 5 4 7 2 2 2" xfId="25978" xr:uid="{A3EAE295-ED45-41B9-B71E-4EA54F0810E4}"/>
    <cellStyle name="Normal 5 4 7 2 2 3" xfId="17538" xr:uid="{97638F78-2F5F-4746-BA7A-E15A07848DA9}"/>
    <cellStyle name="Normal 5 4 7 2 3" xfId="21761" xr:uid="{31AC8A51-AF46-450A-ADA4-37734FC8868F}"/>
    <cellStyle name="Normal 5 4 7 2 4" xfId="13321" xr:uid="{BF373458-A0D5-460A-AC7D-59264788E030}"/>
    <cellStyle name="Normal 5 4 7 3" xfId="6067" xr:uid="{00000000-0005-0000-0000-0000451B0000}"/>
    <cellStyle name="Normal 5 4 7 3 2" xfId="23833" xr:uid="{6D7BAB85-2D5A-4FFB-B6F0-C36D2D0583DC}"/>
    <cellStyle name="Normal 5 4 7 3 3" xfId="15393" xr:uid="{E88FD00D-7202-4E48-9126-9CDF3135E2A3}"/>
    <cellStyle name="Normal 5 4 7 4" xfId="19616" xr:uid="{63AA6B84-6305-4FFD-9B3A-8892B4569E02}"/>
    <cellStyle name="Normal 5 4 7 5" xfId="11176" xr:uid="{B992D90D-BA31-4F61-89FF-14AAC2CCA624}"/>
    <cellStyle name="Normal 5 4 8" xfId="2174" xr:uid="{00000000-0005-0000-0000-0000461B0000}"/>
    <cellStyle name="Normal 5 4 8 2" xfId="4403" xr:uid="{00000000-0005-0000-0000-0000471B0000}"/>
    <cellStyle name="Normal 5 4 8 2 2" xfId="8625" xr:uid="{00000000-0005-0000-0000-0000481B0000}"/>
    <cellStyle name="Normal 5 4 8 2 2 2" xfId="26391" xr:uid="{C8AB7BCA-5EAE-499E-8B73-8401906AA405}"/>
    <cellStyle name="Normal 5 4 8 2 2 3" xfId="17951" xr:uid="{B8C4D357-5158-4A83-A814-497ADE09CDA1}"/>
    <cellStyle name="Normal 5 4 8 2 3" xfId="22174" xr:uid="{44481CC4-FAE7-4368-AC5E-8B5B0EDCF7DC}"/>
    <cellStyle name="Normal 5 4 8 2 4" xfId="13734" xr:uid="{BE1B21D6-FD16-49AE-8ABA-802B44C5CDBB}"/>
    <cellStyle name="Normal 5 4 8 3" xfId="6480" xr:uid="{00000000-0005-0000-0000-0000491B0000}"/>
    <cellStyle name="Normal 5 4 8 3 2" xfId="24246" xr:uid="{818F0417-FFA7-4961-9CF4-5242311CB32A}"/>
    <cellStyle name="Normal 5 4 8 3 3" xfId="15806" xr:uid="{0FC8C0E2-574E-449C-8845-8713C957E0F9}"/>
    <cellStyle name="Normal 5 4 8 4" xfId="20029" xr:uid="{B65FD070-2842-4ABA-93F3-7D67C13FEA65}"/>
    <cellStyle name="Normal 5 4 8 5" xfId="11589" xr:uid="{419E2ECF-615D-4B8D-A549-6F04359FC02C}"/>
    <cellStyle name="Normal 5 4 9" xfId="2610" xr:uid="{00000000-0005-0000-0000-00004A1B0000}"/>
    <cellStyle name="Normal 5 4 9 2" xfId="6893" xr:uid="{00000000-0005-0000-0000-00004B1B0000}"/>
    <cellStyle name="Normal 5 4 9 2 2" xfId="24659" xr:uid="{7D6BE19D-5082-45F6-A70C-242F939B1CB8}"/>
    <cellStyle name="Normal 5 4 9 2 3" xfId="16219" xr:uid="{237C42EA-F8AE-4628-A03C-92905C76A6C1}"/>
    <cellStyle name="Normal 5 4 9 3" xfId="20442" xr:uid="{7A6B7BC3-0B07-403E-8135-0EB1406FBAFF}"/>
    <cellStyle name="Normal 5 4 9 4" xfId="12002" xr:uid="{BC5D2D13-91DA-4BFB-9109-1DE80A510972}"/>
    <cellStyle name="Normal 5 5" xfId="464" xr:uid="{00000000-0005-0000-0000-00004C1B0000}"/>
    <cellStyle name="Normal 5 5 10" xfId="8826" xr:uid="{5746674A-546A-44BF-97FB-6D298BF3AD61}"/>
    <cellStyle name="Normal 5 5 10 2" xfId="18385" xr:uid="{A3CEB7D2-40BB-4E50-B603-2F89702BE3A2}"/>
    <cellStyle name="Normal 5 5 11" xfId="9945" xr:uid="{4239EB2C-CA53-4014-8D81-10B185A989C2}"/>
    <cellStyle name="Normal 5 5 2" xfId="465" xr:uid="{00000000-0005-0000-0000-00004D1B0000}"/>
    <cellStyle name="Normal 5 5 2 10" xfId="9946" xr:uid="{56D07962-2A58-4FD1-99CC-2D911BE93015}"/>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25162" xr:uid="{343BBB99-C94B-4352-ACBF-DCB7E8DABF4D}"/>
    <cellStyle name="Normal 5 5 2 2 2 2 2 3" xfId="16722" xr:uid="{C0E3138E-7852-416E-ADB0-D2476984D7BF}"/>
    <cellStyle name="Normal 5 5 2 2 2 2 3" xfId="20945" xr:uid="{17C6E25B-4B72-4BBC-A2FA-54C0E0F43409}"/>
    <cellStyle name="Normal 5 5 2 2 2 2 4" xfId="12505" xr:uid="{4FFAD44A-C65A-4054-8E12-93ECF0BAA7C0}"/>
    <cellStyle name="Normal 5 5 2 2 2 3" xfId="5251" xr:uid="{00000000-0005-0000-0000-0000521B0000}"/>
    <cellStyle name="Normal 5 5 2 2 2 3 2" xfId="23017" xr:uid="{11F888CF-CF3D-4A97-9DD3-2AEF32586033}"/>
    <cellStyle name="Normal 5 5 2 2 2 3 3" xfId="14577" xr:uid="{A2DF6896-A675-425D-8392-D1A44ADC9E6C}"/>
    <cellStyle name="Normal 5 5 2 2 2 4" xfId="9561" xr:uid="{FF1EB4DD-E23E-4228-816B-D59B021F724D}"/>
    <cellStyle name="Normal 5 5 2 2 2 4 2" xfId="18800" xr:uid="{F8430E80-F2CA-48D3-BBD3-E6B25805E13A}"/>
    <cellStyle name="Normal 5 5 2 2 2 5" xfId="10360" xr:uid="{9A7E53D6-8134-47FA-A124-7D3BF013DDB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25575" xr:uid="{88AF5595-34D2-452A-AC41-CDE2BA680D4A}"/>
    <cellStyle name="Normal 5 5 2 2 3 2 2 3" xfId="17135" xr:uid="{83B2ABBC-1854-46A8-A4E3-E77699374512}"/>
    <cellStyle name="Normal 5 5 2 2 3 2 3" xfId="21358" xr:uid="{C50B28B8-506C-45DB-BB30-D4748C07AFEC}"/>
    <cellStyle name="Normal 5 5 2 2 3 2 4" xfId="12918" xr:uid="{0A1A5E6B-D030-4571-A9E9-E2E2479490E0}"/>
    <cellStyle name="Normal 5 5 2 2 3 3" xfId="5664" xr:uid="{00000000-0005-0000-0000-0000561B0000}"/>
    <cellStyle name="Normal 5 5 2 2 3 3 2" xfId="23430" xr:uid="{233402DA-F4F9-4AE3-BFD0-CA536461A9E8}"/>
    <cellStyle name="Normal 5 5 2 2 3 3 3" xfId="14990" xr:uid="{3EF88FFC-2A44-4099-BE48-06A7D4530D41}"/>
    <cellStyle name="Normal 5 5 2 2 3 4" xfId="19213" xr:uid="{4193272F-F677-4EED-B7F0-EA21760D0673}"/>
    <cellStyle name="Normal 5 5 2 2 3 5" xfId="10773" xr:uid="{898D7A19-09CB-4129-ABB0-B1248D02613F}"/>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25988" xr:uid="{FDC015D9-1703-47D2-81C7-44FA5B3CD787}"/>
    <cellStyle name="Normal 5 5 2 2 4 2 2 3" xfId="17548" xr:uid="{60C7EDBD-7748-4799-9679-4C6BC05C1E4E}"/>
    <cellStyle name="Normal 5 5 2 2 4 2 3" xfId="21771" xr:uid="{3468043A-559E-45A7-AFB1-BE73C861AB06}"/>
    <cellStyle name="Normal 5 5 2 2 4 2 4" xfId="13331" xr:uid="{225966D7-CEC6-4135-A8C7-6AF7D510760E}"/>
    <cellStyle name="Normal 5 5 2 2 4 3" xfId="6077" xr:uid="{00000000-0005-0000-0000-00005A1B0000}"/>
    <cellStyle name="Normal 5 5 2 2 4 3 2" xfId="23843" xr:uid="{9D73C6B9-9EDD-48AC-8AD1-0DA4B8CA5C83}"/>
    <cellStyle name="Normal 5 5 2 2 4 3 3" xfId="15403" xr:uid="{ECC5E6BC-5200-4419-A4B6-D0659EFE028B}"/>
    <cellStyle name="Normal 5 5 2 2 4 4" xfId="19626" xr:uid="{E215A3EC-3879-4B85-9F69-2D4DB6E87A7A}"/>
    <cellStyle name="Normal 5 5 2 2 4 5" xfId="11186" xr:uid="{A98D4F9D-63F9-4E2C-8714-970195F65266}"/>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26401" xr:uid="{1F0694A1-48B5-4E5A-8B91-C874711A8C5D}"/>
    <cellStyle name="Normal 5 5 2 2 5 2 2 3" xfId="17961" xr:uid="{48574AF4-7D12-4E96-AC4B-D895221DDDB1}"/>
    <cellStyle name="Normal 5 5 2 2 5 2 3" xfId="22184" xr:uid="{2B7824A2-0317-4943-BFD0-186C8B8624F1}"/>
    <cellStyle name="Normal 5 5 2 2 5 2 4" xfId="13744" xr:uid="{F6AE1C18-65B0-433D-B2A9-7B9AF51D77F6}"/>
    <cellStyle name="Normal 5 5 2 2 5 3" xfId="6490" xr:uid="{00000000-0005-0000-0000-00005E1B0000}"/>
    <cellStyle name="Normal 5 5 2 2 5 3 2" xfId="24256" xr:uid="{8B9B7159-3229-4A9C-8763-46F9441FC9BE}"/>
    <cellStyle name="Normal 5 5 2 2 5 3 3" xfId="15816" xr:uid="{E623B55F-A528-48E3-8152-A1E44F76B36B}"/>
    <cellStyle name="Normal 5 5 2 2 5 4" xfId="20039" xr:uid="{25322E55-51AF-448C-A894-25653EA6BC99}"/>
    <cellStyle name="Normal 5 5 2 2 5 5" xfId="11599" xr:uid="{BED9431D-9CEB-462D-8FD4-5633FC486E65}"/>
    <cellStyle name="Normal 5 5 2 2 6" xfId="2620" xr:uid="{00000000-0005-0000-0000-00005F1B0000}"/>
    <cellStyle name="Normal 5 5 2 2 6 2" xfId="6903" xr:uid="{00000000-0005-0000-0000-0000601B0000}"/>
    <cellStyle name="Normal 5 5 2 2 6 2 2" xfId="24669" xr:uid="{7EB547D1-E538-4FCE-8826-3317577F547A}"/>
    <cellStyle name="Normal 5 5 2 2 6 2 3" xfId="16229" xr:uid="{ABA42E27-BD41-4682-AF6F-7F2B0DBF56C0}"/>
    <cellStyle name="Normal 5 5 2 2 6 3" xfId="20452" xr:uid="{08BE91E4-839B-42F3-80C1-E6400AD24E43}"/>
    <cellStyle name="Normal 5 5 2 2 6 4" xfId="12012" xr:uid="{C8574914-F244-4485-B86C-92DE5479F71B}"/>
    <cellStyle name="Normal 5 5 2 2 7" xfId="4838" xr:uid="{00000000-0005-0000-0000-0000611B0000}"/>
    <cellStyle name="Normal 5 5 2 2 7 2" xfId="22604" xr:uid="{60835A97-ABCB-4305-92A2-EE83A4D392D2}"/>
    <cellStyle name="Normal 5 5 2 2 7 3" xfId="14164" xr:uid="{CE256EA0-2356-452B-9F39-50553FC1A788}"/>
    <cellStyle name="Normal 5 5 2 2 8" xfId="9136" xr:uid="{D41453B5-3BE6-4F01-B336-45A274529844}"/>
    <cellStyle name="Normal 5 5 2 2 8 2" xfId="18387" xr:uid="{A39D59F8-75EB-463F-B312-A75C87EF6023}"/>
    <cellStyle name="Normal 5 5 2 2 9" xfId="9947" xr:uid="{37A21D6E-C115-41C2-9040-DD3C623A41B1}"/>
    <cellStyle name="Normal 5 5 2 3" xfId="939" xr:uid="{00000000-0005-0000-0000-0000621B0000}"/>
    <cellStyle name="Normal 5 5 2 3 2" xfId="3173" xr:uid="{00000000-0005-0000-0000-0000631B0000}"/>
    <cellStyle name="Normal 5 5 2 3 2 2" xfId="7395" xr:uid="{00000000-0005-0000-0000-0000641B0000}"/>
    <cellStyle name="Normal 5 5 2 3 2 2 2" xfId="25161" xr:uid="{944FC429-A30C-4F9B-ABE0-7866E1455424}"/>
    <cellStyle name="Normal 5 5 2 3 2 2 3" xfId="16721" xr:uid="{69D5F8B8-34A7-49B9-B275-81F6D57CC7F7}"/>
    <cellStyle name="Normal 5 5 2 3 2 3" xfId="20944" xr:uid="{EF0A0C85-F980-4A09-A41D-22B5894A3E3C}"/>
    <cellStyle name="Normal 5 5 2 3 2 4" xfId="12504" xr:uid="{34DA2B49-77DB-4BD3-AABB-B5CB479BCC3E}"/>
    <cellStyle name="Normal 5 5 2 3 3" xfId="5250" xr:uid="{00000000-0005-0000-0000-0000651B0000}"/>
    <cellStyle name="Normal 5 5 2 3 3 2" xfId="23016" xr:uid="{FFA5241A-5CC3-41EC-A9A5-DA8D455EAB4E}"/>
    <cellStyle name="Normal 5 5 2 3 3 3" xfId="14576" xr:uid="{A7DCF2F5-2500-4F79-9E03-1E732436D700}"/>
    <cellStyle name="Normal 5 5 2 3 4" xfId="9354" xr:uid="{3251F49D-E700-469D-9840-28045D408641}"/>
    <cellStyle name="Normal 5 5 2 3 4 2" xfId="18799" xr:uid="{69D05361-4879-4100-94EE-95B01F58FEDA}"/>
    <cellStyle name="Normal 5 5 2 3 5" xfId="10359" xr:uid="{403D4A28-59B2-4C2A-9E03-F432EADBB146}"/>
    <cellStyle name="Normal 5 5 2 4" xfId="1356" xr:uid="{00000000-0005-0000-0000-0000661B0000}"/>
    <cellStyle name="Normal 5 5 2 4 2" xfId="3586" xr:uid="{00000000-0005-0000-0000-0000671B0000}"/>
    <cellStyle name="Normal 5 5 2 4 2 2" xfId="7808" xr:uid="{00000000-0005-0000-0000-0000681B0000}"/>
    <cellStyle name="Normal 5 5 2 4 2 2 2" xfId="25574" xr:uid="{E5FE43BB-4D69-4FBE-A4AB-710A416749E8}"/>
    <cellStyle name="Normal 5 5 2 4 2 2 3" xfId="17134" xr:uid="{2F95B4B9-4EC2-4997-95A6-0863938461EC}"/>
    <cellStyle name="Normal 5 5 2 4 2 3" xfId="21357" xr:uid="{9E993D57-0B15-4DAC-A810-F92E825F4A13}"/>
    <cellStyle name="Normal 5 5 2 4 2 4" xfId="12917" xr:uid="{D85487B4-8011-4B43-8ED7-A9ECE1461BCA}"/>
    <cellStyle name="Normal 5 5 2 4 3" xfId="5663" xr:uid="{00000000-0005-0000-0000-0000691B0000}"/>
    <cellStyle name="Normal 5 5 2 4 3 2" xfId="23429" xr:uid="{117AFCC1-670C-4A46-A1B7-16B825E2BDC1}"/>
    <cellStyle name="Normal 5 5 2 4 3 3" xfId="14989" xr:uid="{66E9B8C8-9394-4BCB-ABD6-E093C7B0433C}"/>
    <cellStyle name="Normal 5 5 2 4 4" xfId="19212" xr:uid="{5924E6E9-772A-4447-B6B2-998B201B38FF}"/>
    <cellStyle name="Normal 5 5 2 4 5" xfId="10772" xr:uid="{5E6E4ECB-6DFF-4AF5-AC8D-2EB133F36653}"/>
    <cellStyle name="Normal 5 5 2 5" xfId="1769" xr:uid="{00000000-0005-0000-0000-00006A1B0000}"/>
    <cellStyle name="Normal 5 5 2 5 2" xfId="3999" xr:uid="{00000000-0005-0000-0000-00006B1B0000}"/>
    <cellStyle name="Normal 5 5 2 5 2 2" xfId="8221" xr:uid="{00000000-0005-0000-0000-00006C1B0000}"/>
    <cellStyle name="Normal 5 5 2 5 2 2 2" xfId="25987" xr:uid="{1212955D-4C08-4557-9FB3-AD1D3DBA161A}"/>
    <cellStyle name="Normal 5 5 2 5 2 2 3" xfId="17547" xr:uid="{837197AD-591A-45B2-84AD-F5FB005D2DAF}"/>
    <cellStyle name="Normal 5 5 2 5 2 3" xfId="21770" xr:uid="{E799E35C-FCA9-4B83-94A1-1BA5815CCB7D}"/>
    <cellStyle name="Normal 5 5 2 5 2 4" xfId="13330" xr:uid="{70A5810F-604D-45B8-B7DC-AFAE0E1260F3}"/>
    <cellStyle name="Normal 5 5 2 5 3" xfId="6076" xr:uid="{00000000-0005-0000-0000-00006D1B0000}"/>
    <cellStyle name="Normal 5 5 2 5 3 2" xfId="23842" xr:uid="{ACE575E7-2656-4926-87BB-8AD21F3E7608}"/>
    <cellStyle name="Normal 5 5 2 5 3 3" xfId="15402" xr:uid="{D1626C95-6C88-4EBE-9763-7D03D50BDC6C}"/>
    <cellStyle name="Normal 5 5 2 5 4" xfId="19625" xr:uid="{F078C89D-9F03-4501-AB86-679159385352}"/>
    <cellStyle name="Normal 5 5 2 5 5" xfId="11185" xr:uid="{033C2365-0541-48C7-B6E4-2B7EFB97AB29}"/>
    <cellStyle name="Normal 5 5 2 6" xfId="2183" xr:uid="{00000000-0005-0000-0000-00006E1B0000}"/>
    <cellStyle name="Normal 5 5 2 6 2" xfId="4412" xr:uid="{00000000-0005-0000-0000-00006F1B0000}"/>
    <cellStyle name="Normal 5 5 2 6 2 2" xfId="8634" xr:uid="{00000000-0005-0000-0000-0000701B0000}"/>
    <cellStyle name="Normal 5 5 2 6 2 2 2" xfId="26400" xr:uid="{85230273-3459-44D1-B95E-461275A3F139}"/>
    <cellStyle name="Normal 5 5 2 6 2 2 3" xfId="17960" xr:uid="{85A582FD-4C58-4399-891D-B52342D6E581}"/>
    <cellStyle name="Normal 5 5 2 6 2 3" xfId="22183" xr:uid="{01F7BB02-DBE4-4657-B17C-671F0A56E9A4}"/>
    <cellStyle name="Normal 5 5 2 6 2 4" xfId="13743" xr:uid="{C8AA2965-41EC-4420-83F7-E14A31579F1D}"/>
    <cellStyle name="Normal 5 5 2 6 3" xfId="6489" xr:uid="{00000000-0005-0000-0000-0000711B0000}"/>
    <cellStyle name="Normal 5 5 2 6 3 2" xfId="24255" xr:uid="{7BCA8371-ACFD-4467-A664-B0C789588BF8}"/>
    <cellStyle name="Normal 5 5 2 6 3 3" xfId="15815" xr:uid="{07C54FE0-593D-4333-A1F2-B77BB828A75F}"/>
    <cellStyle name="Normal 5 5 2 6 4" xfId="20038" xr:uid="{5565ADAF-938C-4363-A9D9-7ADBEF76F570}"/>
    <cellStyle name="Normal 5 5 2 6 5" xfId="11598" xr:uid="{3BDEDE5C-692D-404A-ABB1-9D354EAF01A2}"/>
    <cellStyle name="Normal 5 5 2 7" xfId="2619" xr:uid="{00000000-0005-0000-0000-0000721B0000}"/>
    <cellStyle name="Normal 5 5 2 7 2" xfId="6902" xr:uid="{00000000-0005-0000-0000-0000731B0000}"/>
    <cellStyle name="Normal 5 5 2 7 2 2" xfId="24668" xr:uid="{B650C3AD-020F-4EEE-8695-425CABF8EB07}"/>
    <cellStyle name="Normal 5 5 2 7 2 3" xfId="16228" xr:uid="{2E1A2CEC-2265-4453-8611-F2DDBBD25D27}"/>
    <cellStyle name="Normal 5 5 2 7 3" xfId="20451" xr:uid="{C16CA6B8-FB96-4BD9-BBF3-D6BB456ED411}"/>
    <cellStyle name="Normal 5 5 2 7 4" xfId="12011" xr:uid="{1F363251-A7EA-4EC0-B1CD-B6D8AFFAF0B3}"/>
    <cellStyle name="Normal 5 5 2 8" xfId="4837" xr:uid="{00000000-0005-0000-0000-0000741B0000}"/>
    <cellStyle name="Normal 5 5 2 8 2" xfId="22603" xr:uid="{E2C2F629-04A0-4A50-BDEA-A2DA63900E38}"/>
    <cellStyle name="Normal 5 5 2 8 3" xfId="14163" xr:uid="{E3DB3C68-2789-4841-B695-66AF9B5F39F6}"/>
    <cellStyle name="Normal 5 5 2 9" xfId="8929" xr:uid="{918246BA-1946-46D4-8BAF-6DC0C4DC8AC3}"/>
    <cellStyle name="Normal 5 5 2 9 2" xfId="18386" xr:uid="{17738FA2-F06A-4843-8875-D58F1988354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25163" xr:uid="{29D1950A-892C-467A-98C8-5CACF2C9FBEE}"/>
    <cellStyle name="Normal 5 5 3 2 2 2 3" xfId="16723" xr:uid="{D19B2AB3-B2D4-4A43-8F33-D91B3A1E6A22}"/>
    <cellStyle name="Normal 5 5 3 2 2 3" xfId="20946" xr:uid="{345804EC-E670-4441-8D85-5DCF18EB6E5C}"/>
    <cellStyle name="Normal 5 5 3 2 2 4" xfId="12506" xr:uid="{7B4DBD6F-67F9-405E-A974-8E2549ED7102}"/>
    <cellStyle name="Normal 5 5 3 2 3" xfId="5252" xr:uid="{00000000-0005-0000-0000-0000791B0000}"/>
    <cellStyle name="Normal 5 5 3 2 3 2" xfId="23018" xr:uid="{5ABDDAFB-7AE2-4956-810E-E0507F07FC43}"/>
    <cellStyle name="Normal 5 5 3 2 3 3" xfId="14578" xr:uid="{C989BBED-521D-4F39-AECF-4122D7F30750}"/>
    <cellStyle name="Normal 5 5 3 2 4" xfId="9458" xr:uid="{8AD16727-CFBF-4DB5-B58F-04D48E2B564D}"/>
    <cellStyle name="Normal 5 5 3 2 4 2" xfId="18801" xr:uid="{9694FB2A-5D01-4327-8122-829FEB7CABBC}"/>
    <cellStyle name="Normal 5 5 3 2 5" xfId="10361" xr:uid="{1229A858-FA07-4C3B-8616-A5CE76335C05}"/>
    <cellStyle name="Normal 5 5 3 3" xfId="1358" xr:uid="{00000000-0005-0000-0000-00007A1B0000}"/>
    <cellStyle name="Normal 5 5 3 3 2" xfId="3588" xr:uid="{00000000-0005-0000-0000-00007B1B0000}"/>
    <cellStyle name="Normal 5 5 3 3 2 2" xfId="7810" xr:uid="{00000000-0005-0000-0000-00007C1B0000}"/>
    <cellStyle name="Normal 5 5 3 3 2 2 2" xfId="25576" xr:uid="{5AB1BADC-0210-467D-8977-E39E32BD217F}"/>
    <cellStyle name="Normal 5 5 3 3 2 2 3" xfId="17136" xr:uid="{D962BF5A-E1D1-489A-83B2-C758A2E904BE}"/>
    <cellStyle name="Normal 5 5 3 3 2 3" xfId="21359" xr:uid="{806E9C49-5A61-4E81-B04F-6E0A431BA4C6}"/>
    <cellStyle name="Normal 5 5 3 3 2 4" xfId="12919" xr:uid="{086BA9E4-F8A0-4302-B5DD-210E37A5DC21}"/>
    <cellStyle name="Normal 5 5 3 3 3" xfId="5665" xr:uid="{00000000-0005-0000-0000-00007D1B0000}"/>
    <cellStyle name="Normal 5 5 3 3 3 2" xfId="23431" xr:uid="{71378C62-6EA3-4F35-B9EF-8DF4C4996D8B}"/>
    <cellStyle name="Normal 5 5 3 3 3 3" xfId="14991" xr:uid="{C40089A1-15FF-4EFC-A28F-4E468DFF0538}"/>
    <cellStyle name="Normal 5 5 3 3 4" xfId="19214" xr:uid="{FDA029FD-F1E6-4358-B660-D7F6ABFE49B1}"/>
    <cellStyle name="Normal 5 5 3 3 5" xfId="10774" xr:uid="{43AB739B-EBF6-47D0-93E5-4FC95B8999D3}"/>
    <cellStyle name="Normal 5 5 3 4" xfId="1771" xr:uid="{00000000-0005-0000-0000-00007E1B0000}"/>
    <cellStyle name="Normal 5 5 3 4 2" xfId="4001" xr:uid="{00000000-0005-0000-0000-00007F1B0000}"/>
    <cellStyle name="Normal 5 5 3 4 2 2" xfId="8223" xr:uid="{00000000-0005-0000-0000-0000801B0000}"/>
    <cellStyle name="Normal 5 5 3 4 2 2 2" xfId="25989" xr:uid="{E9EC176F-D81A-4F0A-AB5A-6B1C39A2BBD0}"/>
    <cellStyle name="Normal 5 5 3 4 2 2 3" xfId="17549" xr:uid="{9CA3F64D-B3F7-4DB7-AADE-B3A8F01C1FE2}"/>
    <cellStyle name="Normal 5 5 3 4 2 3" xfId="21772" xr:uid="{C80A1A1C-FB94-4AFB-AAFD-B1A839A452ED}"/>
    <cellStyle name="Normal 5 5 3 4 2 4" xfId="13332" xr:uid="{9FFD4B4B-A18A-4AD9-A25B-9BA93E486ABB}"/>
    <cellStyle name="Normal 5 5 3 4 3" xfId="6078" xr:uid="{00000000-0005-0000-0000-0000811B0000}"/>
    <cellStyle name="Normal 5 5 3 4 3 2" xfId="23844" xr:uid="{D036502B-4480-4F50-BB45-1F9C2AED7AC3}"/>
    <cellStyle name="Normal 5 5 3 4 3 3" xfId="15404" xr:uid="{CCA7F5A5-D182-4E8A-A202-7FC4DCBFA301}"/>
    <cellStyle name="Normal 5 5 3 4 4" xfId="19627" xr:uid="{85EC852F-7FF1-440E-9BFE-48ADA600E4BA}"/>
    <cellStyle name="Normal 5 5 3 4 5" xfId="11187" xr:uid="{1BAFB056-CED4-4C65-A1A9-60DF80209733}"/>
    <cellStyle name="Normal 5 5 3 5" xfId="2185" xr:uid="{00000000-0005-0000-0000-0000821B0000}"/>
    <cellStyle name="Normal 5 5 3 5 2" xfId="4414" xr:uid="{00000000-0005-0000-0000-0000831B0000}"/>
    <cellStyle name="Normal 5 5 3 5 2 2" xfId="8636" xr:uid="{00000000-0005-0000-0000-0000841B0000}"/>
    <cellStyle name="Normal 5 5 3 5 2 2 2" xfId="26402" xr:uid="{7CEE65F9-8563-47B5-B185-8510714AEB5D}"/>
    <cellStyle name="Normal 5 5 3 5 2 2 3" xfId="17962" xr:uid="{CC78D588-AF63-4A8D-9B90-347E631DF161}"/>
    <cellStyle name="Normal 5 5 3 5 2 3" xfId="22185" xr:uid="{D39297F3-A245-47C8-B792-A6B72243D8AC}"/>
    <cellStyle name="Normal 5 5 3 5 2 4" xfId="13745" xr:uid="{A4ED0B21-AEE8-47D3-9F52-FAC8ED259503}"/>
    <cellStyle name="Normal 5 5 3 5 3" xfId="6491" xr:uid="{00000000-0005-0000-0000-0000851B0000}"/>
    <cellStyle name="Normal 5 5 3 5 3 2" xfId="24257" xr:uid="{A63E2024-E08E-4A04-9F44-DB338FA9DAAA}"/>
    <cellStyle name="Normal 5 5 3 5 3 3" xfId="15817" xr:uid="{226810F8-0A6E-4241-9C7E-87FE9C0319EC}"/>
    <cellStyle name="Normal 5 5 3 5 4" xfId="20040" xr:uid="{08A91A8B-7FCC-42F7-AB90-6489A8AC1754}"/>
    <cellStyle name="Normal 5 5 3 5 5" xfId="11600" xr:uid="{A134CDDF-DF83-432B-B217-7E7AF3280B49}"/>
    <cellStyle name="Normal 5 5 3 6" xfId="2621" xr:uid="{00000000-0005-0000-0000-0000861B0000}"/>
    <cellStyle name="Normal 5 5 3 6 2" xfId="6904" xr:uid="{00000000-0005-0000-0000-0000871B0000}"/>
    <cellStyle name="Normal 5 5 3 6 2 2" xfId="24670" xr:uid="{42A4363D-878B-4F80-9AA9-3E1FE250F258}"/>
    <cellStyle name="Normal 5 5 3 6 2 3" xfId="16230" xr:uid="{CC77E2E2-131D-4DCD-BD0E-2565A2CCA9FB}"/>
    <cellStyle name="Normal 5 5 3 6 3" xfId="20453" xr:uid="{A1725EE0-FEC0-4ECE-91F0-11B3D8152757}"/>
    <cellStyle name="Normal 5 5 3 6 4" xfId="12013" xr:uid="{42D80E95-A66D-4F82-B7AD-A31B1B3BF9FE}"/>
    <cellStyle name="Normal 5 5 3 7" xfId="4839" xr:uid="{00000000-0005-0000-0000-0000881B0000}"/>
    <cellStyle name="Normal 5 5 3 7 2" xfId="22605" xr:uid="{5D262A64-E711-4BB8-A4B1-B3175B248D94}"/>
    <cellStyle name="Normal 5 5 3 7 3" xfId="14165" xr:uid="{376DFA7E-03C3-4F39-A041-8118E69660D9}"/>
    <cellStyle name="Normal 5 5 3 8" xfId="9033" xr:uid="{08F77EF7-8D03-42D9-B538-FE3582C4B971}"/>
    <cellStyle name="Normal 5 5 3 8 2" xfId="18388" xr:uid="{BF8DD33A-2E0A-425B-836E-98040DABFC0B}"/>
    <cellStyle name="Normal 5 5 3 9" xfId="9948" xr:uid="{6802A95B-A593-4C90-B763-C40861D49C78}"/>
    <cellStyle name="Normal 5 5 4" xfId="938" xr:uid="{00000000-0005-0000-0000-0000891B0000}"/>
    <cellStyle name="Normal 5 5 4 2" xfId="3172" xr:uid="{00000000-0005-0000-0000-00008A1B0000}"/>
    <cellStyle name="Normal 5 5 4 2 2" xfId="7394" xr:uid="{00000000-0005-0000-0000-00008B1B0000}"/>
    <cellStyle name="Normal 5 5 4 2 2 2" xfId="25160" xr:uid="{BA7DF884-0930-43C5-841A-EFCBBC6B8C1F}"/>
    <cellStyle name="Normal 5 5 4 2 2 3" xfId="16720" xr:uid="{5B59DB94-C89A-47EC-B725-91E188D62ED9}"/>
    <cellStyle name="Normal 5 5 4 2 3" xfId="20943" xr:uid="{15F8AD73-FD78-47A4-9EDF-E5D7947017BF}"/>
    <cellStyle name="Normal 5 5 4 2 4" xfId="12503" xr:uid="{F3EC6033-ECF7-49CE-AA71-B306D3DE7481}"/>
    <cellStyle name="Normal 5 5 4 3" xfId="5249" xr:uid="{00000000-0005-0000-0000-00008C1B0000}"/>
    <cellStyle name="Normal 5 5 4 3 2" xfId="23015" xr:uid="{5DEA0497-F21C-4C85-B0D0-40D76C746134}"/>
    <cellStyle name="Normal 5 5 4 3 3" xfId="14575" xr:uid="{4B93560C-7B68-4C13-9B33-4D11CB3BF1CC}"/>
    <cellStyle name="Normal 5 5 4 4" xfId="9251" xr:uid="{4EAD9E35-D3C9-46BE-AE4D-29A1C6D5A6F7}"/>
    <cellStyle name="Normal 5 5 4 4 2" xfId="18798" xr:uid="{7E4DE7B6-C522-4380-A3D0-0F3975AAD565}"/>
    <cellStyle name="Normal 5 5 4 5" xfId="10358" xr:uid="{17B16A19-D894-433E-8122-CFB8B2F5D433}"/>
    <cellStyle name="Normal 5 5 5" xfId="1355" xr:uid="{00000000-0005-0000-0000-00008D1B0000}"/>
    <cellStyle name="Normal 5 5 5 2" xfId="3585" xr:uid="{00000000-0005-0000-0000-00008E1B0000}"/>
    <cellStyle name="Normal 5 5 5 2 2" xfId="7807" xr:uid="{00000000-0005-0000-0000-00008F1B0000}"/>
    <cellStyle name="Normal 5 5 5 2 2 2" xfId="25573" xr:uid="{4BF7EAED-2BE0-4F39-9AE0-0560872D563C}"/>
    <cellStyle name="Normal 5 5 5 2 2 3" xfId="17133" xr:uid="{C38B41EB-62F8-42A4-AFE3-3737D1C269A2}"/>
    <cellStyle name="Normal 5 5 5 2 3" xfId="21356" xr:uid="{DBC00D8B-5B2A-4580-84A7-9A5BE39C4AD2}"/>
    <cellStyle name="Normal 5 5 5 2 4" xfId="12916" xr:uid="{00A4E126-3240-4DCD-8BA6-009B7D440673}"/>
    <cellStyle name="Normal 5 5 5 3" xfId="5662" xr:uid="{00000000-0005-0000-0000-0000901B0000}"/>
    <cellStyle name="Normal 5 5 5 3 2" xfId="23428" xr:uid="{3624402F-BE17-485C-A753-1FACC03422BE}"/>
    <cellStyle name="Normal 5 5 5 3 3" xfId="14988" xr:uid="{97B8BDF2-4E22-47FE-84B7-C21603B6D611}"/>
    <cellStyle name="Normal 5 5 5 4" xfId="19211" xr:uid="{20E8172B-4B25-4583-9D0B-F9656D74F0E5}"/>
    <cellStyle name="Normal 5 5 5 5" xfId="10771" xr:uid="{95CFF398-4091-4C79-BB7C-E5914728180D}"/>
    <cellStyle name="Normal 5 5 6" xfId="1768" xr:uid="{00000000-0005-0000-0000-0000911B0000}"/>
    <cellStyle name="Normal 5 5 6 2" xfId="3998" xr:uid="{00000000-0005-0000-0000-0000921B0000}"/>
    <cellStyle name="Normal 5 5 6 2 2" xfId="8220" xr:uid="{00000000-0005-0000-0000-0000931B0000}"/>
    <cellStyle name="Normal 5 5 6 2 2 2" xfId="25986" xr:uid="{1C3FE9D2-00BE-4B8D-A1BB-8F84A4915C9D}"/>
    <cellStyle name="Normal 5 5 6 2 2 3" xfId="17546" xr:uid="{A2ADACD2-2D0D-42FB-9F00-0B185331A81B}"/>
    <cellStyle name="Normal 5 5 6 2 3" xfId="21769" xr:uid="{B53BE1A4-8734-4BCF-A7F5-709CEB13B48E}"/>
    <cellStyle name="Normal 5 5 6 2 4" xfId="13329" xr:uid="{44EE8056-FC20-40F4-B604-07C9313471D0}"/>
    <cellStyle name="Normal 5 5 6 3" xfId="6075" xr:uid="{00000000-0005-0000-0000-0000941B0000}"/>
    <cellStyle name="Normal 5 5 6 3 2" xfId="23841" xr:uid="{38009BF6-F87F-4D72-A195-3D4686C3F478}"/>
    <cellStyle name="Normal 5 5 6 3 3" xfId="15401" xr:uid="{4A4AA6E2-444A-4AE6-87F3-B37DF78DEA5F}"/>
    <cellStyle name="Normal 5 5 6 4" xfId="19624" xr:uid="{A7A04C50-D5DC-4A80-B89D-13912E86FBD3}"/>
    <cellStyle name="Normal 5 5 6 5" xfId="11184" xr:uid="{982924E6-CDCF-4CE4-9B05-8B48B038D942}"/>
    <cellStyle name="Normal 5 5 7" xfId="2182" xr:uid="{00000000-0005-0000-0000-0000951B0000}"/>
    <cellStyle name="Normal 5 5 7 2" xfId="4411" xr:uid="{00000000-0005-0000-0000-0000961B0000}"/>
    <cellStyle name="Normal 5 5 7 2 2" xfId="8633" xr:uid="{00000000-0005-0000-0000-0000971B0000}"/>
    <cellStyle name="Normal 5 5 7 2 2 2" xfId="26399" xr:uid="{533AD498-F590-4FAB-86EF-6AA32569B7E6}"/>
    <cellStyle name="Normal 5 5 7 2 2 3" xfId="17959" xr:uid="{5BC166D5-638A-4562-8DD6-0462A95DD51B}"/>
    <cellStyle name="Normal 5 5 7 2 3" xfId="22182" xr:uid="{CCBA1E15-9426-495A-8E12-C0A189CB4658}"/>
    <cellStyle name="Normal 5 5 7 2 4" xfId="13742" xr:uid="{B99311FC-B755-4EBB-992A-6B052635542C}"/>
    <cellStyle name="Normal 5 5 7 3" xfId="6488" xr:uid="{00000000-0005-0000-0000-0000981B0000}"/>
    <cellStyle name="Normal 5 5 7 3 2" xfId="24254" xr:uid="{DD90E6ED-2002-4319-8C5D-612733D99DA2}"/>
    <cellStyle name="Normal 5 5 7 3 3" xfId="15814" xr:uid="{83F731E3-E45D-4F13-95F7-A35B839E6A70}"/>
    <cellStyle name="Normal 5 5 7 4" xfId="20037" xr:uid="{85006C8F-29BF-4F10-9500-00C706A2EF64}"/>
    <cellStyle name="Normal 5 5 7 5" xfId="11597" xr:uid="{55C62FED-4F52-449F-AF2E-43D7C8589852}"/>
    <cellStyle name="Normal 5 5 8" xfId="2618" xr:uid="{00000000-0005-0000-0000-0000991B0000}"/>
    <cellStyle name="Normal 5 5 8 2" xfId="6901" xr:uid="{00000000-0005-0000-0000-00009A1B0000}"/>
    <cellStyle name="Normal 5 5 8 2 2" xfId="24667" xr:uid="{510AC6DF-FB9C-40E0-84A5-80C0F226F8FE}"/>
    <cellStyle name="Normal 5 5 8 2 3" xfId="16227" xr:uid="{950A4D0D-8662-4BEC-9C25-1CF28C66142F}"/>
    <cellStyle name="Normal 5 5 8 3" xfId="20450" xr:uid="{FA8AD85C-25ED-4573-A917-D1B4A7F5F5B9}"/>
    <cellStyle name="Normal 5 5 8 4" xfId="12010" xr:uid="{1E6BCF4B-FB55-4E89-A1FC-509B2CA75D56}"/>
    <cellStyle name="Normal 5 5 9" xfId="4836" xr:uid="{00000000-0005-0000-0000-00009B1B0000}"/>
    <cellStyle name="Normal 5 5 9 2" xfId="22602" xr:uid="{ABA6091D-2EB7-4F4B-8ECA-C839AA289B6E}"/>
    <cellStyle name="Normal 5 5 9 3" xfId="14162" xr:uid="{E6424EE7-E299-4787-B07B-97E6176C909C}"/>
    <cellStyle name="Normal 5 6" xfId="468" xr:uid="{00000000-0005-0000-0000-00009C1B0000}"/>
    <cellStyle name="Normal 5 6 10" xfId="9949" xr:uid="{6F71A38C-D2FB-4D1A-9925-077E4321A882}"/>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25165" xr:uid="{55C520F8-0D7A-454D-9F23-0C6D2500414C}"/>
    <cellStyle name="Normal 5 6 2 2 2 2 3" xfId="16725" xr:uid="{BC070C16-FDD4-4333-BE0D-6124FCF4CB52}"/>
    <cellStyle name="Normal 5 6 2 2 2 3" xfId="20948" xr:uid="{EA5AB451-8A9C-4C22-A12D-56F661B3B673}"/>
    <cellStyle name="Normal 5 6 2 2 2 4" xfId="12508" xr:uid="{8C42FEB0-EFE9-415F-A2C1-4F5A431A2A2F}"/>
    <cellStyle name="Normal 5 6 2 2 3" xfId="5254" xr:uid="{00000000-0005-0000-0000-0000A11B0000}"/>
    <cellStyle name="Normal 5 6 2 2 3 2" xfId="23020" xr:uid="{B6F2FB1F-0DD3-4209-ADB6-AE737CDF0CE6}"/>
    <cellStyle name="Normal 5 6 2 2 3 3" xfId="14580" xr:uid="{07E5A493-9CC6-40C1-94BD-C3878E4D7EAF}"/>
    <cellStyle name="Normal 5 6 2 2 4" xfId="9476" xr:uid="{3B3E6CA1-4D97-4B11-99D5-4F82314AA0E0}"/>
    <cellStyle name="Normal 5 6 2 2 4 2" xfId="18803" xr:uid="{B9294681-5042-434F-9531-D7B3F63D0135}"/>
    <cellStyle name="Normal 5 6 2 2 5" xfId="10363" xr:uid="{32CB9E33-7C68-461E-AE95-5E9CAFE8A91F}"/>
    <cellStyle name="Normal 5 6 2 3" xfId="1360" xr:uid="{00000000-0005-0000-0000-0000A21B0000}"/>
    <cellStyle name="Normal 5 6 2 3 2" xfId="3590" xr:uid="{00000000-0005-0000-0000-0000A31B0000}"/>
    <cellStyle name="Normal 5 6 2 3 2 2" xfId="7812" xr:uid="{00000000-0005-0000-0000-0000A41B0000}"/>
    <cellStyle name="Normal 5 6 2 3 2 2 2" xfId="25578" xr:uid="{3077178C-6735-454B-89BB-495ADA41FAF7}"/>
    <cellStyle name="Normal 5 6 2 3 2 2 3" xfId="17138" xr:uid="{CB454485-1A02-4142-9D28-1357786C2F87}"/>
    <cellStyle name="Normal 5 6 2 3 2 3" xfId="21361" xr:uid="{53B9354C-8DEA-416C-8827-A17FFB4768FF}"/>
    <cellStyle name="Normal 5 6 2 3 2 4" xfId="12921" xr:uid="{E0B2FB34-13A9-4B3A-B734-CB35BE3571E5}"/>
    <cellStyle name="Normal 5 6 2 3 3" xfId="5667" xr:uid="{00000000-0005-0000-0000-0000A51B0000}"/>
    <cellStyle name="Normal 5 6 2 3 3 2" xfId="23433" xr:uid="{9918189D-78B4-4F80-B0CD-AA63490EADF7}"/>
    <cellStyle name="Normal 5 6 2 3 3 3" xfId="14993" xr:uid="{4F5C7201-65B2-493E-B217-55E594F8718C}"/>
    <cellStyle name="Normal 5 6 2 3 4" xfId="19216" xr:uid="{9F9D058B-DD1E-4CE3-A835-8F5E0284682A}"/>
    <cellStyle name="Normal 5 6 2 3 5" xfId="10776" xr:uid="{73C3DD45-9FF7-4197-A8EC-951C18392CE7}"/>
    <cellStyle name="Normal 5 6 2 4" xfId="1773" xr:uid="{00000000-0005-0000-0000-0000A61B0000}"/>
    <cellStyle name="Normal 5 6 2 4 2" xfId="4003" xr:uid="{00000000-0005-0000-0000-0000A71B0000}"/>
    <cellStyle name="Normal 5 6 2 4 2 2" xfId="8225" xr:uid="{00000000-0005-0000-0000-0000A81B0000}"/>
    <cellStyle name="Normal 5 6 2 4 2 2 2" xfId="25991" xr:uid="{3FA5EDD4-0B8B-47AD-8A6E-E889DD59FA2C}"/>
    <cellStyle name="Normal 5 6 2 4 2 2 3" xfId="17551" xr:uid="{B8D7D3E1-87FA-408B-8A08-071A72EDBADF}"/>
    <cellStyle name="Normal 5 6 2 4 2 3" xfId="21774" xr:uid="{E77C6AA0-014F-4B6B-9AFD-286975F8AC9C}"/>
    <cellStyle name="Normal 5 6 2 4 2 4" xfId="13334" xr:uid="{6CAA0394-8B3F-4542-8C13-7B2A33C7F0C0}"/>
    <cellStyle name="Normal 5 6 2 4 3" xfId="6080" xr:uid="{00000000-0005-0000-0000-0000A91B0000}"/>
    <cellStyle name="Normal 5 6 2 4 3 2" xfId="23846" xr:uid="{459ED330-55B5-4E9B-9F44-8C9E1F73A265}"/>
    <cellStyle name="Normal 5 6 2 4 3 3" xfId="15406" xr:uid="{3403F085-B197-49A1-A715-FEC815E68BD5}"/>
    <cellStyle name="Normal 5 6 2 4 4" xfId="19629" xr:uid="{C63B3B4A-FC24-41C8-A420-F051AF75179F}"/>
    <cellStyle name="Normal 5 6 2 4 5" xfId="11189" xr:uid="{516783B8-DBAF-4403-9B3E-1DC4F5841E8E}"/>
    <cellStyle name="Normal 5 6 2 5" xfId="2187" xr:uid="{00000000-0005-0000-0000-0000AA1B0000}"/>
    <cellStyle name="Normal 5 6 2 5 2" xfId="4416" xr:uid="{00000000-0005-0000-0000-0000AB1B0000}"/>
    <cellStyle name="Normal 5 6 2 5 2 2" xfId="8638" xr:uid="{00000000-0005-0000-0000-0000AC1B0000}"/>
    <cellStyle name="Normal 5 6 2 5 2 2 2" xfId="26404" xr:uid="{0DAAB5D9-758F-41EF-B1CB-AB9E72E683EB}"/>
    <cellStyle name="Normal 5 6 2 5 2 2 3" xfId="17964" xr:uid="{E1085D92-3CBF-44AB-B105-A006A8260176}"/>
    <cellStyle name="Normal 5 6 2 5 2 3" xfId="22187" xr:uid="{32EF0F53-2B7C-44B7-9DC6-717BBF755083}"/>
    <cellStyle name="Normal 5 6 2 5 2 4" xfId="13747" xr:uid="{37C4CE7E-CB93-4847-95AB-7570B461DC99}"/>
    <cellStyle name="Normal 5 6 2 5 3" xfId="6493" xr:uid="{00000000-0005-0000-0000-0000AD1B0000}"/>
    <cellStyle name="Normal 5 6 2 5 3 2" xfId="24259" xr:uid="{15BA4FA7-541C-4E5D-8D1F-F17C7D313A15}"/>
    <cellStyle name="Normal 5 6 2 5 3 3" xfId="15819" xr:uid="{80C6BF63-2ACC-440B-9F4C-A5E754E01DB3}"/>
    <cellStyle name="Normal 5 6 2 5 4" xfId="20042" xr:uid="{30A764ED-331A-4FE0-9E7F-690556D0B940}"/>
    <cellStyle name="Normal 5 6 2 5 5" xfId="11602" xr:uid="{B17B6358-BC45-4237-8FBD-F70348D0091E}"/>
    <cellStyle name="Normal 5 6 2 6" xfId="2623" xr:uid="{00000000-0005-0000-0000-0000AE1B0000}"/>
    <cellStyle name="Normal 5 6 2 6 2" xfId="6906" xr:uid="{00000000-0005-0000-0000-0000AF1B0000}"/>
    <cellStyle name="Normal 5 6 2 6 2 2" xfId="24672" xr:uid="{866C41DB-52A3-42BA-918E-58C2F154FF6F}"/>
    <cellStyle name="Normal 5 6 2 6 2 3" xfId="16232" xr:uid="{FC65CFB0-4E9C-432C-B47A-03429F012520}"/>
    <cellStyle name="Normal 5 6 2 6 3" xfId="20455" xr:uid="{2682AF7F-860B-44EB-9280-922FB6202890}"/>
    <cellStyle name="Normal 5 6 2 6 4" xfId="12015" xr:uid="{BC3499EE-881C-4B1D-A094-486389499E31}"/>
    <cellStyle name="Normal 5 6 2 7" xfId="4841" xr:uid="{00000000-0005-0000-0000-0000B01B0000}"/>
    <cellStyle name="Normal 5 6 2 7 2" xfId="22607" xr:uid="{D3999E82-C49B-4DB0-A9F9-D43CE0E6FED6}"/>
    <cellStyle name="Normal 5 6 2 7 3" xfId="14167" xr:uid="{540E60C2-0717-4D53-83E1-81E7B2D3C0A6}"/>
    <cellStyle name="Normal 5 6 2 8" xfId="9051" xr:uid="{97C72229-9AC1-4DA9-8A0B-8B4B6D970DE8}"/>
    <cellStyle name="Normal 5 6 2 8 2" xfId="18390" xr:uid="{26F38429-DCE1-4346-BE98-A10D8F6E497A}"/>
    <cellStyle name="Normal 5 6 2 9" xfId="9950" xr:uid="{DAB09265-14FA-4D5A-A341-FC14C2EF415F}"/>
    <cellStyle name="Normal 5 6 3" xfId="942" xr:uid="{00000000-0005-0000-0000-0000B11B0000}"/>
    <cellStyle name="Normal 5 6 3 2" xfId="3176" xr:uid="{00000000-0005-0000-0000-0000B21B0000}"/>
    <cellStyle name="Normal 5 6 3 2 2" xfId="7398" xr:uid="{00000000-0005-0000-0000-0000B31B0000}"/>
    <cellStyle name="Normal 5 6 3 2 2 2" xfId="25164" xr:uid="{F53E695D-B4F6-4B0E-B192-68671FBF6A85}"/>
    <cellStyle name="Normal 5 6 3 2 2 3" xfId="16724" xr:uid="{35F198FD-3C12-4149-8E08-F3D8C7B961D4}"/>
    <cellStyle name="Normal 5 6 3 2 3" xfId="20947" xr:uid="{3A91D675-37C9-434E-B689-D278B35C56C5}"/>
    <cellStyle name="Normal 5 6 3 2 4" xfId="12507" xr:uid="{D27599DC-0E74-422A-A298-9F2A37E27D27}"/>
    <cellStyle name="Normal 5 6 3 3" xfId="5253" xr:uid="{00000000-0005-0000-0000-0000B41B0000}"/>
    <cellStyle name="Normal 5 6 3 3 2" xfId="23019" xr:uid="{67DE5999-1C70-4A45-A589-CA5122668FE2}"/>
    <cellStyle name="Normal 5 6 3 3 3" xfId="14579" xr:uid="{6256B36E-FF86-4894-8C1F-B3E4D36D941E}"/>
    <cellStyle name="Normal 5 6 3 4" xfId="9269" xr:uid="{7D6728A0-C210-4F3F-8114-143B9AE0BFB4}"/>
    <cellStyle name="Normal 5 6 3 4 2" xfId="18802" xr:uid="{73863FA7-7B97-4F9D-8D6E-D6B05A08EA52}"/>
    <cellStyle name="Normal 5 6 3 5" xfId="10362" xr:uid="{1F43C5AF-844E-4CD8-86B1-022B0271FE04}"/>
    <cellStyle name="Normal 5 6 4" xfId="1359" xr:uid="{00000000-0005-0000-0000-0000B51B0000}"/>
    <cellStyle name="Normal 5 6 4 2" xfId="3589" xr:uid="{00000000-0005-0000-0000-0000B61B0000}"/>
    <cellStyle name="Normal 5 6 4 2 2" xfId="7811" xr:uid="{00000000-0005-0000-0000-0000B71B0000}"/>
    <cellStyle name="Normal 5 6 4 2 2 2" xfId="25577" xr:uid="{BDE20768-C3AD-4AD9-8C88-6F06DF269E3D}"/>
    <cellStyle name="Normal 5 6 4 2 2 3" xfId="17137" xr:uid="{02FFD5E9-21A2-4751-8A70-A5300FDBC324}"/>
    <cellStyle name="Normal 5 6 4 2 3" xfId="21360" xr:uid="{009FFE47-7104-41F3-9AB1-F48770ED31DB}"/>
    <cellStyle name="Normal 5 6 4 2 4" xfId="12920" xr:uid="{60238567-D38F-441D-9903-E5DBE6731A35}"/>
    <cellStyle name="Normal 5 6 4 3" xfId="5666" xr:uid="{00000000-0005-0000-0000-0000B81B0000}"/>
    <cellStyle name="Normal 5 6 4 3 2" xfId="23432" xr:uid="{81596F62-198F-425B-A6AB-47BD4608FF90}"/>
    <cellStyle name="Normal 5 6 4 3 3" xfId="14992" xr:uid="{2F8665DA-E174-4295-8B37-0A89E1A72473}"/>
    <cellStyle name="Normal 5 6 4 4" xfId="19215" xr:uid="{F61FC0EF-2094-48CF-8702-98162956DE4F}"/>
    <cellStyle name="Normal 5 6 4 5" xfId="10775" xr:uid="{8C71D240-E06A-4F78-BF7C-B9DA6183848F}"/>
    <cellStyle name="Normal 5 6 5" xfId="1772" xr:uid="{00000000-0005-0000-0000-0000B91B0000}"/>
    <cellStyle name="Normal 5 6 5 2" xfId="4002" xr:uid="{00000000-0005-0000-0000-0000BA1B0000}"/>
    <cellStyle name="Normal 5 6 5 2 2" xfId="8224" xr:uid="{00000000-0005-0000-0000-0000BB1B0000}"/>
    <cellStyle name="Normal 5 6 5 2 2 2" xfId="25990" xr:uid="{BD688479-3A42-4063-938E-CC4ACFA36272}"/>
    <cellStyle name="Normal 5 6 5 2 2 3" xfId="17550" xr:uid="{4823B1EC-C6B1-46D0-9E43-57BE16744F9C}"/>
    <cellStyle name="Normal 5 6 5 2 3" xfId="21773" xr:uid="{41E966AB-845A-4B85-977E-FE888A6FD2CC}"/>
    <cellStyle name="Normal 5 6 5 2 4" xfId="13333" xr:uid="{BC39D956-00A7-488C-98E1-06213A96D92F}"/>
    <cellStyle name="Normal 5 6 5 3" xfId="6079" xr:uid="{00000000-0005-0000-0000-0000BC1B0000}"/>
    <cellStyle name="Normal 5 6 5 3 2" xfId="23845" xr:uid="{8E112E77-0225-4902-BC67-B50E357ECAF2}"/>
    <cellStyle name="Normal 5 6 5 3 3" xfId="15405" xr:uid="{A3285271-3E17-4447-916D-3F4E78B1DA05}"/>
    <cellStyle name="Normal 5 6 5 4" xfId="19628" xr:uid="{C2826701-4C88-4E34-AF31-1EA6BE6AC73A}"/>
    <cellStyle name="Normal 5 6 5 5" xfId="11188" xr:uid="{5CE304D6-A431-40AD-8194-D041FEFD8D44}"/>
    <cellStyle name="Normal 5 6 6" xfId="2186" xr:uid="{00000000-0005-0000-0000-0000BD1B0000}"/>
    <cellStyle name="Normal 5 6 6 2" xfId="4415" xr:uid="{00000000-0005-0000-0000-0000BE1B0000}"/>
    <cellStyle name="Normal 5 6 6 2 2" xfId="8637" xr:uid="{00000000-0005-0000-0000-0000BF1B0000}"/>
    <cellStyle name="Normal 5 6 6 2 2 2" xfId="26403" xr:uid="{265FA567-F172-4D3E-B94B-8AB9C98BF58D}"/>
    <cellStyle name="Normal 5 6 6 2 2 3" xfId="17963" xr:uid="{A8DC3F62-0503-4842-B36D-54B97A2F4C4D}"/>
    <cellStyle name="Normal 5 6 6 2 3" xfId="22186" xr:uid="{D533940C-1962-4288-BB51-A5E7D26BA6E1}"/>
    <cellStyle name="Normal 5 6 6 2 4" xfId="13746" xr:uid="{BD5E584A-C6C3-4B7A-B3BE-22E82BA637FD}"/>
    <cellStyle name="Normal 5 6 6 3" xfId="6492" xr:uid="{00000000-0005-0000-0000-0000C01B0000}"/>
    <cellStyle name="Normal 5 6 6 3 2" xfId="24258" xr:uid="{61D69528-5FB0-4FE2-8C90-B1BA28ECF967}"/>
    <cellStyle name="Normal 5 6 6 3 3" xfId="15818" xr:uid="{C981E915-C382-48D4-A565-0F97EAB0B22F}"/>
    <cellStyle name="Normal 5 6 6 4" xfId="20041" xr:uid="{D763FF11-B08D-4D5C-A0D4-1849323A7FCB}"/>
    <cellStyle name="Normal 5 6 6 5" xfId="11601" xr:uid="{094EECE5-216F-4ED1-9803-243284927666}"/>
    <cellStyle name="Normal 5 6 7" xfId="2622" xr:uid="{00000000-0005-0000-0000-0000C11B0000}"/>
    <cellStyle name="Normal 5 6 7 2" xfId="6905" xr:uid="{00000000-0005-0000-0000-0000C21B0000}"/>
    <cellStyle name="Normal 5 6 7 2 2" xfId="24671" xr:uid="{2D4B3905-055F-4CB8-BA6A-D585ADBBE557}"/>
    <cellStyle name="Normal 5 6 7 2 3" xfId="16231" xr:uid="{00D0A04A-16EF-4B89-92A4-2F767BF504BE}"/>
    <cellStyle name="Normal 5 6 7 3" xfId="20454" xr:uid="{55B7279E-4CE2-4172-819D-4C91945DC8EA}"/>
    <cellStyle name="Normal 5 6 7 4" xfId="12014" xr:uid="{C51FA2CA-5AEB-4A0E-938A-7F8511C09F8D}"/>
    <cellStyle name="Normal 5 6 8" xfId="4840" xr:uid="{00000000-0005-0000-0000-0000C31B0000}"/>
    <cellStyle name="Normal 5 6 8 2" xfId="22606" xr:uid="{96BC5991-9348-44A1-8EA4-05037353FD3D}"/>
    <cellStyle name="Normal 5 6 8 3" xfId="14166" xr:uid="{CC92A21B-44DC-473B-B810-E6BF69FAA3DF}"/>
    <cellStyle name="Normal 5 6 9" xfId="8844" xr:uid="{91B947E4-8FF0-409F-B157-688724766D9F}"/>
    <cellStyle name="Normal 5 6 9 2" xfId="18389" xr:uid="{AF145D4D-2871-4397-8A1E-FE09489DF443}"/>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25166" xr:uid="{820B98A9-81F6-4B0F-9A33-BC49A1C1344F}"/>
    <cellStyle name="Normal 5 7 2 2 2 3" xfId="16726" xr:uid="{CC904275-60A3-4563-886F-4240028EB503}"/>
    <cellStyle name="Normal 5 7 2 2 3" xfId="20949" xr:uid="{7AD933EE-D69E-4C97-8776-BFF0F53C29A4}"/>
    <cellStyle name="Normal 5 7 2 2 4" xfId="12509" xr:uid="{382952F8-55AC-4039-A547-49D17741BE61}"/>
    <cellStyle name="Normal 5 7 2 3" xfId="5255" xr:uid="{00000000-0005-0000-0000-0000C81B0000}"/>
    <cellStyle name="Normal 5 7 2 3 2" xfId="23021" xr:uid="{20D57AC3-DEC9-4765-A289-0A4071E49C34}"/>
    <cellStyle name="Normal 5 7 2 3 3" xfId="14581" xr:uid="{FC82C338-3B2B-4FE1-94FD-C8E840BB9CAB}"/>
    <cellStyle name="Normal 5 7 2 4" xfId="9385" xr:uid="{2E4A3B0A-2E42-41AC-9564-09D1598995A2}"/>
    <cellStyle name="Normal 5 7 2 4 2" xfId="18804" xr:uid="{0E1A56AF-91DE-4DB4-8E28-CC2032146F5F}"/>
    <cellStyle name="Normal 5 7 2 5" xfId="10364" xr:uid="{82129FD7-E7D6-4A04-96EE-7C3B94599506}"/>
    <cellStyle name="Normal 5 7 3" xfId="1361" xr:uid="{00000000-0005-0000-0000-0000C91B0000}"/>
    <cellStyle name="Normal 5 7 3 2" xfId="3591" xr:uid="{00000000-0005-0000-0000-0000CA1B0000}"/>
    <cellStyle name="Normal 5 7 3 2 2" xfId="7813" xr:uid="{00000000-0005-0000-0000-0000CB1B0000}"/>
    <cellStyle name="Normal 5 7 3 2 2 2" xfId="25579" xr:uid="{74325F40-60D8-4DCD-AE29-5DD34524D935}"/>
    <cellStyle name="Normal 5 7 3 2 2 3" xfId="17139" xr:uid="{0203046C-A87B-49FE-BCF6-7EDA53F73493}"/>
    <cellStyle name="Normal 5 7 3 2 3" xfId="21362" xr:uid="{23C4EE3B-F63F-4D6F-9588-BAD651B3BF6B}"/>
    <cellStyle name="Normal 5 7 3 2 4" xfId="12922" xr:uid="{583C6A99-E9A3-432C-841F-40BA0A5467F3}"/>
    <cellStyle name="Normal 5 7 3 3" xfId="5668" xr:uid="{00000000-0005-0000-0000-0000CC1B0000}"/>
    <cellStyle name="Normal 5 7 3 3 2" xfId="23434" xr:uid="{6E10FA10-62EB-4AB4-BCE1-D622CBBF774C}"/>
    <cellStyle name="Normal 5 7 3 3 3" xfId="14994" xr:uid="{648CFD3E-8028-4760-BFE6-7B9B47699EA8}"/>
    <cellStyle name="Normal 5 7 3 4" xfId="19217" xr:uid="{9D35199E-AE7A-4621-A6AC-B477F9132F2C}"/>
    <cellStyle name="Normal 5 7 3 5" xfId="10777" xr:uid="{9339AE54-69B8-4119-9576-5A6F8597DFCA}"/>
    <cellStyle name="Normal 5 7 4" xfId="1774" xr:uid="{00000000-0005-0000-0000-0000CD1B0000}"/>
    <cellStyle name="Normal 5 7 4 2" xfId="4004" xr:uid="{00000000-0005-0000-0000-0000CE1B0000}"/>
    <cellStyle name="Normal 5 7 4 2 2" xfId="8226" xr:uid="{00000000-0005-0000-0000-0000CF1B0000}"/>
    <cellStyle name="Normal 5 7 4 2 2 2" xfId="25992" xr:uid="{ED8F3D3B-A1EF-417A-8EB8-7B7B2EC15170}"/>
    <cellStyle name="Normal 5 7 4 2 2 3" xfId="17552" xr:uid="{1A66E7CF-C2CC-43B0-85F1-9DF5D5102161}"/>
    <cellStyle name="Normal 5 7 4 2 3" xfId="21775" xr:uid="{38E8F680-3378-4AE4-A664-3DA23C69DA97}"/>
    <cellStyle name="Normal 5 7 4 2 4" xfId="13335" xr:uid="{30BBC7CB-28D6-48CB-A4CD-409DDB3E7536}"/>
    <cellStyle name="Normal 5 7 4 3" xfId="6081" xr:uid="{00000000-0005-0000-0000-0000D01B0000}"/>
    <cellStyle name="Normal 5 7 4 3 2" xfId="23847" xr:uid="{530C8DE9-8CF4-4D12-945E-BAF4A28010A1}"/>
    <cellStyle name="Normal 5 7 4 3 3" xfId="15407" xr:uid="{3858DC6C-52E2-4BB3-BCA5-EEFFE8B58631}"/>
    <cellStyle name="Normal 5 7 4 4" xfId="19630" xr:uid="{EC9B8262-CA1B-449E-AEE6-E164FCC00486}"/>
    <cellStyle name="Normal 5 7 4 5" xfId="11190" xr:uid="{FACFFA87-2985-4896-AB28-3FABC801F31B}"/>
    <cellStyle name="Normal 5 7 5" xfId="2188" xr:uid="{00000000-0005-0000-0000-0000D11B0000}"/>
    <cellStyle name="Normal 5 7 5 2" xfId="4417" xr:uid="{00000000-0005-0000-0000-0000D21B0000}"/>
    <cellStyle name="Normal 5 7 5 2 2" xfId="8639" xr:uid="{00000000-0005-0000-0000-0000D31B0000}"/>
    <cellStyle name="Normal 5 7 5 2 2 2" xfId="26405" xr:uid="{D5BE4AD1-32BF-4352-B507-F56D2BB6F190}"/>
    <cellStyle name="Normal 5 7 5 2 2 3" xfId="17965" xr:uid="{ED5D37A0-5525-47D8-94E3-1B228B02759D}"/>
    <cellStyle name="Normal 5 7 5 2 3" xfId="22188" xr:uid="{322BD046-0D05-4933-84F3-A20B1908A379}"/>
    <cellStyle name="Normal 5 7 5 2 4" xfId="13748" xr:uid="{52D56FBD-CF62-49DD-8497-7AAC6965C1AB}"/>
    <cellStyle name="Normal 5 7 5 3" xfId="6494" xr:uid="{00000000-0005-0000-0000-0000D41B0000}"/>
    <cellStyle name="Normal 5 7 5 3 2" xfId="24260" xr:uid="{E4A093FE-F967-4EA4-96EC-5C4F6CA35AA9}"/>
    <cellStyle name="Normal 5 7 5 3 3" xfId="15820" xr:uid="{B11E165D-12A1-4525-B795-13B7018D9A89}"/>
    <cellStyle name="Normal 5 7 5 4" xfId="20043" xr:uid="{37324F15-9EC3-4785-95E8-905A4038F208}"/>
    <cellStyle name="Normal 5 7 5 5" xfId="11603" xr:uid="{94815273-A425-4A05-B3BC-57B253F3B1D9}"/>
    <cellStyle name="Normal 5 7 6" xfId="2624" xr:uid="{00000000-0005-0000-0000-0000D51B0000}"/>
    <cellStyle name="Normal 5 7 6 2" xfId="6907" xr:uid="{00000000-0005-0000-0000-0000D61B0000}"/>
    <cellStyle name="Normal 5 7 6 2 2" xfId="24673" xr:uid="{D88B8DFA-6347-4DBA-BAB7-2095045327FA}"/>
    <cellStyle name="Normal 5 7 6 2 3" xfId="16233" xr:uid="{8E23207A-AAAB-42BA-9932-70933A6AA67B}"/>
    <cellStyle name="Normal 5 7 6 3" xfId="20456" xr:uid="{26AFE539-5AF9-4CA9-B01C-A59D84EA7BD1}"/>
    <cellStyle name="Normal 5 7 6 4" xfId="12016" xr:uid="{C5528400-1060-4638-A85D-CBF472B179B4}"/>
    <cellStyle name="Normal 5 7 7" xfId="4842" xr:uid="{00000000-0005-0000-0000-0000D71B0000}"/>
    <cellStyle name="Normal 5 7 7 2" xfId="22608" xr:uid="{CF18F427-161E-446B-B651-1EB0395921C1}"/>
    <cellStyle name="Normal 5 7 7 3" xfId="14168" xr:uid="{D9B8243C-5F10-439F-BF17-4E05922E087D}"/>
    <cellStyle name="Normal 5 7 8" xfId="8960" xr:uid="{F4BEC964-53C9-4393-B7F1-69B47FC1FF25}"/>
    <cellStyle name="Normal 5 7 8 2" xfId="18391" xr:uid="{1308721B-F8F0-4C19-9602-8CD3D7934726}"/>
    <cellStyle name="Normal 5 7 9" xfId="9951" xr:uid="{0DF0197F-C75F-4194-8649-4C29F2965394}"/>
    <cellStyle name="Normal 5 8" xfId="880" xr:uid="{00000000-0005-0000-0000-0000D81B0000}"/>
    <cellStyle name="Normal 5 8 2" xfId="3115" xr:uid="{00000000-0005-0000-0000-0000D91B0000}"/>
    <cellStyle name="Normal 5 8 2 2" xfId="7337" xr:uid="{00000000-0005-0000-0000-0000DA1B0000}"/>
    <cellStyle name="Normal 5 8 2 2 2" xfId="25103" xr:uid="{C0AB2E78-0CE8-497F-8D75-E53D053F3C37}"/>
    <cellStyle name="Normal 5 8 2 2 3" xfId="16663" xr:uid="{AEE053AD-9614-4155-99E7-40A5DD261000}"/>
    <cellStyle name="Normal 5 8 2 3" xfId="20886" xr:uid="{3A5D64AE-9656-4657-977A-17B30423BCE9}"/>
    <cellStyle name="Normal 5 8 2 4" xfId="12446" xr:uid="{1A3EDDA6-705B-4743-8E55-CA5646C83900}"/>
    <cellStyle name="Normal 5 8 3" xfId="5192" xr:uid="{00000000-0005-0000-0000-0000DB1B0000}"/>
    <cellStyle name="Normal 5 8 3 2" xfId="22958" xr:uid="{F2228450-2D6C-425D-A5E2-FDCA82765630}"/>
    <cellStyle name="Normal 5 8 3 3" xfId="14518" xr:uid="{F8276345-33B8-4D5A-BD57-9AB411D78088}"/>
    <cellStyle name="Normal 5 8 4" xfId="9163" xr:uid="{44C7CAD4-DD7C-48E0-9142-8ED22123C662}"/>
    <cellStyle name="Normal 5 8 4 2" xfId="18741" xr:uid="{AC5728C1-0EC7-4F85-B1E3-4256DF170BD7}"/>
    <cellStyle name="Normal 5 8 5" xfId="10301" xr:uid="{52E672DC-C4CD-4606-A3A5-55A2D1F6A9BE}"/>
    <cellStyle name="Normal 5 9" xfId="1298" xr:uid="{00000000-0005-0000-0000-0000DC1B0000}"/>
    <cellStyle name="Normal 5 9 2" xfId="3528" xr:uid="{00000000-0005-0000-0000-0000DD1B0000}"/>
    <cellStyle name="Normal 5 9 2 2" xfId="7750" xr:uid="{00000000-0005-0000-0000-0000DE1B0000}"/>
    <cellStyle name="Normal 5 9 2 2 2" xfId="25516" xr:uid="{9F2D0000-EB7D-4B7A-94D2-18C78DA561FE}"/>
    <cellStyle name="Normal 5 9 2 2 3" xfId="17076" xr:uid="{1AD31EAB-200C-4BF2-AC78-B9FC75EFA59A}"/>
    <cellStyle name="Normal 5 9 2 3" xfId="21299" xr:uid="{07E7A4BC-FF80-4F68-ADA0-9FD9B5E6CF4E}"/>
    <cellStyle name="Normal 5 9 2 4" xfId="12859" xr:uid="{B39CD452-95CD-4970-8E23-4CCA16C57BB9}"/>
    <cellStyle name="Normal 5 9 3" xfId="5605" xr:uid="{00000000-0005-0000-0000-0000DF1B0000}"/>
    <cellStyle name="Normal 5 9 3 2" xfId="23371" xr:uid="{EF3F05B6-3BB4-4EA8-838E-93755D8D5443}"/>
    <cellStyle name="Normal 5 9 3 3" xfId="14931" xr:uid="{89D51272-76A4-4919-8487-3E901EF684FB}"/>
    <cellStyle name="Normal 5 9 4" xfId="19154" xr:uid="{F7AC749E-7F3D-4BF0-BCB5-AD4638FBC320}"/>
    <cellStyle name="Normal 5 9 5" xfId="10714" xr:uid="{9BB4EE71-24BF-4346-B18F-E0D2B9BD1A41}"/>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26406" xr:uid="{269F8BC4-F330-4511-8A57-D5714225EBCB}"/>
    <cellStyle name="Normal 8 10 2 2 3" xfId="17966" xr:uid="{DD082DA7-FA06-44E2-BEB9-E6A962A250EE}"/>
    <cellStyle name="Normal 8 10 2 3" xfId="22189" xr:uid="{13F64D22-F112-49A3-B701-D64922343576}"/>
    <cellStyle name="Normal 8 10 2 4" xfId="13749" xr:uid="{8E68FBA3-FDD5-4386-B25F-CA1463B21725}"/>
    <cellStyle name="Normal 8 10 3" xfId="6495" xr:uid="{00000000-0005-0000-0000-0000EB1B0000}"/>
    <cellStyle name="Normal 8 10 3 2" xfId="24261" xr:uid="{39C4113D-9230-46C6-9226-170141B603F3}"/>
    <cellStyle name="Normal 8 10 3 3" xfId="15821" xr:uid="{6A8EA6E8-8964-4096-935E-CCBFD76D0F66}"/>
    <cellStyle name="Normal 8 10 4" xfId="20044" xr:uid="{10FCE045-E56A-4C40-A372-96E7AC9B94F6}"/>
    <cellStyle name="Normal 8 10 5" xfId="11604" xr:uid="{2CF8B8AE-CF0D-4BAB-9D8B-412DF9982ECA}"/>
    <cellStyle name="Normal 8 11" xfId="2625" xr:uid="{00000000-0005-0000-0000-0000EC1B0000}"/>
    <cellStyle name="Normal 8 11 2" xfId="6908" xr:uid="{00000000-0005-0000-0000-0000ED1B0000}"/>
    <cellStyle name="Normal 8 11 2 2" xfId="24674" xr:uid="{9066BD1A-202F-4E4D-9E5C-768FFD07BE47}"/>
    <cellStyle name="Normal 8 11 2 3" xfId="16234" xr:uid="{539F9B58-D304-473C-AA5F-7AC9ADD97156}"/>
    <cellStyle name="Normal 8 11 3" xfId="20457" xr:uid="{37295CF3-0ABF-4EC7-88FE-612D79D492B1}"/>
    <cellStyle name="Normal 8 11 4" xfId="12017" xr:uid="{36F116ED-DB7D-4DFB-BC25-C4822BE0D90A}"/>
    <cellStyle name="Normal 8 12" xfId="4843" xr:uid="{00000000-0005-0000-0000-0000EE1B0000}"/>
    <cellStyle name="Normal 8 12 2" xfId="22609" xr:uid="{4CE1CE8C-DE90-41EC-8B77-628EA5C84975}"/>
    <cellStyle name="Normal 8 12 3" xfId="14169" xr:uid="{38812A4F-2C49-4512-80E4-4BD9396005BA}"/>
    <cellStyle name="Normal 8 13" xfId="8742" xr:uid="{AF36CBBC-3EEB-4AC8-923B-65C7C2418AB0}"/>
    <cellStyle name="Normal 8 13 2" xfId="18392" xr:uid="{B3849C04-3B28-4BD3-84F4-1D891A320A36}"/>
    <cellStyle name="Normal 8 14" xfId="9952" xr:uid="{A458376D-3161-4279-97FA-6409ACDC9572}"/>
    <cellStyle name="Normal 8 2" xfId="479" xr:uid="{00000000-0005-0000-0000-0000EF1B0000}"/>
    <cellStyle name="Normal 8 2 10" xfId="2626" xr:uid="{00000000-0005-0000-0000-0000F01B0000}"/>
    <cellStyle name="Normal 8 2 10 2" xfId="6909" xr:uid="{00000000-0005-0000-0000-0000F11B0000}"/>
    <cellStyle name="Normal 8 2 10 2 2" xfId="24675" xr:uid="{D20B27E5-9D4F-45CA-8161-20FA71A92DC4}"/>
    <cellStyle name="Normal 8 2 10 2 3" xfId="16235" xr:uid="{2370511C-843C-4982-BCFA-7FC2E7A0302F}"/>
    <cellStyle name="Normal 8 2 10 3" xfId="20458" xr:uid="{B5CC2748-AE45-4E40-996A-952F92D1CF9F}"/>
    <cellStyle name="Normal 8 2 10 4" xfId="12018" xr:uid="{F0BD2997-574B-4D58-9337-A259BB9384D2}"/>
    <cellStyle name="Normal 8 2 11" xfId="4844" xr:uid="{00000000-0005-0000-0000-0000F21B0000}"/>
    <cellStyle name="Normal 8 2 11 2" xfId="22610" xr:uid="{0A8D6B1C-9921-4FAD-B4D5-50E446190BFC}"/>
    <cellStyle name="Normal 8 2 11 3" xfId="14170" xr:uid="{B44046B3-4230-49B6-BF1A-7F743BF67199}"/>
    <cellStyle name="Normal 8 2 12" xfId="8751" xr:uid="{476D0553-3387-4D9F-B05B-56EC7A36F7A1}"/>
    <cellStyle name="Normal 8 2 12 2" xfId="18393" xr:uid="{3B574B0B-7E85-447B-9909-24FA370ECD01}"/>
    <cellStyle name="Normal 8 2 13" xfId="9953" xr:uid="{2F6823D5-CC08-49E0-88A1-ACF789114650}"/>
    <cellStyle name="Normal 8 2 2" xfId="480" xr:uid="{00000000-0005-0000-0000-0000F31B0000}"/>
    <cellStyle name="Normal 8 2 2 10" xfId="4845" xr:uid="{00000000-0005-0000-0000-0000F41B0000}"/>
    <cellStyle name="Normal 8 2 2 10 2" xfId="22611" xr:uid="{2A743245-5C3A-4377-AF49-B1641372D5AD}"/>
    <cellStyle name="Normal 8 2 2 10 3" xfId="14171" xr:uid="{12089086-2C04-4E7A-948B-54C4CC4AA3EC}"/>
    <cellStyle name="Normal 8 2 2 11" xfId="8783" xr:uid="{3C426022-C415-47DA-A8EF-1D6CE72527BD}"/>
    <cellStyle name="Normal 8 2 2 11 2" xfId="18394" xr:uid="{CAE54C29-5D8D-46AA-B503-3D67B9BFB60D}"/>
    <cellStyle name="Normal 8 2 2 12" xfId="9954" xr:uid="{B8CB8113-CFFF-4B1F-8B7C-1BC81CCC9B44}"/>
    <cellStyle name="Normal 8 2 2 2" xfId="481" xr:uid="{00000000-0005-0000-0000-0000F51B0000}"/>
    <cellStyle name="Normal 8 2 2 2 10" xfId="8836" xr:uid="{870E50AF-610D-4E0C-BDE0-389D6B32A0FA}"/>
    <cellStyle name="Normal 8 2 2 2 10 2" xfId="18395" xr:uid="{6BC7DA10-1B21-4316-AC30-0610D2F34A25}"/>
    <cellStyle name="Normal 8 2 2 2 11" xfId="9955" xr:uid="{3A3F19A0-B0DA-4044-8FD0-370BDFB888EA}"/>
    <cellStyle name="Normal 8 2 2 2 2" xfId="482" xr:uid="{00000000-0005-0000-0000-0000F61B0000}"/>
    <cellStyle name="Normal 8 2 2 2 2 10" xfId="9956" xr:uid="{FF7A9BC1-80A6-4997-A24C-989476515031}"/>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25172" xr:uid="{9219ABA7-0761-406E-B600-B363F692FC11}"/>
    <cellStyle name="Normal 8 2 2 2 2 2 2 2 2 3" xfId="16732" xr:uid="{6D792C0A-3FB2-4F32-8B4C-514BD6D59D15}"/>
    <cellStyle name="Normal 8 2 2 2 2 2 2 2 3" xfId="20955" xr:uid="{98409B2E-CFD4-4153-B019-E1F399BD761C}"/>
    <cellStyle name="Normal 8 2 2 2 2 2 2 2 4" xfId="12515" xr:uid="{3A70FB03-3A11-4ADF-936C-F7D50F8CA4A0}"/>
    <cellStyle name="Normal 8 2 2 2 2 2 2 3" xfId="5261" xr:uid="{00000000-0005-0000-0000-0000FB1B0000}"/>
    <cellStyle name="Normal 8 2 2 2 2 2 2 3 2" xfId="23027" xr:uid="{B8EB8317-52CB-429C-9788-33BA99F77838}"/>
    <cellStyle name="Normal 8 2 2 2 2 2 2 3 3" xfId="14587" xr:uid="{6EDB04F6-6E4A-46A2-8867-3FDC8C48526C}"/>
    <cellStyle name="Normal 8 2 2 2 2 2 2 4" xfId="9571" xr:uid="{B467C179-FE08-45F9-B1E6-E66379D80EBC}"/>
    <cellStyle name="Normal 8 2 2 2 2 2 2 4 2" xfId="18810" xr:uid="{5DCFC52A-9A6E-4576-B530-208FAC836A51}"/>
    <cellStyle name="Normal 8 2 2 2 2 2 2 5" xfId="10370" xr:uid="{903AD338-1669-4A0E-9B2F-0D18C14BCFEF}"/>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25585" xr:uid="{71101592-2CE4-4C6D-8178-C60447001B39}"/>
    <cellStyle name="Normal 8 2 2 2 2 2 3 2 2 3" xfId="17145" xr:uid="{BC4EE467-89FC-425F-94EF-120A6B9A4915}"/>
    <cellStyle name="Normal 8 2 2 2 2 2 3 2 3" xfId="21368" xr:uid="{1D322ABC-C08D-4CF3-92BF-A020BEC0E9C8}"/>
    <cellStyle name="Normal 8 2 2 2 2 2 3 2 4" xfId="12928" xr:uid="{2F3EEF92-8D13-4413-8B09-18C9E421150D}"/>
    <cellStyle name="Normal 8 2 2 2 2 2 3 3" xfId="5674" xr:uid="{00000000-0005-0000-0000-0000FF1B0000}"/>
    <cellStyle name="Normal 8 2 2 2 2 2 3 3 2" xfId="23440" xr:uid="{C38CEDC5-9CBE-4496-9BED-53161CF6C7C0}"/>
    <cellStyle name="Normal 8 2 2 2 2 2 3 3 3" xfId="15000" xr:uid="{D776F8AA-06D3-4607-91AA-FEF621FF72E0}"/>
    <cellStyle name="Normal 8 2 2 2 2 2 3 4" xfId="19223" xr:uid="{181B9C57-EC98-49A2-89BA-7C42B52EE997}"/>
    <cellStyle name="Normal 8 2 2 2 2 2 3 5" xfId="10783" xr:uid="{14FB943D-73C3-44FB-85E7-DFEC716F58AC}"/>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25998" xr:uid="{1C33D45F-EC27-4C99-8E86-3DD1AFF6CE9B}"/>
    <cellStyle name="Normal 8 2 2 2 2 2 4 2 2 3" xfId="17558" xr:uid="{AC4D5C1C-9503-49FD-B0EE-C0F7B162AC8C}"/>
    <cellStyle name="Normal 8 2 2 2 2 2 4 2 3" xfId="21781" xr:uid="{FFCEB04C-C4D2-4CB1-A458-C81EB55D7D5A}"/>
    <cellStyle name="Normal 8 2 2 2 2 2 4 2 4" xfId="13341" xr:uid="{6EB9348C-94D1-4095-B08D-5DA00751835D}"/>
    <cellStyle name="Normal 8 2 2 2 2 2 4 3" xfId="6087" xr:uid="{00000000-0005-0000-0000-0000031C0000}"/>
    <cellStyle name="Normal 8 2 2 2 2 2 4 3 2" xfId="23853" xr:uid="{DEE82EBE-C0D1-4046-939A-0BE5BD28D738}"/>
    <cellStyle name="Normal 8 2 2 2 2 2 4 3 3" xfId="15413" xr:uid="{536AFB09-673F-4095-9350-1C5E25B2EADF}"/>
    <cellStyle name="Normal 8 2 2 2 2 2 4 4" xfId="19636" xr:uid="{940D3CB9-0247-4BD6-812A-145FA32B5B70}"/>
    <cellStyle name="Normal 8 2 2 2 2 2 4 5" xfId="11196" xr:uid="{41C343E1-8331-493D-803C-E59D642EF28A}"/>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26411" xr:uid="{4E975BFC-274B-4023-9212-8608248B4EB6}"/>
    <cellStyle name="Normal 8 2 2 2 2 2 5 2 2 3" xfId="17971" xr:uid="{D784C1C0-1EF4-425E-8272-E3189815F787}"/>
    <cellStyle name="Normal 8 2 2 2 2 2 5 2 3" xfId="22194" xr:uid="{0032DBBB-B384-463A-8339-67269D6D1812}"/>
    <cellStyle name="Normal 8 2 2 2 2 2 5 2 4" xfId="13754" xr:uid="{A097175D-9BCB-4D82-8DF8-0D75A2941253}"/>
    <cellStyle name="Normal 8 2 2 2 2 2 5 3" xfId="6500" xr:uid="{00000000-0005-0000-0000-0000071C0000}"/>
    <cellStyle name="Normal 8 2 2 2 2 2 5 3 2" xfId="24266" xr:uid="{0F94AADA-4442-4121-9ECE-40226640DDD3}"/>
    <cellStyle name="Normal 8 2 2 2 2 2 5 3 3" xfId="15826" xr:uid="{05D90FD2-B919-4B0F-8536-7605DC9D9367}"/>
    <cellStyle name="Normal 8 2 2 2 2 2 5 4" xfId="20049" xr:uid="{63984EDA-2061-4CDE-9B9D-FC2428DFCC28}"/>
    <cellStyle name="Normal 8 2 2 2 2 2 5 5" xfId="11609" xr:uid="{401A2669-FDAC-4069-8617-45298F498C22}"/>
    <cellStyle name="Normal 8 2 2 2 2 2 6" xfId="2630" xr:uid="{00000000-0005-0000-0000-0000081C0000}"/>
    <cellStyle name="Normal 8 2 2 2 2 2 6 2" xfId="6913" xr:uid="{00000000-0005-0000-0000-0000091C0000}"/>
    <cellStyle name="Normal 8 2 2 2 2 2 6 2 2" xfId="24679" xr:uid="{3EEBDF76-0DD1-4A7E-89E6-A829363A0094}"/>
    <cellStyle name="Normal 8 2 2 2 2 2 6 2 3" xfId="16239" xr:uid="{22238CFC-38A7-4406-8081-72F32A54A61D}"/>
    <cellStyle name="Normal 8 2 2 2 2 2 6 3" xfId="20462" xr:uid="{0BCB3592-72C4-485B-9A97-CF24AE11E03D}"/>
    <cellStyle name="Normal 8 2 2 2 2 2 6 4" xfId="12022" xr:uid="{698CFC37-3F1C-4362-BA73-D9D59EA3540C}"/>
    <cellStyle name="Normal 8 2 2 2 2 2 7" xfId="4848" xr:uid="{00000000-0005-0000-0000-00000A1C0000}"/>
    <cellStyle name="Normal 8 2 2 2 2 2 7 2" xfId="22614" xr:uid="{1606E20A-CE59-4AC9-870D-B4D134BEBC71}"/>
    <cellStyle name="Normal 8 2 2 2 2 2 7 3" xfId="14174" xr:uid="{7D679DC8-CB43-4DB7-915D-65A4FDBD90B0}"/>
    <cellStyle name="Normal 8 2 2 2 2 2 8" xfId="9146" xr:uid="{0E570703-055D-406D-8BD9-575AF6037A75}"/>
    <cellStyle name="Normal 8 2 2 2 2 2 8 2" xfId="18397" xr:uid="{80D28E48-57C6-4AC0-A463-2EC1974781CF}"/>
    <cellStyle name="Normal 8 2 2 2 2 2 9" xfId="9957" xr:uid="{13220DD8-F896-4CD5-A284-1F7B2B8BD6F4}"/>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25171" xr:uid="{25E21C38-668E-4313-9556-E99676D29F5B}"/>
    <cellStyle name="Normal 8 2 2 2 2 3 2 2 3" xfId="16731" xr:uid="{394BEB6B-CD3E-4455-AC51-7569B1BB110D}"/>
    <cellStyle name="Normal 8 2 2 2 2 3 2 3" xfId="20954" xr:uid="{A12812EF-BB51-4A7E-9EBA-DB168D2EED93}"/>
    <cellStyle name="Normal 8 2 2 2 2 3 2 4" xfId="12514" xr:uid="{D0CBBBD2-6B78-4473-A258-D2DF834288DC}"/>
    <cellStyle name="Normal 8 2 2 2 2 3 3" xfId="5260" xr:uid="{00000000-0005-0000-0000-00000E1C0000}"/>
    <cellStyle name="Normal 8 2 2 2 2 3 3 2" xfId="23026" xr:uid="{6B0F80A0-7BE6-499B-A9AD-E7CEF1371E9B}"/>
    <cellStyle name="Normal 8 2 2 2 2 3 3 3" xfId="14586" xr:uid="{12E2F5CA-4A8C-4A1A-ABA0-E79008033017}"/>
    <cellStyle name="Normal 8 2 2 2 2 3 4" xfId="9364" xr:uid="{21426B7C-FC96-483C-B560-AC4767107497}"/>
    <cellStyle name="Normal 8 2 2 2 2 3 4 2" xfId="18809" xr:uid="{FFAFD567-8984-4539-B05A-453C5DC9E5D5}"/>
    <cellStyle name="Normal 8 2 2 2 2 3 5" xfId="10369" xr:uid="{C2E707D6-85CD-4FCF-99E5-774F2EEA99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25584" xr:uid="{4475C1ED-AD6B-4A9E-9673-4E3AF1470AB3}"/>
    <cellStyle name="Normal 8 2 2 2 2 4 2 2 3" xfId="17144" xr:uid="{A29F6FD0-7D4C-4225-8BEA-4B3A0CF278BA}"/>
    <cellStyle name="Normal 8 2 2 2 2 4 2 3" xfId="21367" xr:uid="{0F7169D7-31C0-4B9D-A477-7476347B8FC7}"/>
    <cellStyle name="Normal 8 2 2 2 2 4 2 4" xfId="12927" xr:uid="{02D9EAF4-2B4F-446C-8D38-4E4BD09C9820}"/>
    <cellStyle name="Normal 8 2 2 2 2 4 3" xfId="5673" xr:uid="{00000000-0005-0000-0000-0000121C0000}"/>
    <cellStyle name="Normal 8 2 2 2 2 4 3 2" xfId="23439" xr:uid="{08AD4406-E905-4DD0-BBC2-F5BFB645F50C}"/>
    <cellStyle name="Normal 8 2 2 2 2 4 3 3" xfId="14999" xr:uid="{E839B58B-8068-4C0D-A7E7-7D08A4CBACFD}"/>
    <cellStyle name="Normal 8 2 2 2 2 4 4" xfId="19222" xr:uid="{F306958E-062E-44AE-AA17-A863D18DEB0F}"/>
    <cellStyle name="Normal 8 2 2 2 2 4 5" xfId="10782" xr:uid="{B40581B8-D1BE-4C2B-A1DA-738B22CBF664}"/>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25997" xr:uid="{2846B344-B750-4FA6-B65D-C420EA2B11A5}"/>
    <cellStyle name="Normal 8 2 2 2 2 5 2 2 3" xfId="17557" xr:uid="{E2671979-9010-4DF7-A0BC-2D6E02329416}"/>
    <cellStyle name="Normal 8 2 2 2 2 5 2 3" xfId="21780" xr:uid="{B8FB8476-DDCE-44CC-B0C1-917F102A8205}"/>
    <cellStyle name="Normal 8 2 2 2 2 5 2 4" xfId="13340" xr:uid="{F90245BE-FC6A-44CC-8BEF-54C2F56F529F}"/>
    <cellStyle name="Normal 8 2 2 2 2 5 3" xfId="6086" xr:uid="{00000000-0005-0000-0000-0000161C0000}"/>
    <cellStyle name="Normal 8 2 2 2 2 5 3 2" xfId="23852" xr:uid="{CC2F35E6-79B6-47EA-9215-61465473CD55}"/>
    <cellStyle name="Normal 8 2 2 2 2 5 3 3" xfId="15412" xr:uid="{C0D3F3F1-17D7-4A29-BA04-DB086F34CF59}"/>
    <cellStyle name="Normal 8 2 2 2 2 5 4" xfId="19635" xr:uid="{77CC13BD-0FDE-4FE3-909F-CAA11CA57E5F}"/>
    <cellStyle name="Normal 8 2 2 2 2 5 5" xfId="11195" xr:uid="{63DB7CFC-AD7D-4080-8DA3-A369EF47A6F3}"/>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26410" xr:uid="{64420F9B-AD5E-4CFB-A8D2-D88DC102CBB6}"/>
    <cellStyle name="Normal 8 2 2 2 2 6 2 2 3" xfId="17970" xr:uid="{C440932E-B757-4849-A643-4037D95AAFF3}"/>
    <cellStyle name="Normal 8 2 2 2 2 6 2 3" xfId="22193" xr:uid="{040C1AFC-5CF6-4D0B-8C3B-20BA8A3D3505}"/>
    <cellStyle name="Normal 8 2 2 2 2 6 2 4" xfId="13753" xr:uid="{B6EE9B71-B487-41BF-B2C9-021C4D1FF3C8}"/>
    <cellStyle name="Normal 8 2 2 2 2 6 3" xfId="6499" xr:uid="{00000000-0005-0000-0000-00001A1C0000}"/>
    <cellStyle name="Normal 8 2 2 2 2 6 3 2" xfId="24265" xr:uid="{A73017D4-3D84-4DD8-8C5B-D34F71C61579}"/>
    <cellStyle name="Normal 8 2 2 2 2 6 3 3" xfId="15825" xr:uid="{00E725C0-5822-4592-BD32-3FC1308C464C}"/>
    <cellStyle name="Normal 8 2 2 2 2 6 4" xfId="20048" xr:uid="{51CA45A1-EDC7-41A8-B780-E55752B8029F}"/>
    <cellStyle name="Normal 8 2 2 2 2 6 5" xfId="11608" xr:uid="{1E3247A4-B303-4E15-80A9-540DD2927198}"/>
    <cellStyle name="Normal 8 2 2 2 2 7" xfId="2629" xr:uid="{00000000-0005-0000-0000-00001B1C0000}"/>
    <cellStyle name="Normal 8 2 2 2 2 7 2" xfId="6912" xr:uid="{00000000-0005-0000-0000-00001C1C0000}"/>
    <cellStyle name="Normal 8 2 2 2 2 7 2 2" xfId="24678" xr:uid="{2040F5B2-2BBB-4018-BCCC-964EABF711E6}"/>
    <cellStyle name="Normal 8 2 2 2 2 7 2 3" xfId="16238" xr:uid="{4668DD5E-D0E9-4F0C-ADAF-DBDD2F214D6A}"/>
    <cellStyle name="Normal 8 2 2 2 2 7 3" xfId="20461" xr:uid="{82E135BE-C672-4FFD-9919-DDB6C67116D1}"/>
    <cellStyle name="Normal 8 2 2 2 2 7 4" xfId="12021" xr:uid="{E484B5CE-BC4A-4451-86C7-1C155EC62DCC}"/>
    <cellStyle name="Normal 8 2 2 2 2 8" xfId="4847" xr:uid="{00000000-0005-0000-0000-00001D1C0000}"/>
    <cellStyle name="Normal 8 2 2 2 2 8 2" xfId="22613" xr:uid="{7C7A62D9-ABE8-4BE1-85B8-2D031FFBF74A}"/>
    <cellStyle name="Normal 8 2 2 2 2 8 3" xfId="14173" xr:uid="{D9D04F10-F5A1-4B66-A220-C0DF9D322882}"/>
    <cellStyle name="Normal 8 2 2 2 2 9" xfId="8939" xr:uid="{385BAC75-25D1-414A-8E33-9B6DCCA130DE}"/>
    <cellStyle name="Normal 8 2 2 2 2 9 2" xfId="18396" xr:uid="{B397EEC0-DCEC-4CEB-AC66-54E757401404}"/>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25173" xr:uid="{2564731C-7B62-4418-8DBD-DD6DADA17D3B}"/>
    <cellStyle name="Normal 8 2 2 2 3 2 2 2 3" xfId="16733" xr:uid="{CADCF248-F062-4C4F-AC86-06EBB8868E36}"/>
    <cellStyle name="Normal 8 2 2 2 3 2 2 3" xfId="20956" xr:uid="{06D9F5B3-235E-479F-BD89-0E31A6864C9B}"/>
    <cellStyle name="Normal 8 2 2 2 3 2 2 4" xfId="12516" xr:uid="{DF36D43A-F686-46B2-95FA-F8DFC006C681}"/>
    <cellStyle name="Normal 8 2 2 2 3 2 3" xfId="5262" xr:uid="{00000000-0005-0000-0000-0000221C0000}"/>
    <cellStyle name="Normal 8 2 2 2 3 2 3 2" xfId="23028" xr:uid="{D9C019AA-1E17-4B22-8811-4C2B7A86216B}"/>
    <cellStyle name="Normal 8 2 2 2 3 2 3 3" xfId="14588" xr:uid="{D8072F11-E397-400B-A58A-537E78F7F0CB}"/>
    <cellStyle name="Normal 8 2 2 2 3 2 4" xfId="9468" xr:uid="{8CC4AD0E-72B4-4935-8967-B171D7B5EF8D}"/>
    <cellStyle name="Normal 8 2 2 2 3 2 4 2" xfId="18811" xr:uid="{DE8B69A0-57AA-47DD-8019-4EA626599F70}"/>
    <cellStyle name="Normal 8 2 2 2 3 2 5" xfId="10371" xr:uid="{7B8D38DE-98C7-4180-A20E-0C94BC07FCC3}"/>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25586" xr:uid="{A99219B4-B8A5-4169-9A95-5765AB665A56}"/>
    <cellStyle name="Normal 8 2 2 2 3 3 2 2 3" xfId="17146" xr:uid="{4F8F5FF2-E00D-44FF-86A4-41B0E41EE529}"/>
    <cellStyle name="Normal 8 2 2 2 3 3 2 3" xfId="21369" xr:uid="{4E34C4FF-C2DD-4FC3-8289-AD6B9F7DE3DC}"/>
    <cellStyle name="Normal 8 2 2 2 3 3 2 4" xfId="12929" xr:uid="{1DDDAC30-9B0D-41CC-B2E6-F525F6906930}"/>
    <cellStyle name="Normal 8 2 2 2 3 3 3" xfId="5675" xr:uid="{00000000-0005-0000-0000-0000261C0000}"/>
    <cellStyle name="Normal 8 2 2 2 3 3 3 2" xfId="23441" xr:uid="{92151083-8DA6-4DB0-94D9-127AEBB7B47B}"/>
    <cellStyle name="Normal 8 2 2 2 3 3 3 3" xfId="15001" xr:uid="{6AD43239-4085-4308-8C20-5F52D5CAC4EB}"/>
    <cellStyle name="Normal 8 2 2 2 3 3 4" xfId="19224" xr:uid="{A988D5C1-6419-4AB3-8BD6-359FC9436B36}"/>
    <cellStyle name="Normal 8 2 2 2 3 3 5" xfId="10784" xr:uid="{6FA63F41-C8FE-4A6C-8018-443D827661E8}"/>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25999" xr:uid="{CFA1FC4B-FE9B-43A1-9431-396C3D74C52E}"/>
    <cellStyle name="Normal 8 2 2 2 3 4 2 2 3" xfId="17559" xr:uid="{93AD1927-1E30-4BAA-B9C9-DA99978C0612}"/>
    <cellStyle name="Normal 8 2 2 2 3 4 2 3" xfId="21782" xr:uid="{1B7F26EB-C69E-48BB-84D0-8E255C380877}"/>
    <cellStyle name="Normal 8 2 2 2 3 4 2 4" xfId="13342" xr:uid="{CFFFE325-A65A-4BA3-B823-7ECDCD9C025E}"/>
    <cellStyle name="Normal 8 2 2 2 3 4 3" xfId="6088" xr:uid="{00000000-0005-0000-0000-00002A1C0000}"/>
    <cellStyle name="Normal 8 2 2 2 3 4 3 2" xfId="23854" xr:uid="{E6E384D0-4E58-472B-BE69-DB3127A0BB85}"/>
    <cellStyle name="Normal 8 2 2 2 3 4 3 3" xfId="15414" xr:uid="{272206FD-EEFC-4AF2-981F-01CDCB43D53C}"/>
    <cellStyle name="Normal 8 2 2 2 3 4 4" xfId="19637" xr:uid="{4725C54C-D722-427D-861D-C2F1F92D6C86}"/>
    <cellStyle name="Normal 8 2 2 2 3 4 5" xfId="11197" xr:uid="{79169766-5619-401C-82E8-9AEB7E9AAF6F}"/>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26412" xr:uid="{9D4EA9E0-78CC-48F6-B67C-D0E4BF632434}"/>
    <cellStyle name="Normal 8 2 2 2 3 5 2 2 3" xfId="17972" xr:uid="{458D22FA-C762-4D1F-B1CC-CF50B0F1716C}"/>
    <cellStyle name="Normal 8 2 2 2 3 5 2 3" xfId="22195" xr:uid="{E2262163-65D4-41A7-B66D-972BF3E6C4E3}"/>
    <cellStyle name="Normal 8 2 2 2 3 5 2 4" xfId="13755" xr:uid="{4B68CF3C-D4F7-48BE-B579-48785FEC3442}"/>
    <cellStyle name="Normal 8 2 2 2 3 5 3" xfId="6501" xr:uid="{00000000-0005-0000-0000-00002E1C0000}"/>
    <cellStyle name="Normal 8 2 2 2 3 5 3 2" xfId="24267" xr:uid="{DC8A8B1E-11F6-4DCE-BBF0-A72575DC464C}"/>
    <cellStyle name="Normal 8 2 2 2 3 5 3 3" xfId="15827" xr:uid="{40CA3B63-0240-4B57-9560-0F607347B579}"/>
    <cellStyle name="Normal 8 2 2 2 3 5 4" xfId="20050" xr:uid="{6AF4E680-4B7A-4C8F-BC9B-59A7B99262DC}"/>
    <cellStyle name="Normal 8 2 2 2 3 5 5" xfId="11610" xr:uid="{65EAD72B-DF26-4238-ABD5-FF659DC5774B}"/>
    <cellStyle name="Normal 8 2 2 2 3 6" xfId="2631" xr:uid="{00000000-0005-0000-0000-00002F1C0000}"/>
    <cellStyle name="Normal 8 2 2 2 3 6 2" xfId="6914" xr:uid="{00000000-0005-0000-0000-0000301C0000}"/>
    <cellStyle name="Normal 8 2 2 2 3 6 2 2" xfId="24680" xr:uid="{BC72B2D6-A1F5-4EA8-83A9-102E4EE9CA6E}"/>
    <cellStyle name="Normal 8 2 2 2 3 6 2 3" xfId="16240" xr:uid="{2AEF8A35-C34E-4B1C-9650-D640BCD98A99}"/>
    <cellStyle name="Normal 8 2 2 2 3 6 3" xfId="20463" xr:uid="{B4AC42EF-7DF2-4A2C-8A51-548F7800DA5F}"/>
    <cellStyle name="Normal 8 2 2 2 3 6 4" xfId="12023" xr:uid="{A85D6D0D-E0B9-4493-8D99-25078960AC7A}"/>
    <cellStyle name="Normal 8 2 2 2 3 7" xfId="4849" xr:uid="{00000000-0005-0000-0000-0000311C0000}"/>
    <cellStyle name="Normal 8 2 2 2 3 7 2" xfId="22615" xr:uid="{9D408D4C-DE15-42B2-AA35-E5DBC5531E7A}"/>
    <cellStyle name="Normal 8 2 2 2 3 7 3" xfId="14175" xr:uid="{5BA67DAA-FD08-4767-849C-787751583969}"/>
    <cellStyle name="Normal 8 2 2 2 3 8" xfId="9043" xr:uid="{BAC463DF-40A7-4F07-ADD3-7274E57F505C}"/>
    <cellStyle name="Normal 8 2 2 2 3 8 2" xfId="18398" xr:uid="{F95D8FB2-7DBC-4152-A16F-E1B5BB1C9306}"/>
    <cellStyle name="Normal 8 2 2 2 3 9" xfId="9958" xr:uid="{EAC022CC-3053-40E9-9CBD-51D8BB2CBA5A}"/>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25170" xr:uid="{E198D7A6-0ED3-45FB-9B1D-A1FF2F99CB5D}"/>
    <cellStyle name="Normal 8 2 2 2 4 2 2 3" xfId="16730" xr:uid="{6914E0A9-6394-42B3-8AA7-9DA40AFB964C}"/>
    <cellStyle name="Normal 8 2 2 2 4 2 3" xfId="20953" xr:uid="{D6852775-BA21-479E-AE8F-9ABF45F16CB9}"/>
    <cellStyle name="Normal 8 2 2 2 4 2 4" xfId="12513" xr:uid="{ACA3570E-D818-446F-A6A8-F59B2871B7FD}"/>
    <cellStyle name="Normal 8 2 2 2 4 3" xfId="5259" xr:uid="{00000000-0005-0000-0000-0000351C0000}"/>
    <cellStyle name="Normal 8 2 2 2 4 3 2" xfId="23025" xr:uid="{4CCD81F2-D6D1-4975-AB29-8EDEE197DFB5}"/>
    <cellStyle name="Normal 8 2 2 2 4 3 3" xfId="14585" xr:uid="{699FE6EA-A200-4C21-B7C5-7813EACE148E}"/>
    <cellStyle name="Normal 8 2 2 2 4 4" xfId="9261" xr:uid="{70C29865-A6DE-4682-9EB1-83E4E07FD0A7}"/>
    <cellStyle name="Normal 8 2 2 2 4 4 2" xfId="18808" xr:uid="{606852F6-C238-44B4-A3DC-65BD13DD77B7}"/>
    <cellStyle name="Normal 8 2 2 2 4 5" xfId="10368" xr:uid="{56EC9EC7-43F3-44EF-9810-51F7087347B7}"/>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25583" xr:uid="{98B30545-D678-4A4A-BF4F-4603C6DDF700}"/>
    <cellStyle name="Normal 8 2 2 2 5 2 2 3" xfId="17143" xr:uid="{3D34A9DC-32B8-43BB-88FA-3C654F3141C3}"/>
    <cellStyle name="Normal 8 2 2 2 5 2 3" xfId="21366" xr:uid="{D3F310B7-61C3-400E-AA1A-D009DDC89F63}"/>
    <cellStyle name="Normal 8 2 2 2 5 2 4" xfId="12926" xr:uid="{4296E9D0-A01A-4A36-A376-C27B824A0780}"/>
    <cellStyle name="Normal 8 2 2 2 5 3" xfId="5672" xr:uid="{00000000-0005-0000-0000-0000391C0000}"/>
    <cellStyle name="Normal 8 2 2 2 5 3 2" xfId="23438" xr:uid="{1A18171B-210B-48A1-8C50-EDFEA7F04CA7}"/>
    <cellStyle name="Normal 8 2 2 2 5 3 3" xfId="14998" xr:uid="{00F1D2E0-F5CC-4E53-AAFB-8DA53985408C}"/>
    <cellStyle name="Normal 8 2 2 2 5 4" xfId="19221" xr:uid="{8FB45988-04D5-4217-99C6-4A58EC4CAA35}"/>
    <cellStyle name="Normal 8 2 2 2 5 5" xfId="10781" xr:uid="{1C080D83-DACD-42DA-A48E-2980D14018A1}"/>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25996" xr:uid="{31674B23-5F71-4EF1-8F5B-7E4EF432A3D3}"/>
    <cellStyle name="Normal 8 2 2 2 6 2 2 3" xfId="17556" xr:uid="{8AE8FAFC-AC98-4CCA-B8B7-F81E2B9FA12D}"/>
    <cellStyle name="Normal 8 2 2 2 6 2 3" xfId="21779" xr:uid="{7CCC246B-0995-41EF-9511-B081AF47D54E}"/>
    <cellStyle name="Normal 8 2 2 2 6 2 4" xfId="13339" xr:uid="{3C13B096-8B91-4DE8-8F44-759E230A314E}"/>
    <cellStyle name="Normal 8 2 2 2 6 3" xfId="6085" xr:uid="{00000000-0005-0000-0000-00003D1C0000}"/>
    <cellStyle name="Normal 8 2 2 2 6 3 2" xfId="23851" xr:uid="{04D8A2A0-7DA1-49E2-B340-865524F0A363}"/>
    <cellStyle name="Normal 8 2 2 2 6 3 3" xfId="15411" xr:uid="{6FDF3E33-0675-470D-8EC2-A0593507C55C}"/>
    <cellStyle name="Normal 8 2 2 2 6 4" xfId="19634" xr:uid="{BD630D62-CB8D-4042-AB5E-3BCEACA46B41}"/>
    <cellStyle name="Normal 8 2 2 2 6 5" xfId="11194" xr:uid="{4932E153-EE9A-4263-A0EB-2908C2ED166B}"/>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26409" xr:uid="{CAB1E873-8FAD-46DA-8941-7784F93DFF51}"/>
    <cellStyle name="Normal 8 2 2 2 7 2 2 3" xfId="17969" xr:uid="{7022379C-6CF6-46B8-B7D3-13473147AE97}"/>
    <cellStyle name="Normal 8 2 2 2 7 2 3" xfId="22192" xr:uid="{7987A92B-AAA7-414C-8BF7-FCCE4F223345}"/>
    <cellStyle name="Normal 8 2 2 2 7 2 4" xfId="13752" xr:uid="{81B198C4-30AF-4C43-A63A-FDA5666E55CB}"/>
    <cellStyle name="Normal 8 2 2 2 7 3" xfId="6498" xr:uid="{00000000-0005-0000-0000-0000411C0000}"/>
    <cellStyle name="Normal 8 2 2 2 7 3 2" xfId="24264" xr:uid="{1BFDD61D-97DD-4234-A12B-41C82FFDE653}"/>
    <cellStyle name="Normal 8 2 2 2 7 3 3" xfId="15824" xr:uid="{085D0AE4-7CFD-4FC3-831F-8D197AE75F96}"/>
    <cellStyle name="Normal 8 2 2 2 7 4" xfId="20047" xr:uid="{DC24CA2D-DF47-431C-A453-DD616ADFB31F}"/>
    <cellStyle name="Normal 8 2 2 2 7 5" xfId="11607" xr:uid="{C6714116-8532-4133-B282-6DF02DEDA94A}"/>
    <cellStyle name="Normal 8 2 2 2 8" xfId="2628" xr:uid="{00000000-0005-0000-0000-0000421C0000}"/>
    <cellStyle name="Normal 8 2 2 2 8 2" xfId="6911" xr:uid="{00000000-0005-0000-0000-0000431C0000}"/>
    <cellStyle name="Normal 8 2 2 2 8 2 2" xfId="24677" xr:uid="{C71F207A-15F0-4772-935F-D46562DCCFAE}"/>
    <cellStyle name="Normal 8 2 2 2 8 2 3" xfId="16237" xr:uid="{2C211C5A-263E-44AE-9310-96E19742646D}"/>
    <cellStyle name="Normal 8 2 2 2 8 3" xfId="20460" xr:uid="{580E1A03-E293-49E1-BC95-72223721CD63}"/>
    <cellStyle name="Normal 8 2 2 2 8 4" xfId="12020" xr:uid="{8E9DD5F1-77AF-4793-820D-A11A75FB8A55}"/>
    <cellStyle name="Normal 8 2 2 2 9" xfId="4846" xr:uid="{00000000-0005-0000-0000-0000441C0000}"/>
    <cellStyle name="Normal 8 2 2 2 9 2" xfId="22612" xr:uid="{182EBF3D-2803-4CAC-940E-B47B83A6485A}"/>
    <cellStyle name="Normal 8 2 2 2 9 3" xfId="14172" xr:uid="{8F5817E3-359A-48A7-A3DF-3F8D4E932817}"/>
    <cellStyle name="Normal 8 2 2 3" xfId="485" xr:uid="{00000000-0005-0000-0000-0000451C0000}"/>
    <cellStyle name="Normal 8 2 2 3 10" xfId="9959" xr:uid="{7016A939-2D8F-473E-AE5A-B39CD82974EE}"/>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25175" xr:uid="{D9A1A3DF-A023-4FBC-9038-2743D8BA9AFA}"/>
    <cellStyle name="Normal 8 2 2 3 2 2 2 2 3" xfId="16735" xr:uid="{11170A5B-C651-43DE-B0EE-7B19D63B49BD}"/>
    <cellStyle name="Normal 8 2 2 3 2 2 2 3" xfId="20958" xr:uid="{5FEC83CF-A1B1-4E2E-AE70-DE83F661837E}"/>
    <cellStyle name="Normal 8 2 2 3 2 2 2 4" xfId="12518" xr:uid="{0F6908D9-056C-4937-8042-0449ED5EA799}"/>
    <cellStyle name="Normal 8 2 2 3 2 2 3" xfId="5264" xr:uid="{00000000-0005-0000-0000-00004A1C0000}"/>
    <cellStyle name="Normal 8 2 2 3 2 2 3 2" xfId="23030" xr:uid="{EDA8E01A-8E11-472E-84AC-09B7D8498358}"/>
    <cellStyle name="Normal 8 2 2 3 2 2 3 3" xfId="14590" xr:uid="{73E6D8A2-CDD0-40D1-9356-DACA6AB9FD99}"/>
    <cellStyle name="Normal 8 2 2 3 2 2 4" xfId="9518" xr:uid="{FDE93D5E-A6D1-456B-8726-FC2AB8FD16A4}"/>
    <cellStyle name="Normal 8 2 2 3 2 2 4 2" xfId="18813" xr:uid="{6391346E-A5B3-40DF-A0B5-ED925802C36E}"/>
    <cellStyle name="Normal 8 2 2 3 2 2 5" xfId="10373" xr:uid="{2CD5BBC8-4961-44E2-9391-C029C2C71B16}"/>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25588" xr:uid="{4DB03486-2E2B-4AE0-9760-AD44B94B2D7E}"/>
    <cellStyle name="Normal 8 2 2 3 2 3 2 2 3" xfId="17148" xr:uid="{90A143C0-11D3-4C61-91FF-1C9B516B4AAD}"/>
    <cellStyle name="Normal 8 2 2 3 2 3 2 3" xfId="21371" xr:uid="{51C06085-67B2-4B27-9491-91397E565B12}"/>
    <cellStyle name="Normal 8 2 2 3 2 3 2 4" xfId="12931" xr:uid="{0CD4F49D-8EB5-45B5-A012-E68EA3134179}"/>
    <cellStyle name="Normal 8 2 2 3 2 3 3" xfId="5677" xr:uid="{00000000-0005-0000-0000-00004E1C0000}"/>
    <cellStyle name="Normal 8 2 2 3 2 3 3 2" xfId="23443" xr:uid="{9E24A769-81C6-4BE3-A2E9-0FE074BF108B}"/>
    <cellStyle name="Normal 8 2 2 3 2 3 3 3" xfId="15003" xr:uid="{84BE891A-D1D3-4A72-A76F-C91F841FE6FC}"/>
    <cellStyle name="Normal 8 2 2 3 2 3 4" xfId="19226" xr:uid="{B370453D-7BE4-4F35-B545-F864E2123490}"/>
    <cellStyle name="Normal 8 2 2 3 2 3 5" xfId="10786" xr:uid="{2A5D7A40-2AAD-40D9-9C8C-CDF78F74364F}"/>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26001" xr:uid="{034148C4-385F-4638-9593-6F5474C70136}"/>
    <cellStyle name="Normal 8 2 2 3 2 4 2 2 3" xfId="17561" xr:uid="{C3640480-5D07-44AB-8323-EE802742793A}"/>
    <cellStyle name="Normal 8 2 2 3 2 4 2 3" xfId="21784" xr:uid="{4FE50CF2-869D-4D51-AC36-A5EE33728461}"/>
    <cellStyle name="Normal 8 2 2 3 2 4 2 4" xfId="13344" xr:uid="{4D4C8E11-D9EB-48B3-8802-2F0D7099A797}"/>
    <cellStyle name="Normal 8 2 2 3 2 4 3" xfId="6090" xr:uid="{00000000-0005-0000-0000-0000521C0000}"/>
    <cellStyle name="Normal 8 2 2 3 2 4 3 2" xfId="23856" xr:uid="{E22EFE2D-9077-4859-A7D9-F88CE3D675AD}"/>
    <cellStyle name="Normal 8 2 2 3 2 4 3 3" xfId="15416" xr:uid="{EA2C4793-C92F-4E93-80C8-218078800BE5}"/>
    <cellStyle name="Normal 8 2 2 3 2 4 4" xfId="19639" xr:uid="{AB09C73B-7E26-473C-A1F0-5E2D6AE9A434}"/>
    <cellStyle name="Normal 8 2 2 3 2 4 5" xfId="11199" xr:uid="{37B7744B-CF97-4A87-B4C4-E5A0B665AF5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26414" xr:uid="{AA26630E-A034-4526-9187-7B23D3CA754B}"/>
    <cellStyle name="Normal 8 2 2 3 2 5 2 2 3" xfId="17974" xr:uid="{BD22B3F2-C1B0-4114-B1BA-054A229F86D6}"/>
    <cellStyle name="Normal 8 2 2 3 2 5 2 3" xfId="22197" xr:uid="{90307C08-A813-4564-981C-27CBDDD23174}"/>
    <cellStyle name="Normal 8 2 2 3 2 5 2 4" xfId="13757" xr:uid="{487BB446-5616-40CC-9B83-7421EF7FE9FA}"/>
    <cellStyle name="Normal 8 2 2 3 2 5 3" xfId="6503" xr:uid="{00000000-0005-0000-0000-0000561C0000}"/>
    <cellStyle name="Normal 8 2 2 3 2 5 3 2" xfId="24269" xr:uid="{36D8A4EE-15F8-4F77-9D84-1770F6435D50}"/>
    <cellStyle name="Normal 8 2 2 3 2 5 3 3" xfId="15829" xr:uid="{B3D38B06-A88E-41F7-9D13-CF8A1712A664}"/>
    <cellStyle name="Normal 8 2 2 3 2 5 4" xfId="20052" xr:uid="{FD78D669-92DD-4C94-AD0A-9A0CB3FC83B8}"/>
    <cellStyle name="Normal 8 2 2 3 2 5 5" xfId="11612" xr:uid="{1623D8A5-63EC-45BB-A240-767B4093FCC5}"/>
    <cellStyle name="Normal 8 2 2 3 2 6" xfId="2633" xr:uid="{00000000-0005-0000-0000-0000571C0000}"/>
    <cellStyle name="Normal 8 2 2 3 2 6 2" xfId="6916" xr:uid="{00000000-0005-0000-0000-0000581C0000}"/>
    <cellStyle name="Normal 8 2 2 3 2 6 2 2" xfId="24682" xr:uid="{F2F2DC84-E889-4830-9D38-B04E5A71377A}"/>
    <cellStyle name="Normal 8 2 2 3 2 6 2 3" xfId="16242" xr:uid="{BB47ED9B-4F6B-4EDD-B51B-FFA6AAF03636}"/>
    <cellStyle name="Normal 8 2 2 3 2 6 3" xfId="20465" xr:uid="{1B5A5D9A-3FA9-45F9-B394-AD9A65F13A9D}"/>
    <cellStyle name="Normal 8 2 2 3 2 6 4" xfId="12025" xr:uid="{C097722B-43B8-46A5-B1E9-B9880C671C66}"/>
    <cellStyle name="Normal 8 2 2 3 2 7" xfId="4851" xr:uid="{00000000-0005-0000-0000-0000591C0000}"/>
    <cellStyle name="Normal 8 2 2 3 2 7 2" xfId="22617" xr:uid="{147C58E4-8DBF-4BC4-9778-7AB4365020BC}"/>
    <cellStyle name="Normal 8 2 2 3 2 7 3" xfId="14177" xr:uid="{F972D54E-9B79-4F8C-B524-E33F27D69578}"/>
    <cellStyle name="Normal 8 2 2 3 2 8" xfId="9093" xr:uid="{ADE34C72-BCCB-477C-B66A-BE7159CEB281}"/>
    <cellStyle name="Normal 8 2 2 3 2 8 2" xfId="18400" xr:uid="{C7F93F1D-BAB7-4929-A94C-E35108258D95}"/>
    <cellStyle name="Normal 8 2 2 3 2 9" xfId="9960" xr:uid="{7ACD82AB-0448-4DB2-8255-D7B5452C2C72}"/>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25174" xr:uid="{25D9A156-5C32-482B-8C79-35CCD6DAC7B6}"/>
    <cellStyle name="Normal 8 2 2 3 3 2 2 3" xfId="16734" xr:uid="{C007B652-563F-41C3-8AC6-C241B6A51292}"/>
    <cellStyle name="Normal 8 2 2 3 3 2 3" xfId="20957" xr:uid="{60D12136-6835-4FCB-B7B2-50DD1193DC40}"/>
    <cellStyle name="Normal 8 2 2 3 3 2 4" xfId="12517" xr:uid="{B6A86AE8-5EC2-45FE-B012-C55441EEEC8F}"/>
    <cellStyle name="Normal 8 2 2 3 3 3" xfId="5263" xr:uid="{00000000-0005-0000-0000-00005D1C0000}"/>
    <cellStyle name="Normal 8 2 2 3 3 3 2" xfId="23029" xr:uid="{0DA68099-015D-4995-B9AE-093247F87CE9}"/>
    <cellStyle name="Normal 8 2 2 3 3 3 3" xfId="14589" xr:uid="{0C504308-1221-4F3E-A3CE-B14E04B55E7E}"/>
    <cellStyle name="Normal 8 2 2 3 3 4" xfId="9311" xr:uid="{F4618F1E-1235-4269-B5C6-B09BE5034F6C}"/>
    <cellStyle name="Normal 8 2 2 3 3 4 2" xfId="18812" xr:uid="{EDFBB022-B28A-4E18-B9FB-3927DD87D19F}"/>
    <cellStyle name="Normal 8 2 2 3 3 5" xfId="10372" xr:uid="{7879AF3C-3773-4923-A11A-70F1349E93DF}"/>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25587" xr:uid="{6C02DA5E-0BAC-4496-87C9-1D19FD15BCA4}"/>
    <cellStyle name="Normal 8 2 2 3 4 2 2 3" xfId="17147" xr:uid="{94C227AC-2D37-42E2-BC83-5A98D2B55F25}"/>
    <cellStyle name="Normal 8 2 2 3 4 2 3" xfId="21370" xr:uid="{471F8617-8755-476D-8065-E777D913D600}"/>
    <cellStyle name="Normal 8 2 2 3 4 2 4" xfId="12930" xr:uid="{D7DA0306-0D5F-4A0E-8C07-86B0DF60A8A9}"/>
    <cellStyle name="Normal 8 2 2 3 4 3" xfId="5676" xr:uid="{00000000-0005-0000-0000-0000611C0000}"/>
    <cellStyle name="Normal 8 2 2 3 4 3 2" xfId="23442" xr:uid="{7F1B87D2-3ED3-4AA1-9589-84E9561E8E95}"/>
    <cellStyle name="Normal 8 2 2 3 4 3 3" xfId="15002" xr:uid="{E1695306-EEF7-418C-9770-BBAB138EF778}"/>
    <cellStyle name="Normal 8 2 2 3 4 4" xfId="19225" xr:uid="{2FFDC02B-23B8-4AE7-8D1D-94E292A2FFCD}"/>
    <cellStyle name="Normal 8 2 2 3 4 5" xfId="10785" xr:uid="{3DB97161-7FB5-4C65-BF9C-8017C596A37B}"/>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26000" xr:uid="{DA80B59B-535C-4169-8F89-01A85ABE67E5}"/>
    <cellStyle name="Normal 8 2 2 3 5 2 2 3" xfId="17560" xr:uid="{641642BB-334E-40DE-B0C1-AD8689B5E7A3}"/>
    <cellStyle name="Normal 8 2 2 3 5 2 3" xfId="21783" xr:uid="{D6058401-11FB-4192-A11C-409A6D8D31BC}"/>
    <cellStyle name="Normal 8 2 2 3 5 2 4" xfId="13343" xr:uid="{16244DD5-9524-4EDA-AC5F-320D0B245A2E}"/>
    <cellStyle name="Normal 8 2 2 3 5 3" xfId="6089" xr:uid="{00000000-0005-0000-0000-0000651C0000}"/>
    <cellStyle name="Normal 8 2 2 3 5 3 2" xfId="23855" xr:uid="{CC0BFDF0-5E85-460A-AB5F-076DE24D8B5D}"/>
    <cellStyle name="Normal 8 2 2 3 5 3 3" xfId="15415" xr:uid="{A2EBF34A-C3D1-45A4-BCE5-7A7D82132DA6}"/>
    <cellStyle name="Normal 8 2 2 3 5 4" xfId="19638" xr:uid="{436BE120-0A86-4BF4-B801-F2DB1304A8FE}"/>
    <cellStyle name="Normal 8 2 2 3 5 5" xfId="11198" xr:uid="{0398414A-304C-4912-BF9D-A16D49A8C6DF}"/>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26413" xr:uid="{28BF4D17-8E4D-47A7-AB8A-2F1A4385FFAA}"/>
    <cellStyle name="Normal 8 2 2 3 6 2 2 3" xfId="17973" xr:uid="{B3A52D51-CA84-4038-8713-534D5C3712FA}"/>
    <cellStyle name="Normal 8 2 2 3 6 2 3" xfId="22196" xr:uid="{90C4A86A-F90A-497B-A532-78F498E005E4}"/>
    <cellStyle name="Normal 8 2 2 3 6 2 4" xfId="13756" xr:uid="{7817C6E2-2E72-4826-B743-6271BC44965B}"/>
    <cellStyle name="Normal 8 2 2 3 6 3" xfId="6502" xr:uid="{00000000-0005-0000-0000-0000691C0000}"/>
    <cellStyle name="Normal 8 2 2 3 6 3 2" xfId="24268" xr:uid="{C41E9271-3644-434C-A636-EE7E2FC98183}"/>
    <cellStyle name="Normal 8 2 2 3 6 3 3" xfId="15828" xr:uid="{63D4907D-8AB1-482B-BC88-4D87DF567984}"/>
    <cellStyle name="Normal 8 2 2 3 6 4" xfId="20051" xr:uid="{0D6F48F8-9D33-4363-951B-E3A0AEE531F9}"/>
    <cellStyle name="Normal 8 2 2 3 6 5" xfId="11611" xr:uid="{DA590DEB-FAEA-4742-A956-46167014BF7E}"/>
    <cellStyle name="Normal 8 2 2 3 7" xfId="2632" xr:uid="{00000000-0005-0000-0000-00006A1C0000}"/>
    <cellStyle name="Normal 8 2 2 3 7 2" xfId="6915" xr:uid="{00000000-0005-0000-0000-00006B1C0000}"/>
    <cellStyle name="Normal 8 2 2 3 7 2 2" xfId="24681" xr:uid="{4FEE6972-8905-44A2-8696-07832D5C0DC1}"/>
    <cellStyle name="Normal 8 2 2 3 7 2 3" xfId="16241" xr:uid="{EB7BE782-F2B3-41D7-81E2-B449EA8DB4C7}"/>
    <cellStyle name="Normal 8 2 2 3 7 3" xfId="20464" xr:uid="{18F2CEAE-27A8-4FA6-9F9A-1EA2D95C4B50}"/>
    <cellStyle name="Normal 8 2 2 3 7 4" xfId="12024" xr:uid="{7516335F-89F5-4A72-84E1-7B77C93FF1F1}"/>
    <cellStyle name="Normal 8 2 2 3 8" xfId="4850" xr:uid="{00000000-0005-0000-0000-00006C1C0000}"/>
    <cellStyle name="Normal 8 2 2 3 8 2" xfId="22616" xr:uid="{8D83E013-CA5F-4E31-8B95-EFCE22CA9BB8}"/>
    <cellStyle name="Normal 8 2 2 3 8 3" xfId="14176" xr:uid="{712B60A5-68DB-4D4E-B2E3-1602879F2812}"/>
    <cellStyle name="Normal 8 2 2 3 9" xfId="8886" xr:uid="{B2A45ACA-2377-4A40-A818-E7106AD46E30}"/>
    <cellStyle name="Normal 8 2 2 3 9 2" xfId="18399" xr:uid="{3C439EA1-D9AA-4E3E-84B1-594529106004}"/>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25176" xr:uid="{4C0B4388-4F7D-4350-A4FF-0430D017CB26}"/>
    <cellStyle name="Normal 8 2 2 4 2 2 2 3" xfId="16736" xr:uid="{E521CC28-F904-410F-90DD-0321538502CA}"/>
    <cellStyle name="Normal 8 2 2 4 2 2 3" xfId="20959" xr:uid="{A8CFD0B2-1FE4-41E8-B825-A3056F24700A}"/>
    <cellStyle name="Normal 8 2 2 4 2 2 4" xfId="12519" xr:uid="{CD17DAEE-0E1F-449E-BEE9-0521CC5654C3}"/>
    <cellStyle name="Normal 8 2 2 4 2 3" xfId="5265" xr:uid="{00000000-0005-0000-0000-0000711C0000}"/>
    <cellStyle name="Normal 8 2 2 4 2 3 2" xfId="23031" xr:uid="{7453DE28-1220-415A-81DC-0A9F64320BE5}"/>
    <cellStyle name="Normal 8 2 2 4 2 3 3" xfId="14591" xr:uid="{5376D3BA-A108-4C17-A542-5B8847592FC3}"/>
    <cellStyle name="Normal 8 2 2 4 2 4" xfId="9415" xr:uid="{88D7FF95-DEA9-4369-BE01-487FC7B2B7E8}"/>
    <cellStyle name="Normal 8 2 2 4 2 4 2" xfId="18814" xr:uid="{2F716C91-3FDF-45A2-AE43-9D225DF9CB82}"/>
    <cellStyle name="Normal 8 2 2 4 2 5" xfId="10374" xr:uid="{E982FDF0-185A-48FD-B9FC-5B32D193E76F}"/>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25589" xr:uid="{29B8C6B7-8FCD-424A-AB20-6D6ECD83663F}"/>
    <cellStyle name="Normal 8 2 2 4 3 2 2 3" xfId="17149" xr:uid="{70ACE02F-AD46-46D0-8B56-C5D350B2C3BA}"/>
    <cellStyle name="Normal 8 2 2 4 3 2 3" xfId="21372" xr:uid="{5E30474A-EBBC-4D32-A048-EE251FEA4474}"/>
    <cellStyle name="Normal 8 2 2 4 3 2 4" xfId="12932" xr:uid="{B3562034-26CC-4666-873A-CD43D9D00763}"/>
    <cellStyle name="Normal 8 2 2 4 3 3" xfId="5678" xr:uid="{00000000-0005-0000-0000-0000751C0000}"/>
    <cellStyle name="Normal 8 2 2 4 3 3 2" xfId="23444" xr:uid="{D2D7E9F0-5CD9-416D-8606-934C42A12FDD}"/>
    <cellStyle name="Normal 8 2 2 4 3 3 3" xfId="15004" xr:uid="{00013741-8E74-45F5-BA77-F7722549A4E2}"/>
    <cellStyle name="Normal 8 2 2 4 3 4" xfId="19227" xr:uid="{DC4343FE-0A72-4575-A3C5-DAB207975393}"/>
    <cellStyle name="Normal 8 2 2 4 3 5" xfId="10787" xr:uid="{0915B16D-1E70-4404-9078-BAB22F4983B5}"/>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26002" xr:uid="{EB8612D9-05B2-4E48-B00B-963745F8DF5E}"/>
    <cellStyle name="Normal 8 2 2 4 4 2 2 3" xfId="17562" xr:uid="{259DEB30-60A4-4C49-8DCB-705DE8C2B16F}"/>
    <cellStyle name="Normal 8 2 2 4 4 2 3" xfId="21785" xr:uid="{DBA3A974-5AFA-44E1-94A9-1F623D19A45E}"/>
    <cellStyle name="Normal 8 2 2 4 4 2 4" xfId="13345" xr:uid="{067FC936-7BE8-47BB-930F-7485AD69A2F0}"/>
    <cellStyle name="Normal 8 2 2 4 4 3" xfId="6091" xr:uid="{00000000-0005-0000-0000-0000791C0000}"/>
    <cellStyle name="Normal 8 2 2 4 4 3 2" xfId="23857" xr:uid="{47A8CA37-6748-4953-BA7C-4FCB83F9CB3C}"/>
    <cellStyle name="Normal 8 2 2 4 4 3 3" xfId="15417" xr:uid="{B110BCD4-E76A-4205-AF95-54F090A77A2A}"/>
    <cellStyle name="Normal 8 2 2 4 4 4" xfId="19640" xr:uid="{7A4D99DE-B24E-4B79-8CF2-54FD80D19D59}"/>
    <cellStyle name="Normal 8 2 2 4 4 5" xfId="11200" xr:uid="{D5DD9BA8-A168-455B-8BEB-9DFB704D65DB}"/>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26415" xr:uid="{E451D14C-8060-44B9-96B7-AFBA7A10F339}"/>
    <cellStyle name="Normal 8 2 2 4 5 2 2 3" xfId="17975" xr:uid="{8C1E0702-85FC-489E-80E8-5036F93E66A4}"/>
    <cellStyle name="Normal 8 2 2 4 5 2 3" xfId="22198" xr:uid="{A2E6A4EC-F64D-4AF8-8F16-C2AB077392BF}"/>
    <cellStyle name="Normal 8 2 2 4 5 2 4" xfId="13758" xr:uid="{7F2B869D-D654-42BD-B4C8-98B64763742A}"/>
    <cellStyle name="Normal 8 2 2 4 5 3" xfId="6504" xr:uid="{00000000-0005-0000-0000-00007D1C0000}"/>
    <cellStyle name="Normal 8 2 2 4 5 3 2" xfId="24270" xr:uid="{3974F880-B34E-495D-81BB-F9531611ED18}"/>
    <cellStyle name="Normal 8 2 2 4 5 3 3" xfId="15830" xr:uid="{0DBA1C19-0521-4203-9A27-94017EA369D1}"/>
    <cellStyle name="Normal 8 2 2 4 5 4" xfId="20053" xr:uid="{007605E0-53D9-487D-AA3D-CDEC88816AD2}"/>
    <cellStyle name="Normal 8 2 2 4 5 5" xfId="11613" xr:uid="{3DC865B5-88A5-4648-9DA7-01160BD13DBD}"/>
    <cellStyle name="Normal 8 2 2 4 6" xfId="2634" xr:uid="{00000000-0005-0000-0000-00007E1C0000}"/>
    <cellStyle name="Normal 8 2 2 4 6 2" xfId="6917" xr:uid="{00000000-0005-0000-0000-00007F1C0000}"/>
    <cellStyle name="Normal 8 2 2 4 6 2 2" xfId="24683" xr:uid="{5D88581B-5FF4-4FB3-9396-3454DDC9CE72}"/>
    <cellStyle name="Normal 8 2 2 4 6 2 3" xfId="16243" xr:uid="{2301339D-08C4-42D1-800F-7CCA402A6A76}"/>
    <cellStyle name="Normal 8 2 2 4 6 3" xfId="20466" xr:uid="{FBD58453-3E8C-4563-9BA0-366B725122A1}"/>
    <cellStyle name="Normal 8 2 2 4 6 4" xfId="12026" xr:uid="{2968C49C-B714-4A0B-9256-66B82CDCED5D}"/>
    <cellStyle name="Normal 8 2 2 4 7" xfId="4852" xr:uid="{00000000-0005-0000-0000-0000801C0000}"/>
    <cellStyle name="Normal 8 2 2 4 7 2" xfId="22618" xr:uid="{DA55ABAB-2C08-48FF-846E-0621F2D64321}"/>
    <cellStyle name="Normal 8 2 2 4 7 3" xfId="14178" xr:uid="{2D4AC77F-D2FD-4DFF-8A46-71C3FB975222}"/>
    <cellStyle name="Normal 8 2 2 4 8" xfId="8990" xr:uid="{F08D85C9-EB04-4227-BEA0-1B51DDB63DFA}"/>
    <cellStyle name="Normal 8 2 2 4 8 2" xfId="18401" xr:uid="{29D22221-E671-410D-9EDA-90C5EE3196FB}"/>
    <cellStyle name="Normal 8 2 2 4 9" xfId="9961" xr:uid="{01E96047-043A-4C14-8B17-EE5949CD74A6}"/>
    <cellStyle name="Normal 8 2 2 5" xfId="947" xr:uid="{00000000-0005-0000-0000-0000811C0000}"/>
    <cellStyle name="Normal 8 2 2 5 2" xfId="3181" xr:uid="{00000000-0005-0000-0000-0000821C0000}"/>
    <cellStyle name="Normal 8 2 2 5 2 2" xfId="7403" xr:uid="{00000000-0005-0000-0000-0000831C0000}"/>
    <cellStyle name="Normal 8 2 2 5 2 2 2" xfId="25169" xr:uid="{E25280D4-E024-4FF7-8728-3933EC3992DD}"/>
    <cellStyle name="Normal 8 2 2 5 2 2 3" xfId="16729" xr:uid="{53BCC0D2-CC35-4D8C-BFCA-42660FE517D6}"/>
    <cellStyle name="Normal 8 2 2 5 2 3" xfId="20952" xr:uid="{949818FF-C840-4AB6-BE0B-82E86CA5938D}"/>
    <cellStyle name="Normal 8 2 2 5 2 4" xfId="12512" xr:uid="{631EA1D1-E258-4B02-B8A0-AC52BF1194CB}"/>
    <cellStyle name="Normal 8 2 2 5 3" xfId="5258" xr:uid="{00000000-0005-0000-0000-0000841C0000}"/>
    <cellStyle name="Normal 8 2 2 5 3 2" xfId="23024" xr:uid="{BE5D03C9-CF2D-490F-A1E1-5DCD6C4EE6A9}"/>
    <cellStyle name="Normal 8 2 2 5 3 3" xfId="14584" xr:uid="{772C011C-0F59-42D5-89DD-02A2855C7273}"/>
    <cellStyle name="Normal 8 2 2 5 4" xfId="9207" xr:uid="{D4CDC4D2-5794-400F-B850-1B259D26C1FE}"/>
    <cellStyle name="Normal 8 2 2 5 4 2" xfId="18807" xr:uid="{0022D139-946A-4825-AC16-78E53D96A0D0}"/>
    <cellStyle name="Normal 8 2 2 5 5" xfId="10367" xr:uid="{DBD6B370-F191-43F3-85FE-135EA852CEE9}"/>
    <cellStyle name="Normal 8 2 2 6" xfId="1364" xr:uid="{00000000-0005-0000-0000-0000851C0000}"/>
    <cellStyle name="Normal 8 2 2 6 2" xfId="3594" xr:uid="{00000000-0005-0000-0000-0000861C0000}"/>
    <cellStyle name="Normal 8 2 2 6 2 2" xfId="7816" xr:uid="{00000000-0005-0000-0000-0000871C0000}"/>
    <cellStyle name="Normal 8 2 2 6 2 2 2" xfId="25582" xr:uid="{E4A32C70-42AF-4BA1-9E4A-993789056252}"/>
    <cellStyle name="Normal 8 2 2 6 2 2 3" xfId="17142" xr:uid="{EF1F7FBA-D551-45C8-9EB1-7FE135E94F2B}"/>
    <cellStyle name="Normal 8 2 2 6 2 3" xfId="21365" xr:uid="{58E0416D-4AD2-4444-AEA7-59F76299B3F7}"/>
    <cellStyle name="Normal 8 2 2 6 2 4" xfId="12925" xr:uid="{3161474E-A72B-40C4-BD9D-7647F5DF7329}"/>
    <cellStyle name="Normal 8 2 2 6 3" xfId="5671" xr:uid="{00000000-0005-0000-0000-0000881C0000}"/>
    <cellStyle name="Normal 8 2 2 6 3 2" xfId="23437" xr:uid="{067EDC55-1B86-422F-AB63-636EA600BA38}"/>
    <cellStyle name="Normal 8 2 2 6 3 3" xfId="14997" xr:uid="{26A567DC-4970-410A-9435-618D3DAF6956}"/>
    <cellStyle name="Normal 8 2 2 6 4" xfId="19220" xr:uid="{5DAC07C8-1AC5-45D9-A3B0-C2997D4A8BC1}"/>
    <cellStyle name="Normal 8 2 2 6 5" xfId="10780" xr:uid="{35B51796-A552-42DE-BC0C-A010BF1A5820}"/>
    <cellStyle name="Normal 8 2 2 7" xfId="1777" xr:uid="{00000000-0005-0000-0000-0000891C0000}"/>
    <cellStyle name="Normal 8 2 2 7 2" xfId="4007" xr:uid="{00000000-0005-0000-0000-00008A1C0000}"/>
    <cellStyle name="Normal 8 2 2 7 2 2" xfId="8229" xr:uid="{00000000-0005-0000-0000-00008B1C0000}"/>
    <cellStyle name="Normal 8 2 2 7 2 2 2" xfId="25995" xr:uid="{4FE4B235-5415-4F6A-8717-292157E80227}"/>
    <cellStyle name="Normal 8 2 2 7 2 2 3" xfId="17555" xr:uid="{12D8F7C9-40E1-449C-979A-B9ADD61CA849}"/>
    <cellStyle name="Normal 8 2 2 7 2 3" xfId="21778" xr:uid="{7C9145D7-8108-4D68-BD64-E8F571F24C78}"/>
    <cellStyle name="Normal 8 2 2 7 2 4" xfId="13338" xr:uid="{F8D2CFC8-D89B-442D-93F0-ED7ACB1FA0CF}"/>
    <cellStyle name="Normal 8 2 2 7 3" xfId="6084" xr:uid="{00000000-0005-0000-0000-00008C1C0000}"/>
    <cellStyle name="Normal 8 2 2 7 3 2" xfId="23850" xr:uid="{0E555615-ADEE-4014-90E0-FD775CF95B97}"/>
    <cellStyle name="Normal 8 2 2 7 3 3" xfId="15410" xr:uid="{70A4F5B8-3850-4D2D-BCD8-E845FAB9946D}"/>
    <cellStyle name="Normal 8 2 2 7 4" xfId="19633" xr:uid="{36ECA20D-DBA7-44C4-B83F-40AB9A86C9EC}"/>
    <cellStyle name="Normal 8 2 2 7 5" xfId="11193" xr:uid="{13166301-BE4E-44DF-9E21-360AA0953E80}"/>
    <cellStyle name="Normal 8 2 2 8" xfId="2191" xr:uid="{00000000-0005-0000-0000-00008D1C0000}"/>
    <cellStyle name="Normal 8 2 2 8 2" xfId="4420" xr:uid="{00000000-0005-0000-0000-00008E1C0000}"/>
    <cellStyle name="Normal 8 2 2 8 2 2" xfId="8642" xr:uid="{00000000-0005-0000-0000-00008F1C0000}"/>
    <cellStyle name="Normal 8 2 2 8 2 2 2" xfId="26408" xr:uid="{3D8A4B48-2B5F-4E62-B1D2-4CEB1D47F067}"/>
    <cellStyle name="Normal 8 2 2 8 2 2 3" xfId="17968" xr:uid="{EF8D86E8-5B15-4C93-94D3-740CDE4827E2}"/>
    <cellStyle name="Normal 8 2 2 8 2 3" xfId="22191" xr:uid="{DE70DF93-1B59-4EED-A29F-A163DCD4D813}"/>
    <cellStyle name="Normal 8 2 2 8 2 4" xfId="13751" xr:uid="{9A2AC71B-E246-4005-832A-BE0C7ACE1DAB}"/>
    <cellStyle name="Normal 8 2 2 8 3" xfId="6497" xr:uid="{00000000-0005-0000-0000-0000901C0000}"/>
    <cellStyle name="Normal 8 2 2 8 3 2" xfId="24263" xr:uid="{8D4B2FC4-A134-4E1A-9351-6F7D821D7E1B}"/>
    <cellStyle name="Normal 8 2 2 8 3 3" xfId="15823" xr:uid="{F73E8E5A-4098-4504-AB36-416338C58660}"/>
    <cellStyle name="Normal 8 2 2 8 4" xfId="20046" xr:uid="{67FAFC03-1D26-44D5-A87E-32D3E2E80C36}"/>
    <cellStyle name="Normal 8 2 2 8 5" xfId="11606" xr:uid="{7303BF83-1024-4C34-9A1B-C761009A5E16}"/>
    <cellStyle name="Normal 8 2 2 9" xfId="2627" xr:uid="{00000000-0005-0000-0000-0000911C0000}"/>
    <cellStyle name="Normal 8 2 2 9 2" xfId="6910" xr:uid="{00000000-0005-0000-0000-0000921C0000}"/>
    <cellStyle name="Normal 8 2 2 9 2 2" xfId="24676" xr:uid="{18AEEB0C-93B3-4D57-862D-706D4DFF4999}"/>
    <cellStyle name="Normal 8 2 2 9 2 3" xfId="16236" xr:uid="{6BF57459-B6FA-46F7-A4E0-2D7BB05A7B97}"/>
    <cellStyle name="Normal 8 2 2 9 3" xfId="20459" xr:uid="{9912F34E-CF12-4CF4-B35A-7753ABBEA04A}"/>
    <cellStyle name="Normal 8 2 2 9 4" xfId="12019" xr:uid="{E3269DDC-108E-4E2B-9D30-77B71C918180}"/>
    <cellStyle name="Normal 8 2 3" xfId="488" xr:uid="{00000000-0005-0000-0000-0000931C0000}"/>
    <cellStyle name="Normal 8 2 3 10" xfId="8835" xr:uid="{2F0FB8B3-D08B-41EB-93AB-2D83A1BD6036}"/>
    <cellStyle name="Normal 8 2 3 10 2" xfId="18402" xr:uid="{F977776D-2220-4BD9-88D6-75CF2999D172}"/>
    <cellStyle name="Normal 8 2 3 11" xfId="9962" xr:uid="{9E493EE7-4963-4BAC-A42F-8C48A111496B}"/>
    <cellStyle name="Normal 8 2 3 2" xfId="489" xr:uid="{00000000-0005-0000-0000-0000941C0000}"/>
    <cellStyle name="Normal 8 2 3 2 10" xfId="9963" xr:uid="{7A08CF94-1078-4ACD-A293-4B5BB97A8F0A}"/>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25179" xr:uid="{B6E46B49-C54A-4302-A75B-4BA9FD7B0C8D}"/>
    <cellStyle name="Normal 8 2 3 2 2 2 2 2 3" xfId="16739" xr:uid="{C0A672F9-9AF1-4FBD-BEA5-776FCA5FC0D6}"/>
    <cellStyle name="Normal 8 2 3 2 2 2 2 3" xfId="20962" xr:uid="{13D84408-1BC6-427C-B959-5B433F118158}"/>
    <cellStyle name="Normal 8 2 3 2 2 2 2 4" xfId="12522" xr:uid="{D625645F-285A-4769-8C23-64414547DBD2}"/>
    <cellStyle name="Normal 8 2 3 2 2 2 3" xfId="5268" xr:uid="{00000000-0005-0000-0000-0000991C0000}"/>
    <cellStyle name="Normal 8 2 3 2 2 2 3 2" xfId="23034" xr:uid="{DF31A5FE-04F7-4363-9547-F943AE8209D0}"/>
    <cellStyle name="Normal 8 2 3 2 2 2 3 3" xfId="14594" xr:uid="{486BB9E3-2413-41FC-9423-37189CDF45A5}"/>
    <cellStyle name="Normal 8 2 3 2 2 2 4" xfId="9570" xr:uid="{BA9732E0-D9E4-47DB-882D-D871A821FA55}"/>
    <cellStyle name="Normal 8 2 3 2 2 2 4 2" xfId="18817" xr:uid="{6222FA58-87E3-4CB8-A53B-879D76546E91}"/>
    <cellStyle name="Normal 8 2 3 2 2 2 5" xfId="10377" xr:uid="{FA33D51B-F0E1-4227-9013-FFF266B3246D}"/>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25592" xr:uid="{7357FE2C-9A3A-4C54-A23C-ED90B856632F}"/>
    <cellStyle name="Normal 8 2 3 2 2 3 2 2 3" xfId="17152" xr:uid="{D78ACD62-3564-4E99-A27A-CA2E2963A476}"/>
    <cellStyle name="Normal 8 2 3 2 2 3 2 3" xfId="21375" xr:uid="{9698FD37-3A5C-4342-8CE7-B004F18FF093}"/>
    <cellStyle name="Normal 8 2 3 2 2 3 2 4" xfId="12935" xr:uid="{9A0B6E22-72BB-49FE-B693-E98051F61C55}"/>
    <cellStyle name="Normal 8 2 3 2 2 3 3" xfId="5681" xr:uid="{00000000-0005-0000-0000-00009D1C0000}"/>
    <cellStyle name="Normal 8 2 3 2 2 3 3 2" xfId="23447" xr:uid="{8D56FEE2-A9D2-46D2-AB8E-43FE15E34E94}"/>
    <cellStyle name="Normal 8 2 3 2 2 3 3 3" xfId="15007" xr:uid="{F4E7410C-D3C9-4E42-826A-06B5781BF23F}"/>
    <cellStyle name="Normal 8 2 3 2 2 3 4" xfId="19230" xr:uid="{7E8F640A-B3FC-4FD5-98F2-E9FAD31501F1}"/>
    <cellStyle name="Normal 8 2 3 2 2 3 5" xfId="10790" xr:uid="{8142879A-3F35-442D-8278-C0467249EBDA}"/>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26005" xr:uid="{3AD9B097-61D1-4D09-BCA5-B257708F7F41}"/>
    <cellStyle name="Normal 8 2 3 2 2 4 2 2 3" xfId="17565" xr:uid="{9B1CBC08-E1B9-44BF-BCEC-22E80A5E3C78}"/>
    <cellStyle name="Normal 8 2 3 2 2 4 2 3" xfId="21788" xr:uid="{39E0B897-82BC-4A53-9EAD-CED9190B763B}"/>
    <cellStyle name="Normal 8 2 3 2 2 4 2 4" xfId="13348" xr:uid="{CECD94DA-0D35-4E95-B7F8-12B053FB620C}"/>
    <cellStyle name="Normal 8 2 3 2 2 4 3" xfId="6094" xr:uid="{00000000-0005-0000-0000-0000A11C0000}"/>
    <cellStyle name="Normal 8 2 3 2 2 4 3 2" xfId="23860" xr:uid="{7278746F-2BB6-467D-8CDC-EACF36C406FA}"/>
    <cellStyle name="Normal 8 2 3 2 2 4 3 3" xfId="15420" xr:uid="{997DFC57-DF1F-4440-BE27-A223D21AF507}"/>
    <cellStyle name="Normal 8 2 3 2 2 4 4" xfId="19643" xr:uid="{44E29BBF-0F37-430C-943F-51285725A07E}"/>
    <cellStyle name="Normal 8 2 3 2 2 4 5" xfId="11203" xr:uid="{244A81B4-08CA-4270-888F-E6CB84177896}"/>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26418" xr:uid="{441D5559-D9CD-4F5D-BAB3-86134F72C0A5}"/>
    <cellStyle name="Normal 8 2 3 2 2 5 2 2 3" xfId="17978" xr:uid="{7963EE5F-A8B1-4CDA-8179-3ADB2A08DC0B}"/>
    <cellStyle name="Normal 8 2 3 2 2 5 2 3" xfId="22201" xr:uid="{15499B97-BB15-4A22-BFD5-A8B7D98B0852}"/>
    <cellStyle name="Normal 8 2 3 2 2 5 2 4" xfId="13761" xr:uid="{A3238EB8-095B-4FD8-B204-B47682B154F8}"/>
    <cellStyle name="Normal 8 2 3 2 2 5 3" xfId="6507" xr:uid="{00000000-0005-0000-0000-0000A51C0000}"/>
    <cellStyle name="Normal 8 2 3 2 2 5 3 2" xfId="24273" xr:uid="{CE078A54-4FD9-4B61-BB6C-3B9456099489}"/>
    <cellStyle name="Normal 8 2 3 2 2 5 3 3" xfId="15833" xr:uid="{2B519411-CCB9-4A4E-A275-38EA8574C04F}"/>
    <cellStyle name="Normal 8 2 3 2 2 5 4" xfId="20056" xr:uid="{DAF32204-BFBF-4D4D-8CDE-782CB873DDFE}"/>
    <cellStyle name="Normal 8 2 3 2 2 5 5" xfId="11616" xr:uid="{CD6D107A-ECE3-477E-9960-74CEE43E2A69}"/>
    <cellStyle name="Normal 8 2 3 2 2 6" xfId="2637" xr:uid="{00000000-0005-0000-0000-0000A61C0000}"/>
    <cellStyle name="Normal 8 2 3 2 2 6 2" xfId="6920" xr:uid="{00000000-0005-0000-0000-0000A71C0000}"/>
    <cellStyle name="Normal 8 2 3 2 2 6 2 2" xfId="24686" xr:uid="{630B5F5D-2AC4-40FB-B754-E9E815283648}"/>
    <cellStyle name="Normal 8 2 3 2 2 6 2 3" xfId="16246" xr:uid="{7866F215-3C99-4895-B2AC-49E5D3188875}"/>
    <cellStyle name="Normal 8 2 3 2 2 6 3" xfId="20469" xr:uid="{D9451DF5-7D33-414C-83BA-BCBBCEF35FCF}"/>
    <cellStyle name="Normal 8 2 3 2 2 6 4" xfId="12029" xr:uid="{01CB132F-C9A0-44AF-B301-C4AD070F1D54}"/>
    <cellStyle name="Normal 8 2 3 2 2 7" xfId="4855" xr:uid="{00000000-0005-0000-0000-0000A81C0000}"/>
    <cellStyle name="Normal 8 2 3 2 2 7 2" xfId="22621" xr:uid="{6E556DAE-737F-4B81-8E81-9BEB8A8CAB1C}"/>
    <cellStyle name="Normal 8 2 3 2 2 7 3" xfId="14181" xr:uid="{20075BC6-DEDB-417B-83F2-4F52663B4A99}"/>
    <cellStyle name="Normal 8 2 3 2 2 8" xfId="9145" xr:uid="{C71E6005-187D-4837-92B4-619AF06B3A3B}"/>
    <cellStyle name="Normal 8 2 3 2 2 8 2" xfId="18404" xr:uid="{FD31A921-5E31-44CE-8823-6ABDB1CF9647}"/>
    <cellStyle name="Normal 8 2 3 2 2 9" xfId="9964" xr:uid="{7D1279DA-CCA8-4BB8-B59F-7B5BFA3255C7}"/>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25178" xr:uid="{2C0C55AA-C596-4835-8FC1-6200B719B47E}"/>
    <cellStyle name="Normal 8 2 3 2 3 2 2 3" xfId="16738" xr:uid="{86632F8E-C3AA-4800-BF05-E2F81240EA04}"/>
    <cellStyle name="Normal 8 2 3 2 3 2 3" xfId="20961" xr:uid="{511B457F-C3C2-4E08-941F-4D75D2DC0C60}"/>
    <cellStyle name="Normal 8 2 3 2 3 2 4" xfId="12521" xr:uid="{E65DD497-0877-4D4B-A902-B7EE3EE88FA5}"/>
    <cellStyle name="Normal 8 2 3 2 3 3" xfId="5267" xr:uid="{00000000-0005-0000-0000-0000AC1C0000}"/>
    <cellStyle name="Normal 8 2 3 2 3 3 2" xfId="23033" xr:uid="{7B696CD5-FA14-4691-B10F-6AC8773458A1}"/>
    <cellStyle name="Normal 8 2 3 2 3 3 3" xfId="14593" xr:uid="{5317FD64-E167-480F-BA49-28BD09C378B3}"/>
    <cellStyle name="Normal 8 2 3 2 3 4" xfId="9363" xr:uid="{C94C6C98-A8BC-4AC9-B084-0D2219E89AA8}"/>
    <cellStyle name="Normal 8 2 3 2 3 4 2" xfId="18816" xr:uid="{52EA12A1-B983-4784-BC44-EE6BCFD0B50A}"/>
    <cellStyle name="Normal 8 2 3 2 3 5" xfId="10376" xr:uid="{E9AA2A52-AB97-470F-BC2B-7D933CAEC7EF}"/>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25591" xr:uid="{D0BCEFE7-0E65-4E72-B5D7-8E92D6E0A8C2}"/>
    <cellStyle name="Normal 8 2 3 2 4 2 2 3" xfId="17151" xr:uid="{7121A88A-96B8-47D1-B976-E8DE2AB891A4}"/>
    <cellStyle name="Normal 8 2 3 2 4 2 3" xfId="21374" xr:uid="{F75B6E63-52EA-4BD2-A239-6EAA9914D8F9}"/>
    <cellStyle name="Normal 8 2 3 2 4 2 4" xfId="12934" xr:uid="{2C315EBF-C5E0-469F-8BB4-B3351895FF78}"/>
    <cellStyle name="Normal 8 2 3 2 4 3" xfId="5680" xr:uid="{00000000-0005-0000-0000-0000B01C0000}"/>
    <cellStyle name="Normal 8 2 3 2 4 3 2" xfId="23446" xr:uid="{174BBC50-907A-417D-9A4A-74D9C1CDBB32}"/>
    <cellStyle name="Normal 8 2 3 2 4 3 3" xfId="15006" xr:uid="{7588449F-EB68-42D2-966D-BAE14A9A5DDB}"/>
    <cellStyle name="Normal 8 2 3 2 4 4" xfId="19229" xr:uid="{BE0A6B12-C892-4003-9708-2B43D2DE123A}"/>
    <cellStyle name="Normal 8 2 3 2 4 5" xfId="10789" xr:uid="{F147DFB8-63D8-4E3C-ACF2-CBCDC4C29640}"/>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26004" xr:uid="{417987F5-25CB-4993-9C8F-22140B46736D}"/>
    <cellStyle name="Normal 8 2 3 2 5 2 2 3" xfId="17564" xr:uid="{DAD88CDC-C5B7-42D0-BD67-772FEF7FA114}"/>
    <cellStyle name="Normal 8 2 3 2 5 2 3" xfId="21787" xr:uid="{F64E9281-E650-4FF2-A8F6-146F3C230A0A}"/>
    <cellStyle name="Normal 8 2 3 2 5 2 4" xfId="13347" xr:uid="{D415C0FD-8321-4D21-A53A-E7918A70867A}"/>
    <cellStyle name="Normal 8 2 3 2 5 3" xfId="6093" xr:uid="{00000000-0005-0000-0000-0000B41C0000}"/>
    <cellStyle name="Normal 8 2 3 2 5 3 2" xfId="23859" xr:uid="{5DB8781D-A202-430B-9FB0-352365F0ECA2}"/>
    <cellStyle name="Normal 8 2 3 2 5 3 3" xfId="15419" xr:uid="{B44D1805-792F-47F2-B98B-2E2E2FC6DB4C}"/>
    <cellStyle name="Normal 8 2 3 2 5 4" xfId="19642" xr:uid="{02C9CAC0-BB0B-46A2-8B87-BE388C3EA2AA}"/>
    <cellStyle name="Normal 8 2 3 2 5 5" xfId="11202" xr:uid="{0BE926CA-A7B0-4447-A482-C4F0CB8512F0}"/>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26417" xr:uid="{C45905D4-4CE5-4981-B365-4591F7BD686A}"/>
    <cellStyle name="Normal 8 2 3 2 6 2 2 3" xfId="17977" xr:uid="{8025BC59-86A3-46D5-967E-53EFEAB0152E}"/>
    <cellStyle name="Normal 8 2 3 2 6 2 3" xfId="22200" xr:uid="{683D2849-BD3D-43C2-8773-082B3B88C501}"/>
    <cellStyle name="Normal 8 2 3 2 6 2 4" xfId="13760" xr:uid="{E4AF9BFB-D73C-4B2E-89A4-8FDD179BF17E}"/>
    <cellStyle name="Normal 8 2 3 2 6 3" xfId="6506" xr:uid="{00000000-0005-0000-0000-0000B81C0000}"/>
    <cellStyle name="Normal 8 2 3 2 6 3 2" xfId="24272" xr:uid="{595893D0-4E51-40BF-B7AF-B18AB37DD814}"/>
    <cellStyle name="Normal 8 2 3 2 6 3 3" xfId="15832" xr:uid="{8FDA62D2-3DA7-40B3-B6B5-0E2EC72E14D4}"/>
    <cellStyle name="Normal 8 2 3 2 6 4" xfId="20055" xr:uid="{7C6A1249-72E9-4CE9-B33F-CD7F4718A8F6}"/>
    <cellStyle name="Normal 8 2 3 2 6 5" xfId="11615" xr:uid="{EFFC8ABE-65D1-413A-846D-ADC4213FCF23}"/>
    <cellStyle name="Normal 8 2 3 2 7" xfId="2636" xr:uid="{00000000-0005-0000-0000-0000B91C0000}"/>
    <cellStyle name="Normal 8 2 3 2 7 2" xfId="6919" xr:uid="{00000000-0005-0000-0000-0000BA1C0000}"/>
    <cellStyle name="Normal 8 2 3 2 7 2 2" xfId="24685" xr:uid="{DFB31C6F-CD09-4FE4-9D0B-64ADA2E9E790}"/>
    <cellStyle name="Normal 8 2 3 2 7 2 3" xfId="16245" xr:uid="{319D1E7C-01B3-4747-9ADD-B0DACF29CEDE}"/>
    <cellStyle name="Normal 8 2 3 2 7 3" xfId="20468" xr:uid="{5F8C02AD-42CA-4221-A26C-B5BAEE438053}"/>
    <cellStyle name="Normal 8 2 3 2 7 4" xfId="12028" xr:uid="{48CEC913-D10C-48D7-A493-878B8B44288A}"/>
    <cellStyle name="Normal 8 2 3 2 8" xfId="4854" xr:uid="{00000000-0005-0000-0000-0000BB1C0000}"/>
    <cellStyle name="Normal 8 2 3 2 8 2" xfId="22620" xr:uid="{5DF98189-067B-4352-BA25-478C54C948D4}"/>
    <cellStyle name="Normal 8 2 3 2 8 3" xfId="14180" xr:uid="{4CB37E33-E0BD-4928-9AD7-B0E7DE18FE37}"/>
    <cellStyle name="Normal 8 2 3 2 9" xfId="8938" xr:uid="{1EAF77CE-4DC3-40DC-AA9D-31320D478EE9}"/>
    <cellStyle name="Normal 8 2 3 2 9 2" xfId="18403" xr:uid="{8D5726CE-0A57-4645-A260-275E0A35CBE7}"/>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25180" xr:uid="{66A4A2E7-FA62-4203-965E-417CE47C5AC6}"/>
    <cellStyle name="Normal 8 2 3 3 2 2 2 3" xfId="16740" xr:uid="{8854EAEA-96CA-4218-AFA0-966990FF2F8A}"/>
    <cellStyle name="Normal 8 2 3 3 2 2 3" xfId="20963" xr:uid="{65D50880-8C61-4F6B-995F-7EB2EE2723EB}"/>
    <cellStyle name="Normal 8 2 3 3 2 2 4" xfId="12523" xr:uid="{9902E4F7-68DB-4881-A7AF-F0449A5F862C}"/>
    <cellStyle name="Normal 8 2 3 3 2 3" xfId="5269" xr:uid="{00000000-0005-0000-0000-0000C01C0000}"/>
    <cellStyle name="Normal 8 2 3 3 2 3 2" xfId="23035" xr:uid="{53C3F811-D5AA-47BC-B4BC-48B6D5DD0B6B}"/>
    <cellStyle name="Normal 8 2 3 3 2 3 3" xfId="14595" xr:uid="{18DF46A5-99A0-478F-B1C8-248B978BC821}"/>
    <cellStyle name="Normal 8 2 3 3 2 4" xfId="9467" xr:uid="{C16001D7-8508-4511-808F-E990F8EA0FE3}"/>
    <cellStyle name="Normal 8 2 3 3 2 4 2" xfId="18818" xr:uid="{68C87CE2-9318-4FFA-AD92-C0CB84CF4E0A}"/>
    <cellStyle name="Normal 8 2 3 3 2 5" xfId="10378" xr:uid="{5A5C1A22-2A7C-4027-83FC-EC5954C66745}"/>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25593" xr:uid="{669AD324-AC76-4570-AE83-7BC43435A48B}"/>
    <cellStyle name="Normal 8 2 3 3 3 2 2 3" xfId="17153" xr:uid="{FB80497A-B69A-422C-8E96-9B7A8766B138}"/>
    <cellStyle name="Normal 8 2 3 3 3 2 3" xfId="21376" xr:uid="{E5F89C63-D00C-4048-B045-BB41B041DDFF}"/>
    <cellStyle name="Normal 8 2 3 3 3 2 4" xfId="12936" xr:uid="{AE232D5F-02D9-45AB-ACE4-3BCC7D7FF71A}"/>
    <cellStyle name="Normal 8 2 3 3 3 3" xfId="5682" xr:uid="{00000000-0005-0000-0000-0000C41C0000}"/>
    <cellStyle name="Normal 8 2 3 3 3 3 2" xfId="23448" xr:uid="{4BC3DE94-E9BC-43E6-99B5-17EAC485E21D}"/>
    <cellStyle name="Normal 8 2 3 3 3 3 3" xfId="15008" xr:uid="{30C5A050-DEE7-4BF4-B74D-2B9BFCB3DDB4}"/>
    <cellStyle name="Normal 8 2 3 3 3 4" xfId="19231" xr:uid="{54FEE56A-2F38-453D-81ED-122EFF666946}"/>
    <cellStyle name="Normal 8 2 3 3 3 5" xfId="10791" xr:uid="{7A5D8240-FECC-4D91-B5E1-5F8A0567FAA3}"/>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26006" xr:uid="{148E8CC6-797A-424B-B7A0-C2A989ED6552}"/>
    <cellStyle name="Normal 8 2 3 3 4 2 2 3" xfId="17566" xr:uid="{10BE6E3B-BCB6-4214-B66A-46B390CD8BD9}"/>
    <cellStyle name="Normal 8 2 3 3 4 2 3" xfId="21789" xr:uid="{153A44A3-5DE9-4229-9B09-898EA1644B67}"/>
    <cellStyle name="Normal 8 2 3 3 4 2 4" xfId="13349" xr:uid="{E4602614-AFCF-4A6C-BC03-72F1B3401CF9}"/>
    <cellStyle name="Normal 8 2 3 3 4 3" xfId="6095" xr:uid="{00000000-0005-0000-0000-0000C81C0000}"/>
    <cellStyle name="Normal 8 2 3 3 4 3 2" xfId="23861" xr:uid="{2863E441-67C5-47A7-B69A-8DEF86975835}"/>
    <cellStyle name="Normal 8 2 3 3 4 3 3" xfId="15421" xr:uid="{B9FAC582-4616-4674-8C9C-4DFF301C848E}"/>
    <cellStyle name="Normal 8 2 3 3 4 4" xfId="19644" xr:uid="{C3FD1DF1-5A25-497B-9F9C-DC9AB8AD4481}"/>
    <cellStyle name="Normal 8 2 3 3 4 5" xfId="11204" xr:uid="{100436C9-3AE6-4E65-BF61-B77A562AC780}"/>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26419" xr:uid="{88A7ECB7-3E95-4436-A513-6693F5EAED6A}"/>
    <cellStyle name="Normal 8 2 3 3 5 2 2 3" xfId="17979" xr:uid="{45766A3D-9852-4F0B-A0CF-77244849723D}"/>
    <cellStyle name="Normal 8 2 3 3 5 2 3" xfId="22202" xr:uid="{31954F66-0510-49C6-94AF-03E283D4E2AA}"/>
    <cellStyle name="Normal 8 2 3 3 5 2 4" xfId="13762" xr:uid="{5998ED93-85DA-4068-9D58-17FD09361853}"/>
    <cellStyle name="Normal 8 2 3 3 5 3" xfId="6508" xr:uid="{00000000-0005-0000-0000-0000CC1C0000}"/>
    <cellStyle name="Normal 8 2 3 3 5 3 2" xfId="24274" xr:uid="{77C7A0D1-F2F4-4858-94BD-4F5BC5B30FC5}"/>
    <cellStyle name="Normal 8 2 3 3 5 3 3" xfId="15834" xr:uid="{E99F7188-87D4-4112-9F8A-2C9D4D4B4D41}"/>
    <cellStyle name="Normal 8 2 3 3 5 4" xfId="20057" xr:uid="{5B4345AE-D7D3-40C6-81A1-1D2D81E009EF}"/>
    <cellStyle name="Normal 8 2 3 3 5 5" xfId="11617" xr:uid="{0A6812D5-BE72-47B8-8A23-A492C63E703D}"/>
    <cellStyle name="Normal 8 2 3 3 6" xfId="2638" xr:uid="{00000000-0005-0000-0000-0000CD1C0000}"/>
    <cellStyle name="Normal 8 2 3 3 6 2" xfId="6921" xr:uid="{00000000-0005-0000-0000-0000CE1C0000}"/>
    <cellStyle name="Normal 8 2 3 3 6 2 2" xfId="24687" xr:uid="{6C2C18F5-13DF-4E17-BE47-4BAE0856E2F4}"/>
    <cellStyle name="Normal 8 2 3 3 6 2 3" xfId="16247" xr:uid="{64CB92AD-83F5-4A22-8275-EE506B3D3620}"/>
    <cellStyle name="Normal 8 2 3 3 6 3" xfId="20470" xr:uid="{8818377F-739E-4E52-9BBD-3E5922B50DDF}"/>
    <cellStyle name="Normal 8 2 3 3 6 4" xfId="12030" xr:uid="{040BD46A-963F-4C5F-8BE9-1A59053AA5B2}"/>
    <cellStyle name="Normal 8 2 3 3 7" xfId="4856" xr:uid="{00000000-0005-0000-0000-0000CF1C0000}"/>
    <cellStyle name="Normal 8 2 3 3 7 2" xfId="22622" xr:uid="{19E7170D-67F1-41C4-8C80-B641BBF4177D}"/>
    <cellStyle name="Normal 8 2 3 3 7 3" xfId="14182" xr:uid="{9D3B3671-76C1-4CD1-A8C3-25546DCBF64C}"/>
    <cellStyle name="Normal 8 2 3 3 8" xfId="9042" xr:uid="{D820ED39-BAB1-48C1-A68D-2017E247E432}"/>
    <cellStyle name="Normal 8 2 3 3 8 2" xfId="18405" xr:uid="{8162EF7D-C659-4795-836F-B4E356523F6D}"/>
    <cellStyle name="Normal 8 2 3 3 9" xfId="9965" xr:uid="{F124AA70-F6D3-4643-B778-4EC314681540}"/>
    <cellStyle name="Normal 8 2 3 4" xfId="955" xr:uid="{00000000-0005-0000-0000-0000D01C0000}"/>
    <cellStyle name="Normal 8 2 3 4 2" xfId="3189" xr:uid="{00000000-0005-0000-0000-0000D11C0000}"/>
    <cellStyle name="Normal 8 2 3 4 2 2" xfId="7411" xr:uid="{00000000-0005-0000-0000-0000D21C0000}"/>
    <cellStyle name="Normal 8 2 3 4 2 2 2" xfId="25177" xr:uid="{8C58C7E0-8BF2-4076-9692-819BF4B0D80A}"/>
    <cellStyle name="Normal 8 2 3 4 2 2 3" xfId="16737" xr:uid="{917B7FDD-2BBB-4A58-94C3-6E2145C90F90}"/>
    <cellStyle name="Normal 8 2 3 4 2 3" xfId="20960" xr:uid="{FF4CF587-788A-41A0-B147-9D071D83580C}"/>
    <cellStyle name="Normal 8 2 3 4 2 4" xfId="12520" xr:uid="{12A02833-D27C-428A-A2DF-AC209A5F1AF7}"/>
    <cellStyle name="Normal 8 2 3 4 3" xfId="5266" xr:uid="{00000000-0005-0000-0000-0000D31C0000}"/>
    <cellStyle name="Normal 8 2 3 4 3 2" xfId="23032" xr:uid="{AB942E9E-1C93-4650-B078-133D4E57EC31}"/>
    <cellStyle name="Normal 8 2 3 4 3 3" xfId="14592" xr:uid="{C5226A40-0273-4239-8E23-7E17D30A48B1}"/>
    <cellStyle name="Normal 8 2 3 4 4" xfId="9260" xr:uid="{70FF5A16-C89A-42B7-A603-E23A7C2F443C}"/>
    <cellStyle name="Normal 8 2 3 4 4 2" xfId="18815" xr:uid="{A2446668-CD4F-4B05-872B-633A9FC895EB}"/>
    <cellStyle name="Normal 8 2 3 4 5" xfId="10375" xr:uid="{66D4D11D-DC39-4874-94C2-2076C4AAE6DA}"/>
    <cellStyle name="Normal 8 2 3 5" xfId="1372" xr:uid="{00000000-0005-0000-0000-0000D41C0000}"/>
    <cellStyle name="Normal 8 2 3 5 2" xfId="3602" xr:uid="{00000000-0005-0000-0000-0000D51C0000}"/>
    <cellStyle name="Normal 8 2 3 5 2 2" xfId="7824" xr:uid="{00000000-0005-0000-0000-0000D61C0000}"/>
    <cellStyle name="Normal 8 2 3 5 2 2 2" xfId="25590" xr:uid="{FDA72033-1350-49FE-9EA9-BA67BF9A909F}"/>
    <cellStyle name="Normal 8 2 3 5 2 2 3" xfId="17150" xr:uid="{6191D6BB-1D6B-4B70-8CA1-8D17ED6F8DDA}"/>
    <cellStyle name="Normal 8 2 3 5 2 3" xfId="21373" xr:uid="{7FEEE485-69AA-41AA-9A26-AE15C9690C4C}"/>
    <cellStyle name="Normal 8 2 3 5 2 4" xfId="12933" xr:uid="{9B194FEA-3E7E-4155-A7CE-8A611070A205}"/>
    <cellStyle name="Normal 8 2 3 5 3" xfId="5679" xr:uid="{00000000-0005-0000-0000-0000D71C0000}"/>
    <cellStyle name="Normal 8 2 3 5 3 2" xfId="23445" xr:uid="{AF1EE690-5DDD-48B9-A989-A0190B05DE4C}"/>
    <cellStyle name="Normal 8 2 3 5 3 3" xfId="15005" xr:uid="{F4A6A34B-63C7-413D-93B4-C2DB17DB74AD}"/>
    <cellStyle name="Normal 8 2 3 5 4" xfId="19228" xr:uid="{EFF5AFAA-0765-46D2-B528-594FDD288E00}"/>
    <cellStyle name="Normal 8 2 3 5 5" xfId="10788" xr:uid="{4DC47E25-DE05-4D6F-87DF-3AC751D661EF}"/>
    <cellStyle name="Normal 8 2 3 6" xfId="1785" xr:uid="{00000000-0005-0000-0000-0000D81C0000}"/>
    <cellStyle name="Normal 8 2 3 6 2" xfId="4015" xr:uid="{00000000-0005-0000-0000-0000D91C0000}"/>
    <cellStyle name="Normal 8 2 3 6 2 2" xfId="8237" xr:uid="{00000000-0005-0000-0000-0000DA1C0000}"/>
    <cellStyle name="Normal 8 2 3 6 2 2 2" xfId="26003" xr:uid="{5AAAD641-0E30-4C69-B1C8-4AD8AAD8B41A}"/>
    <cellStyle name="Normal 8 2 3 6 2 2 3" xfId="17563" xr:uid="{45671196-3D8E-4E05-92AA-796486F94138}"/>
    <cellStyle name="Normal 8 2 3 6 2 3" xfId="21786" xr:uid="{1986039F-41B9-4801-9F02-C9C0FC875713}"/>
    <cellStyle name="Normal 8 2 3 6 2 4" xfId="13346" xr:uid="{C9492F26-2A20-4F33-BDC9-09134A7279EF}"/>
    <cellStyle name="Normal 8 2 3 6 3" xfId="6092" xr:uid="{00000000-0005-0000-0000-0000DB1C0000}"/>
    <cellStyle name="Normal 8 2 3 6 3 2" xfId="23858" xr:uid="{D41F9F19-3209-4297-BCDB-926E5DC3D709}"/>
    <cellStyle name="Normal 8 2 3 6 3 3" xfId="15418" xr:uid="{B03465CB-DB6F-4F3A-80FD-11F5DE6CBECF}"/>
    <cellStyle name="Normal 8 2 3 6 4" xfId="19641" xr:uid="{BC97EA01-5774-4B5A-802F-31839B287B39}"/>
    <cellStyle name="Normal 8 2 3 6 5" xfId="11201" xr:uid="{6C5E5EA4-5010-4BEC-BBB8-7D86DCB0D858}"/>
    <cellStyle name="Normal 8 2 3 7" xfId="2199" xr:uid="{00000000-0005-0000-0000-0000DC1C0000}"/>
    <cellStyle name="Normal 8 2 3 7 2" xfId="4428" xr:uid="{00000000-0005-0000-0000-0000DD1C0000}"/>
    <cellStyle name="Normal 8 2 3 7 2 2" xfId="8650" xr:uid="{00000000-0005-0000-0000-0000DE1C0000}"/>
    <cellStyle name="Normal 8 2 3 7 2 2 2" xfId="26416" xr:uid="{BC37AA47-BFFD-4B6D-8267-753C0536B418}"/>
    <cellStyle name="Normal 8 2 3 7 2 2 3" xfId="17976" xr:uid="{9F6B1138-1CD2-4BED-866E-D02B7E4FC3B3}"/>
    <cellStyle name="Normal 8 2 3 7 2 3" xfId="22199" xr:uid="{FC7E7A06-7AF1-47F7-A3F9-D927AEDB3F80}"/>
    <cellStyle name="Normal 8 2 3 7 2 4" xfId="13759" xr:uid="{0B2298A7-1F6B-48DA-B623-42FA12C4BB18}"/>
    <cellStyle name="Normal 8 2 3 7 3" xfId="6505" xr:uid="{00000000-0005-0000-0000-0000DF1C0000}"/>
    <cellStyle name="Normal 8 2 3 7 3 2" xfId="24271" xr:uid="{F6162C64-D9A2-4B5E-A799-C91A387DCD23}"/>
    <cellStyle name="Normal 8 2 3 7 3 3" xfId="15831" xr:uid="{4077101E-E0E7-4914-97E2-3B01ACF551F5}"/>
    <cellStyle name="Normal 8 2 3 7 4" xfId="20054" xr:uid="{E48CCC56-FA88-41C1-92D6-3C51B41E6179}"/>
    <cellStyle name="Normal 8 2 3 7 5" xfId="11614" xr:uid="{93B71226-2BF1-4887-A5F1-EA867C9969F3}"/>
    <cellStyle name="Normal 8 2 3 8" xfId="2635" xr:uid="{00000000-0005-0000-0000-0000E01C0000}"/>
    <cellStyle name="Normal 8 2 3 8 2" xfId="6918" xr:uid="{00000000-0005-0000-0000-0000E11C0000}"/>
    <cellStyle name="Normal 8 2 3 8 2 2" xfId="24684" xr:uid="{7E51F04D-F590-467B-8115-C19A38C3322C}"/>
    <cellStyle name="Normal 8 2 3 8 2 3" xfId="16244" xr:uid="{E3A59214-9125-4273-BA91-C2C9444DEABA}"/>
    <cellStyle name="Normal 8 2 3 8 3" xfId="20467" xr:uid="{EB776C1D-D922-48AD-A325-9A78B3D8EC55}"/>
    <cellStyle name="Normal 8 2 3 8 4" xfId="12027" xr:uid="{7A8CF968-588A-4C44-AAE6-230AE326CBFD}"/>
    <cellStyle name="Normal 8 2 3 9" xfId="4853" xr:uid="{00000000-0005-0000-0000-0000E21C0000}"/>
    <cellStyle name="Normal 8 2 3 9 2" xfId="22619" xr:uid="{5C407D3A-0C33-487E-9510-77540B2AFA7E}"/>
    <cellStyle name="Normal 8 2 3 9 3" xfId="14179" xr:uid="{E496A805-4408-45F4-8609-FEE5DF7C54B1}"/>
    <cellStyle name="Normal 8 2 4" xfId="492" xr:uid="{00000000-0005-0000-0000-0000E31C0000}"/>
    <cellStyle name="Normal 8 2 4 10" xfId="9966" xr:uid="{35F55786-90E4-4713-A39F-32A509310B0C}"/>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25182" xr:uid="{7D37DF9C-C61A-4C31-86C7-3D080D5FCD05}"/>
    <cellStyle name="Normal 8 2 4 2 2 2 2 3" xfId="16742" xr:uid="{4E272EDF-E3FF-442E-AE1F-5AF32BF11DE4}"/>
    <cellStyle name="Normal 8 2 4 2 2 2 3" xfId="20965" xr:uid="{2972759F-5EAD-42C1-BE72-BF378B176C72}"/>
    <cellStyle name="Normal 8 2 4 2 2 2 4" xfId="12525" xr:uid="{7C3DE1BA-989C-4B89-99AA-9E1283313FEA}"/>
    <cellStyle name="Normal 8 2 4 2 2 3" xfId="5271" xr:uid="{00000000-0005-0000-0000-0000E81C0000}"/>
    <cellStyle name="Normal 8 2 4 2 2 3 2" xfId="23037" xr:uid="{AB4A1066-BAE0-4ECD-983B-C8A08587A4EC}"/>
    <cellStyle name="Normal 8 2 4 2 2 3 3" xfId="14597" xr:uid="{71655124-4DC2-461D-9B64-96B8FCDA0E7A}"/>
    <cellStyle name="Normal 8 2 4 2 2 4" xfId="9486" xr:uid="{9F6EBE4C-F02F-43A6-A388-D5EACB1B3099}"/>
    <cellStyle name="Normal 8 2 4 2 2 4 2" xfId="18820" xr:uid="{EF0F467D-B0A2-4B64-9C66-2B25254A9957}"/>
    <cellStyle name="Normal 8 2 4 2 2 5" xfId="10380" xr:uid="{C50FC053-FF6B-4009-8B17-A508D236E990}"/>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25595" xr:uid="{0AE18BEE-7A23-4331-AC0D-EA9AC9BB8E9F}"/>
    <cellStyle name="Normal 8 2 4 2 3 2 2 3" xfId="17155" xr:uid="{0CB3BD61-F134-47D4-92C7-7947B14B23B9}"/>
    <cellStyle name="Normal 8 2 4 2 3 2 3" xfId="21378" xr:uid="{5A56EA67-9661-49AB-B534-FEEEAC97D5AD}"/>
    <cellStyle name="Normal 8 2 4 2 3 2 4" xfId="12938" xr:uid="{0F6CB1AD-69C8-4355-8657-9F7A9FDC2171}"/>
    <cellStyle name="Normal 8 2 4 2 3 3" xfId="5684" xr:uid="{00000000-0005-0000-0000-0000EC1C0000}"/>
    <cellStyle name="Normal 8 2 4 2 3 3 2" xfId="23450" xr:uid="{E1F98F57-CCBD-4D9D-8288-98BB244A167B}"/>
    <cellStyle name="Normal 8 2 4 2 3 3 3" xfId="15010" xr:uid="{E95B31AF-6DE8-40EB-8BC6-87F02E678801}"/>
    <cellStyle name="Normal 8 2 4 2 3 4" xfId="19233" xr:uid="{D9A79B63-A84E-4F89-B160-CCDF3BE18CC0}"/>
    <cellStyle name="Normal 8 2 4 2 3 5" xfId="10793" xr:uid="{89C66092-87AE-4808-8352-33860B11CF3E}"/>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26008" xr:uid="{B842C773-DDF0-46AC-8CDF-EB742256B4C6}"/>
    <cellStyle name="Normal 8 2 4 2 4 2 2 3" xfId="17568" xr:uid="{7B1C5AAB-1C53-44B0-9F1D-1F040F9ABCA4}"/>
    <cellStyle name="Normal 8 2 4 2 4 2 3" xfId="21791" xr:uid="{25998D83-55EE-40B8-B02C-C3B00FC05838}"/>
    <cellStyle name="Normal 8 2 4 2 4 2 4" xfId="13351" xr:uid="{A29C8604-761E-4522-98CE-F0213B29C2BD}"/>
    <cellStyle name="Normal 8 2 4 2 4 3" xfId="6097" xr:uid="{00000000-0005-0000-0000-0000F01C0000}"/>
    <cellStyle name="Normal 8 2 4 2 4 3 2" xfId="23863" xr:uid="{CAD40F02-56E8-4FED-AC10-01EF0C672E18}"/>
    <cellStyle name="Normal 8 2 4 2 4 3 3" xfId="15423" xr:uid="{9A11E744-57A4-4AEA-B337-AABDDC2A34FC}"/>
    <cellStyle name="Normal 8 2 4 2 4 4" xfId="19646" xr:uid="{CEE4BA45-6FA7-477F-953A-05AA29042D9B}"/>
    <cellStyle name="Normal 8 2 4 2 4 5" xfId="11206" xr:uid="{9A18F67A-0503-4F1C-8A15-7342F05A741F}"/>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26421" xr:uid="{157AB75C-3E61-4C7B-A6DB-64D922A06B89}"/>
    <cellStyle name="Normal 8 2 4 2 5 2 2 3" xfId="17981" xr:uid="{2D418AED-8BFC-4984-B5B6-48A53E5BA485}"/>
    <cellStyle name="Normal 8 2 4 2 5 2 3" xfId="22204" xr:uid="{F118308B-99B0-408E-83FA-D64D564EFA49}"/>
    <cellStyle name="Normal 8 2 4 2 5 2 4" xfId="13764" xr:uid="{30F9F0B6-A03C-4ADF-A5CD-1CB7E936C581}"/>
    <cellStyle name="Normal 8 2 4 2 5 3" xfId="6510" xr:uid="{00000000-0005-0000-0000-0000F41C0000}"/>
    <cellStyle name="Normal 8 2 4 2 5 3 2" xfId="24276" xr:uid="{43F0379B-F346-4CCB-ACCF-1CE9F9033300}"/>
    <cellStyle name="Normal 8 2 4 2 5 3 3" xfId="15836" xr:uid="{CAA61D11-85F7-464A-A081-77376522C25B}"/>
    <cellStyle name="Normal 8 2 4 2 5 4" xfId="20059" xr:uid="{5EE8D39B-2A9F-4071-82E3-91F8C2318CFD}"/>
    <cellStyle name="Normal 8 2 4 2 5 5" xfId="11619" xr:uid="{DBDA1DEA-71B1-416B-9B21-ECBCEED7EFD4}"/>
    <cellStyle name="Normal 8 2 4 2 6" xfId="2640" xr:uid="{00000000-0005-0000-0000-0000F51C0000}"/>
    <cellStyle name="Normal 8 2 4 2 6 2" xfId="6923" xr:uid="{00000000-0005-0000-0000-0000F61C0000}"/>
    <cellStyle name="Normal 8 2 4 2 6 2 2" xfId="24689" xr:uid="{26A79645-2849-4526-AC6E-3C4F089F6F53}"/>
    <cellStyle name="Normal 8 2 4 2 6 2 3" xfId="16249" xr:uid="{5DC7026F-EC7A-4292-96B9-FF4E3B39FBEF}"/>
    <cellStyle name="Normal 8 2 4 2 6 3" xfId="20472" xr:uid="{00C732CB-A0DC-4AD8-A3DF-CE66FBFC10BC}"/>
    <cellStyle name="Normal 8 2 4 2 6 4" xfId="12032" xr:uid="{C650D40D-B691-4DC5-975C-692E7CA2645A}"/>
    <cellStyle name="Normal 8 2 4 2 7" xfId="4858" xr:uid="{00000000-0005-0000-0000-0000F71C0000}"/>
    <cellStyle name="Normal 8 2 4 2 7 2" xfId="22624" xr:uid="{D5DD3F5D-A671-4223-9FAD-DA6691C2021F}"/>
    <cellStyle name="Normal 8 2 4 2 7 3" xfId="14184" xr:uid="{79994633-D865-4E96-BDDE-240B7EDBBC6F}"/>
    <cellStyle name="Normal 8 2 4 2 8" xfId="9061" xr:uid="{7295DB82-9441-436C-AA3E-91B68F6E59B3}"/>
    <cellStyle name="Normal 8 2 4 2 8 2" xfId="18407" xr:uid="{63370DDA-7106-4FA8-8116-528C80029B24}"/>
    <cellStyle name="Normal 8 2 4 2 9" xfId="9967" xr:uid="{ED9E37A1-50DD-4680-B9E1-A2914B47B262}"/>
    <cellStyle name="Normal 8 2 4 3" xfId="959" xr:uid="{00000000-0005-0000-0000-0000F81C0000}"/>
    <cellStyle name="Normal 8 2 4 3 2" xfId="3193" xr:uid="{00000000-0005-0000-0000-0000F91C0000}"/>
    <cellStyle name="Normal 8 2 4 3 2 2" xfId="7415" xr:uid="{00000000-0005-0000-0000-0000FA1C0000}"/>
    <cellStyle name="Normal 8 2 4 3 2 2 2" xfId="25181" xr:uid="{EE740E99-9E5D-44D6-8077-74AB8A6F1869}"/>
    <cellStyle name="Normal 8 2 4 3 2 2 3" xfId="16741" xr:uid="{CB6852CB-E0B8-4CA2-8B27-E39B34FB77F7}"/>
    <cellStyle name="Normal 8 2 4 3 2 3" xfId="20964" xr:uid="{698B29A6-7FA6-4844-A060-65CED9BB6E2E}"/>
    <cellStyle name="Normal 8 2 4 3 2 4" xfId="12524" xr:uid="{9C842454-A1EE-4345-96E4-9D5D246212BA}"/>
    <cellStyle name="Normal 8 2 4 3 3" xfId="5270" xr:uid="{00000000-0005-0000-0000-0000FB1C0000}"/>
    <cellStyle name="Normal 8 2 4 3 3 2" xfId="23036" xr:uid="{D82B8296-9A43-466E-9B9D-321A477D5A2F}"/>
    <cellStyle name="Normal 8 2 4 3 3 3" xfId="14596" xr:uid="{1D3400A6-231C-4EEA-AB42-F014FD72DC3C}"/>
    <cellStyle name="Normal 8 2 4 3 4" xfId="9279" xr:uid="{BA09D30D-BEBA-4223-83E6-57FB46A1EFA8}"/>
    <cellStyle name="Normal 8 2 4 3 4 2" xfId="18819" xr:uid="{A4EB0EFC-6648-492F-89D4-7628C7AFE73D}"/>
    <cellStyle name="Normal 8 2 4 3 5" xfId="10379" xr:uid="{7B432955-956C-4348-9E95-5F21451BE18D}"/>
    <cellStyle name="Normal 8 2 4 4" xfId="1376" xr:uid="{00000000-0005-0000-0000-0000FC1C0000}"/>
    <cellStyle name="Normal 8 2 4 4 2" xfId="3606" xr:uid="{00000000-0005-0000-0000-0000FD1C0000}"/>
    <cellStyle name="Normal 8 2 4 4 2 2" xfId="7828" xr:uid="{00000000-0005-0000-0000-0000FE1C0000}"/>
    <cellStyle name="Normal 8 2 4 4 2 2 2" xfId="25594" xr:uid="{403611AC-455A-4F67-8325-20E13794F4C1}"/>
    <cellStyle name="Normal 8 2 4 4 2 2 3" xfId="17154" xr:uid="{076FCEA0-8151-46A3-99E1-D0D09DDF1F64}"/>
    <cellStyle name="Normal 8 2 4 4 2 3" xfId="21377" xr:uid="{77FB0AF8-FBEA-4417-B7FB-4B0C83B51676}"/>
    <cellStyle name="Normal 8 2 4 4 2 4" xfId="12937" xr:uid="{B8B789C1-6484-40AF-8B30-98FC0D3B25DE}"/>
    <cellStyle name="Normal 8 2 4 4 3" xfId="5683" xr:uid="{00000000-0005-0000-0000-0000FF1C0000}"/>
    <cellStyle name="Normal 8 2 4 4 3 2" xfId="23449" xr:uid="{285890B7-9451-4FCF-8F17-6538A1291631}"/>
    <cellStyle name="Normal 8 2 4 4 3 3" xfId="15009" xr:uid="{28A89901-D157-4604-9597-949DA6B15311}"/>
    <cellStyle name="Normal 8 2 4 4 4" xfId="19232" xr:uid="{41A24B02-6CF0-4AF6-96D5-EE00CAAB62A6}"/>
    <cellStyle name="Normal 8 2 4 4 5" xfId="10792" xr:uid="{BE242C00-B50E-4523-8753-73328A87E456}"/>
    <cellStyle name="Normal 8 2 4 5" xfId="1789" xr:uid="{00000000-0005-0000-0000-0000001D0000}"/>
    <cellStyle name="Normal 8 2 4 5 2" xfId="4019" xr:uid="{00000000-0005-0000-0000-0000011D0000}"/>
    <cellStyle name="Normal 8 2 4 5 2 2" xfId="8241" xr:uid="{00000000-0005-0000-0000-0000021D0000}"/>
    <cellStyle name="Normal 8 2 4 5 2 2 2" xfId="26007" xr:uid="{91F802EE-3D1A-4D6D-9A13-666EDBDB3FA4}"/>
    <cellStyle name="Normal 8 2 4 5 2 2 3" xfId="17567" xr:uid="{CCACDEB8-0321-4929-A5C5-12B6E78F767E}"/>
    <cellStyle name="Normal 8 2 4 5 2 3" xfId="21790" xr:uid="{EF385EB3-1BAA-4F11-90D0-E266EE8D12B1}"/>
    <cellStyle name="Normal 8 2 4 5 2 4" xfId="13350" xr:uid="{75994ED7-0370-4E2F-8605-3E5BF05D2BE0}"/>
    <cellStyle name="Normal 8 2 4 5 3" xfId="6096" xr:uid="{00000000-0005-0000-0000-0000031D0000}"/>
    <cellStyle name="Normal 8 2 4 5 3 2" xfId="23862" xr:uid="{89B72D9E-8D1D-49F9-96C5-1444E2AEE9BC}"/>
    <cellStyle name="Normal 8 2 4 5 3 3" xfId="15422" xr:uid="{BD565941-87EB-4781-9F82-C5BE4D0702CB}"/>
    <cellStyle name="Normal 8 2 4 5 4" xfId="19645" xr:uid="{CB72C3C0-2FF8-46AA-BD7E-2F35A97100D9}"/>
    <cellStyle name="Normal 8 2 4 5 5" xfId="11205" xr:uid="{EFACED53-90AF-4628-9654-03CFA5A6B790}"/>
    <cellStyle name="Normal 8 2 4 6" xfId="2203" xr:uid="{00000000-0005-0000-0000-0000041D0000}"/>
    <cellStyle name="Normal 8 2 4 6 2" xfId="4432" xr:uid="{00000000-0005-0000-0000-0000051D0000}"/>
    <cellStyle name="Normal 8 2 4 6 2 2" xfId="8654" xr:uid="{00000000-0005-0000-0000-0000061D0000}"/>
    <cellStyle name="Normal 8 2 4 6 2 2 2" xfId="26420" xr:uid="{7722A979-C910-47F0-BAAC-D90AE53C7949}"/>
    <cellStyle name="Normal 8 2 4 6 2 2 3" xfId="17980" xr:uid="{1E1FA590-8DBC-4DDE-B8E0-8DCAD29E7006}"/>
    <cellStyle name="Normal 8 2 4 6 2 3" xfId="22203" xr:uid="{A16B0503-807E-4292-BFDD-2BA8CCF0E686}"/>
    <cellStyle name="Normal 8 2 4 6 2 4" xfId="13763" xr:uid="{D5330496-2F57-4028-B38F-F46CE422DC2D}"/>
    <cellStyle name="Normal 8 2 4 6 3" xfId="6509" xr:uid="{00000000-0005-0000-0000-0000071D0000}"/>
    <cellStyle name="Normal 8 2 4 6 3 2" xfId="24275" xr:uid="{767D4D71-7D36-49F2-9DB0-9275FC024384}"/>
    <cellStyle name="Normal 8 2 4 6 3 3" xfId="15835" xr:uid="{6EC77F83-365B-4A2A-B054-1AE9411E83C5}"/>
    <cellStyle name="Normal 8 2 4 6 4" xfId="20058" xr:uid="{0D67556F-23C9-46D9-A4E7-823A1F5DB0D1}"/>
    <cellStyle name="Normal 8 2 4 6 5" xfId="11618" xr:uid="{3C1C39C3-1757-421D-B935-FF7DE691146D}"/>
    <cellStyle name="Normal 8 2 4 7" xfId="2639" xr:uid="{00000000-0005-0000-0000-0000081D0000}"/>
    <cellStyle name="Normal 8 2 4 7 2" xfId="6922" xr:uid="{00000000-0005-0000-0000-0000091D0000}"/>
    <cellStyle name="Normal 8 2 4 7 2 2" xfId="24688" xr:uid="{6FCFA80A-04CD-480F-BD3F-FB5467E00718}"/>
    <cellStyle name="Normal 8 2 4 7 2 3" xfId="16248" xr:uid="{6666E8AE-3A17-4677-B9F6-C38420D197F2}"/>
    <cellStyle name="Normal 8 2 4 7 3" xfId="20471" xr:uid="{662896AD-51E2-4FA6-B34C-77AEF99379F8}"/>
    <cellStyle name="Normal 8 2 4 7 4" xfId="12031" xr:uid="{213568AF-8758-4C31-8870-EEFFB85C8EFD}"/>
    <cellStyle name="Normal 8 2 4 8" xfId="4857" xr:uid="{00000000-0005-0000-0000-00000A1D0000}"/>
    <cellStyle name="Normal 8 2 4 8 2" xfId="22623" xr:uid="{3E58A185-816F-401F-93E6-C8706FEE5C48}"/>
    <cellStyle name="Normal 8 2 4 8 3" xfId="14183" xr:uid="{7CD38F0D-7442-4A97-8AB2-B84AF9EB1098}"/>
    <cellStyle name="Normal 8 2 4 9" xfId="8854" xr:uid="{F1F9C500-F3E2-475A-983E-BD697F4BACD1}"/>
    <cellStyle name="Normal 8 2 4 9 2" xfId="18406" xr:uid="{FB4B48F6-3B45-4AB0-A89E-CC48BD8CE3E9}"/>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25183" xr:uid="{912D2C95-207C-408D-8D02-4CD2D7C704A0}"/>
    <cellStyle name="Normal 8 2 5 2 2 2 3" xfId="16743" xr:uid="{652D69B4-91C8-48B5-9DFD-91B04492AE3F}"/>
    <cellStyle name="Normal 8 2 5 2 2 3" xfId="20966" xr:uid="{ACA6C7A2-0543-4258-ABB5-7C29E842B60A}"/>
    <cellStyle name="Normal 8 2 5 2 2 4" xfId="12526" xr:uid="{1755F227-BD3B-456B-A51E-7B974C8656CB}"/>
    <cellStyle name="Normal 8 2 5 2 3" xfId="5272" xr:uid="{00000000-0005-0000-0000-00000F1D0000}"/>
    <cellStyle name="Normal 8 2 5 2 3 2" xfId="23038" xr:uid="{9AFA6BD6-B3BB-42D2-A568-35003305B2B1}"/>
    <cellStyle name="Normal 8 2 5 2 3 3" xfId="14598" xr:uid="{BEEABFBE-DD09-4CC1-9081-CD3342C60C0C}"/>
    <cellStyle name="Normal 8 2 5 2 4" xfId="9395" xr:uid="{D5766EF3-6042-484F-B510-7448518CF571}"/>
    <cellStyle name="Normal 8 2 5 2 4 2" xfId="18821" xr:uid="{52ED39A9-D4CC-43E0-B2E9-50401AFCC00F}"/>
    <cellStyle name="Normal 8 2 5 2 5" xfId="10381" xr:uid="{450B41AC-52E6-48E4-96AA-7CB35644ECAE}"/>
    <cellStyle name="Normal 8 2 5 3" xfId="1378" xr:uid="{00000000-0005-0000-0000-0000101D0000}"/>
    <cellStyle name="Normal 8 2 5 3 2" xfId="3608" xr:uid="{00000000-0005-0000-0000-0000111D0000}"/>
    <cellStyle name="Normal 8 2 5 3 2 2" xfId="7830" xr:uid="{00000000-0005-0000-0000-0000121D0000}"/>
    <cellStyle name="Normal 8 2 5 3 2 2 2" xfId="25596" xr:uid="{7733BC57-3C7D-4D97-A772-11F07E4025D9}"/>
    <cellStyle name="Normal 8 2 5 3 2 2 3" xfId="17156" xr:uid="{1D667E09-FFE3-46E0-8DA7-8921206AE2F7}"/>
    <cellStyle name="Normal 8 2 5 3 2 3" xfId="21379" xr:uid="{0466CCD9-8BF2-40F6-82B3-96DB01737FD5}"/>
    <cellStyle name="Normal 8 2 5 3 2 4" xfId="12939" xr:uid="{9EA1EE32-9017-4353-896C-E306FA72E291}"/>
    <cellStyle name="Normal 8 2 5 3 3" xfId="5685" xr:uid="{00000000-0005-0000-0000-0000131D0000}"/>
    <cellStyle name="Normal 8 2 5 3 3 2" xfId="23451" xr:uid="{37C1F45E-2E3E-43FF-806D-D24A6B376E35}"/>
    <cellStyle name="Normal 8 2 5 3 3 3" xfId="15011" xr:uid="{3DC69886-9F81-49A1-929C-F0C69F61BA19}"/>
    <cellStyle name="Normal 8 2 5 3 4" xfId="19234" xr:uid="{AA811B6D-E3FB-41FD-9C5A-7F06AC312AEC}"/>
    <cellStyle name="Normal 8 2 5 3 5" xfId="10794" xr:uid="{BE20F2E0-6232-415F-9802-4012355E0272}"/>
    <cellStyle name="Normal 8 2 5 4" xfId="1791" xr:uid="{00000000-0005-0000-0000-0000141D0000}"/>
    <cellStyle name="Normal 8 2 5 4 2" xfId="4021" xr:uid="{00000000-0005-0000-0000-0000151D0000}"/>
    <cellStyle name="Normal 8 2 5 4 2 2" xfId="8243" xr:uid="{00000000-0005-0000-0000-0000161D0000}"/>
    <cellStyle name="Normal 8 2 5 4 2 2 2" xfId="26009" xr:uid="{375450E8-3D74-4EAA-92E0-F777B9176EA4}"/>
    <cellStyle name="Normal 8 2 5 4 2 2 3" xfId="17569" xr:uid="{4F1B4DA7-A3E2-4A01-B66D-8FC4BD009D65}"/>
    <cellStyle name="Normal 8 2 5 4 2 3" xfId="21792" xr:uid="{61F485B2-6ECE-426F-A43A-71CF503BD212}"/>
    <cellStyle name="Normal 8 2 5 4 2 4" xfId="13352" xr:uid="{B1DC00A3-BA26-4326-8FAA-61701830DED3}"/>
    <cellStyle name="Normal 8 2 5 4 3" xfId="6098" xr:uid="{00000000-0005-0000-0000-0000171D0000}"/>
    <cellStyle name="Normal 8 2 5 4 3 2" xfId="23864" xr:uid="{00B8AD18-4947-4CEF-99BD-1AE589493C7B}"/>
    <cellStyle name="Normal 8 2 5 4 3 3" xfId="15424" xr:uid="{AA52B4A1-8AA6-4DDE-BFBD-7398240E3B7A}"/>
    <cellStyle name="Normal 8 2 5 4 4" xfId="19647" xr:uid="{C1ADAC01-FEE7-4B71-8F9C-4F298722CA5D}"/>
    <cellStyle name="Normal 8 2 5 4 5" xfId="11207" xr:uid="{4F144140-4A94-43CA-BA0D-D444959394A2}"/>
    <cellStyle name="Normal 8 2 5 5" xfId="2205" xr:uid="{00000000-0005-0000-0000-0000181D0000}"/>
    <cellStyle name="Normal 8 2 5 5 2" xfId="4434" xr:uid="{00000000-0005-0000-0000-0000191D0000}"/>
    <cellStyle name="Normal 8 2 5 5 2 2" xfId="8656" xr:uid="{00000000-0005-0000-0000-00001A1D0000}"/>
    <cellStyle name="Normal 8 2 5 5 2 2 2" xfId="26422" xr:uid="{D3607ED6-EE67-4930-AC3F-9DEEBA7E2E3B}"/>
    <cellStyle name="Normal 8 2 5 5 2 2 3" xfId="17982" xr:uid="{B885C906-106F-4F05-8FA4-5D6995488943}"/>
    <cellStyle name="Normal 8 2 5 5 2 3" xfId="22205" xr:uid="{9B38C452-D59D-4357-AE5D-CD1A553119F6}"/>
    <cellStyle name="Normal 8 2 5 5 2 4" xfId="13765" xr:uid="{1DA1EEE1-B2CD-4BB1-A7ED-52C08B21BB91}"/>
    <cellStyle name="Normal 8 2 5 5 3" xfId="6511" xr:uid="{00000000-0005-0000-0000-00001B1D0000}"/>
    <cellStyle name="Normal 8 2 5 5 3 2" xfId="24277" xr:uid="{95E638CA-905C-4A89-80F4-400CA80AF160}"/>
    <cellStyle name="Normal 8 2 5 5 3 3" xfId="15837" xr:uid="{DBB226DE-BE65-4CBE-93DD-2E0537A14D64}"/>
    <cellStyle name="Normal 8 2 5 5 4" xfId="20060" xr:uid="{FF710C76-BC88-44C0-82A3-EA65E7ED452E}"/>
    <cellStyle name="Normal 8 2 5 5 5" xfId="11620" xr:uid="{91633423-7869-4BF4-8F00-AA8115DF66ED}"/>
    <cellStyle name="Normal 8 2 5 6" xfId="2641" xr:uid="{00000000-0005-0000-0000-00001C1D0000}"/>
    <cellStyle name="Normal 8 2 5 6 2" xfId="6924" xr:uid="{00000000-0005-0000-0000-00001D1D0000}"/>
    <cellStyle name="Normal 8 2 5 6 2 2" xfId="24690" xr:uid="{E1A74863-3053-466B-9D58-6D10060C3547}"/>
    <cellStyle name="Normal 8 2 5 6 2 3" xfId="16250" xr:uid="{7722B23D-FC2C-40E9-8773-1BD4C09DDD4C}"/>
    <cellStyle name="Normal 8 2 5 6 3" xfId="20473" xr:uid="{82E54A13-CE3E-483A-ACBC-F690E905BE61}"/>
    <cellStyle name="Normal 8 2 5 6 4" xfId="12033" xr:uid="{EAB80019-1C80-47EE-BB96-43DDE2515A99}"/>
    <cellStyle name="Normal 8 2 5 7" xfId="4859" xr:uid="{00000000-0005-0000-0000-00001E1D0000}"/>
    <cellStyle name="Normal 8 2 5 7 2" xfId="22625" xr:uid="{3EFA90C7-8FCE-40AB-9A90-CE0374C28BF4}"/>
    <cellStyle name="Normal 8 2 5 7 3" xfId="14185" xr:uid="{18D8A03A-2283-4152-9D24-30866C873B30}"/>
    <cellStyle name="Normal 8 2 5 8" xfId="8970" xr:uid="{7E9ACEFF-1680-45D8-BC32-8CA9BA1D63D4}"/>
    <cellStyle name="Normal 8 2 5 8 2" xfId="18408" xr:uid="{645EE2C0-2F0F-4FAA-A72A-EEF1E954428F}"/>
    <cellStyle name="Normal 8 2 5 9" xfId="9968" xr:uid="{395E59EF-BD2B-401A-A330-341D1F128566}"/>
    <cellStyle name="Normal 8 2 6" xfId="946" xr:uid="{00000000-0005-0000-0000-00001F1D0000}"/>
    <cellStyle name="Normal 8 2 6 2" xfId="3180" xr:uid="{00000000-0005-0000-0000-0000201D0000}"/>
    <cellStyle name="Normal 8 2 6 2 2" xfId="7402" xr:uid="{00000000-0005-0000-0000-0000211D0000}"/>
    <cellStyle name="Normal 8 2 6 2 2 2" xfId="25168" xr:uid="{56A88952-DDEB-4C0E-8FEE-CF0DDA4CDE63}"/>
    <cellStyle name="Normal 8 2 6 2 2 3" xfId="16728" xr:uid="{B6852CEE-ABC5-476B-9B9B-F3EF598E5997}"/>
    <cellStyle name="Normal 8 2 6 2 3" xfId="20951" xr:uid="{BEABD001-48DE-4CDC-A27D-AD544BEDF50A}"/>
    <cellStyle name="Normal 8 2 6 2 4" xfId="12511" xr:uid="{DBEF0E2C-B3D1-4C43-8B84-33ECDF717B4F}"/>
    <cellStyle name="Normal 8 2 6 3" xfId="5257" xr:uid="{00000000-0005-0000-0000-0000221D0000}"/>
    <cellStyle name="Normal 8 2 6 3 2" xfId="23023" xr:uid="{4BE68889-589C-40B2-8641-11B27320686A}"/>
    <cellStyle name="Normal 8 2 6 3 3" xfId="14583" xr:uid="{26A1C06C-3512-42CD-932E-7171739CB3F4}"/>
    <cellStyle name="Normal 8 2 6 4" xfId="9173" xr:uid="{C36295B3-E6F0-4A6D-AEE5-72C8177C13EE}"/>
    <cellStyle name="Normal 8 2 6 4 2" xfId="18806" xr:uid="{6C1D529D-278E-480F-80A4-3CFD451E3D2D}"/>
    <cellStyle name="Normal 8 2 6 5" xfId="10366" xr:uid="{B51BDE63-83B3-49D1-86D1-2BC62A6C3FDB}"/>
    <cellStyle name="Normal 8 2 7" xfId="1363" xr:uid="{00000000-0005-0000-0000-0000231D0000}"/>
    <cellStyle name="Normal 8 2 7 2" xfId="3593" xr:uid="{00000000-0005-0000-0000-0000241D0000}"/>
    <cellStyle name="Normal 8 2 7 2 2" xfId="7815" xr:uid="{00000000-0005-0000-0000-0000251D0000}"/>
    <cellStyle name="Normal 8 2 7 2 2 2" xfId="25581" xr:uid="{739D79A5-4B41-4D20-BCB7-BC09C17D5D2D}"/>
    <cellStyle name="Normal 8 2 7 2 2 3" xfId="17141" xr:uid="{00F07429-6892-4B69-B86B-8D7C423019F6}"/>
    <cellStyle name="Normal 8 2 7 2 3" xfId="21364" xr:uid="{6D69D1F5-5BB3-4B5E-B5C9-155688996E9F}"/>
    <cellStyle name="Normal 8 2 7 2 4" xfId="12924" xr:uid="{6F24DA68-5276-45B9-B996-F28F39F15DD7}"/>
    <cellStyle name="Normal 8 2 7 3" xfId="5670" xr:uid="{00000000-0005-0000-0000-0000261D0000}"/>
    <cellStyle name="Normal 8 2 7 3 2" xfId="23436" xr:uid="{89B7BBE3-A634-45EB-B06E-51A6E7979483}"/>
    <cellStyle name="Normal 8 2 7 3 3" xfId="14996" xr:uid="{B98515AB-782C-43B0-A3C7-B4D36C04DB23}"/>
    <cellStyle name="Normal 8 2 7 4" xfId="19219" xr:uid="{9EC8CB6D-7554-47D7-8747-FABC228EECEF}"/>
    <cellStyle name="Normal 8 2 7 5" xfId="10779" xr:uid="{72C45351-30C8-4667-9908-92F158020893}"/>
    <cellStyle name="Normal 8 2 8" xfId="1776" xr:uid="{00000000-0005-0000-0000-0000271D0000}"/>
    <cellStyle name="Normal 8 2 8 2" xfId="4006" xr:uid="{00000000-0005-0000-0000-0000281D0000}"/>
    <cellStyle name="Normal 8 2 8 2 2" xfId="8228" xr:uid="{00000000-0005-0000-0000-0000291D0000}"/>
    <cellStyle name="Normal 8 2 8 2 2 2" xfId="25994" xr:uid="{8E581F18-DD90-4445-B8A2-E9C043169A37}"/>
    <cellStyle name="Normal 8 2 8 2 2 3" xfId="17554" xr:uid="{0C087657-43D2-47D3-A90D-B993F27A50A7}"/>
    <cellStyle name="Normal 8 2 8 2 3" xfId="21777" xr:uid="{09292522-FCE2-4172-B3C6-B30BA5BB5D36}"/>
    <cellStyle name="Normal 8 2 8 2 4" xfId="13337" xr:uid="{542B7B22-E516-4C91-9763-F064DC9D9F49}"/>
    <cellStyle name="Normal 8 2 8 3" xfId="6083" xr:uid="{00000000-0005-0000-0000-00002A1D0000}"/>
    <cellStyle name="Normal 8 2 8 3 2" xfId="23849" xr:uid="{B5B77EEF-7183-4788-8B24-AF3F76ECA896}"/>
    <cellStyle name="Normal 8 2 8 3 3" xfId="15409" xr:uid="{135B356E-8123-469C-88B3-8687FD1CC2DF}"/>
    <cellStyle name="Normal 8 2 8 4" xfId="19632" xr:uid="{AAA3854A-E1DD-47AA-B590-F315E1BE3380}"/>
    <cellStyle name="Normal 8 2 8 5" xfId="11192" xr:uid="{C17B7F39-E0F9-40ED-81DD-6782312A9D55}"/>
    <cellStyle name="Normal 8 2 9" xfId="2190" xr:uid="{00000000-0005-0000-0000-00002B1D0000}"/>
    <cellStyle name="Normal 8 2 9 2" xfId="4419" xr:uid="{00000000-0005-0000-0000-00002C1D0000}"/>
    <cellStyle name="Normal 8 2 9 2 2" xfId="8641" xr:uid="{00000000-0005-0000-0000-00002D1D0000}"/>
    <cellStyle name="Normal 8 2 9 2 2 2" xfId="26407" xr:uid="{04B18497-A501-4F41-A07F-F7082E23B699}"/>
    <cellStyle name="Normal 8 2 9 2 2 3" xfId="17967" xr:uid="{712F9038-174A-43E6-AC2D-E01E28483C7E}"/>
    <cellStyle name="Normal 8 2 9 2 3" xfId="22190" xr:uid="{B2C0BFD9-283C-41AB-92D5-A5B2D4521D52}"/>
    <cellStyle name="Normal 8 2 9 2 4" xfId="13750" xr:uid="{80C8C40E-A101-4BFB-AFF6-0ECE4AA1186B}"/>
    <cellStyle name="Normal 8 2 9 3" xfId="6496" xr:uid="{00000000-0005-0000-0000-00002E1D0000}"/>
    <cellStyle name="Normal 8 2 9 3 2" xfId="24262" xr:uid="{970D6B42-13AF-419C-ADBD-718DFA0B13CD}"/>
    <cellStyle name="Normal 8 2 9 3 3" xfId="15822" xr:uid="{ECE9B638-3507-4A4D-B6A4-BE9D35361B99}"/>
    <cellStyle name="Normal 8 2 9 4" xfId="20045" xr:uid="{050A3616-75C1-4BD5-A070-3D2B3F4B241E}"/>
    <cellStyle name="Normal 8 2 9 5" xfId="11605" xr:uid="{3442D69F-F03A-417C-91F5-EEBA030A392A}"/>
    <cellStyle name="Normal 8 3" xfId="495" xr:uid="{00000000-0005-0000-0000-00002F1D0000}"/>
    <cellStyle name="Normal 8 3 10" xfId="4860" xr:uid="{00000000-0005-0000-0000-0000301D0000}"/>
    <cellStyle name="Normal 8 3 10 2" xfId="22626" xr:uid="{70E95AC9-CAC4-4A67-ADDF-654661C11491}"/>
    <cellStyle name="Normal 8 3 10 3" xfId="14186" xr:uid="{B9342FC6-832C-443D-BCDE-E4FA50DCAB49}"/>
    <cellStyle name="Normal 8 3 11" xfId="8774" xr:uid="{81BDDADD-940D-4F3A-BD6C-7E4719C8A3D2}"/>
    <cellStyle name="Normal 8 3 11 2" xfId="18409" xr:uid="{250AAC8B-52DF-4F1D-A6F8-00F8F5E48574}"/>
    <cellStyle name="Normal 8 3 12" xfId="9969" xr:uid="{350B7BB4-42EF-40DC-BBC5-43FBFAD299E4}"/>
    <cellStyle name="Normal 8 3 2" xfId="496" xr:uid="{00000000-0005-0000-0000-0000311D0000}"/>
    <cellStyle name="Normal 8 3 2 10" xfId="8837" xr:uid="{392842AA-84B1-4A71-AE94-A1B631487B7E}"/>
    <cellStyle name="Normal 8 3 2 10 2" xfId="18410" xr:uid="{E5FC22B9-F8EB-4D56-9F9C-7D6F4EFD76C0}"/>
    <cellStyle name="Normal 8 3 2 11" xfId="9970" xr:uid="{F96A7FDA-4E1C-491D-84E4-5E0B35DACEC0}"/>
    <cellStyle name="Normal 8 3 2 2" xfId="497" xr:uid="{00000000-0005-0000-0000-0000321D0000}"/>
    <cellStyle name="Normal 8 3 2 2 10" xfId="9971" xr:uid="{E64BE930-EE6A-4CBD-A360-3EA13E2BB5B6}"/>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25187" xr:uid="{162252DE-957E-4496-93B7-16DB8F5F2FDD}"/>
    <cellStyle name="Normal 8 3 2 2 2 2 2 2 3" xfId="16747" xr:uid="{8FC6DFDD-07B6-4AF1-AC85-CF080946F892}"/>
    <cellStyle name="Normal 8 3 2 2 2 2 2 3" xfId="20970" xr:uid="{EEB76AD8-F384-4F58-9680-AFF041963926}"/>
    <cellStyle name="Normal 8 3 2 2 2 2 2 4" xfId="12530" xr:uid="{B6E1235A-EC5D-4357-8E2A-35326C1470B1}"/>
    <cellStyle name="Normal 8 3 2 2 2 2 3" xfId="5276" xr:uid="{00000000-0005-0000-0000-0000371D0000}"/>
    <cellStyle name="Normal 8 3 2 2 2 2 3 2" xfId="23042" xr:uid="{F1FF183A-E151-4BCA-BF65-42328B8C898E}"/>
    <cellStyle name="Normal 8 3 2 2 2 2 3 3" xfId="14602" xr:uid="{B7E471F8-DB69-4E17-872E-6E972B0C6ED0}"/>
    <cellStyle name="Normal 8 3 2 2 2 2 4" xfId="9572" xr:uid="{83269435-2305-4677-BD8B-8CB801DC108A}"/>
    <cellStyle name="Normal 8 3 2 2 2 2 4 2" xfId="18825" xr:uid="{0FF6E3E8-E399-4340-AA40-D83245D1E28D}"/>
    <cellStyle name="Normal 8 3 2 2 2 2 5" xfId="10385" xr:uid="{ABA3B003-B1D4-4728-A8AB-4CBDDCDB1257}"/>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25600" xr:uid="{10B2F987-C93C-446E-A3C8-454FC53A4612}"/>
    <cellStyle name="Normal 8 3 2 2 2 3 2 2 3" xfId="17160" xr:uid="{A6425DFA-3222-4B17-BD9D-1C64BFC5CF58}"/>
    <cellStyle name="Normal 8 3 2 2 2 3 2 3" xfId="21383" xr:uid="{E8A75947-2F3A-4312-8501-F435EBC65DD1}"/>
    <cellStyle name="Normal 8 3 2 2 2 3 2 4" xfId="12943" xr:uid="{25F0254E-6AE0-4880-8CA8-49131AA2B199}"/>
    <cellStyle name="Normal 8 3 2 2 2 3 3" xfId="5689" xr:uid="{00000000-0005-0000-0000-00003B1D0000}"/>
    <cellStyle name="Normal 8 3 2 2 2 3 3 2" xfId="23455" xr:uid="{C4ABAF10-DC43-445D-8916-596A754D5892}"/>
    <cellStyle name="Normal 8 3 2 2 2 3 3 3" xfId="15015" xr:uid="{79337238-D033-4251-88DD-83241DFA4BC3}"/>
    <cellStyle name="Normal 8 3 2 2 2 3 4" xfId="19238" xr:uid="{E017F8B4-5EF4-466A-9C38-4A4A94CE9F2C}"/>
    <cellStyle name="Normal 8 3 2 2 2 3 5" xfId="10798" xr:uid="{1054E70A-B71E-4C7F-BED4-DA3A03EB8C69}"/>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26013" xr:uid="{5CABC911-E841-40D6-BCF5-3E6452B59E30}"/>
    <cellStyle name="Normal 8 3 2 2 2 4 2 2 3" xfId="17573" xr:uid="{02D4FF38-C399-4DA8-86DF-85FD0A54A7F0}"/>
    <cellStyle name="Normal 8 3 2 2 2 4 2 3" xfId="21796" xr:uid="{6E66529B-3EC9-466F-BD8E-8851C286BCBA}"/>
    <cellStyle name="Normal 8 3 2 2 2 4 2 4" xfId="13356" xr:uid="{D83E53F2-342F-46F9-9F1F-D18DC3CC4D11}"/>
    <cellStyle name="Normal 8 3 2 2 2 4 3" xfId="6102" xr:uid="{00000000-0005-0000-0000-00003F1D0000}"/>
    <cellStyle name="Normal 8 3 2 2 2 4 3 2" xfId="23868" xr:uid="{6B920233-3DD6-4AD2-A18B-03659D2079DC}"/>
    <cellStyle name="Normal 8 3 2 2 2 4 3 3" xfId="15428" xr:uid="{1D41F643-71C8-4699-B9E1-2E68906786CB}"/>
    <cellStyle name="Normal 8 3 2 2 2 4 4" xfId="19651" xr:uid="{4A5C0DC6-BE1F-4B80-AA70-B392CB2B7F75}"/>
    <cellStyle name="Normal 8 3 2 2 2 4 5" xfId="11211" xr:uid="{82705858-6BC2-47F5-AE14-AC5C98DF761D}"/>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26426" xr:uid="{4F6CAE69-8303-4741-8BF0-62142C0B3925}"/>
    <cellStyle name="Normal 8 3 2 2 2 5 2 2 3" xfId="17986" xr:uid="{EB3318FE-FCA8-4B33-99FB-FF4463381FA0}"/>
    <cellStyle name="Normal 8 3 2 2 2 5 2 3" xfId="22209" xr:uid="{08DA9CA3-B07A-433F-848F-2CAA7EF46AC8}"/>
    <cellStyle name="Normal 8 3 2 2 2 5 2 4" xfId="13769" xr:uid="{A26203DA-CA7B-49FC-AC4F-218B2A98AFDF}"/>
    <cellStyle name="Normal 8 3 2 2 2 5 3" xfId="6515" xr:uid="{00000000-0005-0000-0000-0000431D0000}"/>
    <cellStyle name="Normal 8 3 2 2 2 5 3 2" xfId="24281" xr:uid="{91C08A44-2A54-49A3-A538-969FD0B7D34A}"/>
    <cellStyle name="Normal 8 3 2 2 2 5 3 3" xfId="15841" xr:uid="{0C7CE205-9C5C-455F-BBF3-96DCEB9C9DEF}"/>
    <cellStyle name="Normal 8 3 2 2 2 5 4" xfId="20064" xr:uid="{98F9CCC7-412D-49A7-9D09-A17B680229B7}"/>
    <cellStyle name="Normal 8 3 2 2 2 5 5" xfId="11624" xr:uid="{7C27FA25-B710-4F79-9F94-23D5C66D9089}"/>
    <cellStyle name="Normal 8 3 2 2 2 6" xfId="2645" xr:uid="{00000000-0005-0000-0000-0000441D0000}"/>
    <cellStyle name="Normal 8 3 2 2 2 6 2" xfId="6928" xr:uid="{00000000-0005-0000-0000-0000451D0000}"/>
    <cellStyle name="Normal 8 3 2 2 2 6 2 2" xfId="24694" xr:uid="{8D03FD1E-E1AF-4145-9FC9-EBBA3A7AF729}"/>
    <cellStyle name="Normal 8 3 2 2 2 6 2 3" xfId="16254" xr:uid="{568E87B9-6AD5-4F2F-9D24-9383BCB7BDC5}"/>
    <cellStyle name="Normal 8 3 2 2 2 6 3" xfId="20477" xr:uid="{D8D2105E-E050-4D2F-9B3D-3C5E8F1FAF21}"/>
    <cellStyle name="Normal 8 3 2 2 2 6 4" xfId="12037" xr:uid="{094B7E7D-AC55-4EAF-90D4-8BFE511C6879}"/>
    <cellStyle name="Normal 8 3 2 2 2 7" xfId="4863" xr:uid="{00000000-0005-0000-0000-0000461D0000}"/>
    <cellStyle name="Normal 8 3 2 2 2 7 2" xfId="22629" xr:uid="{1D1AD812-6275-41F3-ABCA-2738E4F5C636}"/>
    <cellStyle name="Normal 8 3 2 2 2 7 3" xfId="14189" xr:uid="{62D9D76D-C247-4218-B35D-C18A520D6856}"/>
    <cellStyle name="Normal 8 3 2 2 2 8" xfId="9147" xr:uid="{16780743-13F5-44BF-919B-157B86988913}"/>
    <cellStyle name="Normal 8 3 2 2 2 8 2" xfId="18412" xr:uid="{EB7F5787-B8AE-497E-BF2C-70FA1E151151}"/>
    <cellStyle name="Normal 8 3 2 2 2 9" xfId="9972" xr:uid="{4B2C0D4D-6135-44F1-8F88-31D30ED75C9E}"/>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25186" xr:uid="{0B790A77-CD18-4D0A-BE38-4D28971C9EA8}"/>
    <cellStyle name="Normal 8 3 2 2 3 2 2 3" xfId="16746" xr:uid="{173A4A4E-DDC0-4B78-AFB9-AB5DE18DEC21}"/>
    <cellStyle name="Normal 8 3 2 2 3 2 3" xfId="20969" xr:uid="{2D89B38A-FD0B-4CA9-A0FA-788393F6061D}"/>
    <cellStyle name="Normal 8 3 2 2 3 2 4" xfId="12529" xr:uid="{1F142939-ED79-4133-8C7B-C8D9A4058A9B}"/>
    <cellStyle name="Normal 8 3 2 2 3 3" xfId="5275" xr:uid="{00000000-0005-0000-0000-00004A1D0000}"/>
    <cellStyle name="Normal 8 3 2 2 3 3 2" xfId="23041" xr:uid="{6D056120-79C2-41B0-A6C6-5B18BE410D92}"/>
    <cellStyle name="Normal 8 3 2 2 3 3 3" xfId="14601" xr:uid="{02FB5911-50C3-4CD2-854D-E6BD063AE427}"/>
    <cellStyle name="Normal 8 3 2 2 3 4" xfId="9365" xr:uid="{47FF7C14-7484-41B9-856F-11398F7B2C7C}"/>
    <cellStyle name="Normal 8 3 2 2 3 4 2" xfId="18824" xr:uid="{4C014889-7F9F-4973-A698-F4DE18AB179F}"/>
    <cellStyle name="Normal 8 3 2 2 3 5" xfId="10384" xr:uid="{6FF13ED8-7053-4511-9C45-CB13837E33A0}"/>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25599" xr:uid="{EB0A7C9B-DE2D-4BA1-961F-FB29AB68C2DF}"/>
    <cellStyle name="Normal 8 3 2 2 4 2 2 3" xfId="17159" xr:uid="{341A7B8A-2888-4B5F-A186-1E5B2FDE7723}"/>
    <cellStyle name="Normal 8 3 2 2 4 2 3" xfId="21382" xr:uid="{4788531D-DC98-4248-B830-0EB13576FF74}"/>
    <cellStyle name="Normal 8 3 2 2 4 2 4" xfId="12942" xr:uid="{73D09504-BFA8-4684-BF97-9237A5F7D7FF}"/>
    <cellStyle name="Normal 8 3 2 2 4 3" xfId="5688" xr:uid="{00000000-0005-0000-0000-00004E1D0000}"/>
    <cellStyle name="Normal 8 3 2 2 4 3 2" xfId="23454" xr:uid="{70AABEC0-3E2E-4035-827B-23B2F86F92E1}"/>
    <cellStyle name="Normal 8 3 2 2 4 3 3" xfId="15014" xr:uid="{12A58B16-48FB-47CE-B1CD-DC3D7C8C8412}"/>
    <cellStyle name="Normal 8 3 2 2 4 4" xfId="19237" xr:uid="{58FC77E7-A650-43B4-8025-3061C9272F2E}"/>
    <cellStyle name="Normal 8 3 2 2 4 5" xfId="10797" xr:uid="{F332B178-1C41-4704-B388-968CF174554E}"/>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26012" xr:uid="{D36B0CAB-D14C-4F45-B704-2E3F620F9A37}"/>
    <cellStyle name="Normal 8 3 2 2 5 2 2 3" xfId="17572" xr:uid="{6F8BE9DE-2ACC-44FA-9BE7-CF5755935A00}"/>
    <cellStyle name="Normal 8 3 2 2 5 2 3" xfId="21795" xr:uid="{35BDB33C-6CA3-4206-95BB-E30F52977199}"/>
    <cellStyle name="Normal 8 3 2 2 5 2 4" xfId="13355" xr:uid="{11F0D024-E404-44F6-8DE4-FC884572A207}"/>
    <cellStyle name="Normal 8 3 2 2 5 3" xfId="6101" xr:uid="{00000000-0005-0000-0000-0000521D0000}"/>
    <cellStyle name="Normal 8 3 2 2 5 3 2" xfId="23867" xr:uid="{DE2FEE43-57CC-42D8-B0B6-2659B8E45566}"/>
    <cellStyle name="Normal 8 3 2 2 5 3 3" xfId="15427" xr:uid="{C6C5C8BE-DFE8-4B3D-9CDF-EC40276C325E}"/>
    <cellStyle name="Normal 8 3 2 2 5 4" xfId="19650" xr:uid="{9416EA18-E467-4050-830F-9F106F11BEEC}"/>
    <cellStyle name="Normal 8 3 2 2 5 5" xfId="11210" xr:uid="{2C60E12A-C40A-40C4-9289-48AB76592DAE}"/>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26425" xr:uid="{30790E1C-E0C0-4279-A218-1692EA5BA976}"/>
    <cellStyle name="Normal 8 3 2 2 6 2 2 3" xfId="17985" xr:uid="{0260DF25-054D-402C-BE6A-D7E9E8030825}"/>
    <cellStyle name="Normal 8 3 2 2 6 2 3" xfId="22208" xr:uid="{D3AC38F9-86CE-4A64-A56E-F88AC2471BBC}"/>
    <cellStyle name="Normal 8 3 2 2 6 2 4" xfId="13768" xr:uid="{1F6BF893-48D2-4FE0-838A-58C060A10156}"/>
    <cellStyle name="Normal 8 3 2 2 6 3" xfId="6514" xr:uid="{00000000-0005-0000-0000-0000561D0000}"/>
    <cellStyle name="Normal 8 3 2 2 6 3 2" xfId="24280" xr:uid="{962079B1-0C1E-4A2B-98A2-A5CF2AD102BC}"/>
    <cellStyle name="Normal 8 3 2 2 6 3 3" xfId="15840" xr:uid="{34243103-3669-46E1-975C-5BC165AA55D7}"/>
    <cellStyle name="Normal 8 3 2 2 6 4" xfId="20063" xr:uid="{C477265E-462C-41C8-8048-0E091F36D01D}"/>
    <cellStyle name="Normal 8 3 2 2 6 5" xfId="11623" xr:uid="{C6F56DC5-3123-4C9D-B150-127E2EC1DCC7}"/>
    <cellStyle name="Normal 8 3 2 2 7" xfId="2644" xr:uid="{00000000-0005-0000-0000-0000571D0000}"/>
    <cellStyle name="Normal 8 3 2 2 7 2" xfId="6927" xr:uid="{00000000-0005-0000-0000-0000581D0000}"/>
    <cellStyle name="Normal 8 3 2 2 7 2 2" xfId="24693" xr:uid="{48BE2E00-225A-442F-BFFB-3AF5CCB996F4}"/>
    <cellStyle name="Normal 8 3 2 2 7 2 3" xfId="16253" xr:uid="{8A2BBF2B-A336-4476-8313-26C410F10E6C}"/>
    <cellStyle name="Normal 8 3 2 2 7 3" xfId="20476" xr:uid="{0ED3FD2B-C746-41B7-9925-2D8A8A78DF54}"/>
    <cellStyle name="Normal 8 3 2 2 7 4" xfId="12036" xr:uid="{60102BEE-4445-4686-A1E1-3D0389D0516F}"/>
    <cellStyle name="Normal 8 3 2 2 8" xfId="4862" xr:uid="{00000000-0005-0000-0000-0000591D0000}"/>
    <cellStyle name="Normal 8 3 2 2 8 2" xfId="22628" xr:uid="{E3CA9C7D-C0C0-49C7-958D-F63F497285B8}"/>
    <cellStyle name="Normal 8 3 2 2 8 3" xfId="14188" xr:uid="{F6265995-7071-4261-9481-CF96F15B7DDD}"/>
    <cellStyle name="Normal 8 3 2 2 9" xfId="8940" xr:uid="{63944EF0-E10A-4406-A758-3BD135650136}"/>
    <cellStyle name="Normal 8 3 2 2 9 2" xfId="18411" xr:uid="{2C76DFE2-A76B-446A-B251-8F73EAE3919D}"/>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25188" xr:uid="{4A4E4778-A379-487F-BFDF-86018A7CDA45}"/>
    <cellStyle name="Normal 8 3 2 3 2 2 2 3" xfId="16748" xr:uid="{79386879-D8A4-44A3-9746-3B7785D7DB03}"/>
    <cellStyle name="Normal 8 3 2 3 2 2 3" xfId="20971" xr:uid="{160BB641-E57F-40E0-AAB8-9A29D92A5A7E}"/>
    <cellStyle name="Normal 8 3 2 3 2 2 4" xfId="12531" xr:uid="{69DFDB2F-90C5-449C-ACDC-F0CFD936E165}"/>
    <cellStyle name="Normal 8 3 2 3 2 3" xfId="5277" xr:uid="{00000000-0005-0000-0000-00005E1D0000}"/>
    <cellStyle name="Normal 8 3 2 3 2 3 2" xfId="23043" xr:uid="{060D2511-7330-45B5-9104-10199C22BDF7}"/>
    <cellStyle name="Normal 8 3 2 3 2 3 3" xfId="14603" xr:uid="{71FC7C6E-A72D-416B-AA6D-344413819806}"/>
    <cellStyle name="Normal 8 3 2 3 2 4" xfId="9469" xr:uid="{7CA6C380-A6E9-4AF4-A29A-E40C8E9B5B5F}"/>
    <cellStyle name="Normal 8 3 2 3 2 4 2" xfId="18826" xr:uid="{593626C6-2616-419D-8ABD-DA4F28EE9639}"/>
    <cellStyle name="Normal 8 3 2 3 2 5" xfId="10386" xr:uid="{1D6A0F1E-65E8-4599-99E2-D4A3A42E4087}"/>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25601" xr:uid="{283EFFF7-0614-4FFC-8FF5-A3688F654B49}"/>
    <cellStyle name="Normal 8 3 2 3 3 2 2 3" xfId="17161" xr:uid="{3ABB8F1F-84A6-4EED-8DE5-A7861B48C22D}"/>
    <cellStyle name="Normal 8 3 2 3 3 2 3" xfId="21384" xr:uid="{DE92A275-4464-4A87-917A-DE85EC61A0D5}"/>
    <cellStyle name="Normal 8 3 2 3 3 2 4" xfId="12944" xr:uid="{09B5C8F2-E94C-401B-B3C0-56020848513A}"/>
    <cellStyle name="Normal 8 3 2 3 3 3" xfId="5690" xr:uid="{00000000-0005-0000-0000-0000621D0000}"/>
    <cellStyle name="Normal 8 3 2 3 3 3 2" xfId="23456" xr:uid="{2DD637DB-A0FC-4C39-906D-E622D101077B}"/>
    <cellStyle name="Normal 8 3 2 3 3 3 3" xfId="15016" xr:uid="{08EC89B6-0416-4758-9804-4CDEBF08DDA3}"/>
    <cellStyle name="Normal 8 3 2 3 3 4" xfId="19239" xr:uid="{E3C05CEB-F3D0-4066-8285-A74324E5F14B}"/>
    <cellStyle name="Normal 8 3 2 3 3 5" xfId="10799" xr:uid="{42D6097A-9C12-4567-A9DF-E64E87E1351E}"/>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26014" xr:uid="{3E167211-A201-4C5B-A31F-DAEE26EA75E7}"/>
    <cellStyle name="Normal 8 3 2 3 4 2 2 3" xfId="17574" xr:uid="{0136CB93-2EDE-436F-BB31-9966C6D4B9BD}"/>
    <cellStyle name="Normal 8 3 2 3 4 2 3" xfId="21797" xr:uid="{D62968DE-B03C-42D5-851B-61433A9ED577}"/>
    <cellStyle name="Normal 8 3 2 3 4 2 4" xfId="13357" xr:uid="{8A021097-4A39-4E29-BCEA-A3914417AA35}"/>
    <cellStyle name="Normal 8 3 2 3 4 3" xfId="6103" xr:uid="{00000000-0005-0000-0000-0000661D0000}"/>
    <cellStyle name="Normal 8 3 2 3 4 3 2" xfId="23869" xr:uid="{FC5F816C-69D6-453E-950F-A26B77035CE8}"/>
    <cellStyle name="Normal 8 3 2 3 4 3 3" xfId="15429" xr:uid="{BCBCB8EF-A6D9-499B-9C20-5065DF1121AC}"/>
    <cellStyle name="Normal 8 3 2 3 4 4" xfId="19652" xr:uid="{D4F5766D-5CC4-404A-9F79-09E7D0B1DA31}"/>
    <cellStyle name="Normal 8 3 2 3 4 5" xfId="11212" xr:uid="{FBE63612-613A-4703-87A0-34D4A408DFD0}"/>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26427" xr:uid="{33E82941-72CE-47F5-8640-B41AFEFCC351}"/>
    <cellStyle name="Normal 8 3 2 3 5 2 2 3" xfId="17987" xr:uid="{1507F249-B11D-4FDC-8D44-89FA2CCE8BEF}"/>
    <cellStyle name="Normal 8 3 2 3 5 2 3" xfId="22210" xr:uid="{FD897FB0-EB1F-45B7-AE8F-17BFCE8FC45B}"/>
    <cellStyle name="Normal 8 3 2 3 5 2 4" xfId="13770" xr:uid="{0037EF18-4608-4F46-B21E-8D51FC670F25}"/>
    <cellStyle name="Normal 8 3 2 3 5 3" xfId="6516" xr:uid="{00000000-0005-0000-0000-00006A1D0000}"/>
    <cellStyle name="Normal 8 3 2 3 5 3 2" xfId="24282" xr:uid="{FACDC315-DE6B-4629-B237-3A322B1CA225}"/>
    <cellStyle name="Normal 8 3 2 3 5 3 3" xfId="15842" xr:uid="{EDAD867F-232D-4DA8-8B16-0F170B8962B5}"/>
    <cellStyle name="Normal 8 3 2 3 5 4" xfId="20065" xr:uid="{BDB63B70-B234-473C-8502-B1D5C50F4D62}"/>
    <cellStyle name="Normal 8 3 2 3 5 5" xfId="11625" xr:uid="{A6952369-64ED-46DB-BCAF-831FA2CBBBD0}"/>
    <cellStyle name="Normal 8 3 2 3 6" xfId="2646" xr:uid="{00000000-0005-0000-0000-00006B1D0000}"/>
    <cellStyle name="Normal 8 3 2 3 6 2" xfId="6929" xr:uid="{00000000-0005-0000-0000-00006C1D0000}"/>
    <cellStyle name="Normal 8 3 2 3 6 2 2" xfId="24695" xr:uid="{3266635A-5BD0-46EA-9C89-1CA396C21586}"/>
    <cellStyle name="Normal 8 3 2 3 6 2 3" xfId="16255" xr:uid="{B33015F9-290B-407D-AB32-E6146CE32444}"/>
    <cellStyle name="Normal 8 3 2 3 6 3" xfId="20478" xr:uid="{57A86686-C220-42F4-8E15-4A9DF0B88115}"/>
    <cellStyle name="Normal 8 3 2 3 6 4" xfId="12038" xr:uid="{80FDFB2A-4BBD-406B-B109-6688CB667E1F}"/>
    <cellStyle name="Normal 8 3 2 3 7" xfId="4864" xr:uid="{00000000-0005-0000-0000-00006D1D0000}"/>
    <cellStyle name="Normal 8 3 2 3 7 2" xfId="22630" xr:uid="{288B30BC-8374-4F3F-920C-B2DFD51721C4}"/>
    <cellStyle name="Normal 8 3 2 3 7 3" xfId="14190" xr:uid="{4B0C5413-6EF4-4DD1-AF12-1CA3FCB3BA91}"/>
    <cellStyle name="Normal 8 3 2 3 8" xfId="9044" xr:uid="{5ED49706-9CA9-4EE9-B01D-112CD1DB587C}"/>
    <cellStyle name="Normal 8 3 2 3 8 2" xfId="18413" xr:uid="{67BB6299-E92F-4919-88A6-70836DAD8475}"/>
    <cellStyle name="Normal 8 3 2 3 9" xfId="9973" xr:uid="{653F11FD-400E-4C5B-972A-3256F4D8821F}"/>
    <cellStyle name="Normal 8 3 2 4" xfId="963" xr:uid="{00000000-0005-0000-0000-00006E1D0000}"/>
    <cellStyle name="Normal 8 3 2 4 2" xfId="3197" xr:uid="{00000000-0005-0000-0000-00006F1D0000}"/>
    <cellStyle name="Normal 8 3 2 4 2 2" xfId="7419" xr:uid="{00000000-0005-0000-0000-0000701D0000}"/>
    <cellStyle name="Normal 8 3 2 4 2 2 2" xfId="25185" xr:uid="{6978A8EB-20B8-49A7-8E8E-7BF845D8C870}"/>
    <cellStyle name="Normal 8 3 2 4 2 2 3" xfId="16745" xr:uid="{049A3538-9CF5-4305-8851-8B2B3D3C08F4}"/>
    <cellStyle name="Normal 8 3 2 4 2 3" xfId="20968" xr:uid="{C4A152E4-E94A-47AB-84B3-EAFCFC0E8315}"/>
    <cellStyle name="Normal 8 3 2 4 2 4" xfId="12528" xr:uid="{EAB74F2B-B5CF-4C5C-9B36-EC1773DB4097}"/>
    <cellStyle name="Normal 8 3 2 4 3" xfId="5274" xr:uid="{00000000-0005-0000-0000-0000711D0000}"/>
    <cellStyle name="Normal 8 3 2 4 3 2" xfId="23040" xr:uid="{CD7DA269-443A-43FA-912B-E827B94C858F}"/>
    <cellStyle name="Normal 8 3 2 4 3 3" xfId="14600" xr:uid="{8B0171BE-6206-43F7-8DA8-D406FCEA950E}"/>
    <cellStyle name="Normal 8 3 2 4 4" xfId="9262" xr:uid="{8842595C-CD28-4B10-9BE6-37883B4C2AA9}"/>
    <cellStyle name="Normal 8 3 2 4 4 2" xfId="18823" xr:uid="{ABDFE859-3C65-42EA-B87C-9D5A10570F5B}"/>
    <cellStyle name="Normal 8 3 2 4 5" xfId="10383" xr:uid="{34BA45D7-13B8-4E58-99D5-79B99056479A}"/>
    <cellStyle name="Normal 8 3 2 5" xfId="1380" xr:uid="{00000000-0005-0000-0000-0000721D0000}"/>
    <cellStyle name="Normal 8 3 2 5 2" xfId="3610" xr:uid="{00000000-0005-0000-0000-0000731D0000}"/>
    <cellStyle name="Normal 8 3 2 5 2 2" xfId="7832" xr:uid="{00000000-0005-0000-0000-0000741D0000}"/>
    <cellStyle name="Normal 8 3 2 5 2 2 2" xfId="25598" xr:uid="{A690E1B0-C72C-44EC-8ACA-C14D1ED65FA8}"/>
    <cellStyle name="Normal 8 3 2 5 2 2 3" xfId="17158" xr:uid="{D3D72604-3B11-40DC-BBC7-A0B270B5E7C2}"/>
    <cellStyle name="Normal 8 3 2 5 2 3" xfId="21381" xr:uid="{72521FA5-D62B-4047-A307-A513DFF18E06}"/>
    <cellStyle name="Normal 8 3 2 5 2 4" xfId="12941" xr:uid="{277F646B-A788-4FFD-9139-2FD862A8406D}"/>
    <cellStyle name="Normal 8 3 2 5 3" xfId="5687" xr:uid="{00000000-0005-0000-0000-0000751D0000}"/>
    <cellStyle name="Normal 8 3 2 5 3 2" xfId="23453" xr:uid="{36049610-49E2-4467-9E6C-5F6691CAB63A}"/>
    <cellStyle name="Normal 8 3 2 5 3 3" xfId="15013" xr:uid="{7C0D3233-BEBD-4F48-B91E-75AAE1701B79}"/>
    <cellStyle name="Normal 8 3 2 5 4" xfId="19236" xr:uid="{A4FD98E9-8E7A-40D6-B56C-9EA8649CF8E8}"/>
    <cellStyle name="Normal 8 3 2 5 5" xfId="10796" xr:uid="{50D665FA-CC20-417D-ABCF-088FD293E87D}"/>
    <cellStyle name="Normal 8 3 2 6" xfId="1793" xr:uid="{00000000-0005-0000-0000-0000761D0000}"/>
    <cellStyle name="Normal 8 3 2 6 2" xfId="4023" xr:uid="{00000000-0005-0000-0000-0000771D0000}"/>
    <cellStyle name="Normal 8 3 2 6 2 2" xfId="8245" xr:uid="{00000000-0005-0000-0000-0000781D0000}"/>
    <cellStyle name="Normal 8 3 2 6 2 2 2" xfId="26011" xr:uid="{002C58E8-D43A-475D-B153-CA29D7B4F283}"/>
    <cellStyle name="Normal 8 3 2 6 2 2 3" xfId="17571" xr:uid="{733F3B27-BE89-4C24-B016-DB1349B04CAD}"/>
    <cellStyle name="Normal 8 3 2 6 2 3" xfId="21794" xr:uid="{84974B1A-4CE8-4BB9-B669-966FFADCEB9E}"/>
    <cellStyle name="Normal 8 3 2 6 2 4" xfId="13354" xr:uid="{2290B2E9-784D-4719-B605-16B33CB4E34D}"/>
    <cellStyle name="Normal 8 3 2 6 3" xfId="6100" xr:uid="{00000000-0005-0000-0000-0000791D0000}"/>
    <cellStyle name="Normal 8 3 2 6 3 2" xfId="23866" xr:uid="{39DDD8AF-4823-4351-824B-8E9E8749389C}"/>
    <cellStyle name="Normal 8 3 2 6 3 3" xfId="15426" xr:uid="{0E26E9B8-4E4F-4199-8D92-1E3FAFF21BD8}"/>
    <cellStyle name="Normal 8 3 2 6 4" xfId="19649" xr:uid="{7638663B-EB88-469B-9F74-7B1DF56BA5FA}"/>
    <cellStyle name="Normal 8 3 2 6 5" xfId="11209" xr:uid="{2219FE9B-A1EA-4BBF-8F61-2EBF7CC350DB}"/>
    <cellStyle name="Normal 8 3 2 7" xfId="2207" xr:uid="{00000000-0005-0000-0000-00007A1D0000}"/>
    <cellStyle name="Normal 8 3 2 7 2" xfId="4436" xr:uid="{00000000-0005-0000-0000-00007B1D0000}"/>
    <cellStyle name="Normal 8 3 2 7 2 2" xfId="8658" xr:uid="{00000000-0005-0000-0000-00007C1D0000}"/>
    <cellStyle name="Normal 8 3 2 7 2 2 2" xfId="26424" xr:uid="{CACA459D-7420-49D5-AB2F-14996D8EF9C3}"/>
    <cellStyle name="Normal 8 3 2 7 2 2 3" xfId="17984" xr:uid="{B4F91C68-3CC9-4CF3-BF79-A0C5162201C3}"/>
    <cellStyle name="Normal 8 3 2 7 2 3" xfId="22207" xr:uid="{9AD7467D-9E48-43CF-8930-FBCC7E460A10}"/>
    <cellStyle name="Normal 8 3 2 7 2 4" xfId="13767" xr:uid="{96FD2CA8-9AAF-47C7-81AD-015429259E1C}"/>
    <cellStyle name="Normal 8 3 2 7 3" xfId="6513" xr:uid="{00000000-0005-0000-0000-00007D1D0000}"/>
    <cellStyle name="Normal 8 3 2 7 3 2" xfId="24279" xr:uid="{ED4FF4D5-853C-4F2F-9B93-DF6180600774}"/>
    <cellStyle name="Normal 8 3 2 7 3 3" xfId="15839" xr:uid="{7E46C4E9-5650-4353-AF7A-E7A66B3F9277}"/>
    <cellStyle name="Normal 8 3 2 7 4" xfId="20062" xr:uid="{6C439CE4-0F33-4B73-B435-E1858753353D}"/>
    <cellStyle name="Normal 8 3 2 7 5" xfId="11622" xr:uid="{9F900397-D0A2-4D45-877F-B84430381292}"/>
    <cellStyle name="Normal 8 3 2 8" xfId="2643" xr:uid="{00000000-0005-0000-0000-00007E1D0000}"/>
    <cellStyle name="Normal 8 3 2 8 2" xfId="6926" xr:uid="{00000000-0005-0000-0000-00007F1D0000}"/>
    <cellStyle name="Normal 8 3 2 8 2 2" xfId="24692" xr:uid="{96FD8309-8104-4012-A02F-613FF5FC2A2C}"/>
    <cellStyle name="Normal 8 3 2 8 2 3" xfId="16252" xr:uid="{3EEE0A82-2049-4CA5-867F-312ED74F2091}"/>
    <cellStyle name="Normal 8 3 2 8 3" xfId="20475" xr:uid="{4F47FC92-3DA5-46B1-BB9F-C8AEC61248B9}"/>
    <cellStyle name="Normal 8 3 2 8 4" xfId="12035" xr:uid="{AD63F9BC-A62D-4340-91DD-FB032616C6EE}"/>
    <cellStyle name="Normal 8 3 2 9" xfId="4861" xr:uid="{00000000-0005-0000-0000-0000801D0000}"/>
    <cellStyle name="Normal 8 3 2 9 2" xfId="22627" xr:uid="{F688C553-B4F8-4899-80BD-20DF348D5A2C}"/>
    <cellStyle name="Normal 8 3 2 9 3" xfId="14187" xr:uid="{E53C30E8-D2A4-41E7-BE2F-750B791A1FA7}"/>
    <cellStyle name="Normal 8 3 3" xfId="500" xr:uid="{00000000-0005-0000-0000-0000811D0000}"/>
    <cellStyle name="Normal 8 3 3 10" xfId="9974" xr:uid="{03C91508-879C-4CE3-9DD1-759E4BCAAC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25190" xr:uid="{9AD64E6F-82A6-491A-93D7-D18B75927981}"/>
    <cellStyle name="Normal 8 3 3 2 2 2 2 3" xfId="16750" xr:uid="{A7C584BA-D783-4A37-8B3B-D224EEC884F7}"/>
    <cellStyle name="Normal 8 3 3 2 2 2 3" xfId="20973" xr:uid="{B49F57B4-47CC-471E-911F-854D3286AE46}"/>
    <cellStyle name="Normal 8 3 3 2 2 2 4" xfId="12533" xr:uid="{4686B689-E681-42E5-B58D-A232E1B145FD}"/>
    <cellStyle name="Normal 8 3 3 2 2 3" xfId="5279" xr:uid="{00000000-0005-0000-0000-0000861D0000}"/>
    <cellStyle name="Normal 8 3 3 2 2 3 2" xfId="23045" xr:uid="{FDFCFAF5-F72B-4E36-98DD-EFA992423F05}"/>
    <cellStyle name="Normal 8 3 3 2 2 3 3" xfId="14605" xr:uid="{C6931E7D-E5CE-4A10-9056-23F815B96975}"/>
    <cellStyle name="Normal 8 3 3 2 2 4" xfId="9509" xr:uid="{3B4378D3-7C51-4B91-822B-758528BFF352}"/>
    <cellStyle name="Normal 8 3 3 2 2 4 2" xfId="18828" xr:uid="{98B2BA30-5A1F-48A3-A375-0C767F8ABA55}"/>
    <cellStyle name="Normal 8 3 3 2 2 5" xfId="10388" xr:uid="{D4A9166F-DAB5-41EE-A534-BFC3C82D2CB9}"/>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25603" xr:uid="{84270690-B89F-499E-BEEC-2B811928F506}"/>
    <cellStyle name="Normal 8 3 3 2 3 2 2 3" xfId="17163" xr:uid="{115CEF0C-5EC4-4365-B7EC-9BB058511FE2}"/>
    <cellStyle name="Normal 8 3 3 2 3 2 3" xfId="21386" xr:uid="{5ABFBE12-51A9-4084-AB36-1EA8C2E71C5D}"/>
    <cellStyle name="Normal 8 3 3 2 3 2 4" xfId="12946" xr:uid="{183B723B-322D-4B51-A947-6856D15A52BE}"/>
    <cellStyle name="Normal 8 3 3 2 3 3" xfId="5692" xr:uid="{00000000-0005-0000-0000-00008A1D0000}"/>
    <cellStyle name="Normal 8 3 3 2 3 3 2" xfId="23458" xr:uid="{7F268A68-4949-4CED-8C16-1F9F0CD5AB92}"/>
    <cellStyle name="Normal 8 3 3 2 3 3 3" xfId="15018" xr:uid="{44E1B85B-59E0-4A89-A2A6-ADFFED641F18}"/>
    <cellStyle name="Normal 8 3 3 2 3 4" xfId="19241" xr:uid="{8806583A-E35D-48F0-A40F-25A500B22D99}"/>
    <cellStyle name="Normal 8 3 3 2 3 5" xfId="10801" xr:uid="{7C656B98-F103-4030-A48C-78F4C4F10243}"/>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26016" xr:uid="{DAA3DA9D-0EE4-4CAD-820D-B5F67EED1DF7}"/>
    <cellStyle name="Normal 8 3 3 2 4 2 2 3" xfId="17576" xr:uid="{60A52F8F-AD53-40AC-8729-D1ABC88E3611}"/>
    <cellStyle name="Normal 8 3 3 2 4 2 3" xfId="21799" xr:uid="{60504AF0-BE72-4226-B066-5B917DD64FED}"/>
    <cellStyle name="Normal 8 3 3 2 4 2 4" xfId="13359" xr:uid="{6263A884-6879-48BF-92B1-97314163AFA9}"/>
    <cellStyle name="Normal 8 3 3 2 4 3" xfId="6105" xr:uid="{00000000-0005-0000-0000-00008E1D0000}"/>
    <cellStyle name="Normal 8 3 3 2 4 3 2" xfId="23871" xr:uid="{C684EF89-22B0-4D26-8D73-8295FD097561}"/>
    <cellStyle name="Normal 8 3 3 2 4 3 3" xfId="15431" xr:uid="{B5594CEE-AFE6-46B2-BBFF-B1AD40C4CA20}"/>
    <cellStyle name="Normal 8 3 3 2 4 4" xfId="19654" xr:uid="{DD4D8288-8558-43BB-BEC0-CFF8F83C1EB3}"/>
    <cellStyle name="Normal 8 3 3 2 4 5" xfId="11214" xr:uid="{A488A580-1B51-4412-8028-C498EDF61BE1}"/>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26429" xr:uid="{27D8CA9F-5EBB-430E-B92B-84E5608DADD7}"/>
    <cellStyle name="Normal 8 3 3 2 5 2 2 3" xfId="17989" xr:uid="{D28E876F-6889-4B48-B8E6-5026FD77BC52}"/>
    <cellStyle name="Normal 8 3 3 2 5 2 3" xfId="22212" xr:uid="{6A6B4F02-24BE-49BA-8B34-01D0E420ACD3}"/>
    <cellStyle name="Normal 8 3 3 2 5 2 4" xfId="13772" xr:uid="{687B8081-8DEB-43AE-82B2-7E5C6423E3A7}"/>
    <cellStyle name="Normal 8 3 3 2 5 3" xfId="6518" xr:uid="{00000000-0005-0000-0000-0000921D0000}"/>
    <cellStyle name="Normal 8 3 3 2 5 3 2" xfId="24284" xr:uid="{CEA1EBE3-E34D-46C7-A66E-736DF7C6C8F7}"/>
    <cellStyle name="Normal 8 3 3 2 5 3 3" xfId="15844" xr:uid="{42D1037E-272B-48E1-838C-250F6FA9F35D}"/>
    <cellStyle name="Normal 8 3 3 2 5 4" xfId="20067" xr:uid="{C3E9FA9F-BEC1-4725-87C7-D7CA68F824F9}"/>
    <cellStyle name="Normal 8 3 3 2 5 5" xfId="11627" xr:uid="{2B1614D8-01CA-43B9-B2BB-4EE37938B725}"/>
    <cellStyle name="Normal 8 3 3 2 6" xfId="2648" xr:uid="{00000000-0005-0000-0000-0000931D0000}"/>
    <cellStyle name="Normal 8 3 3 2 6 2" xfId="6931" xr:uid="{00000000-0005-0000-0000-0000941D0000}"/>
    <cellStyle name="Normal 8 3 3 2 6 2 2" xfId="24697" xr:uid="{EF203293-E909-42BF-BCCF-5D9F0439906B}"/>
    <cellStyle name="Normal 8 3 3 2 6 2 3" xfId="16257" xr:uid="{DEE9B0B7-5DC0-4854-87DE-34370C96EAC1}"/>
    <cellStyle name="Normal 8 3 3 2 6 3" xfId="20480" xr:uid="{9EB50ECE-2668-45CA-AD6D-6BC37B71490D}"/>
    <cellStyle name="Normal 8 3 3 2 6 4" xfId="12040" xr:uid="{7689A8F7-3CB9-46AC-8BA5-136D2A6E6D20}"/>
    <cellStyle name="Normal 8 3 3 2 7" xfId="4866" xr:uid="{00000000-0005-0000-0000-0000951D0000}"/>
    <cellStyle name="Normal 8 3 3 2 7 2" xfId="22632" xr:uid="{6135CAF1-40BD-4953-AAAD-8D79F6A36FF0}"/>
    <cellStyle name="Normal 8 3 3 2 7 3" xfId="14192" xr:uid="{BD46BB05-9D9E-43FA-973C-BFE0B4D36D96}"/>
    <cellStyle name="Normal 8 3 3 2 8" xfId="9084" xr:uid="{94243AB7-0454-4C95-8E94-054E46718167}"/>
    <cellStyle name="Normal 8 3 3 2 8 2" xfId="18415" xr:uid="{E3D29E99-F6C1-4C35-9655-FEE9C01A6297}"/>
    <cellStyle name="Normal 8 3 3 2 9" xfId="9975" xr:uid="{B6E279E0-7AF6-4F59-B635-180969B6C9FC}"/>
    <cellStyle name="Normal 8 3 3 3" xfId="967" xr:uid="{00000000-0005-0000-0000-0000961D0000}"/>
    <cellStyle name="Normal 8 3 3 3 2" xfId="3201" xr:uid="{00000000-0005-0000-0000-0000971D0000}"/>
    <cellStyle name="Normal 8 3 3 3 2 2" xfId="7423" xr:uid="{00000000-0005-0000-0000-0000981D0000}"/>
    <cellStyle name="Normal 8 3 3 3 2 2 2" xfId="25189" xr:uid="{F8D3F690-49F9-4A2A-BECD-8B8A441D830F}"/>
    <cellStyle name="Normal 8 3 3 3 2 2 3" xfId="16749" xr:uid="{D1152051-A034-43B4-A539-58E6CF7C2D7A}"/>
    <cellStyle name="Normal 8 3 3 3 2 3" xfId="20972" xr:uid="{85373BE4-AF37-4168-944D-2CDEA2209683}"/>
    <cellStyle name="Normal 8 3 3 3 2 4" xfId="12532" xr:uid="{8BD4C6D2-F88B-4CEA-B9BB-78618A2B6CD2}"/>
    <cellStyle name="Normal 8 3 3 3 3" xfId="5278" xr:uid="{00000000-0005-0000-0000-0000991D0000}"/>
    <cellStyle name="Normal 8 3 3 3 3 2" xfId="23044" xr:uid="{46C8BB4C-6039-493F-B196-D9BDA520A994}"/>
    <cellStyle name="Normal 8 3 3 3 3 3" xfId="14604" xr:uid="{C66422DE-59FA-47CE-A9FA-6E9404CF0B1F}"/>
    <cellStyle name="Normal 8 3 3 3 4" xfId="9302" xr:uid="{3985B908-2B56-4F9B-BEA3-8962926FD004}"/>
    <cellStyle name="Normal 8 3 3 3 4 2" xfId="18827" xr:uid="{7E508876-96BF-48A7-896F-42449EB904CA}"/>
    <cellStyle name="Normal 8 3 3 3 5" xfId="10387" xr:uid="{5DA2CEAF-6461-4AD2-A45A-42D67118A954}"/>
    <cellStyle name="Normal 8 3 3 4" xfId="1384" xr:uid="{00000000-0005-0000-0000-00009A1D0000}"/>
    <cellStyle name="Normal 8 3 3 4 2" xfId="3614" xr:uid="{00000000-0005-0000-0000-00009B1D0000}"/>
    <cellStyle name="Normal 8 3 3 4 2 2" xfId="7836" xr:uid="{00000000-0005-0000-0000-00009C1D0000}"/>
    <cellStyle name="Normal 8 3 3 4 2 2 2" xfId="25602" xr:uid="{F07220F4-B3CA-4ED0-BD15-AFB60DD88F0A}"/>
    <cellStyle name="Normal 8 3 3 4 2 2 3" xfId="17162" xr:uid="{7A4BF142-9969-4793-8463-339EBC024823}"/>
    <cellStyle name="Normal 8 3 3 4 2 3" xfId="21385" xr:uid="{29A78954-E02F-4E5C-857E-F03526DF76FF}"/>
    <cellStyle name="Normal 8 3 3 4 2 4" xfId="12945" xr:uid="{DFD38971-CB58-40F1-9E30-1956A63AC44B}"/>
    <cellStyle name="Normal 8 3 3 4 3" xfId="5691" xr:uid="{00000000-0005-0000-0000-00009D1D0000}"/>
    <cellStyle name="Normal 8 3 3 4 3 2" xfId="23457" xr:uid="{1EE3C2D1-7E35-4F8C-AA8C-156656BA614C}"/>
    <cellStyle name="Normal 8 3 3 4 3 3" xfId="15017" xr:uid="{E173C9DC-C966-43AA-90FC-660FA9B999B6}"/>
    <cellStyle name="Normal 8 3 3 4 4" xfId="19240" xr:uid="{943A9073-47E9-4FD4-9ACB-8290E9037D57}"/>
    <cellStyle name="Normal 8 3 3 4 5" xfId="10800" xr:uid="{FB30D906-EE44-4800-83A4-6FF38051A5FF}"/>
    <cellStyle name="Normal 8 3 3 5" xfId="1797" xr:uid="{00000000-0005-0000-0000-00009E1D0000}"/>
    <cellStyle name="Normal 8 3 3 5 2" xfId="4027" xr:uid="{00000000-0005-0000-0000-00009F1D0000}"/>
    <cellStyle name="Normal 8 3 3 5 2 2" xfId="8249" xr:uid="{00000000-0005-0000-0000-0000A01D0000}"/>
    <cellStyle name="Normal 8 3 3 5 2 2 2" xfId="26015" xr:uid="{35C2B761-BF6E-467E-8E8C-19A1B34D0891}"/>
    <cellStyle name="Normal 8 3 3 5 2 2 3" xfId="17575" xr:uid="{44AB0969-7235-4FA1-BD3E-31D736D51CE4}"/>
    <cellStyle name="Normal 8 3 3 5 2 3" xfId="21798" xr:uid="{DABD8932-1C7D-40BB-989B-33ED852E5871}"/>
    <cellStyle name="Normal 8 3 3 5 2 4" xfId="13358" xr:uid="{88791047-6989-48E9-8A18-F43BAAE3D0C0}"/>
    <cellStyle name="Normal 8 3 3 5 3" xfId="6104" xr:uid="{00000000-0005-0000-0000-0000A11D0000}"/>
    <cellStyle name="Normal 8 3 3 5 3 2" xfId="23870" xr:uid="{0F77B141-8305-4B93-B5A4-B54BC7C5DB98}"/>
    <cellStyle name="Normal 8 3 3 5 3 3" xfId="15430" xr:uid="{5C1E0C75-53DC-4B32-8596-17E01955B488}"/>
    <cellStyle name="Normal 8 3 3 5 4" xfId="19653" xr:uid="{298502FA-EB5A-426D-8AED-D34A663A0A42}"/>
    <cellStyle name="Normal 8 3 3 5 5" xfId="11213" xr:uid="{5992C517-9C63-4929-B472-479EA1AD180C}"/>
    <cellStyle name="Normal 8 3 3 6" xfId="2211" xr:uid="{00000000-0005-0000-0000-0000A21D0000}"/>
    <cellStyle name="Normal 8 3 3 6 2" xfId="4440" xr:uid="{00000000-0005-0000-0000-0000A31D0000}"/>
    <cellStyle name="Normal 8 3 3 6 2 2" xfId="8662" xr:uid="{00000000-0005-0000-0000-0000A41D0000}"/>
    <cellStyle name="Normal 8 3 3 6 2 2 2" xfId="26428" xr:uid="{BF1D6187-3555-4AB9-83BB-EA2E01FAB14D}"/>
    <cellStyle name="Normal 8 3 3 6 2 2 3" xfId="17988" xr:uid="{7C480368-347C-48F5-B78D-1F00F08B6987}"/>
    <cellStyle name="Normal 8 3 3 6 2 3" xfId="22211" xr:uid="{17F73251-1E40-4EF3-AC7A-9CD8D6970360}"/>
    <cellStyle name="Normal 8 3 3 6 2 4" xfId="13771" xr:uid="{3F128B3E-53FB-444B-B1C1-322D63CD5E0E}"/>
    <cellStyle name="Normal 8 3 3 6 3" xfId="6517" xr:uid="{00000000-0005-0000-0000-0000A51D0000}"/>
    <cellStyle name="Normal 8 3 3 6 3 2" xfId="24283" xr:uid="{91B1DEAE-21C4-4A4A-88CB-6309174D5764}"/>
    <cellStyle name="Normal 8 3 3 6 3 3" xfId="15843" xr:uid="{83E82923-B456-4842-9915-6ED4EC34B07C}"/>
    <cellStyle name="Normal 8 3 3 6 4" xfId="20066" xr:uid="{346A9FB8-8145-42FA-8B54-8E77A3742438}"/>
    <cellStyle name="Normal 8 3 3 6 5" xfId="11626" xr:uid="{ABF620A8-70A4-4AB6-A456-460794896AE7}"/>
    <cellStyle name="Normal 8 3 3 7" xfId="2647" xr:uid="{00000000-0005-0000-0000-0000A61D0000}"/>
    <cellStyle name="Normal 8 3 3 7 2" xfId="6930" xr:uid="{00000000-0005-0000-0000-0000A71D0000}"/>
    <cellStyle name="Normal 8 3 3 7 2 2" xfId="24696" xr:uid="{E7E3DBD4-53D5-4B7A-BBA4-C616020A3516}"/>
    <cellStyle name="Normal 8 3 3 7 2 3" xfId="16256" xr:uid="{071BECE2-606B-4211-A7AB-00EBE800E295}"/>
    <cellStyle name="Normal 8 3 3 7 3" xfId="20479" xr:uid="{8C023046-479B-4FF2-8C3B-7D7AB0FB5E02}"/>
    <cellStyle name="Normal 8 3 3 7 4" xfId="12039" xr:uid="{645622EF-BB51-4B05-8F9B-5092448ADED1}"/>
    <cellStyle name="Normal 8 3 3 8" xfId="4865" xr:uid="{00000000-0005-0000-0000-0000A81D0000}"/>
    <cellStyle name="Normal 8 3 3 8 2" xfId="22631" xr:uid="{479B0700-CBC3-438B-9699-8FDE559061AE}"/>
    <cellStyle name="Normal 8 3 3 8 3" xfId="14191" xr:uid="{DF8915F4-4C5C-47E4-8741-84A5ECCDCDCC}"/>
    <cellStyle name="Normal 8 3 3 9" xfId="8877" xr:uid="{4F8231E3-800E-43E7-B1B6-9633EBFFFFE1}"/>
    <cellStyle name="Normal 8 3 3 9 2" xfId="18414" xr:uid="{54FE4CAE-2821-4172-AAD4-F7B9F8AF1DF2}"/>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25191" xr:uid="{EDFC06B3-C56E-4988-88CE-D6408601CA8F}"/>
    <cellStyle name="Normal 8 3 4 2 2 2 3" xfId="16751" xr:uid="{E42C9E1F-F48D-455D-AD35-562F4C87A955}"/>
    <cellStyle name="Normal 8 3 4 2 2 3" xfId="20974" xr:uid="{19FF4815-111B-427C-9E2F-AD3F2705F46B}"/>
    <cellStyle name="Normal 8 3 4 2 2 4" xfId="12534" xr:uid="{BECC4945-A71A-44DA-BAE2-7005A4EF31DD}"/>
    <cellStyle name="Normal 8 3 4 2 3" xfId="5280" xr:uid="{00000000-0005-0000-0000-0000AD1D0000}"/>
    <cellStyle name="Normal 8 3 4 2 3 2" xfId="23046" xr:uid="{802691F3-474C-4F72-87A1-513C1927A06F}"/>
    <cellStyle name="Normal 8 3 4 2 3 3" xfId="14606" xr:uid="{6F2E03E9-9192-4569-944D-D90A6675D118}"/>
    <cellStyle name="Normal 8 3 4 2 4" xfId="9406" xr:uid="{8751BE45-E47B-4A0A-B0DE-04C14FAEA88D}"/>
    <cellStyle name="Normal 8 3 4 2 4 2" xfId="18829" xr:uid="{5FD2F03E-8F61-4F78-96CF-4542DA1F5400}"/>
    <cellStyle name="Normal 8 3 4 2 5" xfId="10389" xr:uid="{D290A03A-5456-4EC6-B393-C7786ED4205D}"/>
    <cellStyle name="Normal 8 3 4 3" xfId="1386" xr:uid="{00000000-0005-0000-0000-0000AE1D0000}"/>
    <cellStyle name="Normal 8 3 4 3 2" xfId="3616" xr:uid="{00000000-0005-0000-0000-0000AF1D0000}"/>
    <cellStyle name="Normal 8 3 4 3 2 2" xfId="7838" xr:uid="{00000000-0005-0000-0000-0000B01D0000}"/>
    <cellStyle name="Normal 8 3 4 3 2 2 2" xfId="25604" xr:uid="{B863EB68-396A-4859-A663-E121541D495A}"/>
    <cellStyle name="Normal 8 3 4 3 2 2 3" xfId="17164" xr:uid="{C74A9B79-10E2-4C4E-B4C3-34555FF1E18B}"/>
    <cellStyle name="Normal 8 3 4 3 2 3" xfId="21387" xr:uid="{60DAC48D-2E9D-449C-96F9-CD6232367C55}"/>
    <cellStyle name="Normal 8 3 4 3 2 4" xfId="12947" xr:uid="{36B89A84-3483-468A-AB19-A1CF5DDD4CDB}"/>
    <cellStyle name="Normal 8 3 4 3 3" xfId="5693" xr:uid="{00000000-0005-0000-0000-0000B11D0000}"/>
    <cellStyle name="Normal 8 3 4 3 3 2" xfId="23459" xr:uid="{B98BD1A2-1D36-4B68-89B7-140FC274DF30}"/>
    <cellStyle name="Normal 8 3 4 3 3 3" xfId="15019" xr:uid="{92122D6E-B866-481F-8F0A-64611FE6D970}"/>
    <cellStyle name="Normal 8 3 4 3 4" xfId="19242" xr:uid="{55B6DCA8-5EA4-4BCB-828E-E4F489278CEB}"/>
    <cellStyle name="Normal 8 3 4 3 5" xfId="10802" xr:uid="{E2961BA2-32CF-4BAE-9BAD-BE28AE7E9E4B}"/>
    <cellStyle name="Normal 8 3 4 4" xfId="1799" xr:uid="{00000000-0005-0000-0000-0000B21D0000}"/>
    <cellStyle name="Normal 8 3 4 4 2" xfId="4029" xr:uid="{00000000-0005-0000-0000-0000B31D0000}"/>
    <cellStyle name="Normal 8 3 4 4 2 2" xfId="8251" xr:uid="{00000000-0005-0000-0000-0000B41D0000}"/>
    <cellStyle name="Normal 8 3 4 4 2 2 2" xfId="26017" xr:uid="{8ACB2374-11A3-4DC0-A5E5-2EA8052D64EA}"/>
    <cellStyle name="Normal 8 3 4 4 2 2 3" xfId="17577" xr:uid="{3ABD416C-FCC4-4BEE-8772-D35FEF280BE2}"/>
    <cellStyle name="Normal 8 3 4 4 2 3" xfId="21800" xr:uid="{2EDBCDCB-AB1A-4463-A8FA-6FA451D1A5CC}"/>
    <cellStyle name="Normal 8 3 4 4 2 4" xfId="13360" xr:uid="{A2E6D94D-0DA2-4FDD-971F-409F77C64A04}"/>
    <cellStyle name="Normal 8 3 4 4 3" xfId="6106" xr:uid="{00000000-0005-0000-0000-0000B51D0000}"/>
    <cellStyle name="Normal 8 3 4 4 3 2" xfId="23872" xr:uid="{AB671D8D-2194-4F90-982F-D0EA6BC51122}"/>
    <cellStyle name="Normal 8 3 4 4 3 3" xfId="15432" xr:uid="{E1896703-E85E-4AD8-A3C4-3BAA9D5A187D}"/>
    <cellStyle name="Normal 8 3 4 4 4" xfId="19655" xr:uid="{2046273F-8DC7-40B6-89FA-C2F77B04157D}"/>
    <cellStyle name="Normal 8 3 4 4 5" xfId="11215" xr:uid="{AC5B5BB7-5D52-42F4-A7DE-60BABAFDAF46}"/>
    <cellStyle name="Normal 8 3 4 5" xfId="2213" xr:uid="{00000000-0005-0000-0000-0000B61D0000}"/>
    <cellStyle name="Normal 8 3 4 5 2" xfId="4442" xr:uid="{00000000-0005-0000-0000-0000B71D0000}"/>
    <cellStyle name="Normal 8 3 4 5 2 2" xfId="8664" xr:uid="{00000000-0005-0000-0000-0000B81D0000}"/>
    <cellStyle name="Normal 8 3 4 5 2 2 2" xfId="26430" xr:uid="{702734F6-CC54-45A7-9F22-0B202CEB01ED}"/>
    <cellStyle name="Normal 8 3 4 5 2 2 3" xfId="17990" xr:uid="{049EBD20-5B7E-4378-81B4-81278346C3E6}"/>
    <cellStyle name="Normal 8 3 4 5 2 3" xfId="22213" xr:uid="{A0219A12-0C3F-4CE1-B1FD-5D36F1808247}"/>
    <cellStyle name="Normal 8 3 4 5 2 4" xfId="13773" xr:uid="{B3621425-DB9C-4CB0-BACA-14006F769600}"/>
    <cellStyle name="Normal 8 3 4 5 3" xfId="6519" xr:uid="{00000000-0005-0000-0000-0000B91D0000}"/>
    <cellStyle name="Normal 8 3 4 5 3 2" xfId="24285" xr:uid="{3B85F1C8-4FFF-4D32-AA37-A5A72A9EC44E}"/>
    <cellStyle name="Normal 8 3 4 5 3 3" xfId="15845" xr:uid="{A9C17B83-5D7D-407D-9227-CE3711A90533}"/>
    <cellStyle name="Normal 8 3 4 5 4" xfId="20068" xr:uid="{2BA77644-9134-41E0-A6D3-0804926D2015}"/>
    <cellStyle name="Normal 8 3 4 5 5" xfId="11628" xr:uid="{A2CD2D7A-6FB5-4353-95DA-B85CC3EB7184}"/>
    <cellStyle name="Normal 8 3 4 6" xfId="2649" xr:uid="{00000000-0005-0000-0000-0000BA1D0000}"/>
    <cellStyle name="Normal 8 3 4 6 2" xfId="6932" xr:uid="{00000000-0005-0000-0000-0000BB1D0000}"/>
    <cellStyle name="Normal 8 3 4 6 2 2" xfId="24698" xr:uid="{4D9F37F3-BA3A-4EA9-8E22-D0F0238D86C3}"/>
    <cellStyle name="Normal 8 3 4 6 2 3" xfId="16258" xr:uid="{29C946AE-3D6B-4E5B-95E6-C23C76CB8210}"/>
    <cellStyle name="Normal 8 3 4 6 3" xfId="20481" xr:uid="{748D9418-E565-493E-B88A-E5038AD76834}"/>
    <cellStyle name="Normal 8 3 4 6 4" xfId="12041" xr:uid="{48E409F3-E541-4BEF-9494-099B141756AE}"/>
    <cellStyle name="Normal 8 3 4 7" xfId="4867" xr:uid="{00000000-0005-0000-0000-0000BC1D0000}"/>
    <cellStyle name="Normal 8 3 4 7 2" xfId="22633" xr:uid="{0C5323F3-E15E-4298-A23B-03CC723F407E}"/>
    <cellStyle name="Normal 8 3 4 7 3" xfId="14193" xr:uid="{E1E0359E-F232-4F90-9069-9AD40C418F29}"/>
    <cellStyle name="Normal 8 3 4 8" xfId="8981" xr:uid="{BEE184E9-ECE6-4107-B29A-CC8BC7F28FA3}"/>
    <cellStyle name="Normal 8 3 4 8 2" xfId="18416" xr:uid="{9297442A-73CC-434F-88EA-BDCD226C20FE}"/>
    <cellStyle name="Normal 8 3 4 9" xfId="9976" xr:uid="{190755F2-59D5-4F68-AF7B-FC5C6BF87C97}"/>
    <cellStyle name="Normal 8 3 5" xfId="962" xr:uid="{00000000-0005-0000-0000-0000BD1D0000}"/>
    <cellStyle name="Normal 8 3 5 2" xfId="3196" xr:uid="{00000000-0005-0000-0000-0000BE1D0000}"/>
    <cellStyle name="Normal 8 3 5 2 2" xfId="7418" xr:uid="{00000000-0005-0000-0000-0000BF1D0000}"/>
    <cellStyle name="Normal 8 3 5 2 2 2" xfId="25184" xr:uid="{37960E96-C209-4E49-9C66-F52B50E6A9BA}"/>
    <cellStyle name="Normal 8 3 5 2 2 3" xfId="16744" xr:uid="{19B52716-B0A5-435A-AE72-94CE06E3785F}"/>
    <cellStyle name="Normal 8 3 5 2 3" xfId="20967" xr:uid="{CAF725AA-74DB-480B-A7D6-DCF4189D9C53}"/>
    <cellStyle name="Normal 8 3 5 2 4" xfId="12527" xr:uid="{D51AA872-D105-455D-811C-F0A62D8FCDCF}"/>
    <cellStyle name="Normal 8 3 5 3" xfId="5273" xr:uid="{00000000-0005-0000-0000-0000C01D0000}"/>
    <cellStyle name="Normal 8 3 5 3 2" xfId="23039" xr:uid="{CBDE7EF7-2EDD-430A-A370-A49C2D882D97}"/>
    <cellStyle name="Normal 8 3 5 3 3" xfId="14599" xr:uid="{4D870062-A2F7-43D5-9BE1-E2092966D566}"/>
    <cellStyle name="Normal 8 3 5 4" xfId="9198" xr:uid="{FA5A5C79-C3AC-4E17-9344-90C4E411EE0B}"/>
    <cellStyle name="Normal 8 3 5 4 2" xfId="18822" xr:uid="{3ED5C758-0080-4CA3-98D5-60FFEFBF60DE}"/>
    <cellStyle name="Normal 8 3 5 5" xfId="10382" xr:uid="{71C519DB-2190-42C6-9CC7-B0C321542B1C}"/>
    <cellStyle name="Normal 8 3 6" xfId="1379" xr:uid="{00000000-0005-0000-0000-0000C11D0000}"/>
    <cellStyle name="Normal 8 3 6 2" xfId="3609" xr:uid="{00000000-0005-0000-0000-0000C21D0000}"/>
    <cellStyle name="Normal 8 3 6 2 2" xfId="7831" xr:uid="{00000000-0005-0000-0000-0000C31D0000}"/>
    <cellStyle name="Normal 8 3 6 2 2 2" xfId="25597" xr:uid="{F151CB4A-CC00-4C3E-90D9-8CC3C0326538}"/>
    <cellStyle name="Normal 8 3 6 2 2 3" xfId="17157" xr:uid="{5860074A-D9FE-4060-A018-69C11A261474}"/>
    <cellStyle name="Normal 8 3 6 2 3" xfId="21380" xr:uid="{63694EFA-477F-4ED6-A1AE-E68003646102}"/>
    <cellStyle name="Normal 8 3 6 2 4" xfId="12940" xr:uid="{B09872AC-5C55-4F37-9358-B6EF35956A26}"/>
    <cellStyle name="Normal 8 3 6 3" xfId="5686" xr:uid="{00000000-0005-0000-0000-0000C41D0000}"/>
    <cellStyle name="Normal 8 3 6 3 2" xfId="23452" xr:uid="{970F9F64-AE75-4270-80C9-0781900F3380}"/>
    <cellStyle name="Normal 8 3 6 3 3" xfId="15012" xr:uid="{94C6F4AF-047F-4136-B36D-1C633EE60245}"/>
    <cellStyle name="Normal 8 3 6 4" xfId="19235" xr:uid="{922A55C3-787C-40AD-BEA1-B4092B3D3844}"/>
    <cellStyle name="Normal 8 3 6 5" xfId="10795" xr:uid="{C51E619C-2964-43A9-BFB2-150868902FDC}"/>
    <cellStyle name="Normal 8 3 7" xfId="1792" xr:uid="{00000000-0005-0000-0000-0000C51D0000}"/>
    <cellStyle name="Normal 8 3 7 2" xfId="4022" xr:uid="{00000000-0005-0000-0000-0000C61D0000}"/>
    <cellStyle name="Normal 8 3 7 2 2" xfId="8244" xr:uid="{00000000-0005-0000-0000-0000C71D0000}"/>
    <cellStyle name="Normal 8 3 7 2 2 2" xfId="26010" xr:uid="{64FD4FF9-2BB7-40C7-A740-4569548FB484}"/>
    <cellStyle name="Normal 8 3 7 2 2 3" xfId="17570" xr:uid="{5BB3CC32-ECE2-43FE-B3D5-EA9CA15F9C39}"/>
    <cellStyle name="Normal 8 3 7 2 3" xfId="21793" xr:uid="{2B2F5E87-4E49-4755-A25E-070206C3E19D}"/>
    <cellStyle name="Normal 8 3 7 2 4" xfId="13353" xr:uid="{29F95720-82AE-4995-9E7F-D3BE0DAF953D}"/>
    <cellStyle name="Normal 8 3 7 3" xfId="6099" xr:uid="{00000000-0005-0000-0000-0000C81D0000}"/>
    <cellStyle name="Normal 8 3 7 3 2" xfId="23865" xr:uid="{34B5BE21-AE18-4EC2-8018-7E335B6F9798}"/>
    <cellStyle name="Normal 8 3 7 3 3" xfId="15425" xr:uid="{F2ECC1A8-D843-4CAB-9C79-6D98B742FEF8}"/>
    <cellStyle name="Normal 8 3 7 4" xfId="19648" xr:uid="{1BA606B7-69AF-40F3-BBE7-DDCB0707F610}"/>
    <cellStyle name="Normal 8 3 7 5" xfId="11208" xr:uid="{9FC8F0BC-D743-4EB8-92C7-7F511F0178CC}"/>
    <cellStyle name="Normal 8 3 8" xfId="2206" xr:uid="{00000000-0005-0000-0000-0000C91D0000}"/>
    <cellStyle name="Normal 8 3 8 2" xfId="4435" xr:uid="{00000000-0005-0000-0000-0000CA1D0000}"/>
    <cellStyle name="Normal 8 3 8 2 2" xfId="8657" xr:uid="{00000000-0005-0000-0000-0000CB1D0000}"/>
    <cellStyle name="Normal 8 3 8 2 2 2" xfId="26423" xr:uid="{E07630A4-187F-4E78-8E1A-3E91A3419314}"/>
    <cellStyle name="Normal 8 3 8 2 2 3" xfId="17983" xr:uid="{7E855A95-C840-4F72-AA4D-B369A6D45B43}"/>
    <cellStyle name="Normal 8 3 8 2 3" xfId="22206" xr:uid="{35EC94F2-8A8B-472C-B039-56B61E53DA43}"/>
    <cellStyle name="Normal 8 3 8 2 4" xfId="13766" xr:uid="{4B926831-6F8A-4BEA-82E3-F0F75DB75631}"/>
    <cellStyle name="Normal 8 3 8 3" xfId="6512" xr:uid="{00000000-0005-0000-0000-0000CC1D0000}"/>
    <cellStyle name="Normal 8 3 8 3 2" xfId="24278" xr:uid="{DE163CDF-394A-45F0-92B1-EF35A3CE77B9}"/>
    <cellStyle name="Normal 8 3 8 3 3" xfId="15838" xr:uid="{62816548-DF9B-45C0-B46F-08FAFA7E55A8}"/>
    <cellStyle name="Normal 8 3 8 4" xfId="20061" xr:uid="{2967E2CD-0063-4CE3-8D23-A61353B35A0D}"/>
    <cellStyle name="Normal 8 3 8 5" xfId="11621" xr:uid="{B8E6EA32-8955-4A92-8DA1-4BE7C6A7E6C9}"/>
    <cellStyle name="Normal 8 3 9" xfId="2642" xr:uid="{00000000-0005-0000-0000-0000CD1D0000}"/>
    <cellStyle name="Normal 8 3 9 2" xfId="6925" xr:uid="{00000000-0005-0000-0000-0000CE1D0000}"/>
    <cellStyle name="Normal 8 3 9 2 2" xfId="24691" xr:uid="{41B4D4E1-4134-40C0-BEEC-128FFC2DE92F}"/>
    <cellStyle name="Normal 8 3 9 2 3" xfId="16251" xr:uid="{0B9528A8-A776-4640-85DE-8CA9A60E4A72}"/>
    <cellStyle name="Normal 8 3 9 3" xfId="20474" xr:uid="{AC2AD99B-8108-4C9D-9E1E-6AA34B92CDC3}"/>
    <cellStyle name="Normal 8 3 9 4" xfId="12034" xr:uid="{07422541-3848-46DA-A4A1-C335F791F596}"/>
    <cellStyle name="Normal 8 4" xfId="503" xr:uid="{00000000-0005-0000-0000-0000CF1D0000}"/>
    <cellStyle name="Normal 8 4 10" xfId="8834" xr:uid="{78848A4E-06FA-4050-B553-A3A7DEA1B047}"/>
    <cellStyle name="Normal 8 4 10 2" xfId="18417" xr:uid="{267A8186-F5E1-4773-8AD0-59E37916BDA2}"/>
    <cellStyle name="Normal 8 4 11" xfId="9977" xr:uid="{26842355-5257-4F1E-95B8-C1E03EC7AB4A}"/>
    <cellStyle name="Normal 8 4 2" xfId="504" xr:uid="{00000000-0005-0000-0000-0000D01D0000}"/>
    <cellStyle name="Normal 8 4 2 10" xfId="9978" xr:uid="{A3A65892-82C7-44F4-86BD-A13A303870B4}"/>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25194" xr:uid="{CA6AD6AF-C854-4AAB-907A-D650779A7163}"/>
    <cellStyle name="Normal 8 4 2 2 2 2 2 3" xfId="16754" xr:uid="{7D81EE11-7662-4F90-8187-7E8333C8FE3C}"/>
    <cellStyle name="Normal 8 4 2 2 2 2 3" xfId="20977" xr:uid="{55DDD47B-29EC-480E-8824-EE2852F12BB2}"/>
    <cellStyle name="Normal 8 4 2 2 2 2 4" xfId="12537" xr:uid="{745243B7-9B4C-4A63-BAEB-3C387C8CA7FD}"/>
    <cellStyle name="Normal 8 4 2 2 2 3" xfId="5283" xr:uid="{00000000-0005-0000-0000-0000D51D0000}"/>
    <cellStyle name="Normal 8 4 2 2 2 3 2" xfId="23049" xr:uid="{0E25A8D7-6F2B-4751-A770-513F8DE1FA69}"/>
    <cellStyle name="Normal 8 4 2 2 2 3 3" xfId="14609" xr:uid="{3D1AAB88-3FD5-4009-8E56-8A40A801382F}"/>
    <cellStyle name="Normal 8 4 2 2 2 4" xfId="9569" xr:uid="{F21122F8-27BB-4D46-891E-281F736F5353}"/>
    <cellStyle name="Normal 8 4 2 2 2 4 2" xfId="18832" xr:uid="{8F0C4B34-4F35-492D-8C3F-855731479E73}"/>
    <cellStyle name="Normal 8 4 2 2 2 5" xfId="10392" xr:uid="{45AB9131-8711-4711-8ABF-844272FF531C}"/>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25607" xr:uid="{378603B3-DC55-49AE-8AA1-37B2294123DF}"/>
    <cellStyle name="Normal 8 4 2 2 3 2 2 3" xfId="17167" xr:uid="{648C9F21-869F-478A-9EFC-AE08170208E5}"/>
    <cellStyle name="Normal 8 4 2 2 3 2 3" xfId="21390" xr:uid="{A70F4921-16B3-44FA-BA73-A00482B79359}"/>
    <cellStyle name="Normal 8 4 2 2 3 2 4" xfId="12950" xr:uid="{8139B523-431E-4BFF-BC98-1E99AF7747BA}"/>
    <cellStyle name="Normal 8 4 2 2 3 3" xfId="5696" xr:uid="{00000000-0005-0000-0000-0000D91D0000}"/>
    <cellStyle name="Normal 8 4 2 2 3 3 2" xfId="23462" xr:uid="{9CA6A73D-A6C1-4011-A06D-E9CA37F8F3BB}"/>
    <cellStyle name="Normal 8 4 2 2 3 3 3" xfId="15022" xr:uid="{BB279AAB-F5D6-4AE5-9C52-043698B58BDF}"/>
    <cellStyle name="Normal 8 4 2 2 3 4" xfId="19245" xr:uid="{9A040DEF-F523-43B3-8BDF-B0EBDBDBF7E7}"/>
    <cellStyle name="Normal 8 4 2 2 3 5" xfId="10805" xr:uid="{6CDAC9AC-E369-4D4A-950E-00216D0C856E}"/>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26020" xr:uid="{61AD33F9-EA28-4429-9C7A-0D1B2B0D9AA2}"/>
    <cellStyle name="Normal 8 4 2 2 4 2 2 3" xfId="17580" xr:uid="{2D482B31-3916-43FE-A108-884E46FE52BD}"/>
    <cellStyle name="Normal 8 4 2 2 4 2 3" xfId="21803" xr:uid="{BDB5A6E9-32D5-4737-ABC0-510644788EA6}"/>
    <cellStyle name="Normal 8 4 2 2 4 2 4" xfId="13363" xr:uid="{018B13DC-8BE7-4D65-96C4-5BEF843158FB}"/>
    <cellStyle name="Normal 8 4 2 2 4 3" xfId="6109" xr:uid="{00000000-0005-0000-0000-0000DD1D0000}"/>
    <cellStyle name="Normal 8 4 2 2 4 3 2" xfId="23875" xr:uid="{5BF76A53-42F6-4DD0-A14A-453E91CA3290}"/>
    <cellStyle name="Normal 8 4 2 2 4 3 3" xfId="15435" xr:uid="{1B076AA3-D4C2-4159-AF02-5A3C5A63F9DB}"/>
    <cellStyle name="Normal 8 4 2 2 4 4" xfId="19658" xr:uid="{3314519A-3679-437A-8825-3890BD9AAADE}"/>
    <cellStyle name="Normal 8 4 2 2 4 5" xfId="11218" xr:uid="{FBBE5321-0243-4DC5-88DB-D66E70EF7C80}"/>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26433" xr:uid="{3AA35ED8-8114-42ED-A847-E36089DE5B9A}"/>
    <cellStyle name="Normal 8 4 2 2 5 2 2 3" xfId="17993" xr:uid="{43CF56F6-1935-49E9-8A8E-2F948E90F211}"/>
    <cellStyle name="Normal 8 4 2 2 5 2 3" xfId="22216" xr:uid="{62AA9F2B-2A54-43B0-890D-7889523180D4}"/>
    <cellStyle name="Normal 8 4 2 2 5 2 4" xfId="13776" xr:uid="{4D9EFEE4-22AD-42A0-A098-AF0E17E200E6}"/>
    <cellStyle name="Normal 8 4 2 2 5 3" xfId="6522" xr:uid="{00000000-0005-0000-0000-0000E11D0000}"/>
    <cellStyle name="Normal 8 4 2 2 5 3 2" xfId="24288" xr:uid="{3F8044DB-DA9A-4E7B-AE50-584724F9FECA}"/>
    <cellStyle name="Normal 8 4 2 2 5 3 3" xfId="15848" xr:uid="{A598B41C-DED3-48CF-886A-89BB697598B2}"/>
    <cellStyle name="Normal 8 4 2 2 5 4" xfId="20071" xr:uid="{4854FC29-C369-46D1-9147-13F3D3EBD898}"/>
    <cellStyle name="Normal 8 4 2 2 5 5" xfId="11631" xr:uid="{594E4A63-AA7C-4A6F-B2A7-0BAA803A0E57}"/>
    <cellStyle name="Normal 8 4 2 2 6" xfId="2652" xr:uid="{00000000-0005-0000-0000-0000E21D0000}"/>
    <cellStyle name="Normal 8 4 2 2 6 2" xfId="6935" xr:uid="{00000000-0005-0000-0000-0000E31D0000}"/>
    <cellStyle name="Normal 8 4 2 2 6 2 2" xfId="24701" xr:uid="{F8A69AC8-F3C7-49B3-A3C3-16AB56BFB49A}"/>
    <cellStyle name="Normal 8 4 2 2 6 2 3" xfId="16261" xr:uid="{44C59343-CB0D-42FE-BDB6-2B1BC35C9006}"/>
    <cellStyle name="Normal 8 4 2 2 6 3" xfId="20484" xr:uid="{7A1B0DEA-C47B-4DF8-B579-09DC1EA71AD6}"/>
    <cellStyle name="Normal 8 4 2 2 6 4" xfId="12044" xr:uid="{352AE274-43CA-4F55-A727-2AFA9BFD3E3F}"/>
    <cellStyle name="Normal 8 4 2 2 7" xfId="4870" xr:uid="{00000000-0005-0000-0000-0000E41D0000}"/>
    <cellStyle name="Normal 8 4 2 2 7 2" xfId="22636" xr:uid="{21865C16-A046-438B-96BD-DB8986199561}"/>
    <cellStyle name="Normal 8 4 2 2 7 3" xfId="14196" xr:uid="{F5EFD0F5-D0D5-46F2-BF4E-9B928F6B4CC6}"/>
    <cellStyle name="Normal 8 4 2 2 8" xfId="9144" xr:uid="{EF6B0978-3DE8-47DC-990C-0B47AAC8F1DC}"/>
    <cellStyle name="Normal 8 4 2 2 8 2" xfId="18419" xr:uid="{7E47A314-BA61-489C-BFA4-54A1CC73FA29}"/>
    <cellStyle name="Normal 8 4 2 2 9" xfId="9979" xr:uid="{906DF33B-3AFF-4FFE-B7A7-64C747FF50D1}"/>
    <cellStyle name="Normal 8 4 2 3" xfId="971" xr:uid="{00000000-0005-0000-0000-0000E51D0000}"/>
    <cellStyle name="Normal 8 4 2 3 2" xfId="3205" xr:uid="{00000000-0005-0000-0000-0000E61D0000}"/>
    <cellStyle name="Normal 8 4 2 3 2 2" xfId="7427" xr:uid="{00000000-0005-0000-0000-0000E71D0000}"/>
    <cellStyle name="Normal 8 4 2 3 2 2 2" xfId="25193" xr:uid="{80859831-7270-4395-B4BD-2B04830C60F1}"/>
    <cellStyle name="Normal 8 4 2 3 2 2 3" xfId="16753" xr:uid="{C646B46F-E965-4417-933D-22A0956B9ADF}"/>
    <cellStyle name="Normal 8 4 2 3 2 3" xfId="20976" xr:uid="{2E89D2A6-5431-4A44-A990-3BE6B21DA335}"/>
    <cellStyle name="Normal 8 4 2 3 2 4" xfId="12536" xr:uid="{984A9415-A992-4B61-8EAC-ECE1C8975A60}"/>
    <cellStyle name="Normal 8 4 2 3 3" xfId="5282" xr:uid="{00000000-0005-0000-0000-0000E81D0000}"/>
    <cellStyle name="Normal 8 4 2 3 3 2" xfId="23048" xr:uid="{4D93CD5C-02D6-4F22-9985-A31E517BE8A9}"/>
    <cellStyle name="Normal 8 4 2 3 3 3" xfId="14608" xr:uid="{E02E8AF0-A8F1-4E9A-BF4B-2D8B9E0E4A9E}"/>
    <cellStyle name="Normal 8 4 2 3 4" xfId="9362" xr:uid="{206856BB-FDDB-4012-ABFE-5E991E477A14}"/>
    <cellStyle name="Normal 8 4 2 3 4 2" xfId="18831" xr:uid="{B07562B1-8992-4C78-B66C-5B5884537C31}"/>
    <cellStyle name="Normal 8 4 2 3 5" xfId="10391" xr:uid="{EC6485F5-4387-46E6-8064-6708C4E024C2}"/>
    <cellStyle name="Normal 8 4 2 4" xfId="1388" xr:uid="{00000000-0005-0000-0000-0000E91D0000}"/>
    <cellStyle name="Normal 8 4 2 4 2" xfId="3618" xr:uid="{00000000-0005-0000-0000-0000EA1D0000}"/>
    <cellStyle name="Normal 8 4 2 4 2 2" xfId="7840" xr:uid="{00000000-0005-0000-0000-0000EB1D0000}"/>
    <cellStyle name="Normal 8 4 2 4 2 2 2" xfId="25606" xr:uid="{6BA57D64-4242-4368-AF44-6B810783C7AC}"/>
    <cellStyle name="Normal 8 4 2 4 2 2 3" xfId="17166" xr:uid="{7922D2CB-5E7C-4EF7-8B5E-1E2CD42804AB}"/>
    <cellStyle name="Normal 8 4 2 4 2 3" xfId="21389" xr:uid="{3F7F280B-E848-4502-B383-2D6CD791C298}"/>
    <cellStyle name="Normal 8 4 2 4 2 4" xfId="12949" xr:uid="{4D3CFCEA-210B-42AD-A984-741C079123B0}"/>
    <cellStyle name="Normal 8 4 2 4 3" xfId="5695" xr:uid="{00000000-0005-0000-0000-0000EC1D0000}"/>
    <cellStyle name="Normal 8 4 2 4 3 2" xfId="23461" xr:uid="{BA287550-8153-45DF-B8A0-F62EB03E1744}"/>
    <cellStyle name="Normal 8 4 2 4 3 3" xfId="15021" xr:uid="{8E65CB03-24BB-44D4-8F37-85D0A81AD5F3}"/>
    <cellStyle name="Normal 8 4 2 4 4" xfId="19244" xr:uid="{184053E3-E45C-4237-A940-909631A67016}"/>
    <cellStyle name="Normal 8 4 2 4 5" xfId="10804" xr:uid="{B46CB610-23DB-4CB9-9F3B-9F290F69E09E}"/>
    <cellStyle name="Normal 8 4 2 5" xfId="1801" xr:uid="{00000000-0005-0000-0000-0000ED1D0000}"/>
    <cellStyle name="Normal 8 4 2 5 2" xfId="4031" xr:uid="{00000000-0005-0000-0000-0000EE1D0000}"/>
    <cellStyle name="Normal 8 4 2 5 2 2" xfId="8253" xr:uid="{00000000-0005-0000-0000-0000EF1D0000}"/>
    <cellStyle name="Normal 8 4 2 5 2 2 2" xfId="26019" xr:uid="{F998C6C4-84AB-4872-8CAA-11D9CA40912B}"/>
    <cellStyle name="Normal 8 4 2 5 2 2 3" xfId="17579" xr:uid="{0C267645-22CE-4A62-9580-883ADA30EA6A}"/>
    <cellStyle name="Normal 8 4 2 5 2 3" xfId="21802" xr:uid="{E1DED091-6A51-4D52-9FE8-35D59F0F217B}"/>
    <cellStyle name="Normal 8 4 2 5 2 4" xfId="13362" xr:uid="{D45E8C78-0E0D-4781-846C-5D842CE74C05}"/>
    <cellStyle name="Normal 8 4 2 5 3" xfId="6108" xr:uid="{00000000-0005-0000-0000-0000F01D0000}"/>
    <cellStyle name="Normal 8 4 2 5 3 2" xfId="23874" xr:uid="{DC755FF1-85F9-41C2-8502-551EF9CB6759}"/>
    <cellStyle name="Normal 8 4 2 5 3 3" xfId="15434" xr:uid="{A7E4453A-0780-4D07-AA35-FD16184E7A6E}"/>
    <cellStyle name="Normal 8 4 2 5 4" xfId="19657" xr:uid="{2F4966E8-387E-4ADC-B017-D8BE6F7BB0E3}"/>
    <cellStyle name="Normal 8 4 2 5 5" xfId="11217" xr:uid="{2E2F4B43-443E-42F1-87C1-F6FF33C9A14F}"/>
    <cellStyle name="Normal 8 4 2 6" xfId="2215" xr:uid="{00000000-0005-0000-0000-0000F11D0000}"/>
    <cellStyle name="Normal 8 4 2 6 2" xfId="4444" xr:uid="{00000000-0005-0000-0000-0000F21D0000}"/>
    <cellStyle name="Normal 8 4 2 6 2 2" xfId="8666" xr:uid="{00000000-0005-0000-0000-0000F31D0000}"/>
    <cellStyle name="Normal 8 4 2 6 2 2 2" xfId="26432" xr:uid="{CAD574ED-D312-4AC9-8149-3317717E3114}"/>
    <cellStyle name="Normal 8 4 2 6 2 2 3" xfId="17992" xr:uid="{395ED062-8832-47BD-B641-EE2C78EA1E33}"/>
    <cellStyle name="Normal 8 4 2 6 2 3" xfId="22215" xr:uid="{44CDC8B4-7766-44B6-8ACB-695C92311EAC}"/>
    <cellStyle name="Normal 8 4 2 6 2 4" xfId="13775" xr:uid="{D0FBA42F-D997-42E4-84D2-3D016A45FCD5}"/>
    <cellStyle name="Normal 8 4 2 6 3" xfId="6521" xr:uid="{00000000-0005-0000-0000-0000F41D0000}"/>
    <cellStyle name="Normal 8 4 2 6 3 2" xfId="24287" xr:uid="{61879D0B-8BF1-4334-9540-036448A4A862}"/>
    <cellStyle name="Normal 8 4 2 6 3 3" xfId="15847" xr:uid="{A6363985-C518-4DA1-A389-355B7B88A42C}"/>
    <cellStyle name="Normal 8 4 2 6 4" xfId="20070" xr:uid="{13D04E25-A425-4734-BFC4-D4FCB859E66A}"/>
    <cellStyle name="Normal 8 4 2 6 5" xfId="11630" xr:uid="{BD3C532E-48DF-4DBB-84EE-8AD0CCD9655E}"/>
    <cellStyle name="Normal 8 4 2 7" xfId="2651" xr:uid="{00000000-0005-0000-0000-0000F51D0000}"/>
    <cellStyle name="Normal 8 4 2 7 2" xfId="6934" xr:uid="{00000000-0005-0000-0000-0000F61D0000}"/>
    <cellStyle name="Normal 8 4 2 7 2 2" xfId="24700" xr:uid="{C3E26AE1-E65E-46BD-ADD3-BD7A52395F61}"/>
    <cellStyle name="Normal 8 4 2 7 2 3" xfId="16260" xr:uid="{5BF3FC48-3B5C-4F70-8769-1CAAA649D405}"/>
    <cellStyle name="Normal 8 4 2 7 3" xfId="20483" xr:uid="{3ED281C5-CDC6-4304-A638-A6D19D2B13FC}"/>
    <cellStyle name="Normal 8 4 2 7 4" xfId="12043" xr:uid="{126EE362-C7F1-4AC9-935F-0ECA028473E3}"/>
    <cellStyle name="Normal 8 4 2 8" xfId="4869" xr:uid="{00000000-0005-0000-0000-0000F71D0000}"/>
    <cellStyle name="Normal 8 4 2 8 2" xfId="22635" xr:uid="{F87462AA-3371-4EFA-B258-D77191563917}"/>
    <cellStyle name="Normal 8 4 2 8 3" xfId="14195" xr:uid="{9BE7C24F-0D87-4205-BF06-6A6EECD5C384}"/>
    <cellStyle name="Normal 8 4 2 9" xfId="8937" xr:uid="{B425CDA4-C1C1-4A6C-AB85-CE28E324A88F}"/>
    <cellStyle name="Normal 8 4 2 9 2" xfId="18418" xr:uid="{FD20712D-0540-4222-A8DF-ACDA674D05CA}"/>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25195" xr:uid="{AF893148-864E-4A6E-BD10-7AB342B87EDC}"/>
    <cellStyle name="Normal 8 4 3 2 2 2 3" xfId="16755" xr:uid="{F3C28591-1748-4F7E-AD35-0DC9E44FEB90}"/>
    <cellStyle name="Normal 8 4 3 2 2 3" xfId="20978" xr:uid="{AD32DB79-92E9-4EC2-BC46-8541859A491F}"/>
    <cellStyle name="Normal 8 4 3 2 2 4" xfId="12538" xr:uid="{4AD63871-A394-478E-9683-B43C89F2A4CD}"/>
    <cellStyle name="Normal 8 4 3 2 3" xfId="5284" xr:uid="{00000000-0005-0000-0000-0000FC1D0000}"/>
    <cellStyle name="Normal 8 4 3 2 3 2" xfId="23050" xr:uid="{608E318E-03DF-4660-B08E-48CA8F2752F0}"/>
    <cellStyle name="Normal 8 4 3 2 3 3" xfId="14610" xr:uid="{595818D6-807D-4230-9095-B83EA8D211E2}"/>
    <cellStyle name="Normal 8 4 3 2 4" xfId="9466" xr:uid="{4C42748F-6D34-4D0D-8AE2-FFD5C0CBE26F}"/>
    <cellStyle name="Normal 8 4 3 2 4 2" xfId="18833" xr:uid="{1A019888-1B31-45F4-81FB-73B8EC94CAD8}"/>
    <cellStyle name="Normal 8 4 3 2 5" xfId="10393" xr:uid="{81C073D5-5718-4EFD-A2CD-E6C8A933EE34}"/>
    <cellStyle name="Normal 8 4 3 3" xfId="1390" xr:uid="{00000000-0005-0000-0000-0000FD1D0000}"/>
    <cellStyle name="Normal 8 4 3 3 2" xfId="3620" xr:uid="{00000000-0005-0000-0000-0000FE1D0000}"/>
    <cellStyle name="Normal 8 4 3 3 2 2" xfId="7842" xr:uid="{00000000-0005-0000-0000-0000FF1D0000}"/>
    <cellStyle name="Normal 8 4 3 3 2 2 2" xfId="25608" xr:uid="{79ECD5A9-FCFC-4A94-8C62-BDC0404532FE}"/>
    <cellStyle name="Normal 8 4 3 3 2 2 3" xfId="17168" xr:uid="{95077401-8334-410A-A5EF-45FF22B55A1D}"/>
    <cellStyle name="Normal 8 4 3 3 2 3" xfId="21391" xr:uid="{31ABDD1E-2C8C-4876-AE9E-83275767E7EA}"/>
    <cellStyle name="Normal 8 4 3 3 2 4" xfId="12951" xr:uid="{89B71839-A989-415A-A6B5-420E2CFD4F66}"/>
    <cellStyle name="Normal 8 4 3 3 3" xfId="5697" xr:uid="{00000000-0005-0000-0000-0000001E0000}"/>
    <cellStyle name="Normal 8 4 3 3 3 2" xfId="23463" xr:uid="{16F24A10-7DC9-4548-8E64-9EB88E231D8D}"/>
    <cellStyle name="Normal 8 4 3 3 3 3" xfId="15023" xr:uid="{E005E6AE-70ED-409F-AA5F-EE557361A289}"/>
    <cellStyle name="Normal 8 4 3 3 4" xfId="19246" xr:uid="{12C71FFC-0724-45D0-A066-43C2B9AC8573}"/>
    <cellStyle name="Normal 8 4 3 3 5" xfId="10806" xr:uid="{8A0CA593-5E72-4D01-9D7B-7DA632A4E815}"/>
    <cellStyle name="Normal 8 4 3 4" xfId="1803" xr:uid="{00000000-0005-0000-0000-0000011E0000}"/>
    <cellStyle name="Normal 8 4 3 4 2" xfId="4033" xr:uid="{00000000-0005-0000-0000-0000021E0000}"/>
    <cellStyle name="Normal 8 4 3 4 2 2" xfId="8255" xr:uid="{00000000-0005-0000-0000-0000031E0000}"/>
    <cellStyle name="Normal 8 4 3 4 2 2 2" xfId="26021" xr:uid="{744BEA61-FE57-413C-BD3B-752E02E216BA}"/>
    <cellStyle name="Normal 8 4 3 4 2 2 3" xfId="17581" xr:uid="{842D5AED-073E-49FE-9C59-079D6B236246}"/>
    <cellStyle name="Normal 8 4 3 4 2 3" xfId="21804" xr:uid="{43FD4744-EFF8-4C89-A48A-40A6960E0B30}"/>
    <cellStyle name="Normal 8 4 3 4 2 4" xfId="13364" xr:uid="{48244678-FB3E-40C1-AAC5-151E3DA45FDD}"/>
    <cellStyle name="Normal 8 4 3 4 3" xfId="6110" xr:uid="{00000000-0005-0000-0000-0000041E0000}"/>
    <cellStyle name="Normal 8 4 3 4 3 2" xfId="23876" xr:uid="{C28AE983-C137-4B43-89C2-95E1942955FE}"/>
    <cellStyle name="Normal 8 4 3 4 3 3" xfId="15436" xr:uid="{B9A3CEB8-B4A2-4347-8CC4-249CA41437E1}"/>
    <cellStyle name="Normal 8 4 3 4 4" xfId="19659" xr:uid="{51E0B0D0-5797-4B4D-930B-F34D5B6EFF02}"/>
    <cellStyle name="Normal 8 4 3 4 5" xfId="11219" xr:uid="{7B13C8E3-A335-4078-9886-F2F87B43FB9B}"/>
    <cellStyle name="Normal 8 4 3 5" xfId="2217" xr:uid="{00000000-0005-0000-0000-0000051E0000}"/>
    <cellStyle name="Normal 8 4 3 5 2" xfId="4446" xr:uid="{00000000-0005-0000-0000-0000061E0000}"/>
    <cellStyle name="Normal 8 4 3 5 2 2" xfId="8668" xr:uid="{00000000-0005-0000-0000-0000071E0000}"/>
    <cellStyle name="Normal 8 4 3 5 2 2 2" xfId="26434" xr:uid="{19B8045B-A5C3-43EF-8D19-5AD0EF88A9D9}"/>
    <cellStyle name="Normal 8 4 3 5 2 2 3" xfId="17994" xr:uid="{88F6A2A9-242C-4386-8CEF-ABCAFBBF66A4}"/>
    <cellStyle name="Normal 8 4 3 5 2 3" xfId="22217" xr:uid="{CA9DFB4A-1833-46CF-9D66-4ABE949E7794}"/>
    <cellStyle name="Normal 8 4 3 5 2 4" xfId="13777" xr:uid="{CB64FF6F-F469-4126-872A-62DC804EBD6D}"/>
    <cellStyle name="Normal 8 4 3 5 3" xfId="6523" xr:uid="{00000000-0005-0000-0000-0000081E0000}"/>
    <cellStyle name="Normal 8 4 3 5 3 2" xfId="24289" xr:uid="{5E593C12-1B8D-41CC-ABAB-3BCD4AE9FFEB}"/>
    <cellStyle name="Normal 8 4 3 5 3 3" xfId="15849" xr:uid="{BE2A37E3-1917-47DB-9593-1F9138900600}"/>
    <cellStyle name="Normal 8 4 3 5 4" xfId="20072" xr:uid="{8CCF8F0D-7CD6-435B-B822-6C54F86626E4}"/>
    <cellStyle name="Normal 8 4 3 5 5" xfId="11632" xr:uid="{242BBA6F-D94A-49E4-B88F-FC9996F39F92}"/>
    <cellStyle name="Normal 8 4 3 6" xfId="2653" xr:uid="{00000000-0005-0000-0000-0000091E0000}"/>
    <cellStyle name="Normal 8 4 3 6 2" xfId="6936" xr:uid="{00000000-0005-0000-0000-00000A1E0000}"/>
    <cellStyle name="Normal 8 4 3 6 2 2" xfId="24702" xr:uid="{060F3706-C6B1-4E97-B33E-F2E29F251C16}"/>
    <cellStyle name="Normal 8 4 3 6 2 3" xfId="16262" xr:uid="{77BC81B7-D3AC-468D-BCCA-762AAE4C5B05}"/>
    <cellStyle name="Normal 8 4 3 6 3" xfId="20485" xr:uid="{4C3A6A36-420F-4D1F-9FE9-03A55417529C}"/>
    <cellStyle name="Normal 8 4 3 6 4" xfId="12045" xr:uid="{06F1B06D-A665-4091-A7F0-03B01D10C7C8}"/>
    <cellStyle name="Normal 8 4 3 7" xfId="4871" xr:uid="{00000000-0005-0000-0000-00000B1E0000}"/>
    <cellStyle name="Normal 8 4 3 7 2" xfId="22637" xr:uid="{0DF9F473-B03C-4FBB-91C7-C530FA71543F}"/>
    <cellStyle name="Normal 8 4 3 7 3" xfId="14197" xr:uid="{F1A2DBAE-B1B2-479A-9DD4-8607334558B0}"/>
    <cellStyle name="Normal 8 4 3 8" xfId="9041" xr:uid="{3EA15F1E-D38A-4BB8-BEC6-98D9A94BB79B}"/>
    <cellStyle name="Normal 8 4 3 8 2" xfId="18420" xr:uid="{26DC5729-8EC8-4171-9C79-499AFCFAF727}"/>
    <cellStyle name="Normal 8 4 3 9" xfId="9980" xr:uid="{DAE229AF-C18A-4A8E-8CAC-9A821F67BA73}"/>
    <cellStyle name="Normal 8 4 4" xfId="970" xr:uid="{00000000-0005-0000-0000-00000C1E0000}"/>
    <cellStyle name="Normal 8 4 4 2" xfId="3204" xr:uid="{00000000-0005-0000-0000-00000D1E0000}"/>
    <cellStyle name="Normal 8 4 4 2 2" xfId="7426" xr:uid="{00000000-0005-0000-0000-00000E1E0000}"/>
    <cellStyle name="Normal 8 4 4 2 2 2" xfId="25192" xr:uid="{301C4460-0BB8-4593-803A-33D7617325C8}"/>
    <cellStyle name="Normal 8 4 4 2 2 3" xfId="16752" xr:uid="{1249D1DE-EFAD-439E-B2D6-A863C7231358}"/>
    <cellStyle name="Normal 8 4 4 2 3" xfId="20975" xr:uid="{A0EC7CDF-7EF0-44D6-8DAA-28F8E28BB65E}"/>
    <cellStyle name="Normal 8 4 4 2 4" xfId="12535" xr:uid="{4D61E912-AEE1-4DED-81FE-FC8476988F77}"/>
    <cellStyle name="Normal 8 4 4 3" xfId="5281" xr:uid="{00000000-0005-0000-0000-00000F1E0000}"/>
    <cellStyle name="Normal 8 4 4 3 2" xfId="23047" xr:uid="{66B211EA-3528-4FAD-B06C-9632D7D58A3A}"/>
    <cellStyle name="Normal 8 4 4 3 3" xfId="14607" xr:uid="{2460CEBD-299A-42C5-AEB8-698F5BBB8ACE}"/>
    <cellStyle name="Normal 8 4 4 4" xfId="9259" xr:uid="{45904BAA-3C39-482B-A2B6-0FB84C0B889C}"/>
    <cellStyle name="Normal 8 4 4 4 2" xfId="18830" xr:uid="{6A72901E-0FE9-4405-98F0-5156CECBB57E}"/>
    <cellStyle name="Normal 8 4 4 5" xfId="10390" xr:uid="{C3E321A9-C5D9-481F-96BB-1591E9CE53E5}"/>
    <cellStyle name="Normal 8 4 5" xfId="1387" xr:uid="{00000000-0005-0000-0000-0000101E0000}"/>
    <cellStyle name="Normal 8 4 5 2" xfId="3617" xr:uid="{00000000-0005-0000-0000-0000111E0000}"/>
    <cellStyle name="Normal 8 4 5 2 2" xfId="7839" xr:uid="{00000000-0005-0000-0000-0000121E0000}"/>
    <cellStyle name="Normal 8 4 5 2 2 2" xfId="25605" xr:uid="{AFA2A039-ECCB-492D-99CC-8BB63BBFBA3D}"/>
    <cellStyle name="Normal 8 4 5 2 2 3" xfId="17165" xr:uid="{CC94BCB6-5147-48F8-86BF-D0BE51A09D4D}"/>
    <cellStyle name="Normal 8 4 5 2 3" xfId="21388" xr:uid="{0BAE01D7-DBFD-4A73-9F34-F217E7EBFC84}"/>
    <cellStyle name="Normal 8 4 5 2 4" xfId="12948" xr:uid="{E331CCF6-0F5F-4F5A-8244-4D8D74E56C03}"/>
    <cellStyle name="Normal 8 4 5 3" xfId="5694" xr:uid="{00000000-0005-0000-0000-0000131E0000}"/>
    <cellStyle name="Normal 8 4 5 3 2" xfId="23460" xr:uid="{EB769519-C906-46CF-AC11-D184D19E73AB}"/>
    <cellStyle name="Normal 8 4 5 3 3" xfId="15020" xr:uid="{BC6FD7AC-3420-4878-9934-4E689DB1EEB8}"/>
    <cellStyle name="Normal 8 4 5 4" xfId="19243" xr:uid="{A7FE49C4-6D33-4FCD-A3E2-3FB3ECE2CFA1}"/>
    <cellStyle name="Normal 8 4 5 5" xfId="10803" xr:uid="{B10C45B2-EA58-41E9-8FCE-B112E526FEC4}"/>
    <cellStyle name="Normal 8 4 6" xfId="1800" xr:uid="{00000000-0005-0000-0000-0000141E0000}"/>
    <cellStyle name="Normal 8 4 6 2" xfId="4030" xr:uid="{00000000-0005-0000-0000-0000151E0000}"/>
    <cellStyle name="Normal 8 4 6 2 2" xfId="8252" xr:uid="{00000000-0005-0000-0000-0000161E0000}"/>
    <cellStyle name="Normal 8 4 6 2 2 2" xfId="26018" xr:uid="{C5F8DE10-E929-421E-A682-E4379CA94726}"/>
    <cellStyle name="Normal 8 4 6 2 2 3" xfId="17578" xr:uid="{B705FE5F-314B-4E56-9DC0-81C2F7741ED8}"/>
    <cellStyle name="Normal 8 4 6 2 3" xfId="21801" xr:uid="{1B95CFD5-8DCF-4CB6-BDF1-DB48F4DCC606}"/>
    <cellStyle name="Normal 8 4 6 2 4" xfId="13361" xr:uid="{3AF293ED-11BB-4546-8E91-321390E5D172}"/>
    <cellStyle name="Normal 8 4 6 3" xfId="6107" xr:uid="{00000000-0005-0000-0000-0000171E0000}"/>
    <cellStyle name="Normal 8 4 6 3 2" xfId="23873" xr:uid="{B498BC15-EA44-41C0-8DAB-362795EA59DF}"/>
    <cellStyle name="Normal 8 4 6 3 3" xfId="15433" xr:uid="{BC56E6E7-F785-4CA2-A20C-77F0CA8BF9F0}"/>
    <cellStyle name="Normal 8 4 6 4" xfId="19656" xr:uid="{499379B5-9E51-4049-931C-BEBBB981DB26}"/>
    <cellStyle name="Normal 8 4 6 5" xfId="11216" xr:uid="{0E67CFEA-270E-490C-9C65-E61A35B3EACD}"/>
    <cellStyle name="Normal 8 4 7" xfId="2214" xr:uid="{00000000-0005-0000-0000-0000181E0000}"/>
    <cellStyle name="Normal 8 4 7 2" xfId="4443" xr:uid="{00000000-0005-0000-0000-0000191E0000}"/>
    <cellStyle name="Normal 8 4 7 2 2" xfId="8665" xr:uid="{00000000-0005-0000-0000-00001A1E0000}"/>
    <cellStyle name="Normal 8 4 7 2 2 2" xfId="26431" xr:uid="{EF1CBA45-BA59-4FF0-A350-D10DEC9DBC62}"/>
    <cellStyle name="Normal 8 4 7 2 2 3" xfId="17991" xr:uid="{FE194F8E-2D22-4B73-B8FA-63E866945FEA}"/>
    <cellStyle name="Normal 8 4 7 2 3" xfId="22214" xr:uid="{B303521C-3B8F-4216-8047-3E148130749C}"/>
    <cellStyle name="Normal 8 4 7 2 4" xfId="13774" xr:uid="{A8AAD3C7-F2C3-49E3-A0EB-5E9826B59968}"/>
    <cellStyle name="Normal 8 4 7 3" xfId="6520" xr:uid="{00000000-0005-0000-0000-00001B1E0000}"/>
    <cellStyle name="Normal 8 4 7 3 2" xfId="24286" xr:uid="{8FDA6CD6-5523-45EB-8E7A-C9BB3F91EF47}"/>
    <cellStyle name="Normal 8 4 7 3 3" xfId="15846" xr:uid="{5DE54EEE-7075-43FB-8F5C-3DCCCBC2F415}"/>
    <cellStyle name="Normal 8 4 7 4" xfId="20069" xr:uid="{90B01A7B-D4EA-4EDB-B7AF-92B490187192}"/>
    <cellStyle name="Normal 8 4 7 5" xfId="11629" xr:uid="{150728BC-F6BE-45DC-9E83-FF19444C769F}"/>
    <cellStyle name="Normal 8 4 8" xfId="2650" xr:uid="{00000000-0005-0000-0000-00001C1E0000}"/>
    <cellStyle name="Normal 8 4 8 2" xfId="6933" xr:uid="{00000000-0005-0000-0000-00001D1E0000}"/>
    <cellStyle name="Normal 8 4 8 2 2" xfId="24699" xr:uid="{61967E57-5F06-453A-B91B-00C26F5D477D}"/>
    <cellStyle name="Normal 8 4 8 2 3" xfId="16259" xr:uid="{F74DF2F4-4752-44A0-82E8-40AF6E80B782}"/>
    <cellStyle name="Normal 8 4 8 3" xfId="20482" xr:uid="{2E4C6088-9897-4D0A-A86E-FBC35F235B8E}"/>
    <cellStyle name="Normal 8 4 8 4" xfId="12042" xr:uid="{8CD4C8C0-5DD9-45B1-9ADB-DCC86207E345}"/>
    <cellStyle name="Normal 8 4 9" xfId="4868" xr:uid="{00000000-0005-0000-0000-00001E1E0000}"/>
    <cellStyle name="Normal 8 4 9 2" xfId="22634" xr:uid="{EC3F04C7-B627-4C5E-B602-66DBB723A3EB}"/>
    <cellStyle name="Normal 8 4 9 3" xfId="14194" xr:uid="{CCDD4207-5549-427F-B71E-FAEE48C3E1C0}"/>
    <cellStyle name="Normal 8 5" xfId="507" xr:uid="{00000000-0005-0000-0000-00001F1E0000}"/>
    <cellStyle name="Normal 8 5 10" xfId="9981" xr:uid="{E3F25649-5736-4C79-B41B-96B72F562215}"/>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25197" xr:uid="{022F51F3-73A3-4AD9-8EF4-0616475697B3}"/>
    <cellStyle name="Normal 8 5 2 2 2 2 3" xfId="16757" xr:uid="{88F47B58-FA38-4CAF-99C4-8FCEB1ED8EB1}"/>
    <cellStyle name="Normal 8 5 2 2 2 3" xfId="20980" xr:uid="{25D7A5CA-EF5A-4EAD-9BEA-EBBD72E43271}"/>
    <cellStyle name="Normal 8 5 2 2 2 4" xfId="12540" xr:uid="{04E58DE0-98D1-4913-AE2E-1D474FCD59D8}"/>
    <cellStyle name="Normal 8 5 2 2 3" xfId="5286" xr:uid="{00000000-0005-0000-0000-0000241E0000}"/>
    <cellStyle name="Normal 8 5 2 2 3 2" xfId="23052" xr:uid="{B4FC265F-52D3-4354-9955-486C9DF4F203}"/>
    <cellStyle name="Normal 8 5 2 2 3 3" xfId="14612" xr:uid="{68021EBF-BE31-40C9-9E3A-65A018D615F8}"/>
    <cellStyle name="Normal 8 5 2 2 4" xfId="9477" xr:uid="{62ED1F43-6081-4B0B-94C3-5999D37D11C7}"/>
    <cellStyle name="Normal 8 5 2 2 4 2" xfId="18835" xr:uid="{E6A976AF-4F27-4B7C-B13B-65A6194B1CF9}"/>
    <cellStyle name="Normal 8 5 2 2 5" xfId="10395" xr:uid="{74957DD5-1D0F-4F3F-BD73-8A9E42134983}"/>
    <cellStyle name="Normal 8 5 2 3" xfId="1392" xr:uid="{00000000-0005-0000-0000-0000251E0000}"/>
    <cellStyle name="Normal 8 5 2 3 2" xfId="3622" xr:uid="{00000000-0005-0000-0000-0000261E0000}"/>
    <cellStyle name="Normal 8 5 2 3 2 2" xfId="7844" xr:uid="{00000000-0005-0000-0000-0000271E0000}"/>
    <cellStyle name="Normal 8 5 2 3 2 2 2" xfId="25610" xr:uid="{0048E0B9-2028-4F5B-A4FB-F55DACDBBFEE}"/>
    <cellStyle name="Normal 8 5 2 3 2 2 3" xfId="17170" xr:uid="{30A78AE8-9DF5-4C4F-90F3-EB94C316DADA}"/>
    <cellStyle name="Normal 8 5 2 3 2 3" xfId="21393" xr:uid="{F65653F9-BFEE-484A-8964-6EAD8C3C56DD}"/>
    <cellStyle name="Normal 8 5 2 3 2 4" xfId="12953" xr:uid="{BB447DC6-DEBF-4E36-AADA-326285099E8E}"/>
    <cellStyle name="Normal 8 5 2 3 3" xfId="5699" xr:uid="{00000000-0005-0000-0000-0000281E0000}"/>
    <cellStyle name="Normal 8 5 2 3 3 2" xfId="23465" xr:uid="{F76EFDE6-9EE0-4DB5-BE8C-8DFAB3087C73}"/>
    <cellStyle name="Normal 8 5 2 3 3 3" xfId="15025" xr:uid="{189A7782-0D2B-45E4-9E0E-D2653DE72917}"/>
    <cellStyle name="Normal 8 5 2 3 4" xfId="19248" xr:uid="{30DC194F-1278-4715-8DDB-315BC1D6BC29}"/>
    <cellStyle name="Normal 8 5 2 3 5" xfId="10808" xr:uid="{2B6C5793-963D-4A8D-A282-92BEA90C06FA}"/>
    <cellStyle name="Normal 8 5 2 4" xfId="1805" xr:uid="{00000000-0005-0000-0000-0000291E0000}"/>
    <cellStyle name="Normal 8 5 2 4 2" xfId="4035" xr:uid="{00000000-0005-0000-0000-00002A1E0000}"/>
    <cellStyle name="Normal 8 5 2 4 2 2" xfId="8257" xr:uid="{00000000-0005-0000-0000-00002B1E0000}"/>
    <cellStyle name="Normal 8 5 2 4 2 2 2" xfId="26023" xr:uid="{C2338E4C-1085-4404-9BDC-CDF52BBD6FFD}"/>
    <cellStyle name="Normal 8 5 2 4 2 2 3" xfId="17583" xr:uid="{2494F9C6-F725-49E2-AB78-3A8F29A57A6B}"/>
    <cellStyle name="Normal 8 5 2 4 2 3" xfId="21806" xr:uid="{99EEF3A1-D34D-4D5C-96F3-7A373E83ED37}"/>
    <cellStyle name="Normal 8 5 2 4 2 4" xfId="13366" xr:uid="{86E3A581-6278-4CA8-85C2-F31B4349E35C}"/>
    <cellStyle name="Normal 8 5 2 4 3" xfId="6112" xr:uid="{00000000-0005-0000-0000-00002C1E0000}"/>
    <cellStyle name="Normal 8 5 2 4 3 2" xfId="23878" xr:uid="{EB93B4CC-A7C8-4398-B33A-D0C6C3B3D2B9}"/>
    <cellStyle name="Normal 8 5 2 4 3 3" xfId="15438" xr:uid="{20D10FF7-16B7-43ED-8AB5-FF06AAD83EA9}"/>
    <cellStyle name="Normal 8 5 2 4 4" xfId="19661" xr:uid="{512A9B9C-5792-44FF-AD7B-7075030F9F1B}"/>
    <cellStyle name="Normal 8 5 2 4 5" xfId="11221" xr:uid="{49358752-5BA8-4C12-8903-780F553C857A}"/>
    <cellStyle name="Normal 8 5 2 5" xfId="2219" xr:uid="{00000000-0005-0000-0000-00002D1E0000}"/>
    <cellStyle name="Normal 8 5 2 5 2" xfId="4448" xr:uid="{00000000-0005-0000-0000-00002E1E0000}"/>
    <cellStyle name="Normal 8 5 2 5 2 2" xfId="8670" xr:uid="{00000000-0005-0000-0000-00002F1E0000}"/>
    <cellStyle name="Normal 8 5 2 5 2 2 2" xfId="26436" xr:uid="{F2B766EA-6A08-47B8-BA37-DD765217B0BF}"/>
    <cellStyle name="Normal 8 5 2 5 2 2 3" xfId="17996" xr:uid="{5799274C-B63D-4C7E-B619-8BAD76AE1FFE}"/>
    <cellStyle name="Normal 8 5 2 5 2 3" xfId="22219" xr:uid="{305EE22A-146A-408F-A0AE-F1294A3FCD3C}"/>
    <cellStyle name="Normal 8 5 2 5 2 4" xfId="13779" xr:uid="{61A6947A-5D6D-4993-9354-8450ACC43C97}"/>
    <cellStyle name="Normal 8 5 2 5 3" xfId="6525" xr:uid="{00000000-0005-0000-0000-0000301E0000}"/>
    <cellStyle name="Normal 8 5 2 5 3 2" xfId="24291" xr:uid="{AF3C1B16-B4BA-43B1-B837-1EDEDCDB1C30}"/>
    <cellStyle name="Normal 8 5 2 5 3 3" xfId="15851" xr:uid="{E482B968-E4E5-48DE-89B4-A5CA786CB9E7}"/>
    <cellStyle name="Normal 8 5 2 5 4" xfId="20074" xr:uid="{E6D8673F-915E-4CA4-BC6B-69CC9EF484BF}"/>
    <cellStyle name="Normal 8 5 2 5 5" xfId="11634" xr:uid="{532FBDB9-98EC-493D-8D0E-00650C1127D6}"/>
    <cellStyle name="Normal 8 5 2 6" xfId="2655" xr:uid="{00000000-0005-0000-0000-0000311E0000}"/>
    <cellStyle name="Normal 8 5 2 6 2" xfId="6938" xr:uid="{00000000-0005-0000-0000-0000321E0000}"/>
    <cellStyle name="Normal 8 5 2 6 2 2" xfId="24704" xr:uid="{ED352009-77DC-4832-BE53-D79B5FBB840B}"/>
    <cellStyle name="Normal 8 5 2 6 2 3" xfId="16264" xr:uid="{C12C4B6F-C6E8-4AF3-9BE4-F9A7020858F5}"/>
    <cellStyle name="Normal 8 5 2 6 3" xfId="20487" xr:uid="{44551BA6-1336-4F3A-AF80-D3B7FF1529E3}"/>
    <cellStyle name="Normal 8 5 2 6 4" xfId="12047" xr:uid="{9A4E3DF3-1C39-415F-ADA3-F35080C0AC9E}"/>
    <cellStyle name="Normal 8 5 2 7" xfId="4873" xr:uid="{00000000-0005-0000-0000-0000331E0000}"/>
    <cellStyle name="Normal 8 5 2 7 2" xfId="22639" xr:uid="{461DE7DE-DC3E-49D7-BB98-3E53CE6F0EBC}"/>
    <cellStyle name="Normal 8 5 2 7 3" xfId="14199" xr:uid="{572B5885-7EB0-44DA-8AAD-28981F7E2323}"/>
    <cellStyle name="Normal 8 5 2 8" xfId="9052" xr:uid="{D754D15A-EECE-4975-9542-AF3C340304E3}"/>
    <cellStyle name="Normal 8 5 2 8 2" xfId="18422" xr:uid="{E902BF11-4336-4122-BEB1-A9C0E6B54624}"/>
    <cellStyle name="Normal 8 5 2 9" xfId="9982" xr:uid="{21E23D4F-31D0-4B11-8C59-C6AC436658AC}"/>
    <cellStyle name="Normal 8 5 3" xfId="974" xr:uid="{00000000-0005-0000-0000-0000341E0000}"/>
    <cellStyle name="Normal 8 5 3 2" xfId="3208" xr:uid="{00000000-0005-0000-0000-0000351E0000}"/>
    <cellStyle name="Normal 8 5 3 2 2" xfId="7430" xr:uid="{00000000-0005-0000-0000-0000361E0000}"/>
    <cellStyle name="Normal 8 5 3 2 2 2" xfId="25196" xr:uid="{DB21AED1-70D2-4C01-8DEE-8FC371A5E6D9}"/>
    <cellStyle name="Normal 8 5 3 2 2 3" xfId="16756" xr:uid="{7F26CDFE-96C9-4965-A84C-66DFDDBCA39E}"/>
    <cellStyle name="Normal 8 5 3 2 3" xfId="20979" xr:uid="{8F322931-C588-4C69-901D-AB8345FF3686}"/>
    <cellStyle name="Normal 8 5 3 2 4" xfId="12539" xr:uid="{B860427B-4E25-43CE-9259-33BCD28AD50F}"/>
    <cellStyle name="Normal 8 5 3 3" xfId="5285" xr:uid="{00000000-0005-0000-0000-0000371E0000}"/>
    <cellStyle name="Normal 8 5 3 3 2" xfId="23051" xr:uid="{6EB7DF13-085A-4371-95BF-49F57CDDB08F}"/>
    <cellStyle name="Normal 8 5 3 3 3" xfId="14611" xr:uid="{89F9F25F-67C6-416C-8860-9367596DE612}"/>
    <cellStyle name="Normal 8 5 3 4" xfId="9270" xr:uid="{88F9D262-71F2-4DD2-A7F6-B0DCE74ABD45}"/>
    <cellStyle name="Normal 8 5 3 4 2" xfId="18834" xr:uid="{1E538015-C8DA-45B0-B27C-54529FA3C795}"/>
    <cellStyle name="Normal 8 5 3 5" xfId="10394" xr:uid="{E8291E84-85F7-4121-A511-E860C5BAE1FC}"/>
    <cellStyle name="Normal 8 5 4" xfId="1391" xr:uid="{00000000-0005-0000-0000-0000381E0000}"/>
    <cellStyle name="Normal 8 5 4 2" xfId="3621" xr:uid="{00000000-0005-0000-0000-0000391E0000}"/>
    <cellStyle name="Normal 8 5 4 2 2" xfId="7843" xr:uid="{00000000-0005-0000-0000-00003A1E0000}"/>
    <cellStyle name="Normal 8 5 4 2 2 2" xfId="25609" xr:uid="{A15745E4-2F2F-4341-8F85-79B37FC17B1A}"/>
    <cellStyle name="Normal 8 5 4 2 2 3" xfId="17169" xr:uid="{119F5BCE-965E-41EA-BFD0-B2465222FF07}"/>
    <cellStyle name="Normal 8 5 4 2 3" xfId="21392" xr:uid="{489B24DC-988E-4568-A7EC-015B4BA1F688}"/>
    <cellStyle name="Normal 8 5 4 2 4" xfId="12952" xr:uid="{16A8F628-859A-4B99-A1DC-1851C9409E6A}"/>
    <cellStyle name="Normal 8 5 4 3" xfId="5698" xr:uid="{00000000-0005-0000-0000-00003B1E0000}"/>
    <cellStyle name="Normal 8 5 4 3 2" xfId="23464" xr:uid="{67BA4931-A4FF-4239-885B-2E69005B4F4F}"/>
    <cellStyle name="Normal 8 5 4 3 3" xfId="15024" xr:uid="{A9E7566B-C108-4857-83DC-B9016CAF33CD}"/>
    <cellStyle name="Normal 8 5 4 4" xfId="19247" xr:uid="{7E02E236-6A87-465D-9E62-2075A7F778FD}"/>
    <cellStyle name="Normal 8 5 4 5" xfId="10807" xr:uid="{659AA73C-65C4-4746-BD05-5C74FC493986}"/>
    <cellStyle name="Normal 8 5 5" xfId="1804" xr:uid="{00000000-0005-0000-0000-00003C1E0000}"/>
    <cellStyle name="Normal 8 5 5 2" xfId="4034" xr:uid="{00000000-0005-0000-0000-00003D1E0000}"/>
    <cellStyle name="Normal 8 5 5 2 2" xfId="8256" xr:uid="{00000000-0005-0000-0000-00003E1E0000}"/>
    <cellStyle name="Normal 8 5 5 2 2 2" xfId="26022" xr:uid="{B42A3BD0-AA83-4F88-B1EC-73CFD0DDA7DE}"/>
    <cellStyle name="Normal 8 5 5 2 2 3" xfId="17582" xr:uid="{B1549A9D-96D5-4FF9-89CE-A30C4C969950}"/>
    <cellStyle name="Normal 8 5 5 2 3" xfId="21805" xr:uid="{41C892B0-3F4D-41CE-B6DB-D71A6CDFA31A}"/>
    <cellStyle name="Normal 8 5 5 2 4" xfId="13365" xr:uid="{C0E56C7C-C62A-4C09-9A31-91A1C5B3E69C}"/>
    <cellStyle name="Normal 8 5 5 3" xfId="6111" xr:uid="{00000000-0005-0000-0000-00003F1E0000}"/>
    <cellStyle name="Normal 8 5 5 3 2" xfId="23877" xr:uid="{4FF472F4-C8DD-40E8-9FA9-AAA7716074DA}"/>
    <cellStyle name="Normal 8 5 5 3 3" xfId="15437" xr:uid="{434BE870-F475-4032-ABE0-55D94DA7EA6E}"/>
    <cellStyle name="Normal 8 5 5 4" xfId="19660" xr:uid="{CD8FC16E-A84B-480A-A542-78BCD0092F8D}"/>
    <cellStyle name="Normal 8 5 5 5" xfId="11220" xr:uid="{4278EF1E-CB49-4515-9C98-7407872408A3}"/>
    <cellStyle name="Normal 8 5 6" xfId="2218" xr:uid="{00000000-0005-0000-0000-0000401E0000}"/>
    <cellStyle name="Normal 8 5 6 2" xfId="4447" xr:uid="{00000000-0005-0000-0000-0000411E0000}"/>
    <cellStyle name="Normal 8 5 6 2 2" xfId="8669" xr:uid="{00000000-0005-0000-0000-0000421E0000}"/>
    <cellStyle name="Normal 8 5 6 2 2 2" xfId="26435" xr:uid="{AE82F337-3DAF-42CA-A8EA-1C367C059187}"/>
    <cellStyle name="Normal 8 5 6 2 2 3" xfId="17995" xr:uid="{B3D435BF-7F0E-4D3B-84A9-6D1D486A53B2}"/>
    <cellStyle name="Normal 8 5 6 2 3" xfId="22218" xr:uid="{90D46EC3-0942-4FA0-B3F4-FF15C8711C8E}"/>
    <cellStyle name="Normal 8 5 6 2 4" xfId="13778" xr:uid="{8530C347-4FF6-439C-9D90-21FE490155E2}"/>
    <cellStyle name="Normal 8 5 6 3" xfId="6524" xr:uid="{00000000-0005-0000-0000-0000431E0000}"/>
    <cellStyle name="Normal 8 5 6 3 2" xfId="24290" xr:uid="{0C97BAE1-BD5B-4689-AE43-60B25A27721B}"/>
    <cellStyle name="Normal 8 5 6 3 3" xfId="15850" xr:uid="{F1684080-833A-4BAB-9394-2729D3829835}"/>
    <cellStyle name="Normal 8 5 6 4" xfId="20073" xr:uid="{6824A6C1-C425-4FFE-AE66-BA8DE0B5BDFC}"/>
    <cellStyle name="Normal 8 5 6 5" xfId="11633" xr:uid="{15E1248D-0003-42D6-9DE2-28BBD5C74F06}"/>
    <cellStyle name="Normal 8 5 7" xfId="2654" xr:uid="{00000000-0005-0000-0000-0000441E0000}"/>
    <cellStyle name="Normal 8 5 7 2" xfId="6937" xr:uid="{00000000-0005-0000-0000-0000451E0000}"/>
    <cellStyle name="Normal 8 5 7 2 2" xfId="24703" xr:uid="{0838A2C1-E3DD-4836-AEF7-625179074F15}"/>
    <cellStyle name="Normal 8 5 7 2 3" xfId="16263" xr:uid="{0D753DE6-4798-4BE4-AFF7-285BAA18866B}"/>
    <cellStyle name="Normal 8 5 7 3" xfId="20486" xr:uid="{E3ED6A7E-25F1-4139-AB07-F8D293FC9DE0}"/>
    <cellStyle name="Normal 8 5 7 4" xfId="12046" xr:uid="{221465D5-9941-477A-AD88-6C7D550DEA22}"/>
    <cellStyle name="Normal 8 5 8" xfId="4872" xr:uid="{00000000-0005-0000-0000-0000461E0000}"/>
    <cellStyle name="Normal 8 5 8 2" xfId="22638" xr:uid="{A8D33BB0-2E38-4DD3-B0F1-C23EBAC8AC2F}"/>
    <cellStyle name="Normal 8 5 8 3" xfId="14198" xr:uid="{26F5E7F5-A5AA-4925-9842-4B21B1B3C93D}"/>
    <cellStyle name="Normal 8 5 9" xfId="8845" xr:uid="{C8167C67-59BC-42DE-816D-718433EFB28C}"/>
    <cellStyle name="Normal 8 5 9 2" xfId="18421" xr:uid="{A0445E14-D549-492B-8242-776F14A64717}"/>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25198" xr:uid="{98285C92-7352-44AD-AA7F-2A1EDE78341E}"/>
    <cellStyle name="Normal 8 6 2 2 2 3" xfId="16758" xr:uid="{976B3597-5F28-49FB-A05F-0ADCDFAB9714}"/>
    <cellStyle name="Normal 8 6 2 2 3" xfId="20981" xr:uid="{5110E5DA-F150-4402-A96D-DE085BEBA27A}"/>
    <cellStyle name="Normal 8 6 2 2 4" xfId="12541" xr:uid="{39FC2E3A-9928-4EDF-BDF8-7D3F2181EA23}"/>
    <cellStyle name="Normal 8 6 2 3" xfId="5287" xr:uid="{00000000-0005-0000-0000-00004B1E0000}"/>
    <cellStyle name="Normal 8 6 2 3 2" xfId="23053" xr:uid="{71B69FA5-64BA-4E62-A189-3A1A3004E464}"/>
    <cellStyle name="Normal 8 6 2 3 3" xfId="14613" xr:uid="{4CB85045-6EB3-4BB4-B4F8-8E64A44FE6DD}"/>
    <cellStyle name="Normal 8 6 2 4" xfId="9386" xr:uid="{45A5CE0D-B006-45BB-A53E-22B23F4367E3}"/>
    <cellStyle name="Normal 8 6 2 4 2" xfId="18836" xr:uid="{749B81C7-EB29-4AF0-8EC3-A4BE1E0FE59A}"/>
    <cellStyle name="Normal 8 6 2 5" xfId="10396" xr:uid="{60383B6C-3D29-4228-AA82-36BCE30CB68A}"/>
    <cellStyle name="Normal 8 6 3" xfId="1393" xr:uid="{00000000-0005-0000-0000-00004C1E0000}"/>
    <cellStyle name="Normal 8 6 3 2" xfId="3623" xr:uid="{00000000-0005-0000-0000-00004D1E0000}"/>
    <cellStyle name="Normal 8 6 3 2 2" xfId="7845" xr:uid="{00000000-0005-0000-0000-00004E1E0000}"/>
    <cellStyle name="Normal 8 6 3 2 2 2" xfId="25611" xr:uid="{8156590E-299D-410D-B6EF-2F2F97AA7F7D}"/>
    <cellStyle name="Normal 8 6 3 2 2 3" xfId="17171" xr:uid="{DA4E820B-8AAE-48EA-8A71-A46A6CBF1DE3}"/>
    <cellStyle name="Normal 8 6 3 2 3" xfId="21394" xr:uid="{DD44227F-1865-4309-91F5-1B5591E153A2}"/>
    <cellStyle name="Normal 8 6 3 2 4" xfId="12954" xr:uid="{441B3F06-8AC8-4A7E-AA0D-1ECAF65FFF13}"/>
    <cellStyle name="Normal 8 6 3 3" xfId="5700" xr:uid="{00000000-0005-0000-0000-00004F1E0000}"/>
    <cellStyle name="Normal 8 6 3 3 2" xfId="23466" xr:uid="{834BF6E8-4A2D-4669-BF13-26382EF2CCC5}"/>
    <cellStyle name="Normal 8 6 3 3 3" xfId="15026" xr:uid="{F0B96CFC-042F-4755-AD2A-0CAEA005A75D}"/>
    <cellStyle name="Normal 8 6 3 4" xfId="19249" xr:uid="{E35C75EA-97FA-45D1-9A2F-3B932D651985}"/>
    <cellStyle name="Normal 8 6 3 5" xfId="10809" xr:uid="{57E20872-4473-41B8-B280-68AEDA383894}"/>
    <cellStyle name="Normal 8 6 4" xfId="1806" xr:uid="{00000000-0005-0000-0000-0000501E0000}"/>
    <cellStyle name="Normal 8 6 4 2" xfId="4036" xr:uid="{00000000-0005-0000-0000-0000511E0000}"/>
    <cellStyle name="Normal 8 6 4 2 2" xfId="8258" xr:uid="{00000000-0005-0000-0000-0000521E0000}"/>
    <cellStyle name="Normal 8 6 4 2 2 2" xfId="26024" xr:uid="{2F6FFA75-71B3-4799-A183-EBE65D02FF90}"/>
    <cellStyle name="Normal 8 6 4 2 2 3" xfId="17584" xr:uid="{870611E4-E782-4B9C-9C15-2EB9C9FB5F59}"/>
    <cellStyle name="Normal 8 6 4 2 3" xfId="21807" xr:uid="{9F68F8A8-E376-4EB7-91B6-CF6AC612DB08}"/>
    <cellStyle name="Normal 8 6 4 2 4" xfId="13367" xr:uid="{27B590F7-B90D-4864-9236-C3081145F749}"/>
    <cellStyle name="Normal 8 6 4 3" xfId="6113" xr:uid="{00000000-0005-0000-0000-0000531E0000}"/>
    <cellStyle name="Normal 8 6 4 3 2" xfId="23879" xr:uid="{47E90E04-EDE5-4988-9CA2-779AF0BC502D}"/>
    <cellStyle name="Normal 8 6 4 3 3" xfId="15439" xr:uid="{499B7326-8F45-49DA-877B-97AB46AF96BA}"/>
    <cellStyle name="Normal 8 6 4 4" xfId="19662" xr:uid="{89D18088-3A1D-4D2E-BB2E-930CA13082E7}"/>
    <cellStyle name="Normal 8 6 4 5" xfId="11222" xr:uid="{B79A10FB-48A7-4FE9-8AA8-0CD5D34C2C91}"/>
    <cellStyle name="Normal 8 6 5" xfId="2220" xr:uid="{00000000-0005-0000-0000-0000541E0000}"/>
    <cellStyle name="Normal 8 6 5 2" xfId="4449" xr:uid="{00000000-0005-0000-0000-0000551E0000}"/>
    <cellStyle name="Normal 8 6 5 2 2" xfId="8671" xr:uid="{00000000-0005-0000-0000-0000561E0000}"/>
    <cellStyle name="Normal 8 6 5 2 2 2" xfId="26437" xr:uid="{D5C052EB-8FD6-4807-AA80-AE25FE45B64B}"/>
    <cellStyle name="Normal 8 6 5 2 2 3" xfId="17997" xr:uid="{1491F3C5-0337-4FD5-8274-7B4B3DE2D13C}"/>
    <cellStyle name="Normal 8 6 5 2 3" xfId="22220" xr:uid="{3E3756DF-8C60-4EFD-BC3D-0837D7315E27}"/>
    <cellStyle name="Normal 8 6 5 2 4" xfId="13780" xr:uid="{FFF2831A-605A-48A8-A7F0-72E99C13F918}"/>
    <cellStyle name="Normal 8 6 5 3" xfId="6526" xr:uid="{00000000-0005-0000-0000-0000571E0000}"/>
    <cellStyle name="Normal 8 6 5 3 2" xfId="24292" xr:uid="{7681F911-4CF6-4C1C-A763-8BF58C5695DC}"/>
    <cellStyle name="Normal 8 6 5 3 3" xfId="15852" xr:uid="{CB35F29D-6A7B-4FA0-BF3F-04DDFA25DF67}"/>
    <cellStyle name="Normal 8 6 5 4" xfId="20075" xr:uid="{72109D0E-2B6D-4269-857A-A96423B50C20}"/>
    <cellStyle name="Normal 8 6 5 5" xfId="11635" xr:uid="{F0AA17E3-1980-4DD8-BB8B-7F2E27663466}"/>
    <cellStyle name="Normal 8 6 6" xfId="2656" xr:uid="{00000000-0005-0000-0000-0000581E0000}"/>
    <cellStyle name="Normal 8 6 6 2" xfId="6939" xr:uid="{00000000-0005-0000-0000-0000591E0000}"/>
    <cellStyle name="Normal 8 6 6 2 2" xfId="24705" xr:uid="{D3F91F10-D80A-4F74-AEAD-D01A6EC5CB64}"/>
    <cellStyle name="Normal 8 6 6 2 3" xfId="16265" xr:uid="{AAB84B1F-5B61-44BD-92FB-51BC33AB46C2}"/>
    <cellStyle name="Normal 8 6 6 3" xfId="20488" xr:uid="{CDF87B09-FE76-4424-8EAD-090DA9D4A2A7}"/>
    <cellStyle name="Normal 8 6 6 4" xfId="12048" xr:uid="{E570E264-EC2A-492D-AC68-CE05287CE32E}"/>
    <cellStyle name="Normal 8 6 7" xfId="4874" xr:uid="{00000000-0005-0000-0000-00005A1E0000}"/>
    <cellStyle name="Normal 8 6 7 2" xfId="22640" xr:uid="{9AE0B063-70C7-4966-8CF5-00A50D7C6654}"/>
    <cellStyle name="Normal 8 6 7 3" xfId="14200" xr:uid="{9F869638-D75E-45CC-B4ED-B8CA6C0AAFCC}"/>
    <cellStyle name="Normal 8 6 8" xfId="8961" xr:uid="{36060843-7B38-46C3-B2F1-7172ECB11EEE}"/>
    <cellStyle name="Normal 8 6 8 2" xfId="18423" xr:uid="{3E4D4F3F-1E51-4CED-A912-4D97A00B04F7}"/>
    <cellStyle name="Normal 8 6 9" xfId="9983" xr:uid="{2B26E8F6-974F-4E2A-9C82-B746A7CDFA60}"/>
    <cellStyle name="Normal 8 7" xfId="945" xr:uid="{00000000-0005-0000-0000-00005B1E0000}"/>
    <cellStyle name="Normal 8 7 2" xfId="3179" xr:uid="{00000000-0005-0000-0000-00005C1E0000}"/>
    <cellStyle name="Normal 8 7 2 2" xfId="7401" xr:uid="{00000000-0005-0000-0000-00005D1E0000}"/>
    <cellStyle name="Normal 8 7 2 2 2" xfId="25167" xr:uid="{1AE1C268-2C68-41D4-AAD1-20C684A82639}"/>
    <cellStyle name="Normal 8 7 2 2 3" xfId="16727" xr:uid="{0E415B3E-56CB-42C9-8D7A-0C66C09AE760}"/>
    <cellStyle name="Normal 8 7 2 3" xfId="20950" xr:uid="{C6D02FB0-98FF-40A2-AE07-468ECC7A5E85}"/>
    <cellStyle name="Normal 8 7 2 4" xfId="12510" xr:uid="{A35E3252-2723-4C2B-B5BB-DE8D595A4153}"/>
    <cellStyle name="Normal 8 7 3" xfId="5256" xr:uid="{00000000-0005-0000-0000-00005E1E0000}"/>
    <cellStyle name="Normal 8 7 3 2" xfId="23022" xr:uid="{D2578A16-B6E9-42B3-B870-6D7C9DD679D4}"/>
    <cellStyle name="Normal 8 7 3 3" xfId="14582" xr:uid="{30D8E689-5800-4824-BD5A-CDD4A2E091C6}"/>
    <cellStyle name="Normal 8 7 4" xfId="9164" xr:uid="{EA2ADDDA-E9AC-4FF8-B08B-61B1D6489A46}"/>
    <cellStyle name="Normal 8 7 4 2" xfId="18805" xr:uid="{84B3915A-56BA-4C4D-A4D9-9CA014EA20F9}"/>
    <cellStyle name="Normal 8 7 5" xfId="10365" xr:uid="{78925F48-E192-49B8-BB7D-B4AB538CB474}"/>
    <cellStyle name="Normal 8 8" xfId="1362" xr:uid="{00000000-0005-0000-0000-00005F1E0000}"/>
    <cellStyle name="Normal 8 8 2" xfId="3592" xr:uid="{00000000-0005-0000-0000-0000601E0000}"/>
    <cellStyle name="Normal 8 8 2 2" xfId="7814" xr:uid="{00000000-0005-0000-0000-0000611E0000}"/>
    <cellStyle name="Normal 8 8 2 2 2" xfId="25580" xr:uid="{F0DC351D-17B7-4882-8CD6-D433AD0DA94D}"/>
    <cellStyle name="Normal 8 8 2 2 3" xfId="17140" xr:uid="{BDACB590-ACE0-4073-9091-6A83BF0F8E7C}"/>
    <cellStyle name="Normal 8 8 2 3" xfId="21363" xr:uid="{901301FE-DA9B-46CC-A058-863A7155C05A}"/>
    <cellStyle name="Normal 8 8 2 4" xfId="12923" xr:uid="{25EFE1CA-4206-4F14-9247-703A5C0C2E4A}"/>
    <cellStyle name="Normal 8 8 3" xfId="5669" xr:uid="{00000000-0005-0000-0000-0000621E0000}"/>
    <cellStyle name="Normal 8 8 3 2" xfId="23435" xr:uid="{DE84797F-C598-48D4-8DB0-DE0FA38DD837}"/>
    <cellStyle name="Normal 8 8 3 3" xfId="14995" xr:uid="{10E0E568-2F79-464D-B294-85AFC4B09DDE}"/>
    <cellStyle name="Normal 8 8 4" xfId="19218" xr:uid="{02344361-DAAA-4251-954D-47618046820E}"/>
    <cellStyle name="Normal 8 8 5" xfId="10778" xr:uid="{E0D5D675-5840-4EAF-B17B-86DFBC8E6657}"/>
    <cellStyle name="Normal 8 9" xfId="1775" xr:uid="{00000000-0005-0000-0000-0000631E0000}"/>
    <cellStyle name="Normal 8 9 2" xfId="4005" xr:uid="{00000000-0005-0000-0000-0000641E0000}"/>
    <cellStyle name="Normal 8 9 2 2" xfId="8227" xr:uid="{00000000-0005-0000-0000-0000651E0000}"/>
    <cellStyle name="Normal 8 9 2 2 2" xfId="25993" xr:uid="{54E8F043-A820-44F1-9205-3A834E16D52C}"/>
    <cellStyle name="Normal 8 9 2 2 3" xfId="17553" xr:uid="{6E03A995-C882-4F87-B3E1-AFFCE1DB2905}"/>
    <cellStyle name="Normal 8 9 2 3" xfId="21776" xr:uid="{3554D8F5-ABC8-4F67-A062-108EA3AE029D}"/>
    <cellStyle name="Normal 8 9 2 4" xfId="13336" xr:uid="{7C01317A-8AE0-4B8F-9A35-FBF3725D15AE}"/>
    <cellStyle name="Normal 8 9 3" xfId="6082" xr:uid="{00000000-0005-0000-0000-0000661E0000}"/>
    <cellStyle name="Normal 8 9 3 2" xfId="23848" xr:uid="{F3C2A09A-54D8-4952-B67A-AFA8BB9F593D}"/>
    <cellStyle name="Normal 8 9 3 3" xfId="15408" xr:uid="{7012CB97-EDE1-468C-9BAB-2A117C9E3A12}"/>
    <cellStyle name="Normal 8 9 4" xfId="19631" xr:uid="{1BFC44DE-E35D-4EB0-AD9D-13B690B7B50B}"/>
    <cellStyle name="Normal 8 9 5" xfId="11191" xr:uid="{E89F7A13-6E37-4D68-B46B-B6740B15FEBE}"/>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24706" xr:uid="{D8B58961-6040-47AE-9CFE-60AE963C46AC}"/>
    <cellStyle name="Normal 9 2 10 2 3" xfId="16266" xr:uid="{6D18AEBC-5A03-40A2-98D1-BA8FC1D988E5}"/>
    <cellStyle name="Normal 9 2 10 3" xfId="20489" xr:uid="{0149C9A2-2B92-45BD-A505-BF9882713B4F}"/>
    <cellStyle name="Normal 9 2 10 4" xfId="12049" xr:uid="{712C8C99-2CE1-4884-A681-C363AA8B126D}"/>
    <cellStyle name="Normal 9 2 11" xfId="4875" xr:uid="{00000000-0005-0000-0000-00006B1E0000}"/>
    <cellStyle name="Normal 9 2 11 2" xfId="22641" xr:uid="{57FFD1AA-8594-4F59-AC14-2C836C5816A8}"/>
    <cellStyle name="Normal 9 2 11 3" xfId="14201" xr:uid="{00C62BBF-41F9-4992-9E57-49E9936D1797}"/>
    <cellStyle name="Normal 9 2 12" xfId="8754" xr:uid="{9024D06A-4C5F-4C89-BCDB-29B8C924FF52}"/>
    <cellStyle name="Normal 9 2 12 2" xfId="18424" xr:uid="{B8B00A75-6D03-43A8-9521-B949B6FD2593}"/>
    <cellStyle name="Normal 9 2 13" xfId="9984" xr:uid="{7FF7BC97-0C75-4BE2-A372-40E3CDE16DBF}"/>
    <cellStyle name="Normal 9 2 2" xfId="512" xr:uid="{00000000-0005-0000-0000-00006C1E0000}"/>
    <cellStyle name="Normal 9 2 2 10" xfId="4876" xr:uid="{00000000-0005-0000-0000-00006D1E0000}"/>
    <cellStyle name="Normal 9 2 2 10 2" xfId="22642" xr:uid="{38A5317D-9BE6-4561-BC6D-27307B3C82AD}"/>
    <cellStyle name="Normal 9 2 2 10 3" xfId="14202" xr:uid="{B2993D0D-E6B4-4152-8AD7-1542A0C00715}"/>
    <cellStyle name="Normal 9 2 2 11" xfId="8785" xr:uid="{3048542E-ED39-45ED-9C91-0140D2CF60D9}"/>
    <cellStyle name="Normal 9 2 2 11 2" xfId="18425" xr:uid="{3ED184E1-E86A-44DE-85EE-10B720BDC3D6}"/>
    <cellStyle name="Normal 9 2 2 12" xfId="9985" xr:uid="{6AEF7DDA-D2A8-4DFE-872C-87D8E3BEF0D6}"/>
    <cellStyle name="Normal 9 2 2 2" xfId="513" xr:uid="{00000000-0005-0000-0000-00006E1E0000}"/>
    <cellStyle name="Normal 9 2 2 2 10" xfId="8839" xr:uid="{3B2DC7F4-4F49-4AE2-9279-EFD4857A149B}"/>
    <cellStyle name="Normal 9 2 2 2 10 2" xfId="18426" xr:uid="{B8346290-41F8-4115-87CB-DD06474D6628}"/>
    <cellStyle name="Normal 9 2 2 2 11" xfId="9986" xr:uid="{601AC7BC-FF8B-4D7A-81A5-80F322B0DF36}"/>
    <cellStyle name="Normal 9 2 2 2 2" xfId="514" xr:uid="{00000000-0005-0000-0000-00006F1E0000}"/>
    <cellStyle name="Normal 9 2 2 2 2 10" xfId="9987" xr:uid="{ED7630FF-0CA5-4837-9182-0003D6108E8A}"/>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25203" xr:uid="{ECBE102E-D372-4467-AB34-3D53E039DFA2}"/>
    <cellStyle name="Normal 9 2 2 2 2 2 2 2 2 3" xfId="16763" xr:uid="{D7CEF9A4-CC6E-4CBF-B343-60E4A5BFF2B1}"/>
    <cellStyle name="Normal 9 2 2 2 2 2 2 2 3" xfId="20986" xr:uid="{F8E8805F-693A-4B7A-8030-C25FB600F2A7}"/>
    <cellStyle name="Normal 9 2 2 2 2 2 2 2 4" xfId="12546" xr:uid="{FFB55FA2-37CE-47E3-AA3F-87925500F18B}"/>
    <cellStyle name="Normal 9 2 2 2 2 2 2 3" xfId="5292" xr:uid="{00000000-0005-0000-0000-0000741E0000}"/>
    <cellStyle name="Normal 9 2 2 2 2 2 2 3 2" xfId="23058" xr:uid="{F73DB7AF-EB12-44B5-8820-4FB16BC61C0B}"/>
    <cellStyle name="Normal 9 2 2 2 2 2 2 3 3" xfId="14618" xr:uid="{17601099-3DE6-42A3-9614-6DD81BF80F89}"/>
    <cellStyle name="Normal 9 2 2 2 2 2 2 4" xfId="9574" xr:uid="{00EB170D-8A20-4280-B781-E452C3590555}"/>
    <cellStyle name="Normal 9 2 2 2 2 2 2 4 2" xfId="18841" xr:uid="{F2C8C044-5536-4650-9AAF-84107F587F91}"/>
    <cellStyle name="Normal 9 2 2 2 2 2 2 5" xfId="10401" xr:uid="{132DF604-9408-43B2-A169-07D3AA84BA8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25616" xr:uid="{EC2D050A-ED06-40EA-9354-80BD1A3ACE56}"/>
    <cellStyle name="Normal 9 2 2 2 2 2 3 2 2 3" xfId="17176" xr:uid="{A625AD62-6E98-4881-9A36-E1E75F539033}"/>
    <cellStyle name="Normal 9 2 2 2 2 2 3 2 3" xfId="21399" xr:uid="{14FCFEAA-20C7-48EF-9415-1C40DD54F2FC}"/>
    <cellStyle name="Normal 9 2 2 2 2 2 3 2 4" xfId="12959" xr:uid="{0D6258D7-0C0A-44B6-87B9-FA2715D0980E}"/>
    <cellStyle name="Normal 9 2 2 2 2 2 3 3" xfId="5705" xr:uid="{00000000-0005-0000-0000-0000781E0000}"/>
    <cellStyle name="Normal 9 2 2 2 2 2 3 3 2" xfId="23471" xr:uid="{FA010D74-FDB2-4182-9D33-2E83C555B92F}"/>
    <cellStyle name="Normal 9 2 2 2 2 2 3 3 3" xfId="15031" xr:uid="{201DA042-E3A4-4757-AE21-5948CB32C26A}"/>
    <cellStyle name="Normal 9 2 2 2 2 2 3 4" xfId="19254" xr:uid="{23DF572B-F77B-42A4-B7E5-60C480706A55}"/>
    <cellStyle name="Normal 9 2 2 2 2 2 3 5" xfId="10814" xr:uid="{A8293098-86C4-4341-966E-1332294888FC}"/>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26029" xr:uid="{FB0A3BEC-CE06-4D2B-B128-2A189DBF9A1C}"/>
    <cellStyle name="Normal 9 2 2 2 2 2 4 2 2 3" xfId="17589" xr:uid="{E1B88C26-74E1-4B03-B914-88FD7FDB78AC}"/>
    <cellStyle name="Normal 9 2 2 2 2 2 4 2 3" xfId="21812" xr:uid="{BEB5E296-0751-4DA7-AA2D-13D6BFCB383A}"/>
    <cellStyle name="Normal 9 2 2 2 2 2 4 2 4" xfId="13372" xr:uid="{89D84B5B-0CFE-46FB-B7C3-A6260C2A404A}"/>
    <cellStyle name="Normal 9 2 2 2 2 2 4 3" xfId="6118" xr:uid="{00000000-0005-0000-0000-00007C1E0000}"/>
    <cellStyle name="Normal 9 2 2 2 2 2 4 3 2" xfId="23884" xr:uid="{F1426E56-ADCE-42CE-B675-D319B3086B92}"/>
    <cellStyle name="Normal 9 2 2 2 2 2 4 3 3" xfId="15444" xr:uid="{CABA5AF7-F0AE-4CE9-99BF-997BA4BFEEEF}"/>
    <cellStyle name="Normal 9 2 2 2 2 2 4 4" xfId="19667" xr:uid="{28902C60-D2AF-4C08-96E2-70618F7FA4B4}"/>
    <cellStyle name="Normal 9 2 2 2 2 2 4 5" xfId="11227" xr:uid="{D7B0858A-0354-42F8-B09F-CCB56543B02D}"/>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26442" xr:uid="{E7ED3B15-0056-46E3-844A-275D80BB3FAC}"/>
    <cellStyle name="Normal 9 2 2 2 2 2 5 2 2 3" xfId="18002" xr:uid="{E0E07D52-DEF5-40D7-AFCE-4EECE970D304}"/>
    <cellStyle name="Normal 9 2 2 2 2 2 5 2 3" xfId="22225" xr:uid="{8728894C-BBAE-4CB7-B655-685786E0EA5B}"/>
    <cellStyle name="Normal 9 2 2 2 2 2 5 2 4" xfId="13785" xr:uid="{CB00C10A-CE46-4E74-B8C1-DD30A957AA00}"/>
    <cellStyle name="Normal 9 2 2 2 2 2 5 3" xfId="6531" xr:uid="{00000000-0005-0000-0000-0000801E0000}"/>
    <cellStyle name="Normal 9 2 2 2 2 2 5 3 2" xfId="24297" xr:uid="{33B588CA-F14D-4143-BA6A-1CA6DEAED995}"/>
    <cellStyle name="Normal 9 2 2 2 2 2 5 3 3" xfId="15857" xr:uid="{E7A643B8-5A70-4308-8D72-AA652B253027}"/>
    <cellStyle name="Normal 9 2 2 2 2 2 5 4" xfId="20080" xr:uid="{3A722FDF-B904-46CE-90A5-E5029B2D11D6}"/>
    <cellStyle name="Normal 9 2 2 2 2 2 5 5" xfId="11640" xr:uid="{AFA2636B-4BE4-4C25-9E9C-308FD85AA7C3}"/>
    <cellStyle name="Normal 9 2 2 2 2 2 6" xfId="2661" xr:uid="{00000000-0005-0000-0000-0000811E0000}"/>
    <cellStyle name="Normal 9 2 2 2 2 2 6 2" xfId="6944" xr:uid="{00000000-0005-0000-0000-0000821E0000}"/>
    <cellStyle name="Normal 9 2 2 2 2 2 6 2 2" xfId="24710" xr:uid="{FFE76BAF-7855-4A82-AE36-FEA593249EF3}"/>
    <cellStyle name="Normal 9 2 2 2 2 2 6 2 3" xfId="16270" xr:uid="{F566F1C1-25FE-4BFD-B4D9-07D09CD80A0F}"/>
    <cellStyle name="Normal 9 2 2 2 2 2 6 3" xfId="20493" xr:uid="{5A0A8854-ED11-4370-8F5B-A42F6863B4E0}"/>
    <cellStyle name="Normal 9 2 2 2 2 2 6 4" xfId="12053" xr:uid="{E465293B-83AD-4218-AFF3-6B91E6DC2F05}"/>
    <cellStyle name="Normal 9 2 2 2 2 2 7" xfId="4879" xr:uid="{00000000-0005-0000-0000-0000831E0000}"/>
    <cellStyle name="Normal 9 2 2 2 2 2 7 2" xfId="22645" xr:uid="{9A60EE48-5EFB-4DCE-B9B0-B7845461F745}"/>
    <cellStyle name="Normal 9 2 2 2 2 2 7 3" xfId="14205" xr:uid="{1512CC6D-4418-4A7F-AE15-7502CF37430E}"/>
    <cellStyle name="Normal 9 2 2 2 2 2 8" xfId="9149" xr:uid="{6C0BEC1E-EE3B-4956-830C-8775C93DB46A}"/>
    <cellStyle name="Normal 9 2 2 2 2 2 8 2" xfId="18428" xr:uid="{9D1B9D9E-6104-4BE7-9441-B88E1DD6E3FF}"/>
    <cellStyle name="Normal 9 2 2 2 2 2 9" xfId="9988" xr:uid="{0AC70C75-2344-44FF-9D9B-B0B8DF0905E7}"/>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25202" xr:uid="{A6F5DCB4-C263-4617-B3A9-E5751AC690A1}"/>
    <cellStyle name="Normal 9 2 2 2 2 3 2 2 3" xfId="16762" xr:uid="{BA72ED7F-BD68-4162-8A5E-FF0FA2110EA1}"/>
    <cellStyle name="Normal 9 2 2 2 2 3 2 3" xfId="20985" xr:uid="{8962873C-E89C-4A1B-A232-2EBB8B8D7343}"/>
    <cellStyle name="Normal 9 2 2 2 2 3 2 4" xfId="12545" xr:uid="{AB1AD2DB-ED9E-4A95-86A6-767451F5AB31}"/>
    <cellStyle name="Normal 9 2 2 2 2 3 3" xfId="5291" xr:uid="{00000000-0005-0000-0000-0000871E0000}"/>
    <cellStyle name="Normal 9 2 2 2 2 3 3 2" xfId="23057" xr:uid="{19FCC99A-63E7-4486-A17C-F143A90782A6}"/>
    <cellStyle name="Normal 9 2 2 2 2 3 3 3" xfId="14617" xr:uid="{E4CE23FE-D51A-4252-9856-E54F963CE928}"/>
    <cellStyle name="Normal 9 2 2 2 2 3 4" xfId="9367" xr:uid="{4A654E22-020A-4B0F-8753-639C44EA908A}"/>
    <cellStyle name="Normal 9 2 2 2 2 3 4 2" xfId="18840" xr:uid="{F8364A21-719A-4D84-8F57-624232226D12}"/>
    <cellStyle name="Normal 9 2 2 2 2 3 5" xfId="10400" xr:uid="{B10C2841-AA5F-4CF0-B696-A76A1FB6B82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25615" xr:uid="{521FE2F8-6B98-4411-B1B2-D3E8A65007F6}"/>
    <cellStyle name="Normal 9 2 2 2 2 4 2 2 3" xfId="17175" xr:uid="{7FDAB0A2-E332-4896-B5BC-F79FC5E9B576}"/>
    <cellStyle name="Normal 9 2 2 2 2 4 2 3" xfId="21398" xr:uid="{DB0A351B-06C8-45C1-AB8F-8418553E26C5}"/>
    <cellStyle name="Normal 9 2 2 2 2 4 2 4" xfId="12958" xr:uid="{ACF30B9D-420F-4BC4-982B-6CEB8A3F1F3A}"/>
    <cellStyle name="Normal 9 2 2 2 2 4 3" xfId="5704" xr:uid="{00000000-0005-0000-0000-00008B1E0000}"/>
    <cellStyle name="Normal 9 2 2 2 2 4 3 2" xfId="23470" xr:uid="{9E3CEC0C-2BB4-4B52-BEFF-3D936FA3633C}"/>
    <cellStyle name="Normal 9 2 2 2 2 4 3 3" xfId="15030" xr:uid="{DC953A4B-4B76-40C4-B23A-17E27CA4C191}"/>
    <cellStyle name="Normal 9 2 2 2 2 4 4" xfId="19253" xr:uid="{BC4FA044-C8F3-4477-BF23-17F8B1E2059F}"/>
    <cellStyle name="Normal 9 2 2 2 2 4 5" xfId="10813" xr:uid="{52CAF0FE-E8D3-4A47-ADA9-2AFD0E120BBC}"/>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26028" xr:uid="{C05CBE24-1F30-44E7-A609-A5835559DEB9}"/>
    <cellStyle name="Normal 9 2 2 2 2 5 2 2 3" xfId="17588" xr:uid="{DA4517FB-6D53-48FB-BF99-903F64470753}"/>
    <cellStyle name="Normal 9 2 2 2 2 5 2 3" xfId="21811" xr:uid="{86A21DEA-A18C-47A7-9FA8-FD9A406ADEDA}"/>
    <cellStyle name="Normal 9 2 2 2 2 5 2 4" xfId="13371" xr:uid="{72B47B1F-7248-4CAC-90D6-922554209130}"/>
    <cellStyle name="Normal 9 2 2 2 2 5 3" xfId="6117" xr:uid="{00000000-0005-0000-0000-00008F1E0000}"/>
    <cellStyle name="Normal 9 2 2 2 2 5 3 2" xfId="23883" xr:uid="{188F6048-91F8-4580-A0CD-4186299A634B}"/>
    <cellStyle name="Normal 9 2 2 2 2 5 3 3" xfId="15443" xr:uid="{CF10A8EF-D002-4FE5-AC07-588DEABF0B39}"/>
    <cellStyle name="Normal 9 2 2 2 2 5 4" xfId="19666" xr:uid="{C6BAFF00-79BC-4144-BDDD-4461FF2F775A}"/>
    <cellStyle name="Normal 9 2 2 2 2 5 5" xfId="11226" xr:uid="{33461CEC-691A-4DAD-92CA-7DFF56C5D53A}"/>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26441" xr:uid="{35160727-24FD-4B41-A417-6F3C1727FB85}"/>
    <cellStyle name="Normal 9 2 2 2 2 6 2 2 3" xfId="18001" xr:uid="{E92E4352-D60B-492E-B5A7-12D64F7530C3}"/>
    <cellStyle name="Normal 9 2 2 2 2 6 2 3" xfId="22224" xr:uid="{DF6E0A06-21F9-4A82-8BBC-27CDFA87C864}"/>
    <cellStyle name="Normal 9 2 2 2 2 6 2 4" xfId="13784" xr:uid="{2F592E8C-9852-44E5-A108-8E3777EE9AAA}"/>
    <cellStyle name="Normal 9 2 2 2 2 6 3" xfId="6530" xr:uid="{00000000-0005-0000-0000-0000931E0000}"/>
    <cellStyle name="Normal 9 2 2 2 2 6 3 2" xfId="24296" xr:uid="{A2460881-A972-4391-ADEF-53A4141681F3}"/>
    <cellStyle name="Normal 9 2 2 2 2 6 3 3" xfId="15856" xr:uid="{BFAB3A74-E080-4AFE-88AE-01A30E4A8F44}"/>
    <cellStyle name="Normal 9 2 2 2 2 6 4" xfId="20079" xr:uid="{87DCDB8C-FA3D-4EE6-BCFE-9864830D4AD2}"/>
    <cellStyle name="Normal 9 2 2 2 2 6 5" xfId="11639" xr:uid="{9E707D79-BA36-4484-B495-38AD205DBD61}"/>
    <cellStyle name="Normal 9 2 2 2 2 7" xfId="2660" xr:uid="{00000000-0005-0000-0000-0000941E0000}"/>
    <cellStyle name="Normal 9 2 2 2 2 7 2" xfId="6943" xr:uid="{00000000-0005-0000-0000-0000951E0000}"/>
    <cellStyle name="Normal 9 2 2 2 2 7 2 2" xfId="24709" xr:uid="{627947F0-63E8-468E-B4FE-1F68835DCB97}"/>
    <cellStyle name="Normal 9 2 2 2 2 7 2 3" xfId="16269" xr:uid="{198BC651-1549-4465-AD96-200A953AD7A8}"/>
    <cellStyle name="Normal 9 2 2 2 2 7 3" xfId="20492" xr:uid="{322F1823-E324-4703-A92E-56C2139088AA}"/>
    <cellStyle name="Normal 9 2 2 2 2 7 4" xfId="12052" xr:uid="{35942061-AE3A-40B5-BA72-4E8EBD32876F}"/>
    <cellStyle name="Normal 9 2 2 2 2 8" xfId="4878" xr:uid="{00000000-0005-0000-0000-0000961E0000}"/>
    <cellStyle name="Normal 9 2 2 2 2 8 2" xfId="22644" xr:uid="{E3670D55-C8F7-4013-8DCB-79A5EB81212F}"/>
    <cellStyle name="Normal 9 2 2 2 2 8 3" xfId="14204" xr:uid="{DBDEBD76-EE5C-4CBA-9ED3-83A096DFC765}"/>
    <cellStyle name="Normal 9 2 2 2 2 9" xfId="8942" xr:uid="{0DE8A022-819C-4D6A-B102-31C1C7F429A5}"/>
    <cellStyle name="Normal 9 2 2 2 2 9 2" xfId="18427" xr:uid="{6CD15136-4482-4E81-8FAE-12EEEA85786A}"/>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25204" xr:uid="{8F8522D2-6B5C-44DF-9E1F-9F640B58A7C7}"/>
    <cellStyle name="Normal 9 2 2 2 3 2 2 2 3" xfId="16764" xr:uid="{3265D431-9D13-4169-B8F1-DBE44A5958BB}"/>
    <cellStyle name="Normal 9 2 2 2 3 2 2 3" xfId="20987" xr:uid="{7671152B-57CC-4090-B242-56E3328456F6}"/>
    <cellStyle name="Normal 9 2 2 2 3 2 2 4" xfId="12547" xr:uid="{FECD46B5-BA9E-4F3E-9AD1-4818777AD232}"/>
    <cellStyle name="Normal 9 2 2 2 3 2 3" xfId="5293" xr:uid="{00000000-0005-0000-0000-00009B1E0000}"/>
    <cellStyle name="Normal 9 2 2 2 3 2 3 2" xfId="23059" xr:uid="{9D5224D4-E9C7-44BE-A248-FAC43283F2BF}"/>
    <cellStyle name="Normal 9 2 2 2 3 2 3 3" xfId="14619" xr:uid="{AC8B3855-1656-4D65-BE64-E5E9853D3CF7}"/>
    <cellStyle name="Normal 9 2 2 2 3 2 4" xfId="9471" xr:uid="{E472D827-532E-42C0-B781-9E63FEBCFCF5}"/>
    <cellStyle name="Normal 9 2 2 2 3 2 4 2" xfId="18842" xr:uid="{81695087-D266-4D5F-BE7B-E9F02A6D9FC1}"/>
    <cellStyle name="Normal 9 2 2 2 3 2 5" xfId="10402" xr:uid="{5FBD2F01-E6D0-477C-A9D5-172FA27D1DCF}"/>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25617" xr:uid="{B58AEA02-473B-44FA-816F-B8EC9E785FD0}"/>
    <cellStyle name="Normal 9 2 2 2 3 3 2 2 3" xfId="17177" xr:uid="{E09F3A7A-7638-4210-AEDA-0829C3104908}"/>
    <cellStyle name="Normal 9 2 2 2 3 3 2 3" xfId="21400" xr:uid="{88AD99C8-13D5-486A-A941-D3611891B02A}"/>
    <cellStyle name="Normal 9 2 2 2 3 3 2 4" xfId="12960" xr:uid="{18CFCF2D-8E96-4522-86A5-A3C1007D3B7C}"/>
    <cellStyle name="Normal 9 2 2 2 3 3 3" xfId="5706" xr:uid="{00000000-0005-0000-0000-00009F1E0000}"/>
    <cellStyle name="Normal 9 2 2 2 3 3 3 2" xfId="23472" xr:uid="{6AF6EBFD-7FFF-4FA6-A684-C3921A0EF2DD}"/>
    <cellStyle name="Normal 9 2 2 2 3 3 3 3" xfId="15032" xr:uid="{9A3626E4-EF6D-4189-8986-7F0873CCB78F}"/>
    <cellStyle name="Normal 9 2 2 2 3 3 4" xfId="19255" xr:uid="{6E8E40B2-49EF-470C-A099-3B17712065F1}"/>
    <cellStyle name="Normal 9 2 2 2 3 3 5" xfId="10815" xr:uid="{4159B7AB-079B-42F5-BF8B-EA697C632485}"/>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26030" xr:uid="{CA7F9422-8E86-4350-8058-05E9398AB372}"/>
    <cellStyle name="Normal 9 2 2 2 3 4 2 2 3" xfId="17590" xr:uid="{B1C01FE8-12D0-42E9-B083-F950D32A27D1}"/>
    <cellStyle name="Normal 9 2 2 2 3 4 2 3" xfId="21813" xr:uid="{193466CA-2CA6-43B1-9193-DFF77FACD50F}"/>
    <cellStyle name="Normal 9 2 2 2 3 4 2 4" xfId="13373" xr:uid="{004439AA-A440-42B1-8078-AE712D19F5CC}"/>
    <cellStyle name="Normal 9 2 2 2 3 4 3" xfId="6119" xr:uid="{00000000-0005-0000-0000-0000A31E0000}"/>
    <cellStyle name="Normal 9 2 2 2 3 4 3 2" xfId="23885" xr:uid="{77ED1233-9DE1-4AF1-A528-D4CF2A036132}"/>
    <cellStyle name="Normal 9 2 2 2 3 4 3 3" xfId="15445" xr:uid="{2F919F57-1FED-42F5-BE0F-BCF88B3E5F94}"/>
    <cellStyle name="Normal 9 2 2 2 3 4 4" xfId="19668" xr:uid="{BA3E83CA-0E9B-497A-AB57-76B39D2E1E77}"/>
    <cellStyle name="Normal 9 2 2 2 3 4 5" xfId="11228" xr:uid="{DADC4B27-CA1C-4E06-B023-46EBD2DC257D}"/>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26443" xr:uid="{98BB50BF-E596-4FDB-9130-CB181D3B5F21}"/>
    <cellStyle name="Normal 9 2 2 2 3 5 2 2 3" xfId="18003" xr:uid="{AA5882A7-56DB-4DF5-A650-C85AE065717C}"/>
    <cellStyle name="Normal 9 2 2 2 3 5 2 3" xfId="22226" xr:uid="{69E664F9-286F-4839-AB60-797DFEF70E15}"/>
    <cellStyle name="Normal 9 2 2 2 3 5 2 4" xfId="13786" xr:uid="{5B83C25C-9889-47EC-A3CA-6A74DC33A7EF}"/>
    <cellStyle name="Normal 9 2 2 2 3 5 3" xfId="6532" xr:uid="{00000000-0005-0000-0000-0000A71E0000}"/>
    <cellStyle name="Normal 9 2 2 2 3 5 3 2" xfId="24298" xr:uid="{4EDE53DC-1F36-4A5D-A604-C901E998CC67}"/>
    <cellStyle name="Normal 9 2 2 2 3 5 3 3" xfId="15858" xr:uid="{4BA627D0-0275-46D6-81AF-732E67109631}"/>
    <cellStyle name="Normal 9 2 2 2 3 5 4" xfId="20081" xr:uid="{971EAF35-7F81-4576-9527-275B869911D4}"/>
    <cellStyle name="Normal 9 2 2 2 3 5 5" xfId="11641" xr:uid="{D6BCDB00-5578-437C-8474-3FDD29C9B8EC}"/>
    <cellStyle name="Normal 9 2 2 2 3 6" xfId="2662" xr:uid="{00000000-0005-0000-0000-0000A81E0000}"/>
    <cellStyle name="Normal 9 2 2 2 3 6 2" xfId="6945" xr:uid="{00000000-0005-0000-0000-0000A91E0000}"/>
    <cellStyle name="Normal 9 2 2 2 3 6 2 2" xfId="24711" xr:uid="{50B05041-B406-4B66-BFE2-AE4FB76ED775}"/>
    <cellStyle name="Normal 9 2 2 2 3 6 2 3" xfId="16271" xr:uid="{2713CA98-A1B6-4B4E-85AE-85519AD4ECBB}"/>
    <cellStyle name="Normal 9 2 2 2 3 6 3" xfId="20494" xr:uid="{74920347-5488-4AA8-9DCB-4BF268854817}"/>
    <cellStyle name="Normal 9 2 2 2 3 6 4" xfId="12054" xr:uid="{A736D560-63A4-4AC2-96B9-56D3C25A5E2F}"/>
    <cellStyle name="Normal 9 2 2 2 3 7" xfId="4880" xr:uid="{00000000-0005-0000-0000-0000AA1E0000}"/>
    <cellStyle name="Normal 9 2 2 2 3 7 2" xfId="22646" xr:uid="{00287444-48EF-4589-B39B-CAC1D2F736A8}"/>
    <cellStyle name="Normal 9 2 2 2 3 7 3" xfId="14206" xr:uid="{DBC07D20-1533-43C2-9D16-8B01E234815F}"/>
    <cellStyle name="Normal 9 2 2 2 3 8" xfId="9046" xr:uid="{6B7E07C7-E90B-4AE9-8FE8-76EF28E8FC85}"/>
    <cellStyle name="Normal 9 2 2 2 3 8 2" xfId="18429" xr:uid="{6DCD70DA-0647-4DEE-9666-6AA417A47D6C}"/>
    <cellStyle name="Normal 9 2 2 2 3 9" xfId="9989" xr:uid="{1BF5779E-6349-4996-B3C4-950CF3C3B07D}"/>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25201" xr:uid="{50A370A6-C2B8-47BD-8C6E-4B82E8A06064}"/>
    <cellStyle name="Normal 9 2 2 2 4 2 2 3" xfId="16761" xr:uid="{D09D80B2-33E8-419F-8604-A52BA1638C51}"/>
    <cellStyle name="Normal 9 2 2 2 4 2 3" xfId="20984" xr:uid="{FBC4F839-A4EB-442C-8307-377398E62536}"/>
    <cellStyle name="Normal 9 2 2 2 4 2 4" xfId="12544" xr:uid="{ED06BBC4-3685-401D-857B-BC946A58BF97}"/>
    <cellStyle name="Normal 9 2 2 2 4 3" xfId="5290" xr:uid="{00000000-0005-0000-0000-0000AE1E0000}"/>
    <cellStyle name="Normal 9 2 2 2 4 3 2" xfId="23056" xr:uid="{B20F8055-46DB-4B8C-BF37-A7588CFFCB03}"/>
    <cellStyle name="Normal 9 2 2 2 4 3 3" xfId="14616" xr:uid="{DD9AB5EB-D50E-4A44-8D93-97E4FAE5D703}"/>
    <cellStyle name="Normal 9 2 2 2 4 4" xfId="9264" xr:uid="{0137E036-48D9-4B3B-9B73-0002A19DDE9E}"/>
    <cellStyle name="Normal 9 2 2 2 4 4 2" xfId="18839" xr:uid="{CE81CDEA-9A33-4D43-A90F-CB817C9A9E42}"/>
    <cellStyle name="Normal 9 2 2 2 4 5" xfId="10399" xr:uid="{6718F568-6585-4363-9BD5-5023DCC1E5C6}"/>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25614" xr:uid="{774B4E99-510B-496A-A39F-6731AEB6AEEE}"/>
    <cellStyle name="Normal 9 2 2 2 5 2 2 3" xfId="17174" xr:uid="{A7682893-5C0A-4134-B490-DCE524BE1A60}"/>
    <cellStyle name="Normal 9 2 2 2 5 2 3" xfId="21397" xr:uid="{B4D27D23-7608-4036-A9C8-0B696597F475}"/>
    <cellStyle name="Normal 9 2 2 2 5 2 4" xfId="12957" xr:uid="{29E86134-8FAC-4409-83F7-E4A34694D395}"/>
    <cellStyle name="Normal 9 2 2 2 5 3" xfId="5703" xr:uid="{00000000-0005-0000-0000-0000B21E0000}"/>
    <cellStyle name="Normal 9 2 2 2 5 3 2" xfId="23469" xr:uid="{FF504422-28C2-4116-9F5B-1790363F5B4B}"/>
    <cellStyle name="Normal 9 2 2 2 5 3 3" xfId="15029" xr:uid="{536AD504-429E-480D-8E05-51361CB2D8C7}"/>
    <cellStyle name="Normal 9 2 2 2 5 4" xfId="19252" xr:uid="{F3011295-409A-42DF-B171-2390107EFEE1}"/>
    <cellStyle name="Normal 9 2 2 2 5 5" xfId="10812" xr:uid="{93D76019-008E-47BE-A69E-4FB533E67100}"/>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26027" xr:uid="{10CF8A5A-B541-4021-9392-A1BBCD037617}"/>
    <cellStyle name="Normal 9 2 2 2 6 2 2 3" xfId="17587" xr:uid="{2F3E0147-5143-44B4-AE81-E7CFFB3E6B54}"/>
    <cellStyle name="Normal 9 2 2 2 6 2 3" xfId="21810" xr:uid="{E4FD100A-01D0-4FF5-9551-79C80ED31631}"/>
    <cellStyle name="Normal 9 2 2 2 6 2 4" xfId="13370" xr:uid="{BF5B5114-B903-4A1F-9366-C2A57DA1D691}"/>
    <cellStyle name="Normal 9 2 2 2 6 3" xfId="6116" xr:uid="{00000000-0005-0000-0000-0000B61E0000}"/>
    <cellStyle name="Normal 9 2 2 2 6 3 2" xfId="23882" xr:uid="{3A03411A-DF11-48EC-8D89-91DEB0540604}"/>
    <cellStyle name="Normal 9 2 2 2 6 3 3" xfId="15442" xr:uid="{0AF6EDDD-5DD2-472A-A686-E5E17F359AD2}"/>
    <cellStyle name="Normal 9 2 2 2 6 4" xfId="19665" xr:uid="{1E1FAC3C-3FCA-43DC-9394-65AA23A041CD}"/>
    <cellStyle name="Normal 9 2 2 2 6 5" xfId="11225" xr:uid="{394BA045-D873-4256-8E11-1F74BD0D368B}"/>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26440" xr:uid="{9666C732-2436-4C1D-85FD-569A15AD5CB9}"/>
    <cellStyle name="Normal 9 2 2 2 7 2 2 3" xfId="18000" xr:uid="{7362492B-DFA7-4498-A253-3D1504735E1E}"/>
    <cellStyle name="Normal 9 2 2 2 7 2 3" xfId="22223" xr:uid="{65D2B6CC-E197-472C-B095-8AFBF92C417D}"/>
    <cellStyle name="Normal 9 2 2 2 7 2 4" xfId="13783" xr:uid="{C68E60E8-D90E-4865-854E-70FC257F8B13}"/>
    <cellStyle name="Normal 9 2 2 2 7 3" xfId="6529" xr:uid="{00000000-0005-0000-0000-0000BA1E0000}"/>
    <cellStyle name="Normal 9 2 2 2 7 3 2" xfId="24295" xr:uid="{8204465B-5A82-4767-9274-33F6EC123D3C}"/>
    <cellStyle name="Normal 9 2 2 2 7 3 3" xfId="15855" xr:uid="{375AA2CF-B5F1-4733-B247-EC66C078D7CA}"/>
    <cellStyle name="Normal 9 2 2 2 7 4" xfId="20078" xr:uid="{EC7C2C18-5CBA-4EC8-8193-6949A8D6FC3D}"/>
    <cellStyle name="Normal 9 2 2 2 7 5" xfId="11638" xr:uid="{5B9B1748-5554-4860-8D3D-495C1DA9D9EA}"/>
    <cellStyle name="Normal 9 2 2 2 8" xfId="2659" xr:uid="{00000000-0005-0000-0000-0000BB1E0000}"/>
    <cellStyle name="Normal 9 2 2 2 8 2" xfId="6942" xr:uid="{00000000-0005-0000-0000-0000BC1E0000}"/>
    <cellStyle name="Normal 9 2 2 2 8 2 2" xfId="24708" xr:uid="{BCED4190-6DF1-467C-8079-88A087BC1E8E}"/>
    <cellStyle name="Normal 9 2 2 2 8 2 3" xfId="16268" xr:uid="{07A41D24-5063-4585-B0EB-4789739CD23A}"/>
    <cellStyle name="Normal 9 2 2 2 8 3" xfId="20491" xr:uid="{18105074-B98D-4354-9331-63CBC66AAF56}"/>
    <cellStyle name="Normal 9 2 2 2 8 4" xfId="12051" xr:uid="{67293482-8EBF-4739-BF28-5E4ECCC4727C}"/>
    <cellStyle name="Normal 9 2 2 2 9" xfId="4877" xr:uid="{00000000-0005-0000-0000-0000BD1E0000}"/>
    <cellStyle name="Normal 9 2 2 2 9 2" xfId="22643" xr:uid="{53D6C1BA-584A-4DA4-90EE-7E7443105203}"/>
    <cellStyle name="Normal 9 2 2 2 9 3" xfId="14203" xr:uid="{8446B8F1-8441-4F3F-884B-CCAA449C761C}"/>
    <cellStyle name="Normal 9 2 2 3" xfId="517" xr:uid="{00000000-0005-0000-0000-0000BE1E0000}"/>
    <cellStyle name="Normal 9 2 2 3 10" xfId="9990" xr:uid="{F731DBA7-ED0B-4D6C-ABAA-CB66039A21EB}"/>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25206" xr:uid="{BF06D6D7-9E3D-4226-BBCF-29B2D413EB4C}"/>
    <cellStyle name="Normal 9 2 2 3 2 2 2 2 3" xfId="16766" xr:uid="{657DE4B6-0664-412D-B029-14744F44D7FB}"/>
    <cellStyle name="Normal 9 2 2 3 2 2 2 3" xfId="20989" xr:uid="{2A88FF10-8285-4A90-A189-D07E9FA33FFC}"/>
    <cellStyle name="Normal 9 2 2 3 2 2 2 4" xfId="12549" xr:uid="{29C50A93-F91F-4EC6-9BBF-E75154B0A0FF}"/>
    <cellStyle name="Normal 9 2 2 3 2 2 3" xfId="5295" xr:uid="{00000000-0005-0000-0000-0000C31E0000}"/>
    <cellStyle name="Normal 9 2 2 3 2 2 3 2" xfId="23061" xr:uid="{4BAA5822-308A-4630-BF53-C96C7CD6FAE5}"/>
    <cellStyle name="Normal 9 2 2 3 2 2 3 3" xfId="14621" xr:uid="{791DD343-0B41-476B-89D0-9EEE7215EEA6}"/>
    <cellStyle name="Normal 9 2 2 3 2 2 4" xfId="9520" xr:uid="{57CFBD10-691F-4DF8-8020-B75E98FF60DD}"/>
    <cellStyle name="Normal 9 2 2 3 2 2 4 2" xfId="18844" xr:uid="{990AFD22-BA8E-4B2C-BDA3-71D661A30427}"/>
    <cellStyle name="Normal 9 2 2 3 2 2 5" xfId="10404" xr:uid="{58DCA18F-D7E5-41F6-84A5-726ABB49D43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25619" xr:uid="{5818C9A7-7FBB-461A-B5AD-FBFE9C669FA3}"/>
    <cellStyle name="Normal 9 2 2 3 2 3 2 2 3" xfId="17179" xr:uid="{5BBEAF78-09F8-46C4-8219-AFAA094D0815}"/>
    <cellStyle name="Normal 9 2 2 3 2 3 2 3" xfId="21402" xr:uid="{181DB9CA-42E3-4653-8172-AFF45457629A}"/>
    <cellStyle name="Normal 9 2 2 3 2 3 2 4" xfId="12962" xr:uid="{D1F024AA-580D-4E90-9A7F-F2BDA95369E7}"/>
    <cellStyle name="Normal 9 2 2 3 2 3 3" xfId="5708" xr:uid="{00000000-0005-0000-0000-0000C71E0000}"/>
    <cellStyle name="Normal 9 2 2 3 2 3 3 2" xfId="23474" xr:uid="{57738FBE-3EE2-453C-98FA-6416A0F521DC}"/>
    <cellStyle name="Normal 9 2 2 3 2 3 3 3" xfId="15034" xr:uid="{44C8D346-4024-4CF3-93D2-377419FBD2C9}"/>
    <cellStyle name="Normal 9 2 2 3 2 3 4" xfId="19257" xr:uid="{4790D3E2-2A3A-47C0-9223-127C70B2EEB7}"/>
    <cellStyle name="Normal 9 2 2 3 2 3 5" xfId="10817" xr:uid="{DB9ECF61-5AD9-4D71-AF57-A4BF0EF2015C}"/>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26032" xr:uid="{629FD28D-E159-4CB9-A9D6-B36FB90D2476}"/>
    <cellStyle name="Normal 9 2 2 3 2 4 2 2 3" xfId="17592" xr:uid="{72555798-5584-4356-9D1E-C90D9EDEC02E}"/>
    <cellStyle name="Normal 9 2 2 3 2 4 2 3" xfId="21815" xr:uid="{2E24B28D-21D5-443F-AC3F-68120DAB92CD}"/>
    <cellStyle name="Normal 9 2 2 3 2 4 2 4" xfId="13375" xr:uid="{23E08CF3-AC9A-40B4-88D0-770A66CDC59A}"/>
    <cellStyle name="Normal 9 2 2 3 2 4 3" xfId="6121" xr:uid="{00000000-0005-0000-0000-0000CB1E0000}"/>
    <cellStyle name="Normal 9 2 2 3 2 4 3 2" xfId="23887" xr:uid="{3F8066D7-63C3-46A8-8010-A5C3EAA71693}"/>
    <cellStyle name="Normal 9 2 2 3 2 4 3 3" xfId="15447" xr:uid="{5A70AFD8-85AA-4C84-AE3E-D73BBCBD9C9A}"/>
    <cellStyle name="Normal 9 2 2 3 2 4 4" xfId="19670" xr:uid="{280FBA45-07A5-4AF6-9027-65905749FA6D}"/>
    <cellStyle name="Normal 9 2 2 3 2 4 5" xfId="11230" xr:uid="{25954367-4B66-4DE2-A086-42B36CE8FA5C}"/>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26445" xr:uid="{BA60AE9B-22D6-4F87-94AC-1B281CF4F601}"/>
    <cellStyle name="Normal 9 2 2 3 2 5 2 2 3" xfId="18005" xr:uid="{2B02ED2A-8FFA-478D-B25E-EAEA40C9A58E}"/>
    <cellStyle name="Normal 9 2 2 3 2 5 2 3" xfId="22228" xr:uid="{1A32D42D-EEE9-4883-978F-9C9674980A8F}"/>
    <cellStyle name="Normal 9 2 2 3 2 5 2 4" xfId="13788" xr:uid="{9E81F35D-9748-4E91-8DB8-0D37273D2D73}"/>
    <cellStyle name="Normal 9 2 2 3 2 5 3" xfId="6534" xr:uid="{00000000-0005-0000-0000-0000CF1E0000}"/>
    <cellStyle name="Normal 9 2 2 3 2 5 3 2" xfId="24300" xr:uid="{CA664405-65E7-49C9-B0FE-6B2E4623269D}"/>
    <cellStyle name="Normal 9 2 2 3 2 5 3 3" xfId="15860" xr:uid="{DC7A9E4F-59DD-4ECE-A578-11DB8CF1DFEC}"/>
    <cellStyle name="Normal 9 2 2 3 2 5 4" xfId="20083" xr:uid="{D54FEA07-84FB-4BCC-B2AC-0F90FE16CCAE}"/>
    <cellStyle name="Normal 9 2 2 3 2 5 5" xfId="11643" xr:uid="{49FF9015-C94D-42B1-94F3-1F9D98163729}"/>
    <cellStyle name="Normal 9 2 2 3 2 6" xfId="2664" xr:uid="{00000000-0005-0000-0000-0000D01E0000}"/>
    <cellStyle name="Normal 9 2 2 3 2 6 2" xfId="6947" xr:uid="{00000000-0005-0000-0000-0000D11E0000}"/>
    <cellStyle name="Normal 9 2 2 3 2 6 2 2" xfId="24713" xr:uid="{8D57C6CF-CBC8-465B-8CD9-61038EA8404C}"/>
    <cellStyle name="Normal 9 2 2 3 2 6 2 3" xfId="16273" xr:uid="{F37FF6C2-364E-42B6-824D-A3AD4B8D1492}"/>
    <cellStyle name="Normal 9 2 2 3 2 6 3" xfId="20496" xr:uid="{72E1F7D0-BEE2-404B-8E59-197DA690E5CC}"/>
    <cellStyle name="Normal 9 2 2 3 2 6 4" xfId="12056" xr:uid="{E4E2502A-FCE7-4BE4-A2AB-45FA1F7E45EE}"/>
    <cellStyle name="Normal 9 2 2 3 2 7" xfId="4882" xr:uid="{00000000-0005-0000-0000-0000D21E0000}"/>
    <cellStyle name="Normal 9 2 2 3 2 7 2" xfId="22648" xr:uid="{97AE44CA-CB84-4C2C-882A-4E675B956AE4}"/>
    <cellStyle name="Normal 9 2 2 3 2 7 3" xfId="14208" xr:uid="{254B78BE-5F3B-41AE-A467-50649547E24B}"/>
    <cellStyle name="Normal 9 2 2 3 2 8" xfId="9095" xr:uid="{D95088B7-D227-4E97-A9B9-DA61436DD386}"/>
    <cellStyle name="Normal 9 2 2 3 2 8 2" xfId="18431" xr:uid="{9AC674AD-E40D-4F8A-BC50-D3D4A7E6069B}"/>
    <cellStyle name="Normal 9 2 2 3 2 9" xfId="9991" xr:uid="{2CFD9FC8-E6A0-4FD4-A4A4-CF50119E26EE}"/>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25205" xr:uid="{0D82A23E-5A2D-46A1-807E-AEB88A0D3813}"/>
    <cellStyle name="Normal 9 2 2 3 3 2 2 3" xfId="16765" xr:uid="{4281EAA9-3CC4-4160-8D78-60308F971998}"/>
    <cellStyle name="Normal 9 2 2 3 3 2 3" xfId="20988" xr:uid="{3B7B31EE-2A8F-485C-9924-3C481BD5EEDC}"/>
    <cellStyle name="Normal 9 2 2 3 3 2 4" xfId="12548" xr:uid="{98DD0EC1-586A-4B28-8D57-7AD2797A57F8}"/>
    <cellStyle name="Normal 9 2 2 3 3 3" xfId="5294" xr:uid="{00000000-0005-0000-0000-0000D61E0000}"/>
    <cellStyle name="Normal 9 2 2 3 3 3 2" xfId="23060" xr:uid="{B2293F01-04BA-4B53-A4A2-452B343DD8C3}"/>
    <cellStyle name="Normal 9 2 2 3 3 3 3" xfId="14620" xr:uid="{A664480C-74F5-45EA-B381-73FFCCF37E1F}"/>
    <cellStyle name="Normal 9 2 2 3 3 4" xfId="9313" xr:uid="{FDDC600D-FDDD-4FFC-9820-DFD7E0768F33}"/>
    <cellStyle name="Normal 9 2 2 3 3 4 2" xfId="18843" xr:uid="{C808346D-43EA-4BAC-833C-2ECDDC73DB53}"/>
    <cellStyle name="Normal 9 2 2 3 3 5" xfId="10403" xr:uid="{0FDA3F66-619D-49F8-B154-BE3738407C88}"/>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25618" xr:uid="{878F6811-96B0-4F8D-A504-965E6B78C6F4}"/>
    <cellStyle name="Normal 9 2 2 3 4 2 2 3" xfId="17178" xr:uid="{EA155592-67BB-4DA9-BAD9-CC286FEDAADE}"/>
    <cellStyle name="Normal 9 2 2 3 4 2 3" xfId="21401" xr:uid="{3C5D0482-565D-4A1A-A004-4B03BD6F0D9D}"/>
    <cellStyle name="Normal 9 2 2 3 4 2 4" xfId="12961" xr:uid="{FC4D704A-9E1A-4AA3-95C4-1E1878C11A72}"/>
    <cellStyle name="Normal 9 2 2 3 4 3" xfId="5707" xr:uid="{00000000-0005-0000-0000-0000DA1E0000}"/>
    <cellStyle name="Normal 9 2 2 3 4 3 2" xfId="23473" xr:uid="{6745A487-2521-4745-A3A9-06337D079F41}"/>
    <cellStyle name="Normal 9 2 2 3 4 3 3" xfId="15033" xr:uid="{4E5F91DA-290A-42EE-BFE0-D15DD1F5A5FB}"/>
    <cellStyle name="Normal 9 2 2 3 4 4" xfId="19256" xr:uid="{3B99443E-D261-4232-AA46-FEBB323E8B2B}"/>
    <cellStyle name="Normal 9 2 2 3 4 5" xfId="10816" xr:uid="{1EEB03A7-2A51-4845-B40C-66BB37BFF820}"/>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26031" xr:uid="{EE0DEB73-9162-427F-A355-6F462C9C154C}"/>
    <cellStyle name="Normal 9 2 2 3 5 2 2 3" xfId="17591" xr:uid="{D08C4046-2843-4618-8C6A-B8CC8034CF18}"/>
    <cellStyle name="Normal 9 2 2 3 5 2 3" xfId="21814" xr:uid="{5914A1CE-B063-46DF-9428-4436F114306B}"/>
    <cellStyle name="Normal 9 2 2 3 5 2 4" xfId="13374" xr:uid="{14E6136D-22EF-41F3-8492-2F106A4288D0}"/>
    <cellStyle name="Normal 9 2 2 3 5 3" xfId="6120" xr:uid="{00000000-0005-0000-0000-0000DE1E0000}"/>
    <cellStyle name="Normal 9 2 2 3 5 3 2" xfId="23886" xr:uid="{0FC95AA5-7F8F-47E5-A37E-CE252F649A09}"/>
    <cellStyle name="Normal 9 2 2 3 5 3 3" xfId="15446" xr:uid="{2017678E-2F52-4083-91AD-F087F90CD65E}"/>
    <cellStyle name="Normal 9 2 2 3 5 4" xfId="19669" xr:uid="{7B9D6DC3-D785-4AD2-A758-B7614E608440}"/>
    <cellStyle name="Normal 9 2 2 3 5 5" xfId="11229" xr:uid="{AFD7B738-8AAC-4920-940A-58485CB5BE0D}"/>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26444" xr:uid="{003D228E-B5F4-4536-9656-9305EF92264B}"/>
    <cellStyle name="Normal 9 2 2 3 6 2 2 3" xfId="18004" xr:uid="{FE79EB19-4C52-4E86-8C91-AB75463F4BDB}"/>
    <cellStyle name="Normal 9 2 2 3 6 2 3" xfId="22227" xr:uid="{3017E113-0B0B-4BA5-B3E8-DCDCE29100AD}"/>
    <cellStyle name="Normal 9 2 2 3 6 2 4" xfId="13787" xr:uid="{A47EB149-1667-4EAD-B356-757576A89C46}"/>
    <cellStyle name="Normal 9 2 2 3 6 3" xfId="6533" xr:uid="{00000000-0005-0000-0000-0000E21E0000}"/>
    <cellStyle name="Normal 9 2 2 3 6 3 2" xfId="24299" xr:uid="{2DA4C47D-EDE7-41FE-BF2F-A936B94F1B84}"/>
    <cellStyle name="Normal 9 2 2 3 6 3 3" xfId="15859" xr:uid="{918F7CD5-0937-4A50-8C28-E0D435E22136}"/>
    <cellStyle name="Normal 9 2 2 3 6 4" xfId="20082" xr:uid="{19167147-85D4-48B9-BC46-491DC4638844}"/>
    <cellStyle name="Normal 9 2 2 3 6 5" xfId="11642" xr:uid="{B332F0A9-B587-4DE2-BB7D-68FADA69B4FF}"/>
    <cellStyle name="Normal 9 2 2 3 7" xfId="2663" xr:uid="{00000000-0005-0000-0000-0000E31E0000}"/>
    <cellStyle name="Normal 9 2 2 3 7 2" xfId="6946" xr:uid="{00000000-0005-0000-0000-0000E41E0000}"/>
    <cellStyle name="Normal 9 2 2 3 7 2 2" xfId="24712" xr:uid="{08C42784-604A-4808-9A90-7E3484F440AD}"/>
    <cellStyle name="Normal 9 2 2 3 7 2 3" xfId="16272" xr:uid="{CEE1417D-65CE-4E2B-A333-EA5CE04359AF}"/>
    <cellStyle name="Normal 9 2 2 3 7 3" xfId="20495" xr:uid="{4B66A53E-C577-4430-8297-5885778637A4}"/>
    <cellStyle name="Normal 9 2 2 3 7 4" xfId="12055" xr:uid="{13882F2F-2E24-49F4-BD7F-058241FA9247}"/>
    <cellStyle name="Normal 9 2 2 3 8" xfId="4881" xr:uid="{00000000-0005-0000-0000-0000E51E0000}"/>
    <cellStyle name="Normal 9 2 2 3 8 2" xfId="22647" xr:uid="{D89D8332-38CE-43C4-9B0B-9034B13FF7DD}"/>
    <cellStyle name="Normal 9 2 2 3 8 3" xfId="14207" xr:uid="{12060AB7-D457-4D28-8D13-51D247CDEC4F}"/>
    <cellStyle name="Normal 9 2 2 3 9" xfId="8888" xr:uid="{47457178-62A7-4ACA-95A1-433BF4FD3D65}"/>
    <cellStyle name="Normal 9 2 2 3 9 2" xfId="18430" xr:uid="{3E6EF46E-A50C-496F-8C0B-AF1DE534012A}"/>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25207" xr:uid="{52709A9D-FE31-46B4-B8F9-4FEAF0D9DEC1}"/>
    <cellStyle name="Normal 9 2 2 4 2 2 2 3" xfId="16767" xr:uid="{F04BEF16-39AC-44B2-85C1-CFF5951A391A}"/>
    <cellStyle name="Normal 9 2 2 4 2 2 3" xfId="20990" xr:uid="{4D08ED42-FFD5-40CE-8DD7-67E1453F8125}"/>
    <cellStyle name="Normal 9 2 2 4 2 2 4" xfId="12550" xr:uid="{EE82A49B-9006-40A8-9BFB-5D59632C8D5D}"/>
    <cellStyle name="Normal 9 2 2 4 2 3" xfId="5296" xr:uid="{00000000-0005-0000-0000-0000EA1E0000}"/>
    <cellStyle name="Normal 9 2 2 4 2 3 2" xfId="23062" xr:uid="{4109B4DE-53CA-4456-893F-F9249AB84AD4}"/>
    <cellStyle name="Normal 9 2 2 4 2 3 3" xfId="14622" xr:uid="{90B24FDF-07EE-482C-BEF9-3C60FEF32A58}"/>
    <cellStyle name="Normal 9 2 2 4 2 4" xfId="9417" xr:uid="{FDB8A679-B5B8-4E9B-808D-E68F6CA01958}"/>
    <cellStyle name="Normal 9 2 2 4 2 4 2" xfId="18845" xr:uid="{A866DFCD-5603-4C95-AAAD-5114565BDC20}"/>
    <cellStyle name="Normal 9 2 2 4 2 5" xfId="10405" xr:uid="{1A4CB22F-E26F-4380-ACE4-2BBECA2E3DF0}"/>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25620" xr:uid="{E20FCA31-713E-4664-A133-C60261D50705}"/>
    <cellStyle name="Normal 9 2 2 4 3 2 2 3" xfId="17180" xr:uid="{B597B419-EE0B-4CAD-A03C-CB33E254FECF}"/>
    <cellStyle name="Normal 9 2 2 4 3 2 3" xfId="21403" xr:uid="{99229DCC-FE80-40D0-9C05-D5B0F3ACB6F6}"/>
    <cellStyle name="Normal 9 2 2 4 3 2 4" xfId="12963" xr:uid="{B357E67D-9C4E-4D4C-AF6C-A6EBEF214646}"/>
    <cellStyle name="Normal 9 2 2 4 3 3" xfId="5709" xr:uid="{00000000-0005-0000-0000-0000EE1E0000}"/>
    <cellStyle name="Normal 9 2 2 4 3 3 2" xfId="23475" xr:uid="{D81D9114-E71E-4262-9AA8-EA6B1D53D256}"/>
    <cellStyle name="Normal 9 2 2 4 3 3 3" xfId="15035" xr:uid="{8E8A7B73-EA54-4943-993B-B4CA0FA9A5FF}"/>
    <cellStyle name="Normal 9 2 2 4 3 4" xfId="19258" xr:uid="{8656DE54-E8A4-414A-B597-8DB3DD0B5877}"/>
    <cellStyle name="Normal 9 2 2 4 3 5" xfId="10818" xr:uid="{ECD962C8-474D-4788-B2EA-27A6C7F7B04A}"/>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26033" xr:uid="{332AAB0E-A264-4408-976A-8DD4940C2C78}"/>
    <cellStyle name="Normal 9 2 2 4 4 2 2 3" xfId="17593" xr:uid="{6562D89B-D749-4207-8EEB-74FB721FA9E8}"/>
    <cellStyle name="Normal 9 2 2 4 4 2 3" xfId="21816" xr:uid="{880DBE22-A8DE-462B-9FD7-2E44D4EAFEBB}"/>
    <cellStyle name="Normal 9 2 2 4 4 2 4" xfId="13376" xr:uid="{37A2DB1D-8B19-405A-B8A6-63556210145A}"/>
    <cellStyle name="Normal 9 2 2 4 4 3" xfId="6122" xr:uid="{00000000-0005-0000-0000-0000F21E0000}"/>
    <cellStyle name="Normal 9 2 2 4 4 3 2" xfId="23888" xr:uid="{B1F2D301-F56D-4908-B1BC-B22654FF6F47}"/>
    <cellStyle name="Normal 9 2 2 4 4 3 3" xfId="15448" xr:uid="{110841AC-0869-4D5A-8C52-8944E67C28AA}"/>
    <cellStyle name="Normal 9 2 2 4 4 4" xfId="19671" xr:uid="{EE4EB3B8-91F2-4C5F-B3F4-41DFE5D2250A}"/>
    <cellStyle name="Normal 9 2 2 4 4 5" xfId="11231" xr:uid="{492E83EF-37F2-429B-87A8-320D1C0751B8}"/>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26446" xr:uid="{94E9D854-ACEF-4443-9E8F-711F8D69730C}"/>
    <cellStyle name="Normal 9 2 2 4 5 2 2 3" xfId="18006" xr:uid="{D2EBFE2B-6973-423F-9FE8-7C428E6DDB27}"/>
    <cellStyle name="Normal 9 2 2 4 5 2 3" xfId="22229" xr:uid="{E93DB330-B478-4F49-BE4E-D6D3E49AA075}"/>
    <cellStyle name="Normal 9 2 2 4 5 2 4" xfId="13789" xr:uid="{98F0B901-159F-4997-A3CD-363DCA803DB9}"/>
    <cellStyle name="Normal 9 2 2 4 5 3" xfId="6535" xr:uid="{00000000-0005-0000-0000-0000F61E0000}"/>
    <cellStyle name="Normal 9 2 2 4 5 3 2" xfId="24301" xr:uid="{57331DE7-8D3B-4649-823E-BB4E9ED9A2A1}"/>
    <cellStyle name="Normal 9 2 2 4 5 3 3" xfId="15861" xr:uid="{C3465BF3-71E5-439E-99A0-C333FE4A3791}"/>
    <cellStyle name="Normal 9 2 2 4 5 4" xfId="20084" xr:uid="{594772AF-DC70-448C-B56F-5AF92A6D8A6C}"/>
    <cellStyle name="Normal 9 2 2 4 5 5" xfId="11644" xr:uid="{D1612257-ACC5-4E91-BF26-C3676D1B74BA}"/>
    <cellStyle name="Normal 9 2 2 4 6" xfId="2665" xr:uid="{00000000-0005-0000-0000-0000F71E0000}"/>
    <cellStyle name="Normal 9 2 2 4 6 2" xfId="6948" xr:uid="{00000000-0005-0000-0000-0000F81E0000}"/>
    <cellStyle name="Normal 9 2 2 4 6 2 2" xfId="24714" xr:uid="{CACC7FAF-A424-4EBC-B58B-4A212B4C9581}"/>
    <cellStyle name="Normal 9 2 2 4 6 2 3" xfId="16274" xr:uid="{40542004-894B-4CE4-87CF-05409F7E0AB1}"/>
    <cellStyle name="Normal 9 2 2 4 6 3" xfId="20497" xr:uid="{B8C05CD7-86E9-4A34-BC0E-DD0A1C8550AC}"/>
    <cellStyle name="Normal 9 2 2 4 6 4" xfId="12057" xr:uid="{04FBD990-81FC-43EF-8A53-5A51D8B44D9F}"/>
    <cellStyle name="Normal 9 2 2 4 7" xfId="4883" xr:uid="{00000000-0005-0000-0000-0000F91E0000}"/>
    <cellStyle name="Normal 9 2 2 4 7 2" xfId="22649" xr:uid="{2CD5BC20-43B6-4E91-B13E-5B9ABF2713C9}"/>
    <cellStyle name="Normal 9 2 2 4 7 3" xfId="14209" xr:uid="{42CFC4C9-296E-4E24-9E6A-ADAA7BC19908}"/>
    <cellStyle name="Normal 9 2 2 4 8" xfId="8992" xr:uid="{8AFFF8AD-8552-4B33-AAFF-7DACAE25085E}"/>
    <cellStyle name="Normal 9 2 2 4 8 2" xfId="18432" xr:uid="{BCA1AA0F-7638-4DB4-878B-A5B1A7C40B25}"/>
    <cellStyle name="Normal 9 2 2 4 9" xfId="9992" xr:uid="{E01E9B51-90FD-435F-9B0B-19A503BF386F}"/>
    <cellStyle name="Normal 9 2 2 5" xfId="979" xr:uid="{00000000-0005-0000-0000-0000FA1E0000}"/>
    <cellStyle name="Normal 9 2 2 5 2" xfId="3212" xr:uid="{00000000-0005-0000-0000-0000FB1E0000}"/>
    <cellStyle name="Normal 9 2 2 5 2 2" xfId="7434" xr:uid="{00000000-0005-0000-0000-0000FC1E0000}"/>
    <cellStyle name="Normal 9 2 2 5 2 2 2" xfId="25200" xr:uid="{263D1DCF-5CFF-4454-8543-59446137AC4C}"/>
    <cellStyle name="Normal 9 2 2 5 2 2 3" xfId="16760" xr:uid="{5A51759F-C073-4D4D-8447-212511EF756C}"/>
    <cellStyle name="Normal 9 2 2 5 2 3" xfId="20983" xr:uid="{C2C1E16E-B489-4090-8490-FCF825DCC0A6}"/>
    <cellStyle name="Normal 9 2 2 5 2 4" xfId="12543" xr:uid="{07B50E5D-8D28-4F1A-A084-700BC05B354A}"/>
    <cellStyle name="Normal 9 2 2 5 3" xfId="5289" xr:uid="{00000000-0005-0000-0000-0000FD1E0000}"/>
    <cellStyle name="Normal 9 2 2 5 3 2" xfId="23055" xr:uid="{57CE8624-FE70-46E0-819A-4740DB4C31F3}"/>
    <cellStyle name="Normal 9 2 2 5 3 3" xfId="14615" xr:uid="{C4B381BF-9066-4CBE-AACA-713B3FF0BBD1}"/>
    <cellStyle name="Normal 9 2 2 5 4" xfId="9209" xr:uid="{66E66B93-842C-41D8-A807-A065C03CFEBD}"/>
    <cellStyle name="Normal 9 2 2 5 4 2" xfId="18838" xr:uid="{A5F14C3B-BE28-4C59-B609-D899453C650D}"/>
    <cellStyle name="Normal 9 2 2 5 5" xfId="10398" xr:uid="{6B4379C5-051B-43F9-AB6D-E3D3BED7EDAB}"/>
    <cellStyle name="Normal 9 2 2 6" xfId="1395" xr:uid="{00000000-0005-0000-0000-0000FE1E0000}"/>
    <cellStyle name="Normal 9 2 2 6 2" xfId="3625" xr:uid="{00000000-0005-0000-0000-0000FF1E0000}"/>
    <cellStyle name="Normal 9 2 2 6 2 2" xfId="7847" xr:uid="{00000000-0005-0000-0000-0000001F0000}"/>
    <cellStyle name="Normal 9 2 2 6 2 2 2" xfId="25613" xr:uid="{740ADBBE-6468-4BD2-AB30-173D10F4CFE6}"/>
    <cellStyle name="Normal 9 2 2 6 2 2 3" xfId="17173" xr:uid="{78993C71-032C-41C4-98A0-EF913B8D1CBA}"/>
    <cellStyle name="Normal 9 2 2 6 2 3" xfId="21396" xr:uid="{2FBD0732-051E-49A0-B293-7FAFF1E1F520}"/>
    <cellStyle name="Normal 9 2 2 6 2 4" xfId="12956" xr:uid="{070533D5-3493-4100-BD75-534C77C9E9FB}"/>
    <cellStyle name="Normal 9 2 2 6 3" xfId="5702" xr:uid="{00000000-0005-0000-0000-0000011F0000}"/>
    <cellStyle name="Normal 9 2 2 6 3 2" xfId="23468" xr:uid="{745E643F-B7CA-4E5B-8C76-5B0DDD3EACCE}"/>
    <cellStyle name="Normal 9 2 2 6 3 3" xfId="15028" xr:uid="{7D593FA3-2B42-4954-9899-BA301A20B156}"/>
    <cellStyle name="Normal 9 2 2 6 4" xfId="19251" xr:uid="{F332AC38-54D2-4334-B25A-E02D15782391}"/>
    <cellStyle name="Normal 9 2 2 6 5" xfId="10811" xr:uid="{B0E4E7D8-0841-475E-B780-F3A39B6BA638}"/>
    <cellStyle name="Normal 9 2 2 7" xfId="1808" xr:uid="{00000000-0005-0000-0000-0000021F0000}"/>
    <cellStyle name="Normal 9 2 2 7 2" xfId="4038" xr:uid="{00000000-0005-0000-0000-0000031F0000}"/>
    <cellStyle name="Normal 9 2 2 7 2 2" xfId="8260" xr:uid="{00000000-0005-0000-0000-0000041F0000}"/>
    <cellStyle name="Normal 9 2 2 7 2 2 2" xfId="26026" xr:uid="{F01A530B-445E-4064-813A-82C0F9F06CCE}"/>
    <cellStyle name="Normal 9 2 2 7 2 2 3" xfId="17586" xr:uid="{51E22B0E-1F49-4747-82B8-9F1A7AB2A32C}"/>
    <cellStyle name="Normal 9 2 2 7 2 3" xfId="21809" xr:uid="{1C2E9D6F-53A0-46F5-A92C-BCA639C788EB}"/>
    <cellStyle name="Normal 9 2 2 7 2 4" xfId="13369" xr:uid="{8BE13C0C-63B4-49F2-AA53-3AE78537BEB3}"/>
    <cellStyle name="Normal 9 2 2 7 3" xfId="6115" xr:uid="{00000000-0005-0000-0000-0000051F0000}"/>
    <cellStyle name="Normal 9 2 2 7 3 2" xfId="23881" xr:uid="{C5B2B7ED-2DE2-4999-B309-43909C53D6E5}"/>
    <cellStyle name="Normal 9 2 2 7 3 3" xfId="15441" xr:uid="{BA2C79F9-832B-4937-8B61-0C0AB3CCCA35}"/>
    <cellStyle name="Normal 9 2 2 7 4" xfId="19664" xr:uid="{AE34919B-318B-4928-BAFE-0A4D752B3253}"/>
    <cellStyle name="Normal 9 2 2 7 5" xfId="11224" xr:uid="{E3850A8C-613F-48E7-BA31-C48195BDE70F}"/>
    <cellStyle name="Normal 9 2 2 8" xfId="2222" xr:uid="{00000000-0005-0000-0000-0000061F0000}"/>
    <cellStyle name="Normal 9 2 2 8 2" xfId="4451" xr:uid="{00000000-0005-0000-0000-0000071F0000}"/>
    <cellStyle name="Normal 9 2 2 8 2 2" xfId="8673" xr:uid="{00000000-0005-0000-0000-0000081F0000}"/>
    <cellStyle name="Normal 9 2 2 8 2 2 2" xfId="26439" xr:uid="{CDF8A444-73BD-4D86-8E1F-78D84544CB8F}"/>
    <cellStyle name="Normal 9 2 2 8 2 2 3" xfId="17999" xr:uid="{82BD5B47-6FBF-471D-967C-5800366BACD7}"/>
    <cellStyle name="Normal 9 2 2 8 2 3" xfId="22222" xr:uid="{79122D45-2954-4D75-A0DD-C0477FB336D4}"/>
    <cellStyle name="Normal 9 2 2 8 2 4" xfId="13782" xr:uid="{55CBE6F1-9B6B-445B-9FF8-57B71D05D415}"/>
    <cellStyle name="Normal 9 2 2 8 3" xfId="6528" xr:uid="{00000000-0005-0000-0000-0000091F0000}"/>
    <cellStyle name="Normal 9 2 2 8 3 2" xfId="24294" xr:uid="{D81C64F6-4E04-4084-B562-910F70667C0D}"/>
    <cellStyle name="Normal 9 2 2 8 3 3" xfId="15854" xr:uid="{D8EC222E-5067-4D1E-AC13-65BD913F9BC2}"/>
    <cellStyle name="Normal 9 2 2 8 4" xfId="20077" xr:uid="{4D7FA24E-576C-45EA-90D9-A8EAC6F0EB03}"/>
    <cellStyle name="Normal 9 2 2 8 5" xfId="11637" xr:uid="{3C21A3BA-329E-46BC-9092-C02CDA76B559}"/>
    <cellStyle name="Normal 9 2 2 9" xfId="2658" xr:uid="{00000000-0005-0000-0000-00000A1F0000}"/>
    <cellStyle name="Normal 9 2 2 9 2" xfId="6941" xr:uid="{00000000-0005-0000-0000-00000B1F0000}"/>
    <cellStyle name="Normal 9 2 2 9 2 2" xfId="24707" xr:uid="{73C96AFB-F985-4052-BF6B-BAF29FAF6882}"/>
    <cellStyle name="Normal 9 2 2 9 2 3" xfId="16267" xr:uid="{292F998A-8C53-4B46-A8EC-5ED2EDB4DFF4}"/>
    <cellStyle name="Normal 9 2 2 9 3" xfId="20490" xr:uid="{24B9C6C1-9030-4377-9767-E66CA900B502}"/>
    <cellStyle name="Normal 9 2 2 9 4" xfId="12050" xr:uid="{607BC54B-4891-4754-8750-111E08999B3D}"/>
    <cellStyle name="Normal 9 2 3" xfId="520" xr:uid="{00000000-0005-0000-0000-00000C1F0000}"/>
    <cellStyle name="Normal 9 2 3 10" xfId="8838" xr:uid="{3F59BADF-95CF-4831-9CE1-8ACBDD585DF1}"/>
    <cellStyle name="Normal 9 2 3 10 2" xfId="18433" xr:uid="{668FD657-5243-4811-991D-EFE73FEA20C8}"/>
    <cellStyle name="Normal 9 2 3 11" xfId="9993" xr:uid="{56A3FE72-D2D9-408B-9640-092757519543}"/>
    <cellStyle name="Normal 9 2 3 2" xfId="521" xr:uid="{00000000-0005-0000-0000-00000D1F0000}"/>
    <cellStyle name="Normal 9 2 3 2 10" xfId="9994" xr:uid="{4665D4EE-683D-46CC-B4A3-A928DFF3EA16}"/>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25210" xr:uid="{3875E74E-0131-4F62-8C68-3C4C942C79D3}"/>
    <cellStyle name="Normal 9 2 3 2 2 2 2 2 3" xfId="16770" xr:uid="{ADAD29DD-9777-46A5-81A6-586297A7A8AD}"/>
    <cellStyle name="Normal 9 2 3 2 2 2 2 3" xfId="20993" xr:uid="{BACCA68F-A661-49A0-96DE-3E9DAAA77FEC}"/>
    <cellStyle name="Normal 9 2 3 2 2 2 2 4" xfId="12553" xr:uid="{F09A3299-89E0-4A16-83F2-24E8A3D264A4}"/>
    <cellStyle name="Normal 9 2 3 2 2 2 3" xfId="5299" xr:uid="{00000000-0005-0000-0000-0000121F0000}"/>
    <cellStyle name="Normal 9 2 3 2 2 2 3 2" xfId="23065" xr:uid="{7C575A60-3B36-4B11-92D4-4D0D56531CBD}"/>
    <cellStyle name="Normal 9 2 3 2 2 2 3 3" xfId="14625" xr:uid="{D4FA5AD5-0F31-463B-8813-2A93A208B7D5}"/>
    <cellStyle name="Normal 9 2 3 2 2 2 4" xfId="9573" xr:uid="{376F8566-2407-40B8-9531-D3E757BE7A23}"/>
    <cellStyle name="Normal 9 2 3 2 2 2 4 2" xfId="18848" xr:uid="{029FEE42-CFC6-4C2C-AFAE-C8C60C5CA828}"/>
    <cellStyle name="Normal 9 2 3 2 2 2 5" xfId="10408" xr:uid="{99FC7357-501C-4EA2-B23A-A5C502EF8888}"/>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25623" xr:uid="{BF8955C5-D550-4817-93F8-137FB80778B2}"/>
    <cellStyle name="Normal 9 2 3 2 2 3 2 2 3" xfId="17183" xr:uid="{8807F274-B3B1-4019-8759-9B37BB6EF485}"/>
    <cellStyle name="Normal 9 2 3 2 2 3 2 3" xfId="21406" xr:uid="{F9643E5A-329B-4503-AFA8-FE4B2F6BA3F2}"/>
    <cellStyle name="Normal 9 2 3 2 2 3 2 4" xfId="12966" xr:uid="{F5BA8E88-4588-48F3-8883-F460E87A4B58}"/>
    <cellStyle name="Normal 9 2 3 2 2 3 3" xfId="5712" xr:uid="{00000000-0005-0000-0000-0000161F0000}"/>
    <cellStyle name="Normal 9 2 3 2 2 3 3 2" xfId="23478" xr:uid="{AB53AB6D-5ED0-4A9C-A566-F21D8CFE40A1}"/>
    <cellStyle name="Normal 9 2 3 2 2 3 3 3" xfId="15038" xr:uid="{7ECBA877-6E9A-4994-813C-E7BBCAE46DB4}"/>
    <cellStyle name="Normal 9 2 3 2 2 3 4" xfId="19261" xr:uid="{8BCB85B6-6DD9-4FDD-B823-6A8D92B570BE}"/>
    <cellStyle name="Normal 9 2 3 2 2 3 5" xfId="10821" xr:uid="{2DC45772-F840-4940-94A1-3CECE1B2B1ED}"/>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26036" xr:uid="{A2ACCCDE-4E2F-4B1F-9659-70B913FDEA40}"/>
    <cellStyle name="Normal 9 2 3 2 2 4 2 2 3" xfId="17596" xr:uid="{A8EA009F-DB1A-4028-98F9-0A01E759B0DC}"/>
    <cellStyle name="Normal 9 2 3 2 2 4 2 3" xfId="21819" xr:uid="{1EF819FF-5DE3-4D45-8FA1-B62CDF457991}"/>
    <cellStyle name="Normal 9 2 3 2 2 4 2 4" xfId="13379" xr:uid="{F94AA8F0-7C4C-4A82-8F50-CC5DD2C847FB}"/>
    <cellStyle name="Normal 9 2 3 2 2 4 3" xfId="6125" xr:uid="{00000000-0005-0000-0000-00001A1F0000}"/>
    <cellStyle name="Normal 9 2 3 2 2 4 3 2" xfId="23891" xr:uid="{7D2E9880-3DFE-4714-A6B5-AA8158966F47}"/>
    <cellStyle name="Normal 9 2 3 2 2 4 3 3" xfId="15451" xr:uid="{91E2EE62-A4CA-4B1F-BBC2-D062B3B071D2}"/>
    <cellStyle name="Normal 9 2 3 2 2 4 4" xfId="19674" xr:uid="{DE487C6D-2026-4EEF-B60D-253F500E3759}"/>
    <cellStyle name="Normal 9 2 3 2 2 4 5" xfId="11234" xr:uid="{13DDEA07-E1C7-4C9F-B649-02320EA9B705}"/>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26449" xr:uid="{A83C095B-E785-4DA1-94D2-6F1F17A68A6D}"/>
    <cellStyle name="Normal 9 2 3 2 2 5 2 2 3" xfId="18009" xr:uid="{5AD07975-2D1B-4B29-AD2F-DD57D5A2946B}"/>
    <cellStyle name="Normal 9 2 3 2 2 5 2 3" xfId="22232" xr:uid="{B10D1884-83FA-4AC3-89AA-B8692C42248A}"/>
    <cellStyle name="Normal 9 2 3 2 2 5 2 4" xfId="13792" xr:uid="{09FF2967-3B51-407D-B492-DD65920A91B3}"/>
    <cellStyle name="Normal 9 2 3 2 2 5 3" xfId="6538" xr:uid="{00000000-0005-0000-0000-00001E1F0000}"/>
    <cellStyle name="Normal 9 2 3 2 2 5 3 2" xfId="24304" xr:uid="{FFC8CC81-954F-4DD4-B229-7129066574D6}"/>
    <cellStyle name="Normal 9 2 3 2 2 5 3 3" xfId="15864" xr:uid="{C3331571-9152-42F7-AFC9-18EA90B4C5EC}"/>
    <cellStyle name="Normal 9 2 3 2 2 5 4" xfId="20087" xr:uid="{D9E2FB83-B2BB-44E8-A994-030EFF23BFEC}"/>
    <cellStyle name="Normal 9 2 3 2 2 5 5" xfId="11647" xr:uid="{42EEFFCA-D584-40EA-B7DF-0F89CA62ADD0}"/>
    <cellStyle name="Normal 9 2 3 2 2 6" xfId="2668" xr:uid="{00000000-0005-0000-0000-00001F1F0000}"/>
    <cellStyle name="Normal 9 2 3 2 2 6 2" xfId="6951" xr:uid="{00000000-0005-0000-0000-0000201F0000}"/>
    <cellStyle name="Normal 9 2 3 2 2 6 2 2" xfId="24717" xr:uid="{D31E66CC-5579-4D46-96BE-58FA88370C04}"/>
    <cellStyle name="Normal 9 2 3 2 2 6 2 3" xfId="16277" xr:uid="{C3934850-3336-4AEB-83F1-958C083DBB5F}"/>
    <cellStyle name="Normal 9 2 3 2 2 6 3" xfId="20500" xr:uid="{69E7306D-3163-4736-8781-F416D571823B}"/>
    <cellStyle name="Normal 9 2 3 2 2 6 4" xfId="12060" xr:uid="{AEB6F70A-65C9-4933-957C-89301C6F144E}"/>
    <cellStyle name="Normal 9 2 3 2 2 7" xfId="4886" xr:uid="{00000000-0005-0000-0000-0000211F0000}"/>
    <cellStyle name="Normal 9 2 3 2 2 7 2" xfId="22652" xr:uid="{02DDEE52-387D-48D9-ACB2-FBEF1B2B39DB}"/>
    <cellStyle name="Normal 9 2 3 2 2 7 3" xfId="14212" xr:uid="{160BCB5B-F839-4E9D-B76F-77EB341DA0CB}"/>
    <cellStyle name="Normal 9 2 3 2 2 8" xfId="9148" xr:uid="{E1A2F3F0-C8EA-47FA-BB37-18F117041A87}"/>
    <cellStyle name="Normal 9 2 3 2 2 8 2" xfId="18435" xr:uid="{B540EDB9-32E0-41FF-A1DE-2F6A29B5F95C}"/>
    <cellStyle name="Normal 9 2 3 2 2 9" xfId="9995" xr:uid="{48C0606C-FF6E-41CD-9826-CA90081DC11A}"/>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25209" xr:uid="{C8DF53CF-FD0D-4312-941D-70E60F470819}"/>
    <cellStyle name="Normal 9 2 3 2 3 2 2 3" xfId="16769" xr:uid="{925EEF89-0CD5-4FD0-857F-F0941AAC2322}"/>
    <cellStyle name="Normal 9 2 3 2 3 2 3" xfId="20992" xr:uid="{479A572B-7E03-415C-BC52-9D3E003C4C37}"/>
    <cellStyle name="Normal 9 2 3 2 3 2 4" xfId="12552" xr:uid="{74FD70C9-7A15-4EEE-9497-D5D437FA02EB}"/>
    <cellStyle name="Normal 9 2 3 2 3 3" xfId="5298" xr:uid="{00000000-0005-0000-0000-0000251F0000}"/>
    <cellStyle name="Normal 9 2 3 2 3 3 2" xfId="23064" xr:uid="{C920DF23-B620-49DE-A760-A95992AFBAAE}"/>
    <cellStyle name="Normal 9 2 3 2 3 3 3" xfId="14624" xr:uid="{6DF45E72-742B-4F77-BAAF-998266EBD27F}"/>
    <cellStyle name="Normal 9 2 3 2 3 4" xfId="9366" xr:uid="{136A6B94-9CAA-4F6C-B09D-7385900FCA38}"/>
    <cellStyle name="Normal 9 2 3 2 3 4 2" xfId="18847" xr:uid="{D274B3AB-8A40-4BCF-BB26-74A28C668665}"/>
    <cellStyle name="Normal 9 2 3 2 3 5" xfId="10407" xr:uid="{3B8472FC-DCF3-4BBC-8CEA-FD215D375D07}"/>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25622" xr:uid="{EE558FC3-F01E-4579-8149-897576E3CF2F}"/>
    <cellStyle name="Normal 9 2 3 2 4 2 2 3" xfId="17182" xr:uid="{8CB6C0F2-FBCB-4C52-A9FC-B0784DFCA5E2}"/>
    <cellStyle name="Normal 9 2 3 2 4 2 3" xfId="21405" xr:uid="{3B711E47-32B0-4704-B063-42A042ADEF02}"/>
    <cellStyle name="Normal 9 2 3 2 4 2 4" xfId="12965" xr:uid="{43EFC2C2-33DB-4336-80B5-DBF40BB3829E}"/>
    <cellStyle name="Normal 9 2 3 2 4 3" xfId="5711" xr:uid="{00000000-0005-0000-0000-0000291F0000}"/>
    <cellStyle name="Normal 9 2 3 2 4 3 2" xfId="23477" xr:uid="{367FD009-7436-4E3F-A0BE-08D655B9C6C5}"/>
    <cellStyle name="Normal 9 2 3 2 4 3 3" xfId="15037" xr:uid="{AAE2BEB8-5F71-47C0-B6A4-D7B7EC04FC38}"/>
    <cellStyle name="Normal 9 2 3 2 4 4" xfId="19260" xr:uid="{D89C8C94-C68C-4860-BC71-67D386648DFC}"/>
    <cellStyle name="Normal 9 2 3 2 4 5" xfId="10820" xr:uid="{11D10535-9ACD-40A5-B873-F00FA16CD277}"/>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26035" xr:uid="{20B5EE25-679A-4D28-873C-6B270D1CF3BC}"/>
    <cellStyle name="Normal 9 2 3 2 5 2 2 3" xfId="17595" xr:uid="{E332CEC0-83E4-4A52-8CC1-5BE1A7A829CA}"/>
    <cellStyle name="Normal 9 2 3 2 5 2 3" xfId="21818" xr:uid="{A131755A-B8D0-4EFA-9A92-7D23C73458BC}"/>
    <cellStyle name="Normal 9 2 3 2 5 2 4" xfId="13378" xr:uid="{5446391A-36FC-4409-91AE-D4931AFF268D}"/>
    <cellStyle name="Normal 9 2 3 2 5 3" xfId="6124" xr:uid="{00000000-0005-0000-0000-00002D1F0000}"/>
    <cellStyle name="Normal 9 2 3 2 5 3 2" xfId="23890" xr:uid="{17CF0533-DBD2-4AEE-80AF-A2F366648190}"/>
    <cellStyle name="Normal 9 2 3 2 5 3 3" xfId="15450" xr:uid="{AAAECAEE-5805-47C5-8A35-B6996CE2F35B}"/>
    <cellStyle name="Normal 9 2 3 2 5 4" xfId="19673" xr:uid="{DD517ABF-A586-4671-81DC-13656790E1C7}"/>
    <cellStyle name="Normal 9 2 3 2 5 5" xfId="11233" xr:uid="{701D26F3-192B-47D5-BA5F-2C142FB077A4}"/>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26448" xr:uid="{CEA85141-31C2-479C-BC45-A402AD5EA824}"/>
    <cellStyle name="Normal 9 2 3 2 6 2 2 3" xfId="18008" xr:uid="{C1CAD5CD-C880-47A1-91ED-222897064906}"/>
    <cellStyle name="Normal 9 2 3 2 6 2 3" xfId="22231" xr:uid="{CE4B9F78-E4E9-42AF-87C6-A1F1386EEE2C}"/>
    <cellStyle name="Normal 9 2 3 2 6 2 4" xfId="13791" xr:uid="{329677AF-30BE-49BF-B47E-A5DADA408E87}"/>
    <cellStyle name="Normal 9 2 3 2 6 3" xfId="6537" xr:uid="{00000000-0005-0000-0000-0000311F0000}"/>
    <cellStyle name="Normal 9 2 3 2 6 3 2" xfId="24303" xr:uid="{CC11B768-F9B8-482A-9D07-843DA5CEE357}"/>
    <cellStyle name="Normal 9 2 3 2 6 3 3" xfId="15863" xr:uid="{2C633B76-8C32-4124-9D4C-EC8179FB10CD}"/>
    <cellStyle name="Normal 9 2 3 2 6 4" xfId="20086" xr:uid="{228A858D-0F21-4A1E-AB45-198633E031D3}"/>
    <cellStyle name="Normal 9 2 3 2 6 5" xfId="11646" xr:uid="{3E81A7AA-C104-457D-9D5C-74E37F6CC44C}"/>
    <cellStyle name="Normal 9 2 3 2 7" xfId="2667" xr:uid="{00000000-0005-0000-0000-0000321F0000}"/>
    <cellStyle name="Normal 9 2 3 2 7 2" xfId="6950" xr:uid="{00000000-0005-0000-0000-0000331F0000}"/>
    <cellStyle name="Normal 9 2 3 2 7 2 2" xfId="24716" xr:uid="{531F611B-CCB8-4E70-9099-AF927F0D5D19}"/>
    <cellStyle name="Normal 9 2 3 2 7 2 3" xfId="16276" xr:uid="{2956E6EF-760B-4B8E-83B5-A5FAAECA7FD9}"/>
    <cellStyle name="Normal 9 2 3 2 7 3" xfId="20499" xr:uid="{E2194A61-9A62-49D5-965A-54BBBDA639BF}"/>
    <cellStyle name="Normal 9 2 3 2 7 4" xfId="12059" xr:uid="{8E9C2523-D2E7-4D2B-ABDC-39DCA711AAE2}"/>
    <cellStyle name="Normal 9 2 3 2 8" xfId="4885" xr:uid="{00000000-0005-0000-0000-0000341F0000}"/>
    <cellStyle name="Normal 9 2 3 2 8 2" xfId="22651" xr:uid="{C28F1E41-730D-4825-9B3C-195249B3D539}"/>
    <cellStyle name="Normal 9 2 3 2 8 3" xfId="14211" xr:uid="{4B3F122E-0D41-46A6-9E01-EA1ABE75DA5D}"/>
    <cellStyle name="Normal 9 2 3 2 9" xfId="8941" xr:uid="{DDA1E375-E708-45D0-9119-207D493A75BA}"/>
    <cellStyle name="Normal 9 2 3 2 9 2" xfId="18434" xr:uid="{D78153AB-BD89-4FCA-A0A5-6AB1A238728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25211" xr:uid="{DB04FB9D-63C3-4AC8-A00A-390E8C26BF43}"/>
    <cellStyle name="Normal 9 2 3 3 2 2 2 3" xfId="16771" xr:uid="{D26D7129-8A81-412F-A5DA-3BC7DD8BDD38}"/>
    <cellStyle name="Normal 9 2 3 3 2 2 3" xfId="20994" xr:uid="{30E22084-DB72-4216-8F1A-66032B84F049}"/>
    <cellStyle name="Normal 9 2 3 3 2 2 4" xfId="12554" xr:uid="{4C52FB90-BD09-4753-8E93-3637B8597205}"/>
    <cellStyle name="Normal 9 2 3 3 2 3" xfId="5300" xr:uid="{00000000-0005-0000-0000-0000391F0000}"/>
    <cellStyle name="Normal 9 2 3 3 2 3 2" xfId="23066" xr:uid="{7FDE2DD4-601A-4F26-82CE-5940FE04B341}"/>
    <cellStyle name="Normal 9 2 3 3 2 3 3" xfId="14626" xr:uid="{C03DD121-1553-42B2-8F65-F9350448F3A6}"/>
    <cellStyle name="Normal 9 2 3 3 2 4" xfId="9470" xr:uid="{B46EA5E7-4A9D-405A-94B0-2C155F0DE1F1}"/>
    <cellStyle name="Normal 9 2 3 3 2 4 2" xfId="18849" xr:uid="{2D6FDE64-6A8F-4D4F-A829-AF18333DFD2D}"/>
    <cellStyle name="Normal 9 2 3 3 2 5" xfId="10409" xr:uid="{CE65F260-711A-4385-B3CC-4464700001F2}"/>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25624" xr:uid="{31EE0B6F-BC3D-4C27-B6E2-88CC0DB8BCF1}"/>
    <cellStyle name="Normal 9 2 3 3 3 2 2 3" xfId="17184" xr:uid="{D4AA2B9E-3FA9-4D51-BBED-0DF295F8404E}"/>
    <cellStyle name="Normal 9 2 3 3 3 2 3" xfId="21407" xr:uid="{86A11945-3C85-4F61-8DC4-3A4AB5792056}"/>
    <cellStyle name="Normal 9 2 3 3 3 2 4" xfId="12967" xr:uid="{6AFEC74D-06B7-4A2B-9501-713A55584994}"/>
    <cellStyle name="Normal 9 2 3 3 3 3" xfId="5713" xr:uid="{00000000-0005-0000-0000-00003D1F0000}"/>
    <cellStyle name="Normal 9 2 3 3 3 3 2" xfId="23479" xr:uid="{A562BC24-A677-4F29-9CE4-EA8C9F01B7AB}"/>
    <cellStyle name="Normal 9 2 3 3 3 3 3" xfId="15039" xr:uid="{069B91DF-FB09-42F6-8B90-F56544A39E60}"/>
    <cellStyle name="Normal 9 2 3 3 3 4" xfId="19262" xr:uid="{37DEA961-76A8-474B-81A9-93D3D77C6B5E}"/>
    <cellStyle name="Normal 9 2 3 3 3 5" xfId="10822" xr:uid="{961898C9-C529-4D50-9385-2FB19FAB9531}"/>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26037" xr:uid="{A29BE910-66F8-40AA-938D-92FCF59917CF}"/>
    <cellStyle name="Normal 9 2 3 3 4 2 2 3" xfId="17597" xr:uid="{329EE098-B715-4BC0-8EEE-75E399EE90E1}"/>
    <cellStyle name="Normal 9 2 3 3 4 2 3" xfId="21820" xr:uid="{158A5AA4-F78F-428F-926D-0C3B03417470}"/>
    <cellStyle name="Normal 9 2 3 3 4 2 4" xfId="13380" xr:uid="{EC38001B-4F73-4FDA-BC58-727F0EB9CA2C}"/>
    <cellStyle name="Normal 9 2 3 3 4 3" xfId="6126" xr:uid="{00000000-0005-0000-0000-0000411F0000}"/>
    <cellStyle name="Normal 9 2 3 3 4 3 2" xfId="23892" xr:uid="{D287A40B-4E40-4A9D-8173-C7EF1AB7A2FF}"/>
    <cellStyle name="Normal 9 2 3 3 4 3 3" xfId="15452" xr:uid="{28BE6FC0-C9F4-4982-B55A-106EEECBFEDD}"/>
    <cellStyle name="Normal 9 2 3 3 4 4" xfId="19675" xr:uid="{D2668F27-F90F-4435-BF6B-9958528C0699}"/>
    <cellStyle name="Normal 9 2 3 3 4 5" xfId="11235" xr:uid="{70B2A647-247B-4A79-89B6-7E2A45497541}"/>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26450" xr:uid="{654CB9FE-748B-4C37-A875-61E31C97FD3E}"/>
    <cellStyle name="Normal 9 2 3 3 5 2 2 3" xfId="18010" xr:uid="{0174729B-99A7-4458-8EB7-F873B79768DC}"/>
    <cellStyle name="Normal 9 2 3 3 5 2 3" xfId="22233" xr:uid="{5539373D-BCC5-44D3-84CF-166793041D16}"/>
    <cellStyle name="Normal 9 2 3 3 5 2 4" xfId="13793" xr:uid="{AA4EA5BE-1758-44CC-9B87-CA4C5714259C}"/>
    <cellStyle name="Normal 9 2 3 3 5 3" xfId="6539" xr:uid="{00000000-0005-0000-0000-0000451F0000}"/>
    <cellStyle name="Normal 9 2 3 3 5 3 2" xfId="24305" xr:uid="{0EC1BD64-5251-4A55-93BE-260C91556680}"/>
    <cellStyle name="Normal 9 2 3 3 5 3 3" xfId="15865" xr:uid="{0D921B76-C2A3-47C9-9ECC-3648FDB3EAAA}"/>
    <cellStyle name="Normal 9 2 3 3 5 4" xfId="20088" xr:uid="{CD3A2346-85D6-4561-A7DD-FEB27CC7A18F}"/>
    <cellStyle name="Normal 9 2 3 3 5 5" xfId="11648" xr:uid="{77FA3699-7985-4B0F-819D-9DE8475EE2C2}"/>
    <cellStyle name="Normal 9 2 3 3 6" xfId="2669" xr:uid="{00000000-0005-0000-0000-0000461F0000}"/>
    <cellStyle name="Normal 9 2 3 3 6 2" xfId="6952" xr:uid="{00000000-0005-0000-0000-0000471F0000}"/>
    <cellStyle name="Normal 9 2 3 3 6 2 2" xfId="24718" xr:uid="{BE734877-5C4A-4C48-81C3-69D0CEA9FE00}"/>
    <cellStyle name="Normal 9 2 3 3 6 2 3" xfId="16278" xr:uid="{D3CAC21B-F05C-41D5-AE6A-56F5E72A547E}"/>
    <cellStyle name="Normal 9 2 3 3 6 3" xfId="20501" xr:uid="{AB661328-589D-4D38-835F-D773237DF265}"/>
    <cellStyle name="Normal 9 2 3 3 6 4" xfId="12061" xr:uid="{B07D28DB-B87A-457D-A4E8-402E6312E350}"/>
    <cellStyle name="Normal 9 2 3 3 7" xfId="4887" xr:uid="{00000000-0005-0000-0000-0000481F0000}"/>
    <cellStyle name="Normal 9 2 3 3 7 2" xfId="22653" xr:uid="{AD0B1DE8-73D1-48AC-90C9-8C753584AFC4}"/>
    <cellStyle name="Normal 9 2 3 3 7 3" xfId="14213" xr:uid="{9886CC3F-40EA-451E-B671-F4F122482749}"/>
    <cellStyle name="Normal 9 2 3 3 8" xfId="9045" xr:uid="{CD23D75F-FCE1-471A-A55A-DAC6FB15D069}"/>
    <cellStyle name="Normal 9 2 3 3 8 2" xfId="18436" xr:uid="{BCE7208D-8FD0-4998-9239-25D7D1CEF92A}"/>
    <cellStyle name="Normal 9 2 3 3 9" xfId="9996" xr:uid="{89DFE8FC-8E25-46F8-B5EE-71F94446E7E0}"/>
    <cellStyle name="Normal 9 2 3 4" xfId="987" xr:uid="{00000000-0005-0000-0000-0000491F0000}"/>
    <cellStyle name="Normal 9 2 3 4 2" xfId="3220" xr:uid="{00000000-0005-0000-0000-00004A1F0000}"/>
    <cellStyle name="Normal 9 2 3 4 2 2" xfId="7442" xr:uid="{00000000-0005-0000-0000-00004B1F0000}"/>
    <cellStyle name="Normal 9 2 3 4 2 2 2" xfId="25208" xr:uid="{975CF03A-38E2-4BD1-B47B-FD3E53821EB2}"/>
    <cellStyle name="Normal 9 2 3 4 2 2 3" xfId="16768" xr:uid="{6DDEB5C7-D20E-4539-B948-C2D199A99659}"/>
    <cellStyle name="Normal 9 2 3 4 2 3" xfId="20991" xr:uid="{F39B9CD0-A599-4D56-85FA-0DA1DA349766}"/>
    <cellStyle name="Normal 9 2 3 4 2 4" xfId="12551" xr:uid="{81CDF544-BF5B-4E84-84A0-A0AD624E0437}"/>
    <cellStyle name="Normal 9 2 3 4 3" xfId="5297" xr:uid="{00000000-0005-0000-0000-00004C1F0000}"/>
    <cellStyle name="Normal 9 2 3 4 3 2" xfId="23063" xr:uid="{B42CAFC7-A161-4E59-BA21-FD84E3B43429}"/>
    <cellStyle name="Normal 9 2 3 4 3 3" xfId="14623" xr:uid="{9FFFAD19-4F4A-4B1A-A7C6-F62BFB12A08C}"/>
    <cellStyle name="Normal 9 2 3 4 4" xfId="9263" xr:uid="{8E7B719A-F76B-4A2B-A5A7-1A883FD6976F}"/>
    <cellStyle name="Normal 9 2 3 4 4 2" xfId="18846" xr:uid="{1171B8D0-798C-4420-8545-82380AD2D4E5}"/>
    <cellStyle name="Normal 9 2 3 4 5" xfId="10406" xr:uid="{56821559-3C99-4AD3-8776-6F648960A3EB}"/>
    <cellStyle name="Normal 9 2 3 5" xfId="1403" xr:uid="{00000000-0005-0000-0000-00004D1F0000}"/>
    <cellStyle name="Normal 9 2 3 5 2" xfId="3633" xr:uid="{00000000-0005-0000-0000-00004E1F0000}"/>
    <cellStyle name="Normal 9 2 3 5 2 2" xfId="7855" xr:uid="{00000000-0005-0000-0000-00004F1F0000}"/>
    <cellStyle name="Normal 9 2 3 5 2 2 2" xfId="25621" xr:uid="{617417AE-9D54-40CC-8B4A-EABAE3671323}"/>
    <cellStyle name="Normal 9 2 3 5 2 2 3" xfId="17181" xr:uid="{5E2AFB29-FC0E-4327-99ED-C93011148E24}"/>
    <cellStyle name="Normal 9 2 3 5 2 3" xfId="21404" xr:uid="{E1FC4581-4FD1-4A57-8F3E-0268F309BAED}"/>
    <cellStyle name="Normal 9 2 3 5 2 4" xfId="12964" xr:uid="{E4EA0CB6-0817-4508-A1FE-36F4906BDB59}"/>
    <cellStyle name="Normal 9 2 3 5 3" xfId="5710" xr:uid="{00000000-0005-0000-0000-0000501F0000}"/>
    <cellStyle name="Normal 9 2 3 5 3 2" xfId="23476" xr:uid="{DC5ADB5D-AAD3-4F34-B55B-E24ABEA8D0F4}"/>
    <cellStyle name="Normal 9 2 3 5 3 3" xfId="15036" xr:uid="{40D9AC97-6609-4D5C-8406-EE82EC82D035}"/>
    <cellStyle name="Normal 9 2 3 5 4" xfId="19259" xr:uid="{0D3639E9-1B5E-40C7-B2FE-7411FCA8F351}"/>
    <cellStyle name="Normal 9 2 3 5 5" xfId="10819" xr:uid="{A2FDC0D7-EF5C-48A7-A81D-DE0D8743486C}"/>
    <cellStyle name="Normal 9 2 3 6" xfId="1816" xr:uid="{00000000-0005-0000-0000-0000511F0000}"/>
    <cellStyle name="Normal 9 2 3 6 2" xfId="4046" xr:uid="{00000000-0005-0000-0000-0000521F0000}"/>
    <cellStyle name="Normal 9 2 3 6 2 2" xfId="8268" xr:uid="{00000000-0005-0000-0000-0000531F0000}"/>
    <cellStyle name="Normal 9 2 3 6 2 2 2" xfId="26034" xr:uid="{A2F795E1-33D1-4B67-94AC-61589EA8A0D4}"/>
    <cellStyle name="Normal 9 2 3 6 2 2 3" xfId="17594" xr:uid="{1567BAE6-3259-47ED-B56F-4912C79ED8B6}"/>
    <cellStyle name="Normal 9 2 3 6 2 3" xfId="21817" xr:uid="{C08F8D50-EB92-4F8B-A3B2-F6A10B84BEC9}"/>
    <cellStyle name="Normal 9 2 3 6 2 4" xfId="13377" xr:uid="{DA7CF797-EEA0-4F4E-B11A-C5245A52C829}"/>
    <cellStyle name="Normal 9 2 3 6 3" xfId="6123" xr:uid="{00000000-0005-0000-0000-0000541F0000}"/>
    <cellStyle name="Normal 9 2 3 6 3 2" xfId="23889" xr:uid="{D2CDF4E4-6834-4EC4-BDDC-1DC19BE6390E}"/>
    <cellStyle name="Normal 9 2 3 6 3 3" xfId="15449" xr:uid="{FC5383B4-1331-4307-803B-5EC247342DE4}"/>
    <cellStyle name="Normal 9 2 3 6 4" xfId="19672" xr:uid="{77549A40-00BA-47A6-8589-4242F36A0614}"/>
    <cellStyle name="Normal 9 2 3 6 5" xfId="11232" xr:uid="{A28AE170-030A-4243-AE41-99017414E98E}"/>
    <cellStyle name="Normal 9 2 3 7" xfId="2230" xr:uid="{00000000-0005-0000-0000-0000551F0000}"/>
    <cellStyle name="Normal 9 2 3 7 2" xfId="4459" xr:uid="{00000000-0005-0000-0000-0000561F0000}"/>
    <cellStyle name="Normal 9 2 3 7 2 2" xfId="8681" xr:uid="{00000000-0005-0000-0000-0000571F0000}"/>
    <cellStyle name="Normal 9 2 3 7 2 2 2" xfId="26447" xr:uid="{E3F20FE7-218E-4AF6-A37A-391EB989AAD9}"/>
    <cellStyle name="Normal 9 2 3 7 2 2 3" xfId="18007" xr:uid="{019E36C9-31AA-47E3-BCFB-A90A45DB1425}"/>
    <cellStyle name="Normal 9 2 3 7 2 3" xfId="22230" xr:uid="{228F22B0-3E5C-41E3-8913-77B7EE7C5CFE}"/>
    <cellStyle name="Normal 9 2 3 7 2 4" xfId="13790" xr:uid="{6A8E0E04-FEBC-4A6D-BBA7-9C4E25DA2962}"/>
    <cellStyle name="Normal 9 2 3 7 3" xfId="6536" xr:uid="{00000000-0005-0000-0000-0000581F0000}"/>
    <cellStyle name="Normal 9 2 3 7 3 2" xfId="24302" xr:uid="{F60D2203-9570-48B1-9DA9-076D658AC649}"/>
    <cellStyle name="Normal 9 2 3 7 3 3" xfId="15862" xr:uid="{DC8DA3BC-EEEC-492E-883D-5F7F3ED98C81}"/>
    <cellStyle name="Normal 9 2 3 7 4" xfId="20085" xr:uid="{0971CB4C-292F-4492-9ABE-7A2145EC553A}"/>
    <cellStyle name="Normal 9 2 3 7 5" xfId="11645" xr:uid="{3F7E8CA0-DA9B-4C84-8AB0-D8CC347055FE}"/>
    <cellStyle name="Normal 9 2 3 8" xfId="2666" xr:uid="{00000000-0005-0000-0000-0000591F0000}"/>
    <cellStyle name="Normal 9 2 3 8 2" xfId="6949" xr:uid="{00000000-0005-0000-0000-00005A1F0000}"/>
    <cellStyle name="Normal 9 2 3 8 2 2" xfId="24715" xr:uid="{DD872C75-EEE1-4D73-B6AC-33CACF6AC849}"/>
    <cellStyle name="Normal 9 2 3 8 2 3" xfId="16275" xr:uid="{6CE9311E-FBF2-451A-B7A7-42F5757D635B}"/>
    <cellStyle name="Normal 9 2 3 8 3" xfId="20498" xr:uid="{5AF35C9C-25F7-42EB-8E01-C90EE1ED5E39}"/>
    <cellStyle name="Normal 9 2 3 8 4" xfId="12058" xr:uid="{66E02BB6-CB5D-4EF1-89AF-5728AF6B9784}"/>
    <cellStyle name="Normal 9 2 3 9" xfId="4884" xr:uid="{00000000-0005-0000-0000-00005B1F0000}"/>
    <cellStyle name="Normal 9 2 3 9 2" xfId="22650" xr:uid="{D9815C33-8F3F-4F09-B64C-5EA401773146}"/>
    <cellStyle name="Normal 9 2 3 9 3" xfId="14210" xr:uid="{5850A9DA-48E0-416F-AC43-52D68B9FF30C}"/>
    <cellStyle name="Normal 9 2 4" xfId="524" xr:uid="{00000000-0005-0000-0000-00005C1F0000}"/>
    <cellStyle name="Normal 9 2 4 10" xfId="9997" xr:uid="{3AE066E3-42D6-479B-B330-615F8F03417B}"/>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25213" xr:uid="{9B36076F-B07C-4F0D-9B13-0C81167B6833}"/>
    <cellStyle name="Normal 9 2 4 2 2 2 2 3" xfId="16773" xr:uid="{682EA15A-EA99-44E8-A846-234F3681B209}"/>
    <cellStyle name="Normal 9 2 4 2 2 2 3" xfId="20996" xr:uid="{1BC7AE3F-8BA5-4580-BB4E-4A91CCEC0665}"/>
    <cellStyle name="Normal 9 2 4 2 2 2 4" xfId="12556" xr:uid="{D2C70B99-9E2C-446E-884C-121A885E03A7}"/>
    <cellStyle name="Normal 9 2 4 2 2 3" xfId="5302" xr:uid="{00000000-0005-0000-0000-0000611F0000}"/>
    <cellStyle name="Normal 9 2 4 2 2 3 2" xfId="23068" xr:uid="{E514CDE2-698E-4179-87A5-F37DF3D02FA2}"/>
    <cellStyle name="Normal 9 2 4 2 2 3 3" xfId="14628" xr:uid="{AC824C8F-354E-4A70-AF6C-22E833AADAEE}"/>
    <cellStyle name="Normal 9 2 4 2 2 4" xfId="9489" xr:uid="{4BA9DC16-58A7-4D6B-90A6-6BB0C51A0279}"/>
    <cellStyle name="Normal 9 2 4 2 2 4 2" xfId="18851" xr:uid="{54D3677B-BC08-49DE-B7F1-FE2897AA3B36}"/>
    <cellStyle name="Normal 9 2 4 2 2 5" xfId="10411" xr:uid="{66CFE55C-DDFA-4B77-9003-629E09A707BA}"/>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25626" xr:uid="{784B6C94-94A0-4919-A091-72084217EF63}"/>
    <cellStyle name="Normal 9 2 4 2 3 2 2 3" xfId="17186" xr:uid="{22A5265A-1571-4BD1-9B2C-9CEADFD0AED0}"/>
    <cellStyle name="Normal 9 2 4 2 3 2 3" xfId="21409" xr:uid="{053310B0-0DCA-4F20-96CD-B94B1324C9D0}"/>
    <cellStyle name="Normal 9 2 4 2 3 2 4" xfId="12969" xr:uid="{47ED1874-4B4B-4C9A-B3BB-3610671E0C11}"/>
    <cellStyle name="Normal 9 2 4 2 3 3" xfId="5715" xr:uid="{00000000-0005-0000-0000-0000651F0000}"/>
    <cellStyle name="Normal 9 2 4 2 3 3 2" xfId="23481" xr:uid="{0E2BBBDB-9CFF-477B-8DCF-CBD2043E6E81}"/>
    <cellStyle name="Normal 9 2 4 2 3 3 3" xfId="15041" xr:uid="{B931A2F7-6A0D-4A19-866B-1E1300B35688}"/>
    <cellStyle name="Normal 9 2 4 2 3 4" xfId="19264" xr:uid="{C6C4955E-8A45-4F7F-A6A0-A1B586EC8EBA}"/>
    <cellStyle name="Normal 9 2 4 2 3 5" xfId="10824" xr:uid="{DE59CD04-DCE5-441F-A5DE-0777CAF0E337}"/>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26039" xr:uid="{6B773A4D-300F-4A49-9E2B-5B928FDC72EB}"/>
    <cellStyle name="Normal 9 2 4 2 4 2 2 3" xfId="17599" xr:uid="{549AF4B1-DA21-4B7A-9432-B167BF17071A}"/>
    <cellStyle name="Normal 9 2 4 2 4 2 3" xfId="21822" xr:uid="{CB4D1747-033E-4E9B-8F38-FD0689EEF7A8}"/>
    <cellStyle name="Normal 9 2 4 2 4 2 4" xfId="13382" xr:uid="{E0A44A35-F02F-4BD8-BC23-1E266800D63B}"/>
    <cellStyle name="Normal 9 2 4 2 4 3" xfId="6128" xr:uid="{00000000-0005-0000-0000-0000691F0000}"/>
    <cellStyle name="Normal 9 2 4 2 4 3 2" xfId="23894" xr:uid="{CBD8BEBD-73D5-45BA-8FF8-58E7B6C74191}"/>
    <cellStyle name="Normal 9 2 4 2 4 3 3" xfId="15454" xr:uid="{8C7C67FE-C615-49BC-9307-B5ED2E690BC6}"/>
    <cellStyle name="Normal 9 2 4 2 4 4" xfId="19677" xr:uid="{629409FC-D5BE-47FB-96B7-A35BE0171DC3}"/>
    <cellStyle name="Normal 9 2 4 2 4 5" xfId="11237" xr:uid="{5A4F106E-1285-4F44-AA00-A7B7A2732DE4}"/>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26452" xr:uid="{B0D006E4-6FED-4270-BA1D-4BE7C46FA073}"/>
    <cellStyle name="Normal 9 2 4 2 5 2 2 3" xfId="18012" xr:uid="{AD1BB634-0D4D-4402-A649-16AFEF260E0A}"/>
    <cellStyle name="Normal 9 2 4 2 5 2 3" xfId="22235" xr:uid="{75C77E3E-F89A-40F3-916A-B578D1EA5F68}"/>
    <cellStyle name="Normal 9 2 4 2 5 2 4" xfId="13795" xr:uid="{FC7C0B9C-5402-4551-BA7A-58364B82A203}"/>
    <cellStyle name="Normal 9 2 4 2 5 3" xfId="6541" xr:uid="{00000000-0005-0000-0000-00006D1F0000}"/>
    <cellStyle name="Normal 9 2 4 2 5 3 2" xfId="24307" xr:uid="{C832429F-933B-454B-8EE9-1823C9E745A3}"/>
    <cellStyle name="Normal 9 2 4 2 5 3 3" xfId="15867" xr:uid="{672DE8AB-6E01-48C9-97D3-DB7D33629DD7}"/>
    <cellStyle name="Normal 9 2 4 2 5 4" xfId="20090" xr:uid="{75779D53-1C4F-4627-87C4-A86BF88BCC9D}"/>
    <cellStyle name="Normal 9 2 4 2 5 5" xfId="11650" xr:uid="{160C5A15-4ADA-46EE-83C3-333651486DCB}"/>
    <cellStyle name="Normal 9 2 4 2 6" xfId="2671" xr:uid="{00000000-0005-0000-0000-00006E1F0000}"/>
    <cellStyle name="Normal 9 2 4 2 6 2" xfId="6954" xr:uid="{00000000-0005-0000-0000-00006F1F0000}"/>
    <cellStyle name="Normal 9 2 4 2 6 2 2" xfId="24720" xr:uid="{5557F694-1B27-4C66-B53B-3ACB0F056A87}"/>
    <cellStyle name="Normal 9 2 4 2 6 2 3" xfId="16280" xr:uid="{AB16BBFC-7E9A-4845-B450-B73DB8ED5EB5}"/>
    <cellStyle name="Normal 9 2 4 2 6 3" xfId="20503" xr:uid="{F95BDD1D-3FAC-444A-AA31-9491C3D6336B}"/>
    <cellStyle name="Normal 9 2 4 2 6 4" xfId="12063" xr:uid="{90C2B422-F341-4E3B-AF43-74C1560E9AA1}"/>
    <cellStyle name="Normal 9 2 4 2 7" xfId="4889" xr:uid="{00000000-0005-0000-0000-0000701F0000}"/>
    <cellStyle name="Normal 9 2 4 2 7 2" xfId="22655" xr:uid="{817F279D-8653-43C8-BC8C-D1F351554F07}"/>
    <cellStyle name="Normal 9 2 4 2 7 3" xfId="14215" xr:uid="{F7D25BD3-B744-431B-A5ED-DC77ABF54A67}"/>
    <cellStyle name="Normal 9 2 4 2 8" xfId="9064" xr:uid="{7D4090C3-C767-4FFF-8A1F-282B2C8BAE68}"/>
    <cellStyle name="Normal 9 2 4 2 8 2" xfId="18438" xr:uid="{04981CED-D02E-426B-9EFB-04C438F4C48E}"/>
    <cellStyle name="Normal 9 2 4 2 9" xfId="9998" xr:uid="{79A541EB-C33C-49B3-B2A7-7D98E6C7BB56}"/>
    <cellStyle name="Normal 9 2 4 3" xfId="991" xr:uid="{00000000-0005-0000-0000-0000711F0000}"/>
    <cellStyle name="Normal 9 2 4 3 2" xfId="3224" xr:uid="{00000000-0005-0000-0000-0000721F0000}"/>
    <cellStyle name="Normal 9 2 4 3 2 2" xfId="7446" xr:uid="{00000000-0005-0000-0000-0000731F0000}"/>
    <cellStyle name="Normal 9 2 4 3 2 2 2" xfId="25212" xr:uid="{B2A0D2C8-1530-4C04-9ED4-56BA751393CE}"/>
    <cellStyle name="Normal 9 2 4 3 2 2 3" xfId="16772" xr:uid="{BBC8B24A-0C03-48C8-B324-E13F94A4D798}"/>
    <cellStyle name="Normal 9 2 4 3 2 3" xfId="20995" xr:uid="{2BBCCFFF-C21B-4CAF-BB13-F1875E7A2E78}"/>
    <cellStyle name="Normal 9 2 4 3 2 4" xfId="12555" xr:uid="{02B486FF-E484-47AA-B8A2-7FC8193B2FD4}"/>
    <cellStyle name="Normal 9 2 4 3 3" xfId="5301" xr:uid="{00000000-0005-0000-0000-0000741F0000}"/>
    <cellStyle name="Normal 9 2 4 3 3 2" xfId="23067" xr:uid="{FCC73F18-97D6-4631-AC69-8F25BF4F3624}"/>
    <cellStyle name="Normal 9 2 4 3 3 3" xfId="14627" xr:uid="{0ADFF9FC-1A72-46CD-8883-A37703915D83}"/>
    <cellStyle name="Normal 9 2 4 3 4" xfId="9282" xr:uid="{2471E5AC-3D06-4E90-9462-C54FACA9B22B}"/>
    <cellStyle name="Normal 9 2 4 3 4 2" xfId="18850" xr:uid="{DD6EE3B6-EF44-435A-8AE4-564A897F3D77}"/>
    <cellStyle name="Normal 9 2 4 3 5" xfId="10410" xr:uid="{59A398C7-24E4-4B51-AF38-41E27794C5E5}"/>
    <cellStyle name="Normal 9 2 4 4" xfId="1407" xr:uid="{00000000-0005-0000-0000-0000751F0000}"/>
    <cellStyle name="Normal 9 2 4 4 2" xfId="3637" xr:uid="{00000000-0005-0000-0000-0000761F0000}"/>
    <cellStyle name="Normal 9 2 4 4 2 2" xfId="7859" xr:uid="{00000000-0005-0000-0000-0000771F0000}"/>
    <cellStyle name="Normal 9 2 4 4 2 2 2" xfId="25625" xr:uid="{DF223805-7783-48AF-A1B0-C3F4AE04F907}"/>
    <cellStyle name="Normal 9 2 4 4 2 2 3" xfId="17185" xr:uid="{1EF316E7-633E-4F09-8FD0-BBAE0140B208}"/>
    <cellStyle name="Normal 9 2 4 4 2 3" xfId="21408" xr:uid="{9E505B35-47D3-4D03-93C4-C585FDA109C4}"/>
    <cellStyle name="Normal 9 2 4 4 2 4" xfId="12968" xr:uid="{10739629-1462-4611-BF79-8EF5D7952DB4}"/>
    <cellStyle name="Normal 9 2 4 4 3" xfId="5714" xr:uid="{00000000-0005-0000-0000-0000781F0000}"/>
    <cellStyle name="Normal 9 2 4 4 3 2" xfId="23480" xr:uid="{3E37AE06-3851-4E0C-AA9F-E264A57DF934}"/>
    <cellStyle name="Normal 9 2 4 4 3 3" xfId="15040" xr:uid="{77056EC5-631A-4929-ADAD-DB387557B866}"/>
    <cellStyle name="Normal 9 2 4 4 4" xfId="19263" xr:uid="{029CB8DF-7D5B-4B73-9154-ED4512FBD6A9}"/>
    <cellStyle name="Normal 9 2 4 4 5" xfId="10823" xr:uid="{3DDB06BC-6728-45AA-82AE-225D9583ED61}"/>
    <cellStyle name="Normal 9 2 4 5" xfId="1820" xr:uid="{00000000-0005-0000-0000-0000791F0000}"/>
    <cellStyle name="Normal 9 2 4 5 2" xfId="4050" xr:uid="{00000000-0005-0000-0000-00007A1F0000}"/>
    <cellStyle name="Normal 9 2 4 5 2 2" xfId="8272" xr:uid="{00000000-0005-0000-0000-00007B1F0000}"/>
    <cellStyle name="Normal 9 2 4 5 2 2 2" xfId="26038" xr:uid="{7A4329C2-37B4-4F21-B94D-8196CF1D8915}"/>
    <cellStyle name="Normal 9 2 4 5 2 2 3" xfId="17598" xr:uid="{920D6F86-709F-4161-9109-C6E670071E35}"/>
    <cellStyle name="Normal 9 2 4 5 2 3" xfId="21821" xr:uid="{327B90B0-C0A4-4A06-A343-6580BB1E857D}"/>
    <cellStyle name="Normal 9 2 4 5 2 4" xfId="13381" xr:uid="{F1AF9412-3021-4718-ACAA-724C0E7DF0CE}"/>
    <cellStyle name="Normal 9 2 4 5 3" xfId="6127" xr:uid="{00000000-0005-0000-0000-00007C1F0000}"/>
    <cellStyle name="Normal 9 2 4 5 3 2" xfId="23893" xr:uid="{F1DE7298-8431-4BA0-8D0F-77B350A710AE}"/>
    <cellStyle name="Normal 9 2 4 5 3 3" xfId="15453" xr:uid="{98B5A046-77F6-4E77-84B0-26E71FC5A522}"/>
    <cellStyle name="Normal 9 2 4 5 4" xfId="19676" xr:uid="{09832D7A-B6CA-4D73-B457-8F34135E7631}"/>
    <cellStyle name="Normal 9 2 4 5 5" xfId="11236" xr:uid="{8892C2F7-C6B2-4CDB-A7E9-D356AAE85738}"/>
    <cellStyle name="Normal 9 2 4 6" xfId="2234" xr:uid="{00000000-0005-0000-0000-00007D1F0000}"/>
    <cellStyle name="Normal 9 2 4 6 2" xfId="4463" xr:uid="{00000000-0005-0000-0000-00007E1F0000}"/>
    <cellStyle name="Normal 9 2 4 6 2 2" xfId="8685" xr:uid="{00000000-0005-0000-0000-00007F1F0000}"/>
    <cellStyle name="Normal 9 2 4 6 2 2 2" xfId="26451" xr:uid="{8593EDBB-3975-43F8-BAB4-328807207EEA}"/>
    <cellStyle name="Normal 9 2 4 6 2 2 3" xfId="18011" xr:uid="{41A8831D-E97D-4A90-89E7-028CA60FEEF2}"/>
    <cellStyle name="Normal 9 2 4 6 2 3" xfId="22234" xr:uid="{E1D03CF4-514D-4012-8C3E-EDC3BDEAE3FD}"/>
    <cellStyle name="Normal 9 2 4 6 2 4" xfId="13794" xr:uid="{21B727D4-5CCC-498C-8CD5-9B7C2F7C9FEC}"/>
    <cellStyle name="Normal 9 2 4 6 3" xfId="6540" xr:uid="{00000000-0005-0000-0000-0000801F0000}"/>
    <cellStyle name="Normal 9 2 4 6 3 2" xfId="24306" xr:uid="{32D0263D-FB2D-4B4E-83C2-7D9B555C2DAE}"/>
    <cellStyle name="Normal 9 2 4 6 3 3" xfId="15866" xr:uid="{CECF3790-9EA6-47A3-BCC8-A9D7988F48EB}"/>
    <cellStyle name="Normal 9 2 4 6 4" xfId="20089" xr:uid="{9899EEA4-4D31-41C1-812A-BE8E5E39AC6A}"/>
    <cellStyle name="Normal 9 2 4 6 5" xfId="11649" xr:uid="{6D0DC987-3C51-466B-93BF-8E823BD6BD2D}"/>
    <cellStyle name="Normal 9 2 4 7" xfId="2670" xr:uid="{00000000-0005-0000-0000-0000811F0000}"/>
    <cellStyle name="Normal 9 2 4 7 2" xfId="6953" xr:uid="{00000000-0005-0000-0000-0000821F0000}"/>
    <cellStyle name="Normal 9 2 4 7 2 2" xfId="24719" xr:uid="{731CFE69-5878-4E2E-8279-DA63D4D7D4DE}"/>
    <cellStyle name="Normal 9 2 4 7 2 3" xfId="16279" xr:uid="{8CA35CAE-D56F-48D6-8815-3C4BD8C7D4F7}"/>
    <cellStyle name="Normal 9 2 4 7 3" xfId="20502" xr:uid="{EC393467-CE15-4F50-92E8-E1BD62F99BD2}"/>
    <cellStyle name="Normal 9 2 4 7 4" xfId="12062" xr:uid="{DB028E17-9F48-48BD-BC05-F3C3BA91371F}"/>
    <cellStyle name="Normal 9 2 4 8" xfId="4888" xr:uid="{00000000-0005-0000-0000-0000831F0000}"/>
    <cellStyle name="Normal 9 2 4 8 2" xfId="22654" xr:uid="{F36B5E6A-ECA8-486E-8174-E5EB4FF2B038}"/>
    <cellStyle name="Normal 9 2 4 8 3" xfId="14214" xr:uid="{34FE4AEB-2E25-4F7D-BA5F-BBE96AE96516}"/>
    <cellStyle name="Normal 9 2 4 9" xfId="8857" xr:uid="{D785C0E6-B403-4CCC-AB0B-78E822EF1E40}"/>
    <cellStyle name="Normal 9 2 4 9 2" xfId="18437" xr:uid="{9684889B-426D-4D86-A9FE-C735525B163C}"/>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25214" xr:uid="{E61BA6BD-19CE-491D-B61F-0F64B4CBF45D}"/>
    <cellStyle name="Normal 9 2 5 2 2 2 3" xfId="16774" xr:uid="{7DEB80D8-A93C-4A54-97DB-073D78C21E86}"/>
    <cellStyle name="Normal 9 2 5 2 2 3" xfId="20997" xr:uid="{99808CAF-46BE-495C-B66B-360A6CBF211C}"/>
    <cellStyle name="Normal 9 2 5 2 2 4" xfId="12557" xr:uid="{BEB70057-415B-4A18-AE71-6F6722BDE346}"/>
    <cellStyle name="Normal 9 2 5 2 3" xfId="5303" xr:uid="{00000000-0005-0000-0000-0000881F0000}"/>
    <cellStyle name="Normal 9 2 5 2 3 2" xfId="23069" xr:uid="{1E6B55C0-E436-415D-AA09-66100A3933F2}"/>
    <cellStyle name="Normal 9 2 5 2 3 3" xfId="14629" xr:uid="{4EC2AE1B-F65B-43F6-B0C4-9D8B1243A75B}"/>
    <cellStyle name="Normal 9 2 5 2 4" xfId="9398" xr:uid="{5B2A416E-986C-4898-8893-9EAFDDDBCDD4}"/>
    <cellStyle name="Normal 9 2 5 2 4 2" xfId="18852" xr:uid="{C7A809A8-3C65-4068-9CD5-68FF751AC484}"/>
    <cellStyle name="Normal 9 2 5 2 5" xfId="10412" xr:uid="{9AA4EE76-F44B-404E-9014-3FC9B1312BF1}"/>
    <cellStyle name="Normal 9 2 5 3" xfId="1409" xr:uid="{00000000-0005-0000-0000-0000891F0000}"/>
    <cellStyle name="Normal 9 2 5 3 2" xfId="3639" xr:uid="{00000000-0005-0000-0000-00008A1F0000}"/>
    <cellStyle name="Normal 9 2 5 3 2 2" xfId="7861" xr:uid="{00000000-0005-0000-0000-00008B1F0000}"/>
    <cellStyle name="Normal 9 2 5 3 2 2 2" xfId="25627" xr:uid="{0587B63C-5C67-4A91-BEFE-12B67B3326A8}"/>
    <cellStyle name="Normal 9 2 5 3 2 2 3" xfId="17187" xr:uid="{524498E5-EA96-493F-B4D4-83AC48A0BDFD}"/>
    <cellStyle name="Normal 9 2 5 3 2 3" xfId="21410" xr:uid="{E9E49E0A-2017-485B-8546-2B59C7F8F048}"/>
    <cellStyle name="Normal 9 2 5 3 2 4" xfId="12970" xr:uid="{50CB814B-C733-47E7-9EE3-15C2CE8E223A}"/>
    <cellStyle name="Normal 9 2 5 3 3" xfId="5716" xr:uid="{00000000-0005-0000-0000-00008C1F0000}"/>
    <cellStyle name="Normal 9 2 5 3 3 2" xfId="23482" xr:uid="{AA342EE4-30E4-4599-995C-97E3C3356034}"/>
    <cellStyle name="Normal 9 2 5 3 3 3" xfId="15042" xr:uid="{22194307-EA02-485D-AE2C-B4C143B93A49}"/>
    <cellStyle name="Normal 9 2 5 3 4" xfId="19265" xr:uid="{D894C1FE-D287-4634-93D1-D091F7D07D2F}"/>
    <cellStyle name="Normal 9 2 5 3 5" xfId="10825" xr:uid="{9B5C7535-C3BD-4AAB-83A4-4A2E72B51F2D}"/>
    <cellStyle name="Normal 9 2 5 4" xfId="1822" xr:uid="{00000000-0005-0000-0000-00008D1F0000}"/>
    <cellStyle name="Normal 9 2 5 4 2" xfId="4052" xr:uid="{00000000-0005-0000-0000-00008E1F0000}"/>
    <cellStyle name="Normal 9 2 5 4 2 2" xfId="8274" xr:uid="{00000000-0005-0000-0000-00008F1F0000}"/>
    <cellStyle name="Normal 9 2 5 4 2 2 2" xfId="26040" xr:uid="{F3B36F8A-7D42-4AA4-BC65-C599E167EB9F}"/>
    <cellStyle name="Normal 9 2 5 4 2 2 3" xfId="17600" xr:uid="{84CE70A3-8D7F-4B15-AC3C-CB1626BEF3B9}"/>
    <cellStyle name="Normal 9 2 5 4 2 3" xfId="21823" xr:uid="{2FA8F906-1876-4332-BC31-1F3F20C927A3}"/>
    <cellStyle name="Normal 9 2 5 4 2 4" xfId="13383" xr:uid="{F2DD47F7-237B-488E-9D9D-223F18801014}"/>
    <cellStyle name="Normal 9 2 5 4 3" xfId="6129" xr:uid="{00000000-0005-0000-0000-0000901F0000}"/>
    <cellStyle name="Normal 9 2 5 4 3 2" xfId="23895" xr:uid="{54C6A110-6EFF-4713-99E3-00F37AE0B0E9}"/>
    <cellStyle name="Normal 9 2 5 4 3 3" xfId="15455" xr:uid="{9034F1EA-62C5-4C4F-8502-DFADF75058B1}"/>
    <cellStyle name="Normal 9 2 5 4 4" xfId="19678" xr:uid="{E1AE8126-5924-499A-951D-B9A131C201E0}"/>
    <cellStyle name="Normal 9 2 5 4 5" xfId="11238" xr:uid="{F93D293D-9810-41D9-8FF3-DAF33B3C94BB}"/>
    <cellStyle name="Normal 9 2 5 5" xfId="2236" xr:uid="{00000000-0005-0000-0000-0000911F0000}"/>
    <cellStyle name="Normal 9 2 5 5 2" xfId="4465" xr:uid="{00000000-0005-0000-0000-0000921F0000}"/>
    <cellStyle name="Normal 9 2 5 5 2 2" xfId="8687" xr:uid="{00000000-0005-0000-0000-0000931F0000}"/>
    <cellStyle name="Normal 9 2 5 5 2 2 2" xfId="26453" xr:uid="{60BFE549-288A-4D02-B84A-33828D793FE9}"/>
    <cellStyle name="Normal 9 2 5 5 2 2 3" xfId="18013" xr:uid="{2E935E02-4A75-43AC-B41B-5A5123145452}"/>
    <cellStyle name="Normal 9 2 5 5 2 3" xfId="22236" xr:uid="{502E18FF-96A1-46DD-938D-C1F942CA4B43}"/>
    <cellStyle name="Normal 9 2 5 5 2 4" xfId="13796" xr:uid="{57C08CE2-8955-4C65-9491-D9EE97C1314D}"/>
    <cellStyle name="Normal 9 2 5 5 3" xfId="6542" xr:uid="{00000000-0005-0000-0000-0000941F0000}"/>
    <cellStyle name="Normal 9 2 5 5 3 2" xfId="24308" xr:uid="{4EB8E88E-B2DB-4BE5-967A-2459A1993E29}"/>
    <cellStyle name="Normal 9 2 5 5 3 3" xfId="15868" xr:uid="{319BED23-36EB-41D6-9201-02D21D979556}"/>
    <cellStyle name="Normal 9 2 5 5 4" xfId="20091" xr:uid="{925F3D7B-8D86-4D7A-A840-F69009136C65}"/>
    <cellStyle name="Normal 9 2 5 5 5" xfId="11651" xr:uid="{A15C51EA-7ECE-4CCF-A125-2FA99B0D1636}"/>
    <cellStyle name="Normal 9 2 5 6" xfId="2672" xr:uid="{00000000-0005-0000-0000-0000951F0000}"/>
    <cellStyle name="Normal 9 2 5 6 2" xfId="6955" xr:uid="{00000000-0005-0000-0000-0000961F0000}"/>
    <cellStyle name="Normal 9 2 5 6 2 2" xfId="24721" xr:uid="{D092A6F8-C52B-4ECE-978A-6E8FC0CDAAD8}"/>
    <cellStyle name="Normal 9 2 5 6 2 3" xfId="16281" xr:uid="{F739AF51-E167-407E-BC09-998FFEE4110E}"/>
    <cellStyle name="Normal 9 2 5 6 3" xfId="20504" xr:uid="{8531AC41-124C-405B-B7D3-DA64005A971A}"/>
    <cellStyle name="Normal 9 2 5 6 4" xfId="12064" xr:uid="{E05D782E-D9B4-4F5F-B610-7A32655E582F}"/>
    <cellStyle name="Normal 9 2 5 7" xfId="4890" xr:uid="{00000000-0005-0000-0000-0000971F0000}"/>
    <cellStyle name="Normal 9 2 5 7 2" xfId="22656" xr:uid="{54B00802-D1CA-40E6-8C84-7B1F569AFA5F}"/>
    <cellStyle name="Normal 9 2 5 7 3" xfId="14216" xr:uid="{AB9370FF-E4E5-4512-A360-00827E46EFB7}"/>
    <cellStyle name="Normal 9 2 5 8" xfId="8973" xr:uid="{BA9464C2-72F7-4B38-B1BD-6986FFA433D9}"/>
    <cellStyle name="Normal 9 2 5 8 2" xfId="18439" xr:uid="{03170BDE-84CC-4968-9108-2A6F723A0E5A}"/>
    <cellStyle name="Normal 9 2 5 9" xfId="9999" xr:uid="{7F9D176E-AC8A-45A4-A9AA-E083A813D9EA}"/>
    <cellStyle name="Normal 9 2 6" xfId="978" xr:uid="{00000000-0005-0000-0000-0000981F0000}"/>
    <cellStyle name="Normal 9 2 6 2" xfId="3211" xr:uid="{00000000-0005-0000-0000-0000991F0000}"/>
    <cellStyle name="Normal 9 2 6 2 2" xfId="7433" xr:uid="{00000000-0005-0000-0000-00009A1F0000}"/>
    <cellStyle name="Normal 9 2 6 2 2 2" xfId="25199" xr:uid="{D10DB0E0-CEDE-480E-A84E-8456547C9423}"/>
    <cellStyle name="Normal 9 2 6 2 2 3" xfId="16759" xr:uid="{443CC548-F262-42BC-B2D1-29D17F7990BE}"/>
    <cellStyle name="Normal 9 2 6 2 3" xfId="20982" xr:uid="{8A161A6E-E584-4CEE-ADC8-34FD5FB72939}"/>
    <cellStyle name="Normal 9 2 6 2 4" xfId="12542" xr:uid="{7D81B294-0386-4555-B49D-D8FF045A8880}"/>
    <cellStyle name="Normal 9 2 6 3" xfId="5288" xr:uid="{00000000-0005-0000-0000-00009B1F0000}"/>
    <cellStyle name="Normal 9 2 6 3 2" xfId="23054" xr:uid="{33D89D4F-0796-4FD4-8452-BF4F10AEB4C0}"/>
    <cellStyle name="Normal 9 2 6 3 3" xfId="14614" xr:uid="{126CA0B0-07FB-43F9-A5AF-F410958D7E6A}"/>
    <cellStyle name="Normal 9 2 6 4" xfId="9176" xr:uid="{F3933A08-5B20-47C9-B0FC-7B73F4B0BA7D}"/>
    <cellStyle name="Normal 9 2 6 4 2" xfId="18837" xr:uid="{6509763A-9EBC-4847-81F8-048FE44D64FC}"/>
    <cellStyle name="Normal 9 2 6 5" xfId="10397" xr:uid="{5DBD75AE-1603-4D51-9B60-524880AF3BB3}"/>
    <cellStyle name="Normal 9 2 7" xfId="1394" xr:uid="{00000000-0005-0000-0000-00009C1F0000}"/>
    <cellStyle name="Normal 9 2 7 2" xfId="3624" xr:uid="{00000000-0005-0000-0000-00009D1F0000}"/>
    <cellStyle name="Normal 9 2 7 2 2" xfId="7846" xr:uid="{00000000-0005-0000-0000-00009E1F0000}"/>
    <cellStyle name="Normal 9 2 7 2 2 2" xfId="25612" xr:uid="{2F48F98E-EB1A-4FA4-A095-FF9C9ACB5F97}"/>
    <cellStyle name="Normal 9 2 7 2 2 3" xfId="17172" xr:uid="{0B32B3E0-10C9-4BBC-AD1C-8EC1DD822276}"/>
    <cellStyle name="Normal 9 2 7 2 3" xfId="21395" xr:uid="{3F42B404-7D62-4DD7-B76B-CE699211836A}"/>
    <cellStyle name="Normal 9 2 7 2 4" xfId="12955" xr:uid="{C80990AB-9B0E-493B-BA0E-BDA185ADEB08}"/>
    <cellStyle name="Normal 9 2 7 3" xfId="5701" xr:uid="{00000000-0005-0000-0000-00009F1F0000}"/>
    <cellStyle name="Normal 9 2 7 3 2" xfId="23467" xr:uid="{CC24BF58-67F6-4F3F-96AE-9FBEA69B4868}"/>
    <cellStyle name="Normal 9 2 7 3 3" xfId="15027" xr:uid="{B8C61B92-4271-4492-9067-5F747DDD1431}"/>
    <cellStyle name="Normal 9 2 7 4" xfId="19250" xr:uid="{F6400328-C5F9-4D3D-9EA7-C58E1FCE9CFE}"/>
    <cellStyle name="Normal 9 2 7 5" xfId="10810" xr:uid="{639DEE39-8625-4739-A67E-EE9A7BE79A6A}"/>
    <cellStyle name="Normal 9 2 8" xfId="1807" xr:uid="{00000000-0005-0000-0000-0000A01F0000}"/>
    <cellStyle name="Normal 9 2 8 2" xfId="4037" xr:uid="{00000000-0005-0000-0000-0000A11F0000}"/>
    <cellStyle name="Normal 9 2 8 2 2" xfId="8259" xr:uid="{00000000-0005-0000-0000-0000A21F0000}"/>
    <cellStyle name="Normal 9 2 8 2 2 2" xfId="26025" xr:uid="{7AACFCA2-F1C0-4C29-822E-78136FD49D87}"/>
    <cellStyle name="Normal 9 2 8 2 2 3" xfId="17585" xr:uid="{860EB6D9-21AA-4DFE-9353-4E239E0D8DFD}"/>
    <cellStyle name="Normal 9 2 8 2 3" xfId="21808" xr:uid="{617FC6FE-477A-4B30-9FD0-E66E470B7B17}"/>
    <cellStyle name="Normal 9 2 8 2 4" xfId="13368" xr:uid="{66FFBF40-87C9-4023-B0BF-192E6AD58D4F}"/>
    <cellStyle name="Normal 9 2 8 3" xfId="6114" xr:uid="{00000000-0005-0000-0000-0000A31F0000}"/>
    <cellStyle name="Normal 9 2 8 3 2" xfId="23880" xr:uid="{D8EF1B3E-DD71-4908-ABB6-7D978783EDD0}"/>
    <cellStyle name="Normal 9 2 8 3 3" xfId="15440" xr:uid="{98B66573-8B49-4781-AEC1-B60F34187C65}"/>
    <cellStyle name="Normal 9 2 8 4" xfId="19663" xr:uid="{C13CB0EB-68AC-4458-BCC9-C340B2511E38}"/>
    <cellStyle name="Normal 9 2 8 5" xfId="11223" xr:uid="{FC0C3E70-DF8B-4EDE-BBD7-AA1220F4033E}"/>
    <cellStyle name="Normal 9 2 9" xfId="2221" xr:uid="{00000000-0005-0000-0000-0000A41F0000}"/>
    <cellStyle name="Normal 9 2 9 2" xfId="4450" xr:uid="{00000000-0005-0000-0000-0000A51F0000}"/>
    <cellStyle name="Normal 9 2 9 2 2" xfId="8672" xr:uid="{00000000-0005-0000-0000-0000A61F0000}"/>
    <cellStyle name="Normal 9 2 9 2 2 2" xfId="26438" xr:uid="{0CC21E7E-5ED9-49D0-A6E1-51FE92C42142}"/>
    <cellStyle name="Normal 9 2 9 2 2 3" xfId="17998" xr:uid="{D3FD2568-F9F4-4D74-BDEB-324161DD3D8B}"/>
    <cellStyle name="Normal 9 2 9 2 3" xfId="22221" xr:uid="{926EACAC-FAAA-4B7C-B4C0-59DA5664DF59}"/>
    <cellStyle name="Normal 9 2 9 2 4" xfId="13781" xr:uid="{E71AA690-4E78-46DB-842B-D7CAA3696B0D}"/>
    <cellStyle name="Normal 9 2 9 3" xfId="6527" xr:uid="{00000000-0005-0000-0000-0000A71F0000}"/>
    <cellStyle name="Normal 9 2 9 3 2" xfId="24293" xr:uid="{CCABDC33-3DDE-472F-BF6F-71E1631418B7}"/>
    <cellStyle name="Normal 9 2 9 3 3" xfId="15853" xr:uid="{FCF7A3EF-B1C7-44BA-9597-ED6FB7639887}"/>
    <cellStyle name="Normal 9 2 9 4" xfId="20076" xr:uid="{1068933E-DCF8-4FAB-AB58-58687063DAFF}"/>
    <cellStyle name="Normal 9 2 9 5" xfId="11636" xr:uid="{CD8B033A-94B3-471F-91F1-CC2DF2407A64}"/>
    <cellStyle name="Normal 9 3" xfId="527" xr:uid="{00000000-0005-0000-0000-0000A81F0000}"/>
    <cellStyle name="Normal 9 3 10" xfId="4891" xr:uid="{00000000-0005-0000-0000-0000A91F0000}"/>
    <cellStyle name="Normal 9 3 10 2" xfId="22657" xr:uid="{CE96AE60-8640-4D0A-987D-65B8A686FC0D}"/>
    <cellStyle name="Normal 9 3 10 3" xfId="14217" xr:uid="{C0CF07C2-16B9-457E-B527-ACC98D01E9CF}"/>
    <cellStyle name="Normal 9 3 11" xfId="8777" xr:uid="{1F3D7E21-FC22-4F0C-9371-3D8250746BB7}"/>
    <cellStyle name="Normal 9 3 11 2" xfId="18440" xr:uid="{BC73B5A2-9A22-4131-9DB4-641F9221C23B}"/>
    <cellStyle name="Normal 9 3 12" xfId="10000" xr:uid="{CD13C65B-6318-466E-BCD1-E1642859D67F}"/>
    <cellStyle name="Normal 9 3 2" xfId="528" xr:uid="{00000000-0005-0000-0000-0000AA1F0000}"/>
    <cellStyle name="Normal 9 3 2 10" xfId="8840" xr:uid="{94797BE2-1721-4871-A768-79D4D45F48BB}"/>
    <cellStyle name="Normal 9 3 2 10 2" xfId="18441" xr:uid="{49822039-CB6A-4C98-92CD-3752560ED014}"/>
    <cellStyle name="Normal 9 3 2 11" xfId="10001" xr:uid="{4E19F259-CC65-4651-82B3-F60CFDBBD028}"/>
    <cellStyle name="Normal 9 3 2 2" xfId="529" xr:uid="{00000000-0005-0000-0000-0000AB1F0000}"/>
    <cellStyle name="Normal 9 3 2 2 10" xfId="10002" xr:uid="{6EB787BA-9239-4EFD-A275-BF488C67CD05}"/>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25218" xr:uid="{D6323939-E43B-47F5-A0E3-9ACE110BF5C1}"/>
    <cellStyle name="Normal 9 3 2 2 2 2 2 2 3" xfId="16778" xr:uid="{0B7AAA5B-7803-496F-B836-C11E61954F83}"/>
    <cellStyle name="Normal 9 3 2 2 2 2 2 3" xfId="21001" xr:uid="{1EE9AB04-5E41-45B8-8854-B4F2FEBF6D64}"/>
    <cellStyle name="Normal 9 3 2 2 2 2 2 4" xfId="12561" xr:uid="{8A92C8A3-6C5E-4761-A60D-64EF841CE660}"/>
    <cellStyle name="Normal 9 3 2 2 2 2 3" xfId="5307" xr:uid="{00000000-0005-0000-0000-0000B01F0000}"/>
    <cellStyle name="Normal 9 3 2 2 2 2 3 2" xfId="23073" xr:uid="{58044C63-9F8E-4DEE-90FB-59658DE0E78F}"/>
    <cellStyle name="Normal 9 3 2 2 2 2 3 3" xfId="14633" xr:uid="{53B1D0BA-E227-4979-B3EE-DB8B9130017E}"/>
    <cellStyle name="Normal 9 3 2 2 2 2 4" xfId="9575" xr:uid="{DA05DE06-1987-4B8E-8439-C692853FF296}"/>
    <cellStyle name="Normal 9 3 2 2 2 2 4 2" xfId="18856" xr:uid="{F866E19D-35E1-4E4C-A946-A05697994DAA}"/>
    <cellStyle name="Normal 9 3 2 2 2 2 5" xfId="10416" xr:uid="{991305B3-C909-44C3-A3D5-B314EC683CB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25631" xr:uid="{798D03D0-944D-45EF-AD9B-50B40F0EFF9E}"/>
    <cellStyle name="Normal 9 3 2 2 2 3 2 2 3" xfId="17191" xr:uid="{B7CFA059-EEEC-4902-A154-66E38DDF05FF}"/>
    <cellStyle name="Normal 9 3 2 2 2 3 2 3" xfId="21414" xr:uid="{EFEB2E1F-81BC-4A39-8B5B-9EB5A1A144FD}"/>
    <cellStyle name="Normal 9 3 2 2 2 3 2 4" xfId="12974" xr:uid="{177A7F79-4645-4EAC-9BBF-85D2E5594C57}"/>
    <cellStyle name="Normal 9 3 2 2 2 3 3" xfId="5720" xr:uid="{00000000-0005-0000-0000-0000B41F0000}"/>
    <cellStyle name="Normal 9 3 2 2 2 3 3 2" xfId="23486" xr:uid="{C1150B40-0948-4310-BB66-F8A119C0B02D}"/>
    <cellStyle name="Normal 9 3 2 2 2 3 3 3" xfId="15046" xr:uid="{0CD0C0EC-9F5C-4E00-9B35-EB63F4545F74}"/>
    <cellStyle name="Normal 9 3 2 2 2 3 4" xfId="19269" xr:uid="{670BA85D-5F24-4E25-A0C9-EC936313776A}"/>
    <cellStyle name="Normal 9 3 2 2 2 3 5" xfId="10829" xr:uid="{4BED0CB3-6B03-4DA2-B1F7-61A2AECF2EE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26044" xr:uid="{9080B343-5D7F-408A-B0F7-24397FEED1DA}"/>
    <cellStyle name="Normal 9 3 2 2 2 4 2 2 3" xfId="17604" xr:uid="{4E65797E-C326-410A-A98C-A2147E102F30}"/>
    <cellStyle name="Normal 9 3 2 2 2 4 2 3" xfId="21827" xr:uid="{ACE4D73C-C0EE-4F32-B090-889DD634A8A6}"/>
    <cellStyle name="Normal 9 3 2 2 2 4 2 4" xfId="13387" xr:uid="{D3CC7D63-66AF-4192-8CC8-655AA49A0192}"/>
    <cellStyle name="Normal 9 3 2 2 2 4 3" xfId="6133" xr:uid="{00000000-0005-0000-0000-0000B81F0000}"/>
    <cellStyle name="Normal 9 3 2 2 2 4 3 2" xfId="23899" xr:uid="{721F742E-74B3-41D3-BEEF-70844837BC0E}"/>
    <cellStyle name="Normal 9 3 2 2 2 4 3 3" xfId="15459" xr:uid="{630F0383-F593-465F-8663-DACA16DAED86}"/>
    <cellStyle name="Normal 9 3 2 2 2 4 4" xfId="19682" xr:uid="{4C1446D1-4310-4E17-9EE7-1B24F7236F20}"/>
    <cellStyle name="Normal 9 3 2 2 2 4 5" xfId="11242" xr:uid="{F1F1D18F-61FD-4E70-87E2-A02DEC6063B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26457" xr:uid="{22F96C22-33EA-452C-A2FB-39632EBD7E47}"/>
    <cellStyle name="Normal 9 3 2 2 2 5 2 2 3" xfId="18017" xr:uid="{5DAAC172-A65D-4619-A344-0CE2C08EB753}"/>
    <cellStyle name="Normal 9 3 2 2 2 5 2 3" xfId="22240" xr:uid="{A7C1F001-9CD5-49CE-945A-70308A3338C0}"/>
    <cellStyle name="Normal 9 3 2 2 2 5 2 4" xfId="13800" xr:uid="{283C9FC5-846A-48CB-BAF8-5137AB3A15F5}"/>
    <cellStyle name="Normal 9 3 2 2 2 5 3" xfId="6546" xr:uid="{00000000-0005-0000-0000-0000BC1F0000}"/>
    <cellStyle name="Normal 9 3 2 2 2 5 3 2" xfId="24312" xr:uid="{954663B1-3E48-468C-93B1-D5620BEB9E2F}"/>
    <cellStyle name="Normal 9 3 2 2 2 5 3 3" xfId="15872" xr:uid="{0B3B5EC8-0BB4-443D-9452-7B70853A0CD9}"/>
    <cellStyle name="Normal 9 3 2 2 2 5 4" xfId="20095" xr:uid="{45928BF9-03A5-4C2E-97DB-F6AF6784CBAC}"/>
    <cellStyle name="Normal 9 3 2 2 2 5 5" xfId="11655" xr:uid="{B3DB1686-45B8-4FDB-BB50-9E0F69FF534F}"/>
    <cellStyle name="Normal 9 3 2 2 2 6" xfId="2676" xr:uid="{00000000-0005-0000-0000-0000BD1F0000}"/>
    <cellStyle name="Normal 9 3 2 2 2 6 2" xfId="6959" xr:uid="{00000000-0005-0000-0000-0000BE1F0000}"/>
    <cellStyle name="Normal 9 3 2 2 2 6 2 2" xfId="24725" xr:uid="{1CC02497-0ADB-4FC3-8E73-3C420BCDBCB8}"/>
    <cellStyle name="Normal 9 3 2 2 2 6 2 3" xfId="16285" xr:uid="{FEA8D8E6-400A-44D5-A86A-224C8E6EC7CB}"/>
    <cellStyle name="Normal 9 3 2 2 2 6 3" xfId="20508" xr:uid="{EB9736C3-B872-4E66-AE72-949BDFD87F20}"/>
    <cellStyle name="Normal 9 3 2 2 2 6 4" xfId="12068" xr:uid="{B5982988-B630-4FE0-9DCD-5A80916CC7F9}"/>
    <cellStyle name="Normal 9 3 2 2 2 7" xfId="4894" xr:uid="{00000000-0005-0000-0000-0000BF1F0000}"/>
    <cellStyle name="Normal 9 3 2 2 2 7 2" xfId="22660" xr:uid="{4101E8EF-A77D-48C2-BF30-4B326CE9E638}"/>
    <cellStyle name="Normal 9 3 2 2 2 7 3" xfId="14220" xr:uid="{030D3943-FC7B-423C-AA86-E2BF59750B68}"/>
    <cellStyle name="Normal 9 3 2 2 2 8" xfId="9150" xr:uid="{F54F74BE-A583-4C94-A198-8E0D27AD7F4F}"/>
    <cellStyle name="Normal 9 3 2 2 2 8 2" xfId="18443" xr:uid="{A6F231F4-D861-475A-A636-44D8532FB5C4}"/>
    <cellStyle name="Normal 9 3 2 2 2 9" xfId="10003" xr:uid="{7A8982DD-6200-484A-858F-5EE6BFB67A1D}"/>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25217" xr:uid="{CDE2CA96-335B-4DA5-B3CC-2683791410FE}"/>
    <cellStyle name="Normal 9 3 2 2 3 2 2 3" xfId="16777" xr:uid="{4C0A9814-4CEC-495C-945C-4B0A1DC7DCED}"/>
    <cellStyle name="Normal 9 3 2 2 3 2 3" xfId="21000" xr:uid="{4EA7DE38-B5AE-4695-B7B2-02C3B8A20B78}"/>
    <cellStyle name="Normal 9 3 2 2 3 2 4" xfId="12560" xr:uid="{B84D6B68-D789-49B4-B308-E9146BFB5C87}"/>
    <cellStyle name="Normal 9 3 2 2 3 3" xfId="5306" xr:uid="{00000000-0005-0000-0000-0000C31F0000}"/>
    <cellStyle name="Normal 9 3 2 2 3 3 2" xfId="23072" xr:uid="{8E770EF7-1A9B-421A-BC29-75F21A85D9ED}"/>
    <cellStyle name="Normal 9 3 2 2 3 3 3" xfId="14632" xr:uid="{2CE15304-5464-440D-B83F-8EC30B4AF5BF}"/>
    <cellStyle name="Normal 9 3 2 2 3 4" xfId="9368" xr:uid="{B3189122-1774-442D-BD5B-8DA329618536}"/>
    <cellStyle name="Normal 9 3 2 2 3 4 2" xfId="18855" xr:uid="{71E36756-CF2C-46F5-9B1F-24FA99A8D2A2}"/>
    <cellStyle name="Normal 9 3 2 2 3 5" xfId="10415" xr:uid="{94C3819D-C478-4CC6-B675-2BCC895F3FEB}"/>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25630" xr:uid="{D9FBC60E-72F2-42C9-BA58-0218ECFE67F6}"/>
    <cellStyle name="Normal 9 3 2 2 4 2 2 3" xfId="17190" xr:uid="{9B414F50-0B4D-4DB3-83EB-614839EBA1D2}"/>
    <cellStyle name="Normal 9 3 2 2 4 2 3" xfId="21413" xr:uid="{4E493D7D-C1A3-42C6-8862-B3DE58082232}"/>
    <cellStyle name="Normal 9 3 2 2 4 2 4" xfId="12973" xr:uid="{21DBC6FF-9EAD-41B4-A0D7-EC37EDD6F2B0}"/>
    <cellStyle name="Normal 9 3 2 2 4 3" xfId="5719" xr:uid="{00000000-0005-0000-0000-0000C71F0000}"/>
    <cellStyle name="Normal 9 3 2 2 4 3 2" xfId="23485" xr:uid="{9CC7C55B-E99B-47FF-BF59-C31EB90D6B81}"/>
    <cellStyle name="Normal 9 3 2 2 4 3 3" xfId="15045" xr:uid="{7F6F2817-5BE6-4646-94A2-C3BE1E8F8FD7}"/>
    <cellStyle name="Normal 9 3 2 2 4 4" xfId="19268" xr:uid="{3425F882-355F-444F-A3C6-D32CD642E2D8}"/>
    <cellStyle name="Normal 9 3 2 2 4 5" xfId="10828" xr:uid="{C7897816-D815-48AC-91CD-A58A2892FA69}"/>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26043" xr:uid="{FFF488BC-3EEB-447D-AC5D-AF4920B77420}"/>
    <cellStyle name="Normal 9 3 2 2 5 2 2 3" xfId="17603" xr:uid="{312D8F59-8B7E-4414-953B-490560E065ED}"/>
    <cellStyle name="Normal 9 3 2 2 5 2 3" xfId="21826" xr:uid="{FE3F76FF-6D3B-4BB3-AEF3-5E34B82AF370}"/>
    <cellStyle name="Normal 9 3 2 2 5 2 4" xfId="13386" xr:uid="{8D77B531-0C7C-4C60-BDCD-23B5E3E61028}"/>
    <cellStyle name="Normal 9 3 2 2 5 3" xfId="6132" xr:uid="{00000000-0005-0000-0000-0000CB1F0000}"/>
    <cellStyle name="Normal 9 3 2 2 5 3 2" xfId="23898" xr:uid="{0BB8F764-2A35-4845-B264-5A1C96A561FA}"/>
    <cellStyle name="Normal 9 3 2 2 5 3 3" xfId="15458" xr:uid="{70DF8E81-4DF4-40F2-8EF8-AF75013706D6}"/>
    <cellStyle name="Normal 9 3 2 2 5 4" xfId="19681" xr:uid="{9D415FCB-1313-4622-8B86-A747B4B12B1B}"/>
    <cellStyle name="Normal 9 3 2 2 5 5" xfId="11241" xr:uid="{FE544FFD-DF41-40F5-8EAC-E6BA2C4EC2C6}"/>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26456" xr:uid="{D7B4255C-E415-440D-8BE6-3339E2B19E97}"/>
    <cellStyle name="Normal 9 3 2 2 6 2 2 3" xfId="18016" xr:uid="{A876757F-F21D-4524-A858-1E3399C2E94B}"/>
    <cellStyle name="Normal 9 3 2 2 6 2 3" xfId="22239" xr:uid="{7C61D7D3-157A-46CA-A61D-C2F3885CE3BA}"/>
    <cellStyle name="Normal 9 3 2 2 6 2 4" xfId="13799" xr:uid="{2B0EC1D2-121B-4AAF-A9AF-590DB33F65FA}"/>
    <cellStyle name="Normal 9 3 2 2 6 3" xfId="6545" xr:uid="{00000000-0005-0000-0000-0000CF1F0000}"/>
    <cellStyle name="Normal 9 3 2 2 6 3 2" xfId="24311" xr:uid="{A220C604-3226-45D3-9B17-A2BDDAD98D60}"/>
    <cellStyle name="Normal 9 3 2 2 6 3 3" xfId="15871" xr:uid="{6C61B43B-B55D-40B1-97D8-6F0A60BA5E3E}"/>
    <cellStyle name="Normal 9 3 2 2 6 4" xfId="20094" xr:uid="{4F052944-33A5-4C51-AD95-2BB48A4A48A4}"/>
    <cellStyle name="Normal 9 3 2 2 6 5" xfId="11654" xr:uid="{01965597-67CB-42F6-BB77-F5DBEC444895}"/>
    <cellStyle name="Normal 9 3 2 2 7" xfId="2675" xr:uid="{00000000-0005-0000-0000-0000D01F0000}"/>
    <cellStyle name="Normal 9 3 2 2 7 2" xfId="6958" xr:uid="{00000000-0005-0000-0000-0000D11F0000}"/>
    <cellStyle name="Normal 9 3 2 2 7 2 2" xfId="24724" xr:uid="{1A9D92C1-7809-4CB8-B72E-0F0169C8DE1A}"/>
    <cellStyle name="Normal 9 3 2 2 7 2 3" xfId="16284" xr:uid="{B355843C-1394-4B6D-8DE5-B98ABF12D246}"/>
    <cellStyle name="Normal 9 3 2 2 7 3" xfId="20507" xr:uid="{DFD5C071-A272-44C3-8E04-C2DE7C5C8FCF}"/>
    <cellStyle name="Normal 9 3 2 2 7 4" xfId="12067" xr:uid="{DB1981DB-F683-4BCF-967C-3E7A420EC574}"/>
    <cellStyle name="Normal 9 3 2 2 8" xfId="4893" xr:uid="{00000000-0005-0000-0000-0000D21F0000}"/>
    <cellStyle name="Normal 9 3 2 2 8 2" xfId="22659" xr:uid="{9BBC011D-9E4E-4495-9B38-D99E766331BE}"/>
    <cellStyle name="Normal 9 3 2 2 8 3" xfId="14219" xr:uid="{FBE09475-E94E-47B6-ACF3-2E88F87C0381}"/>
    <cellStyle name="Normal 9 3 2 2 9" xfId="8943" xr:uid="{1E59706A-169E-45B8-A6E4-1A0514B9DDBD}"/>
    <cellStyle name="Normal 9 3 2 2 9 2" xfId="18442" xr:uid="{7ED9DE22-6B68-451A-A940-926B0C951DE8}"/>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25219" xr:uid="{2246486C-3152-4FC0-8DCE-15B449EE2703}"/>
    <cellStyle name="Normal 9 3 2 3 2 2 2 3" xfId="16779" xr:uid="{E2EAA6E2-7BCD-4E36-BE1A-EAEBDD8566EB}"/>
    <cellStyle name="Normal 9 3 2 3 2 2 3" xfId="21002" xr:uid="{F5EE48BC-2D67-49DB-8B89-E7DA09695BE4}"/>
    <cellStyle name="Normal 9 3 2 3 2 2 4" xfId="12562" xr:uid="{F33FAA2F-C53C-4356-88F9-A7353BED2C0A}"/>
    <cellStyle name="Normal 9 3 2 3 2 3" xfId="5308" xr:uid="{00000000-0005-0000-0000-0000D71F0000}"/>
    <cellStyle name="Normal 9 3 2 3 2 3 2" xfId="23074" xr:uid="{51EB5BAE-DEDD-4547-BEB4-1E05879D8D0E}"/>
    <cellStyle name="Normal 9 3 2 3 2 3 3" xfId="14634" xr:uid="{5D27CB58-6B5F-4C8A-8986-4553FB0FE935}"/>
    <cellStyle name="Normal 9 3 2 3 2 4" xfId="9472" xr:uid="{427A8E71-9BC4-47C0-A855-6886AF96C97E}"/>
    <cellStyle name="Normal 9 3 2 3 2 4 2" xfId="18857" xr:uid="{031B4B80-BA52-49C6-A0D4-0E599F5E25CE}"/>
    <cellStyle name="Normal 9 3 2 3 2 5" xfId="10417" xr:uid="{615A94D0-8D9A-42ED-A0AC-36802E8BEA19}"/>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25632" xr:uid="{5FBB1508-7CEB-4004-83B1-DE14497A20D2}"/>
    <cellStyle name="Normal 9 3 2 3 3 2 2 3" xfId="17192" xr:uid="{54030798-81F8-4AF0-AFFE-DE0BA83424F6}"/>
    <cellStyle name="Normal 9 3 2 3 3 2 3" xfId="21415" xr:uid="{B7B89DE8-EBF5-48CE-A1FC-EB81A168735C}"/>
    <cellStyle name="Normal 9 3 2 3 3 2 4" xfId="12975" xr:uid="{13154567-B03C-4BA3-A124-70A6C76C61DA}"/>
    <cellStyle name="Normal 9 3 2 3 3 3" xfId="5721" xr:uid="{00000000-0005-0000-0000-0000DB1F0000}"/>
    <cellStyle name="Normal 9 3 2 3 3 3 2" xfId="23487" xr:uid="{054B0C8B-6467-4C88-B90A-736ED75FD87A}"/>
    <cellStyle name="Normal 9 3 2 3 3 3 3" xfId="15047" xr:uid="{D68F37C8-D5B8-4E71-9139-DA1D7DC83C52}"/>
    <cellStyle name="Normal 9 3 2 3 3 4" xfId="19270" xr:uid="{484382BD-BCEA-488A-B01C-BA1CE02F6F98}"/>
    <cellStyle name="Normal 9 3 2 3 3 5" xfId="10830" xr:uid="{F504F577-5F93-4D89-92A0-4712CE651B50}"/>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26045" xr:uid="{81CB2135-6AA5-4482-AC32-70BAEB0BA463}"/>
    <cellStyle name="Normal 9 3 2 3 4 2 2 3" xfId="17605" xr:uid="{1B5E235B-4642-4F78-9616-8C0A529F8D50}"/>
    <cellStyle name="Normal 9 3 2 3 4 2 3" xfId="21828" xr:uid="{70782C53-AD2F-41DD-A6B1-CF33B0D0D26A}"/>
    <cellStyle name="Normal 9 3 2 3 4 2 4" xfId="13388" xr:uid="{124D3906-FA44-4BF1-8570-8C2253A2C69C}"/>
    <cellStyle name="Normal 9 3 2 3 4 3" xfId="6134" xr:uid="{00000000-0005-0000-0000-0000DF1F0000}"/>
    <cellStyle name="Normal 9 3 2 3 4 3 2" xfId="23900" xr:uid="{A3D01AAB-3357-456D-BE07-EEF828E9341A}"/>
    <cellStyle name="Normal 9 3 2 3 4 3 3" xfId="15460" xr:uid="{E696C2DF-BF15-4E2D-8362-44393375DEFB}"/>
    <cellStyle name="Normal 9 3 2 3 4 4" xfId="19683" xr:uid="{AFF2FA15-B2F1-4753-9E35-8E5EF5525968}"/>
    <cellStyle name="Normal 9 3 2 3 4 5" xfId="11243" xr:uid="{5C8E96FF-534B-4249-9F1C-C732315ABBD0}"/>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26458" xr:uid="{C05F7D96-E118-46E8-8817-E0275194C8D2}"/>
    <cellStyle name="Normal 9 3 2 3 5 2 2 3" xfId="18018" xr:uid="{811337AF-2E58-498B-B631-4F77D03539FE}"/>
    <cellStyle name="Normal 9 3 2 3 5 2 3" xfId="22241" xr:uid="{96519B41-90E3-4D41-BFD5-5E77C244C2DE}"/>
    <cellStyle name="Normal 9 3 2 3 5 2 4" xfId="13801" xr:uid="{7FCE7DEE-7BD9-4068-9724-BF75E47B53D7}"/>
    <cellStyle name="Normal 9 3 2 3 5 3" xfId="6547" xr:uid="{00000000-0005-0000-0000-0000E31F0000}"/>
    <cellStyle name="Normal 9 3 2 3 5 3 2" xfId="24313" xr:uid="{63F519FB-8A21-4AA4-B26F-EADE1E3E26D1}"/>
    <cellStyle name="Normal 9 3 2 3 5 3 3" xfId="15873" xr:uid="{7BD1222E-DA61-4B17-99DA-9F228ED9D610}"/>
    <cellStyle name="Normal 9 3 2 3 5 4" xfId="20096" xr:uid="{F91E0B51-8C37-4DC2-A711-D48490510711}"/>
    <cellStyle name="Normal 9 3 2 3 5 5" xfId="11656" xr:uid="{4A8CF0D8-97BE-4E26-9001-FADF90A74BA3}"/>
    <cellStyle name="Normal 9 3 2 3 6" xfId="2677" xr:uid="{00000000-0005-0000-0000-0000E41F0000}"/>
    <cellStyle name="Normal 9 3 2 3 6 2" xfId="6960" xr:uid="{00000000-0005-0000-0000-0000E51F0000}"/>
    <cellStyle name="Normal 9 3 2 3 6 2 2" xfId="24726" xr:uid="{4DA095E8-EFEC-4AC3-B9F6-B19B94A936A4}"/>
    <cellStyle name="Normal 9 3 2 3 6 2 3" xfId="16286" xr:uid="{5F7FD8F2-3816-4443-95E6-0441A7ADF483}"/>
    <cellStyle name="Normal 9 3 2 3 6 3" xfId="20509" xr:uid="{AF03EAF6-9971-4A29-AD50-DC30D574E632}"/>
    <cellStyle name="Normal 9 3 2 3 6 4" xfId="12069" xr:uid="{C6FA5E5D-7087-4EFE-8747-9E05708CE996}"/>
    <cellStyle name="Normal 9 3 2 3 7" xfId="4895" xr:uid="{00000000-0005-0000-0000-0000E61F0000}"/>
    <cellStyle name="Normal 9 3 2 3 7 2" xfId="22661" xr:uid="{C0DF9474-FC2C-4339-A300-DC04AD1EE5A3}"/>
    <cellStyle name="Normal 9 3 2 3 7 3" xfId="14221" xr:uid="{E32F5316-EA5B-44EB-9839-B820C72A8AEB}"/>
    <cellStyle name="Normal 9 3 2 3 8" xfId="9047" xr:uid="{4CBBBE80-D24B-484D-910E-0072EA0E95DD}"/>
    <cellStyle name="Normal 9 3 2 3 8 2" xfId="18444" xr:uid="{BC9E6585-BFD9-491B-81BC-29E643691E8C}"/>
    <cellStyle name="Normal 9 3 2 3 9" xfId="10004" xr:uid="{037E64B2-714B-4B78-ADBC-A19687F6CD0F}"/>
    <cellStyle name="Normal 9 3 2 4" xfId="995" xr:uid="{00000000-0005-0000-0000-0000E71F0000}"/>
    <cellStyle name="Normal 9 3 2 4 2" xfId="3228" xr:uid="{00000000-0005-0000-0000-0000E81F0000}"/>
    <cellStyle name="Normal 9 3 2 4 2 2" xfId="7450" xr:uid="{00000000-0005-0000-0000-0000E91F0000}"/>
    <cellStyle name="Normal 9 3 2 4 2 2 2" xfId="25216" xr:uid="{B44B40E4-B31F-44FA-BEF1-DD66FC29798B}"/>
    <cellStyle name="Normal 9 3 2 4 2 2 3" xfId="16776" xr:uid="{537E74B8-03DA-4EE6-AD82-160CAFA769E6}"/>
    <cellStyle name="Normal 9 3 2 4 2 3" xfId="20999" xr:uid="{89CD3C97-1C00-420C-9EBB-C40FDC629AFD}"/>
    <cellStyle name="Normal 9 3 2 4 2 4" xfId="12559" xr:uid="{D3332313-D6EF-455C-A364-5F320CFF446C}"/>
    <cellStyle name="Normal 9 3 2 4 3" xfId="5305" xr:uid="{00000000-0005-0000-0000-0000EA1F0000}"/>
    <cellStyle name="Normal 9 3 2 4 3 2" xfId="23071" xr:uid="{FDF89382-62CB-49FB-9077-2D85E3D40FC5}"/>
    <cellStyle name="Normal 9 3 2 4 3 3" xfId="14631" xr:uid="{3699900C-B59A-4F94-B58B-D4650E01C344}"/>
    <cellStyle name="Normal 9 3 2 4 4" xfId="9265" xr:uid="{BF00A9B8-67BA-48F6-8D48-0E4380D60577}"/>
    <cellStyle name="Normal 9 3 2 4 4 2" xfId="18854" xr:uid="{6BAC3BA9-80E7-4170-BCC5-81115D5648E5}"/>
    <cellStyle name="Normal 9 3 2 4 5" xfId="10414" xr:uid="{F61ACFFA-8DA7-4C65-9CF1-B9ACD1EB811C}"/>
    <cellStyle name="Normal 9 3 2 5" xfId="1411" xr:uid="{00000000-0005-0000-0000-0000EB1F0000}"/>
    <cellStyle name="Normal 9 3 2 5 2" xfId="3641" xr:uid="{00000000-0005-0000-0000-0000EC1F0000}"/>
    <cellStyle name="Normal 9 3 2 5 2 2" xfId="7863" xr:uid="{00000000-0005-0000-0000-0000ED1F0000}"/>
    <cellStyle name="Normal 9 3 2 5 2 2 2" xfId="25629" xr:uid="{6E8A8303-665F-4B45-8553-B1A44F4E1184}"/>
    <cellStyle name="Normal 9 3 2 5 2 2 3" xfId="17189" xr:uid="{5EED650A-D4AC-4BE6-B563-3D718407D2B8}"/>
    <cellStyle name="Normal 9 3 2 5 2 3" xfId="21412" xr:uid="{22834001-D708-4CFD-A2C5-D1FEDEEF206A}"/>
    <cellStyle name="Normal 9 3 2 5 2 4" xfId="12972" xr:uid="{878EF2D1-CE05-44CC-B6CD-649BCF8BC6A9}"/>
    <cellStyle name="Normal 9 3 2 5 3" xfId="5718" xr:uid="{00000000-0005-0000-0000-0000EE1F0000}"/>
    <cellStyle name="Normal 9 3 2 5 3 2" xfId="23484" xr:uid="{212174AF-DD26-4F22-9408-C73AE4D06ABB}"/>
    <cellStyle name="Normal 9 3 2 5 3 3" xfId="15044" xr:uid="{BE885457-EAF1-46CB-A3B2-4655F8A6136B}"/>
    <cellStyle name="Normal 9 3 2 5 4" xfId="19267" xr:uid="{745D7B25-2C01-4A27-A1DD-58219AF4E503}"/>
    <cellStyle name="Normal 9 3 2 5 5" xfId="10827" xr:uid="{1082E536-789B-4425-B635-2CA81FFE9499}"/>
    <cellStyle name="Normal 9 3 2 6" xfId="1824" xr:uid="{00000000-0005-0000-0000-0000EF1F0000}"/>
    <cellStyle name="Normal 9 3 2 6 2" xfId="4054" xr:uid="{00000000-0005-0000-0000-0000F01F0000}"/>
    <cellStyle name="Normal 9 3 2 6 2 2" xfId="8276" xr:uid="{00000000-0005-0000-0000-0000F11F0000}"/>
    <cellStyle name="Normal 9 3 2 6 2 2 2" xfId="26042" xr:uid="{842444EE-3C0C-42FD-8D24-96CFA7C879D5}"/>
    <cellStyle name="Normal 9 3 2 6 2 2 3" xfId="17602" xr:uid="{C6C12944-677F-4271-8FB6-17F37945A8F8}"/>
    <cellStyle name="Normal 9 3 2 6 2 3" xfId="21825" xr:uid="{EFD37DBD-D832-4E20-B99C-3BBA80596811}"/>
    <cellStyle name="Normal 9 3 2 6 2 4" xfId="13385" xr:uid="{E30832CB-C3FA-4670-B9E6-E197577B44E3}"/>
    <cellStyle name="Normal 9 3 2 6 3" xfId="6131" xr:uid="{00000000-0005-0000-0000-0000F21F0000}"/>
    <cellStyle name="Normal 9 3 2 6 3 2" xfId="23897" xr:uid="{01EE8040-A427-4E9B-B4D6-DD4278E987AB}"/>
    <cellStyle name="Normal 9 3 2 6 3 3" xfId="15457" xr:uid="{47601604-F3A6-48EB-A49C-9AA5940B6A79}"/>
    <cellStyle name="Normal 9 3 2 6 4" xfId="19680" xr:uid="{09387EB7-83A7-4B11-8B03-5957AD2E5555}"/>
    <cellStyle name="Normal 9 3 2 6 5" xfId="11240" xr:uid="{78A988F9-E23C-4E49-B426-0D786CCBC7A5}"/>
    <cellStyle name="Normal 9 3 2 7" xfId="2238" xr:uid="{00000000-0005-0000-0000-0000F31F0000}"/>
    <cellStyle name="Normal 9 3 2 7 2" xfId="4467" xr:uid="{00000000-0005-0000-0000-0000F41F0000}"/>
    <cellStyle name="Normal 9 3 2 7 2 2" xfId="8689" xr:uid="{00000000-0005-0000-0000-0000F51F0000}"/>
    <cellStyle name="Normal 9 3 2 7 2 2 2" xfId="26455" xr:uid="{FB12D950-41A9-4AFC-9B8D-3D410AFE72CE}"/>
    <cellStyle name="Normal 9 3 2 7 2 2 3" xfId="18015" xr:uid="{E1DBD0A6-8994-4CDE-B55D-CAE4FB72D85A}"/>
    <cellStyle name="Normal 9 3 2 7 2 3" xfId="22238" xr:uid="{E0816B76-5784-49B6-99AF-77320EE7F81C}"/>
    <cellStyle name="Normal 9 3 2 7 2 4" xfId="13798" xr:uid="{8280CF24-3639-44A8-A739-DCDA9B2EB31F}"/>
    <cellStyle name="Normal 9 3 2 7 3" xfId="6544" xr:uid="{00000000-0005-0000-0000-0000F61F0000}"/>
    <cellStyle name="Normal 9 3 2 7 3 2" xfId="24310" xr:uid="{2944B063-27AC-40CB-983B-FE93F7060036}"/>
    <cellStyle name="Normal 9 3 2 7 3 3" xfId="15870" xr:uid="{860A83AF-C10F-4DAE-B26A-A1213FCCDC0F}"/>
    <cellStyle name="Normal 9 3 2 7 4" xfId="20093" xr:uid="{976EA54C-C6E4-4F9E-8179-2C3F19355DE2}"/>
    <cellStyle name="Normal 9 3 2 7 5" xfId="11653" xr:uid="{3DD2C842-FCE4-4FDB-ADCD-87335142C369}"/>
    <cellStyle name="Normal 9 3 2 8" xfId="2674" xr:uid="{00000000-0005-0000-0000-0000F71F0000}"/>
    <cellStyle name="Normal 9 3 2 8 2" xfId="6957" xr:uid="{00000000-0005-0000-0000-0000F81F0000}"/>
    <cellStyle name="Normal 9 3 2 8 2 2" xfId="24723" xr:uid="{CC41C799-27E5-48AD-ACB4-0721C3547447}"/>
    <cellStyle name="Normal 9 3 2 8 2 3" xfId="16283" xr:uid="{C512A5CB-7059-4DE4-B6A6-ACBF9C3CC3C2}"/>
    <cellStyle name="Normal 9 3 2 8 3" xfId="20506" xr:uid="{2CF2F9FA-843C-4F2F-866E-1964D7188717}"/>
    <cellStyle name="Normal 9 3 2 8 4" xfId="12066" xr:uid="{BF7E9843-8672-4A49-8A2A-DF4BA553B0A9}"/>
    <cellStyle name="Normal 9 3 2 9" xfId="4892" xr:uid="{00000000-0005-0000-0000-0000F91F0000}"/>
    <cellStyle name="Normal 9 3 2 9 2" xfId="22658" xr:uid="{0722968E-FE73-4C0A-9EC8-A91D8E74A4E0}"/>
    <cellStyle name="Normal 9 3 2 9 3" xfId="14218" xr:uid="{C0CBD2FF-20FD-45FB-BB44-CAEBFD390CAC}"/>
    <cellStyle name="Normal 9 3 3" xfId="532" xr:uid="{00000000-0005-0000-0000-0000FA1F0000}"/>
    <cellStyle name="Normal 9 3 3 10" xfId="10005" xr:uid="{617F3454-3876-4770-864C-DF5A67B3A48D}"/>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25221" xr:uid="{F0835040-DF99-4D8F-ADCB-397AF4C4D9FF}"/>
    <cellStyle name="Normal 9 3 3 2 2 2 2 3" xfId="16781" xr:uid="{91B57B2D-BD02-4313-82A2-F7E7E6C71B58}"/>
    <cellStyle name="Normal 9 3 3 2 2 2 3" xfId="21004" xr:uid="{507DA6B8-C223-4832-8275-AE6943B833ED}"/>
    <cellStyle name="Normal 9 3 3 2 2 2 4" xfId="12564" xr:uid="{E0E125FE-07CB-4667-9920-24D447EE6255}"/>
    <cellStyle name="Normal 9 3 3 2 2 3" xfId="5310" xr:uid="{00000000-0005-0000-0000-0000FF1F0000}"/>
    <cellStyle name="Normal 9 3 3 2 2 3 2" xfId="23076" xr:uid="{917D5ACA-D8B8-4B25-9E37-EB685E889C56}"/>
    <cellStyle name="Normal 9 3 3 2 2 3 3" xfId="14636" xr:uid="{373D007D-1252-410A-B9A5-DE3AFB3D58FA}"/>
    <cellStyle name="Normal 9 3 3 2 2 4" xfId="9512" xr:uid="{2D87B26D-94B2-43FF-B3AD-59DF0A117D21}"/>
    <cellStyle name="Normal 9 3 3 2 2 4 2" xfId="18859" xr:uid="{15DE4762-3DED-49B1-9780-66504EA8029D}"/>
    <cellStyle name="Normal 9 3 3 2 2 5" xfId="10419" xr:uid="{A3FB819C-C471-4F7C-BCAC-124CC4A2198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25634" xr:uid="{76AED470-7408-4103-A0B7-4D2E74EA2949}"/>
    <cellStyle name="Normal 9 3 3 2 3 2 2 3" xfId="17194" xr:uid="{C6F47F82-2A76-4033-AF8D-5EA11CC6847E}"/>
    <cellStyle name="Normal 9 3 3 2 3 2 3" xfId="21417" xr:uid="{1631F5E1-5EF0-4823-A1BF-03C4ABE31C68}"/>
    <cellStyle name="Normal 9 3 3 2 3 2 4" xfId="12977" xr:uid="{81BD9E81-BFA9-4681-BB2D-1B2599D6C6F1}"/>
    <cellStyle name="Normal 9 3 3 2 3 3" xfId="5723" xr:uid="{00000000-0005-0000-0000-000003200000}"/>
    <cellStyle name="Normal 9 3 3 2 3 3 2" xfId="23489" xr:uid="{CA760AA3-DBA5-4E3D-A156-4F5D735A41BE}"/>
    <cellStyle name="Normal 9 3 3 2 3 3 3" xfId="15049" xr:uid="{8230357C-1AD9-4EF6-811A-0422A3BEBDA3}"/>
    <cellStyle name="Normal 9 3 3 2 3 4" xfId="19272" xr:uid="{93B7E7A6-779F-4848-AE3D-C44BA1AC85D3}"/>
    <cellStyle name="Normal 9 3 3 2 3 5" xfId="10832" xr:uid="{90D440BE-BE37-415A-BA4C-F3F23F971C46}"/>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26047" xr:uid="{14FEEC8B-3789-450A-93C9-F122A8DF6E38}"/>
    <cellStyle name="Normal 9 3 3 2 4 2 2 3" xfId="17607" xr:uid="{8A9CE5E5-3C56-43E5-82C4-B6605BF89606}"/>
    <cellStyle name="Normal 9 3 3 2 4 2 3" xfId="21830" xr:uid="{A90247FD-40B7-4123-BBE2-1B934FBF35ED}"/>
    <cellStyle name="Normal 9 3 3 2 4 2 4" xfId="13390" xr:uid="{EF5CFFEF-C82B-4660-A824-289708F2C202}"/>
    <cellStyle name="Normal 9 3 3 2 4 3" xfId="6136" xr:uid="{00000000-0005-0000-0000-000007200000}"/>
    <cellStyle name="Normal 9 3 3 2 4 3 2" xfId="23902" xr:uid="{83EFE74F-5CAB-41F6-A541-EF06C100EB9F}"/>
    <cellStyle name="Normal 9 3 3 2 4 3 3" xfId="15462" xr:uid="{EE54A4CB-558C-4D85-B22D-FD1F2B2DA017}"/>
    <cellStyle name="Normal 9 3 3 2 4 4" xfId="19685" xr:uid="{B555E1F3-0DDC-4CD9-A8A9-8B26802957E4}"/>
    <cellStyle name="Normal 9 3 3 2 4 5" xfId="11245" xr:uid="{98E5EB73-3D05-493C-BE8D-75B128E196A3}"/>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26460" xr:uid="{143FBEA8-23F6-462E-9D80-EC43DD9E556D}"/>
    <cellStyle name="Normal 9 3 3 2 5 2 2 3" xfId="18020" xr:uid="{281F0A64-DC4D-45C4-8AF8-338A0D7A4627}"/>
    <cellStyle name="Normal 9 3 3 2 5 2 3" xfId="22243" xr:uid="{87BCB222-4718-42DB-A39D-8088775DDD0F}"/>
    <cellStyle name="Normal 9 3 3 2 5 2 4" xfId="13803" xr:uid="{47E0F7F8-EEFC-4C5A-A3D4-45EE122C231B}"/>
    <cellStyle name="Normal 9 3 3 2 5 3" xfId="6549" xr:uid="{00000000-0005-0000-0000-00000B200000}"/>
    <cellStyle name="Normal 9 3 3 2 5 3 2" xfId="24315" xr:uid="{13462364-8A08-4DE7-A7A2-273C160AFD0E}"/>
    <cellStyle name="Normal 9 3 3 2 5 3 3" xfId="15875" xr:uid="{98FFDB13-B6C0-40B9-95A5-C90D20211006}"/>
    <cellStyle name="Normal 9 3 3 2 5 4" xfId="20098" xr:uid="{888DD8A4-C034-46E3-8C08-881A7BAB9715}"/>
    <cellStyle name="Normal 9 3 3 2 5 5" xfId="11658" xr:uid="{66F7C9FD-1AAD-4B89-B5FD-2263F2042808}"/>
    <cellStyle name="Normal 9 3 3 2 6" xfId="2679" xr:uid="{00000000-0005-0000-0000-00000C200000}"/>
    <cellStyle name="Normal 9 3 3 2 6 2" xfId="6962" xr:uid="{00000000-0005-0000-0000-00000D200000}"/>
    <cellStyle name="Normal 9 3 3 2 6 2 2" xfId="24728" xr:uid="{A4BCD928-C5DE-4311-8065-3E54845A8D6C}"/>
    <cellStyle name="Normal 9 3 3 2 6 2 3" xfId="16288" xr:uid="{093B0700-504B-49E7-AA48-0A85E9C589B9}"/>
    <cellStyle name="Normal 9 3 3 2 6 3" xfId="20511" xr:uid="{B99FE5B8-A76E-409E-9DC7-382BF2036B38}"/>
    <cellStyle name="Normal 9 3 3 2 6 4" xfId="12071" xr:uid="{04F8AD66-DFB1-4405-928B-E2CCE0C2855A}"/>
    <cellStyle name="Normal 9 3 3 2 7" xfId="4897" xr:uid="{00000000-0005-0000-0000-00000E200000}"/>
    <cellStyle name="Normal 9 3 3 2 7 2" xfId="22663" xr:uid="{7C706AF6-B7D7-4AEC-A46E-249447E3B139}"/>
    <cellStyle name="Normal 9 3 3 2 7 3" xfId="14223" xr:uid="{ABA55A68-08AF-4F5D-9234-8CA2A917F01E}"/>
    <cellStyle name="Normal 9 3 3 2 8" xfId="9087" xr:uid="{B1C8DB1F-59B6-4D6A-B3E7-0CFC4D29D9A9}"/>
    <cellStyle name="Normal 9 3 3 2 8 2" xfId="18446" xr:uid="{E63A7EE2-E512-4C52-AA90-18872C1E0C24}"/>
    <cellStyle name="Normal 9 3 3 2 9" xfId="10006" xr:uid="{722B89FC-EAD5-4217-8D4F-B1A6E36E0F1D}"/>
    <cellStyle name="Normal 9 3 3 3" xfId="999" xr:uid="{00000000-0005-0000-0000-00000F200000}"/>
    <cellStyle name="Normal 9 3 3 3 2" xfId="3232" xr:uid="{00000000-0005-0000-0000-000010200000}"/>
    <cellStyle name="Normal 9 3 3 3 2 2" xfId="7454" xr:uid="{00000000-0005-0000-0000-000011200000}"/>
    <cellStyle name="Normal 9 3 3 3 2 2 2" xfId="25220" xr:uid="{F74A14F1-1100-45B9-8912-9F9FEFFF7AAE}"/>
    <cellStyle name="Normal 9 3 3 3 2 2 3" xfId="16780" xr:uid="{36816699-85F9-4B11-8521-68CFDD0572EC}"/>
    <cellStyle name="Normal 9 3 3 3 2 3" xfId="21003" xr:uid="{643E8404-D232-4004-974F-17177A0B7DA6}"/>
    <cellStyle name="Normal 9 3 3 3 2 4" xfId="12563" xr:uid="{FA223D41-87EE-490F-9493-06AD9F71EE87}"/>
    <cellStyle name="Normal 9 3 3 3 3" xfId="5309" xr:uid="{00000000-0005-0000-0000-000012200000}"/>
    <cellStyle name="Normal 9 3 3 3 3 2" xfId="23075" xr:uid="{5FC48080-2990-43EC-84C1-6681EB748C87}"/>
    <cellStyle name="Normal 9 3 3 3 3 3" xfId="14635" xr:uid="{A716E064-B3A9-447B-8528-AF2DE3464C77}"/>
    <cellStyle name="Normal 9 3 3 3 4" xfId="9305" xr:uid="{F54F3A88-B268-4905-B4D1-34B996B920C6}"/>
    <cellStyle name="Normal 9 3 3 3 4 2" xfId="18858" xr:uid="{3025B2D5-0D18-4B0F-8E5A-3698602CDFCA}"/>
    <cellStyle name="Normal 9 3 3 3 5" xfId="10418" xr:uid="{A0025F85-E0CB-4D4B-9E78-3B40175D7E7F}"/>
    <cellStyle name="Normal 9 3 3 4" xfId="1415" xr:uid="{00000000-0005-0000-0000-000013200000}"/>
    <cellStyle name="Normal 9 3 3 4 2" xfId="3645" xr:uid="{00000000-0005-0000-0000-000014200000}"/>
    <cellStyle name="Normal 9 3 3 4 2 2" xfId="7867" xr:uid="{00000000-0005-0000-0000-000015200000}"/>
    <cellStyle name="Normal 9 3 3 4 2 2 2" xfId="25633" xr:uid="{EBCEFB20-D42A-4AF0-8DFF-ACF8FCA2A490}"/>
    <cellStyle name="Normal 9 3 3 4 2 2 3" xfId="17193" xr:uid="{CE7A4ED4-2527-4784-BEDB-CB894AC86F3E}"/>
    <cellStyle name="Normal 9 3 3 4 2 3" xfId="21416" xr:uid="{59A37020-AA54-4305-BC13-BD7FCF0158BC}"/>
    <cellStyle name="Normal 9 3 3 4 2 4" xfId="12976" xr:uid="{22EEB8A6-FD18-43DE-97A5-C185AEEA433D}"/>
    <cellStyle name="Normal 9 3 3 4 3" xfId="5722" xr:uid="{00000000-0005-0000-0000-000016200000}"/>
    <cellStyle name="Normal 9 3 3 4 3 2" xfId="23488" xr:uid="{787FA213-0F4F-4E11-8DF0-54275B77F82B}"/>
    <cellStyle name="Normal 9 3 3 4 3 3" xfId="15048" xr:uid="{AF751FC8-2DFF-4436-A341-B088DB68B775}"/>
    <cellStyle name="Normal 9 3 3 4 4" xfId="19271" xr:uid="{2B2105AE-265F-4AF7-A127-B3BCB619EB02}"/>
    <cellStyle name="Normal 9 3 3 4 5" xfId="10831" xr:uid="{0F6B9B1A-B014-4D63-8EBC-C078DB45763C}"/>
    <cellStyle name="Normal 9 3 3 5" xfId="1828" xr:uid="{00000000-0005-0000-0000-000017200000}"/>
    <cellStyle name="Normal 9 3 3 5 2" xfId="4058" xr:uid="{00000000-0005-0000-0000-000018200000}"/>
    <cellStyle name="Normal 9 3 3 5 2 2" xfId="8280" xr:uid="{00000000-0005-0000-0000-000019200000}"/>
    <cellStyle name="Normal 9 3 3 5 2 2 2" xfId="26046" xr:uid="{E630648F-A08B-482C-BA0A-04237C397F7C}"/>
    <cellStyle name="Normal 9 3 3 5 2 2 3" xfId="17606" xr:uid="{3DC1C4B7-631C-4D05-A097-9BAA6895AB02}"/>
    <cellStyle name="Normal 9 3 3 5 2 3" xfId="21829" xr:uid="{259F7958-25E3-4E33-9053-3A41720BE918}"/>
    <cellStyle name="Normal 9 3 3 5 2 4" xfId="13389" xr:uid="{A0390B4F-8D0D-4DA6-BA35-55F2ED87CBEB}"/>
    <cellStyle name="Normal 9 3 3 5 3" xfId="6135" xr:uid="{00000000-0005-0000-0000-00001A200000}"/>
    <cellStyle name="Normal 9 3 3 5 3 2" xfId="23901" xr:uid="{232DA268-46EA-4CEC-B0BB-8E5E32AFF439}"/>
    <cellStyle name="Normal 9 3 3 5 3 3" xfId="15461" xr:uid="{3F644BF4-76D5-466B-87F2-7890F67D1F8F}"/>
    <cellStyle name="Normal 9 3 3 5 4" xfId="19684" xr:uid="{81A034CD-D1BE-478E-8B14-E724A64BCFFE}"/>
    <cellStyle name="Normal 9 3 3 5 5" xfId="11244" xr:uid="{D2FA32AF-CEE8-4F27-939E-99B9EDAD688F}"/>
    <cellStyle name="Normal 9 3 3 6" xfId="2242" xr:uid="{00000000-0005-0000-0000-00001B200000}"/>
    <cellStyle name="Normal 9 3 3 6 2" xfId="4471" xr:uid="{00000000-0005-0000-0000-00001C200000}"/>
    <cellStyle name="Normal 9 3 3 6 2 2" xfId="8693" xr:uid="{00000000-0005-0000-0000-00001D200000}"/>
    <cellStyle name="Normal 9 3 3 6 2 2 2" xfId="26459" xr:uid="{BC91E27F-7383-471E-93CF-BBE322E2B512}"/>
    <cellStyle name="Normal 9 3 3 6 2 2 3" xfId="18019" xr:uid="{1E7036BE-97E9-46A1-85E4-FFB8E8826354}"/>
    <cellStyle name="Normal 9 3 3 6 2 3" xfId="22242" xr:uid="{C5CE0BB8-FEEB-4A9A-B969-75F9F107B00E}"/>
    <cellStyle name="Normal 9 3 3 6 2 4" xfId="13802" xr:uid="{39F36399-D464-4B05-83B8-8D1703B90534}"/>
    <cellStyle name="Normal 9 3 3 6 3" xfId="6548" xr:uid="{00000000-0005-0000-0000-00001E200000}"/>
    <cellStyle name="Normal 9 3 3 6 3 2" xfId="24314" xr:uid="{1BC85A9E-637A-4A15-85BB-B0428B93937D}"/>
    <cellStyle name="Normal 9 3 3 6 3 3" xfId="15874" xr:uid="{F1D06A32-9D18-4C11-A836-9A3F4407D4CB}"/>
    <cellStyle name="Normal 9 3 3 6 4" xfId="20097" xr:uid="{1202C6CD-10C9-43F1-9ACF-5A147ED9A9E7}"/>
    <cellStyle name="Normal 9 3 3 6 5" xfId="11657" xr:uid="{9DEF1DD4-D2DE-42BF-B79F-583FA0A76118}"/>
    <cellStyle name="Normal 9 3 3 7" xfId="2678" xr:uid="{00000000-0005-0000-0000-00001F200000}"/>
    <cellStyle name="Normal 9 3 3 7 2" xfId="6961" xr:uid="{00000000-0005-0000-0000-000020200000}"/>
    <cellStyle name="Normal 9 3 3 7 2 2" xfId="24727" xr:uid="{C6658B79-AC4E-4844-877E-D06B1D90D2FD}"/>
    <cellStyle name="Normal 9 3 3 7 2 3" xfId="16287" xr:uid="{69882C7B-3C7E-4742-BF86-A6B283B3731C}"/>
    <cellStyle name="Normal 9 3 3 7 3" xfId="20510" xr:uid="{D257926F-40BF-481E-9C32-CB797B162A2C}"/>
    <cellStyle name="Normal 9 3 3 7 4" xfId="12070" xr:uid="{20FAB1C7-D27B-418A-A60D-115D82A20002}"/>
    <cellStyle name="Normal 9 3 3 8" xfId="4896" xr:uid="{00000000-0005-0000-0000-000021200000}"/>
    <cellStyle name="Normal 9 3 3 8 2" xfId="22662" xr:uid="{12791557-488E-45AE-8875-89FAB182C922}"/>
    <cellStyle name="Normal 9 3 3 8 3" xfId="14222" xr:uid="{E3F04636-C182-4E65-8813-3AB3E56126C7}"/>
    <cellStyle name="Normal 9 3 3 9" xfId="8880" xr:uid="{36521590-FD5B-45F7-80A9-41BA557EA820}"/>
    <cellStyle name="Normal 9 3 3 9 2" xfId="18445" xr:uid="{EF688DF3-584B-49F8-A10E-CFDB536F40ED}"/>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25222" xr:uid="{CCB8B846-7693-43F1-A3D3-2D7EDA00871A}"/>
    <cellStyle name="Normal 9 3 4 2 2 2 3" xfId="16782" xr:uid="{55D176AF-AFDD-4FA0-8A57-63CD0025C57B}"/>
    <cellStyle name="Normal 9 3 4 2 2 3" xfId="21005" xr:uid="{9EA74CDA-EA0B-4FD2-8276-B847262FB851}"/>
    <cellStyle name="Normal 9 3 4 2 2 4" xfId="12565" xr:uid="{A718AD2E-872D-4BD4-B3DF-C2374B15AA37}"/>
    <cellStyle name="Normal 9 3 4 2 3" xfId="5311" xr:uid="{00000000-0005-0000-0000-000026200000}"/>
    <cellStyle name="Normal 9 3 4 2 3 2" xfId="23077" xr:uid="{E6977D47-483A-4B6F-9A2C-CCFE7462F5A4}"/>
    <cellStyle name="Normal 9 3 4 2 3 3" xfId="14637" xr:uid="{77F80089-40FD-4545-B51C-318BC4999FDE}"/>
    <cellStyle name="Normal 9 3 4 2 4" xfId="9409" xr:uid="{F8EFC02C-357C-44AD-9BF7-6459F3C595DA}"/>
    <cellStyle name="Normal 9 3 4 2 4 2" xfId="18860" xr:uid="{517CA9CC-7A9B-4209-924C-D0CCC32AF4F8}"/>
    <cellStyle name="Normal 9 3 4 2 5" xfId="10420" xr:uid="{5C3E18A9-01DC-4E65-AD84-FE17999FF442}"/>
    <cellStyle name="Normal 9 3 4 3" xfId="1417" xr:uid="{00000000-0005-0000-0000-000027200000}"/>
    <cellStyle name="Normal 9 3 4 3 2" xfId="3647" xr:uid="{00000000-0005-0000-0000-000028200000}"/>
    <cellStyle name="Normal 9 3 4 3 2 2" xfId="7869" xr:uid="{00000000-0005-0000-0000-000029200000}"/>
    <cellStyle name="Normal 9 3 4 3 2 2 2" xfId="25635" xr:uid="{727FB12C-4C5F-462F-8D41-6BC06541E8B1}"/>
    <cellStyle name="Normal 9 3 4 3 2 2 3" xfId="17195" xr:uid="{F2200E07-460B-4FB6-A207-53CF4A2474DE}"/>
    <cellStyle name="Normal 9 3 4 3 2 3" xfId="21418" xr:uid="{92A0B41A-668F-4003-870B-3710F25EF2C2}"/>
    <cellStyle name="Normal 9 3 4 3 2 4" xfId="12978" xr:uid="{BF103E7D-0CBD-4DFA-B5AC-C3F0EC8E0D46}"/>
    <cellStyle name="Normal 9 3 4 3 3" xfId="5724" xr:uid="{00000000-0005-0000-0000-00002A200000}"/>
    <cellStyle name="Normal 9 3 4 3 3 2" xfId="23490" xr:uid="{68999DD5-CA62-40B8-89E2-46788EABB77F}"/>
    <cellStyle name="Normal 9 3 4 3 3 3" xfId="15050" xr:uid="{D292BC82-32E6-4788-A88E-E61DA5E80586}"/>
    <cellStyle name="Normal 9 3 4 3 4" xfId="19273" xr:uid="{C550EAB9-68C6-4A5E-8F9A-1C11E0C8F7D5}"/>
    <cellStyle name="Normal 9 3 4 3 5" xfId="10833" xr:uid="{3B9BD92D-D3A2-40B8-A488-10D834691FCB}"/>
    <cellStyle name="Normal 9 3 4 4" xfId="1830" xr:uid="{00000000-0005-0000-0000-00002B200000}"/>
    <cellStyle name="Normal 9 3 4 4 2" xfId="4060" xr:uid="{00000000-0005-0000-0000-00002C200000}"/>
    <cellStyle name="Normal 9 3 4 4 2 2" xfId="8282" xr:uid="{00000000-0005-0000-0000-00002D200000}"/>
    <cellStyle name="Normal 9 3 4 4 2 2 2" xfId="26048" xr:uid="{BA78D873-251E-4558-9D7B-C7D70206A353}"/>
    <cellStyle name="Normal 9 3 4 4 2 2 3" xfId="17608" xr:uid="{A835F674-62FE-42F6-B1A8-26CCAD1BBA80}"/>
    <cellStyle name="Normal 9 3 4 4 2 3" xfId="21831" xr:uid="{E0AFACEB-D003-4103-884A-CEA735972C74}"/>
    <cellStyle name="Normal 9 3 4 4 2 4" xfId="13391" xr:uid="{A76C1E6C-34DC-4BAB-BB77-12049D8BD22F}"/>
    <cellStyle name="Normal 9 3 4 4 3" xfId="6137" xr:uid="{00000000-0005-0000-0000-00002E200000}"/>
    <cellStyle name="Normal 9 3 4 4 3 2" xfId="23903" xr:uid="{665AB51C-265F-43FE-A408-BCEFB7B9421D}"/>
    <cellStyle name="Normal 9 3 4 4 3 3" xfId="15463" xr:uid="{80A4C2A3-D709-40B9-864C-3853BDC609CF}"/>
    <cellStyle name="Normal 9 3 4 4 4" xfId="19686" xr:uid="{F9367335-C885-417B-B5B4-686841229B35}"/>
    <cellStyle name="Normal 9 3 4 4 5" xfId="11246" xr:uid="{EA06657B-1CFC-4EAD-99EA-D3502D194CCF}"/>
    <cellStyle name="Normal 9 3 4 5" xfId="2244" xr:uid="{00000000-0005-0000-0000-00002F200000}"/>
    <cellStyle name="Normal 9 3 4 5 2" xfId="4473" xr:uid="{00000000-0005-0000-0000-000030200000}"/>
    <cellStyle name="Normal 9 3 4 5 2 2" xfId="8695" xr:uid="{00000000-0005-0000-0000-000031200000}"/>
    <cellStyle name="Normal 9 3 4 5 2 2 2" xfId="26461" xr:uid="{3199EFE0-AB19-445F-A48F-C074F3828DBD}"/>
    <cellStyle name="Normal 9 3 4 5 2 2 3" xfId="18021" xr:uid="{94D25BE0-17A2-44B2-9C43-2B7C3620AD68}"/>
    <cellStyle name="Normal 9 3 4 5 2 3" xfId="22244" xr:uid="{4FBE1A47-E932-4598-9912-E2506D3EC3B9}"/>
    <cellStyle name="Normal 9 3 4 5 2 4" xfId="13804" xr:uid="{6D48F71D-15F6-4F25-8D21-64ED29EFE30E}"/>
    <cellStyle name="Normal 9 3 4 5 3" xfId="6550" xr:uid="{00000000-0005-0000-0000-000032200000}"/>
    <cellStyle name="Normal 9 3 4 5 3 2" xfId="24316" xr:uid="{C3E8158C-1AC5-4B11-933E-DA77D4C5240B}"/>
    <cellStyle name="Normal 9 3 4 5 3 3" xfId="15876" xr:uid="{84885B9F-B962-4322-81B8-F873B5983A41}"/>
    <cellStyle name="Normal 9 3 4 5 4" xfId="20099" xr:uid="{20CE28C4-5AE1-4019-99B7-F137185316EE}"/>
    <cellStyle name="Normal 9 3 4 5 5" xfId="11659" xr:uid="{571A7BF1-2ABB-4142-ACDE-B41C8CDB60CE}"/>
    <cellStyle name="Normal 9 3 4 6" xfId="2680" xr:uid="{00000000-0005-0000-0000-000033200000}"/>
    <cellStyle name="Normal 9 3 4 6 2" xfId="6963" xr:uid="{00000000-0005-0000-0000-000034200000}"/>
    <cellStyle name="Normal 9 3 4 6 2 2" xfId="24729" xr:uid="{685269B6-AE07-4375-901F-121801754090}"/>
    <cellStyle name="Normal 9 3 4 6 2 3" xfId="16289" xr:uid="{C9C23BDE-FB65-472C-9F23-4CF054655708}"/>
    <cellStyle name="Normal 9 3 4 6 3" xfId="20512" xr:uid="{1803CA4A-4142-400B-8117-4AEADA3DCF19}"/>
    <cellStyle name="Normal 9 3 4 6 4" xfId="12072" xr:uid="{06DDF0BB-A724-43E9-A881-C2ED5AB0DADD}"/>
    <cellStyle name="Normal 9 3 4 7" xfId="4898" xr:uid="{00000000-0005-0000-0000-000035200000}"/>
    <cellStyle name="Normal 9 3 4 7 2" xfId="22664" xr:uid="{C9B3EFF9-0B2A-4469-BC92-06BDF39200E8}"/>
    <cellStyle name="Normal 9 3 4 7 3" xfId="14224" xr:uid="{EBD3CB7A-92B7-4220-A4F7-0BA9EC78E329}"/>
    <cellStyle name="Normal 9 3 4 8" xfId="8984" xr:uid="{A39B104A-EAEF-4D5B-B504-6104111E924B}"/>
    <cellStyle name="Normal 9 3 4 8 2" xfId="18447" xr:uid="{99AE0702-417C-466E-92A2-D6253738A54E}"/>
    <cellStyle name="Normal 9 3 4 9" xfId="10007" xr:uid="{2BAC073C-339E-4648-8E44-4EC3FCC18BBC}"/>
    <cellStyle name="Normal 9 3 5" xfId="994" xr:uid="{00000000-0005-0000-0000-000036200000}"/>
    <cellStyle name="Normal 9 3 5 2" xfId="3227" xr:uid="{00000000-0005-0000-0000-000037200000}"/>
    <cellStyle name="Normal 9 3 5 2 2" xfId="7449" xr:uid="{00000000-0005-0000-0000-000038200000}"/>
    <cellStyle name="Normal 9 3 5 2 2 2" xfId="25215" xr:uid="{AE152665-2493-43D7-AD0F-42239CEB4002}"/>
    <cellStyle name="Normal 9 3 5 2 2 3" xfId="16775" xr:uid="{492B6766-84C5-4553-B1B5-D58F6CBE852D}"/>
    <cellStyle name="Normal 9 3 5 2 3" xfId="20998" xr:uid="{9D6A7146-CB32-49DA-B6DF-E7BBEADFEC09}"/>
    <cellStyle name="Normal 9 3 5 2 4" xfId="12558" xr:uid="{9C2CA805-002A-4084-A7A7-8C9EC16F498A}"/>
    <cellStyle name="Normal 9 3 5 3" xfId="5304" xr:uid="{00000000-0005-0000-0000-000039200000}"/>
    <cellStyle name="Normal 9 3 5 3 2" xfId="23070" xr:uid="{D8A04AD8-4AE1-4319-96AA-924DAB7EFBE4}"/>
    <cellStyle name="Normal 9 3 5 3 3" xfId="14630" xr:uid="{14CDBA70-B9B0-4219-8B75-943186209D2C}"/>
    <cellStyle name="Normal 9 3 5 4" xfId="9201" xr:uid="{46D523D7-8DEB-46FB-8F1C-8CE8C2FC3AD3}"/>
    <cellStyle name="Normal 9 3 5 4 2" xfId="18853" xr:uid="{C9A478E4-FA4D-494F-A77A-61741806CD8F}"/>
    <cellStyle name="Normal 9 3 5 5" xfId="10413" xr:uid="{D6FA9E5F-6760-412E-A192-796CDCA257AB}"/>
    <cellStyle name="Normal 9 3 6" xfId="1410" xr:uid="{00000000-0005-0000-0000-00003A200000}"/>
    <cellStyle name="Normal 9 3 6 2" xfId="3640" xr:uid="{00000000-0005-0000-0000-00003B200000}"/>
    <cellStyle name="Normal 9 3 6 2 2" xfId="7862" xr:uid="{00000000-0005-0000-0000-00003C200000}"/>
    <cellStyle name="Normal 9 3 6 2 2 2" xfId="25628" xr:uid="{272C333F-D6EE-491C-90F6-321A91FDE3AA}"/>
    <cellStyle name="Normal 9 3 6 2 2 3" xfId="17188" xr:uid="{CCA859BB-FA96-4232-9F69-0E6CD8A2878A}"/>
    <cellStyle name="Normal 9 3 6 2 3" xfId="21411" xr:uid="{905DE792-9533-43E4-8DEC-8F3F9F73CCE5}"/>
    <cellStyle name="Normal 9 3 6 2 4" xfId="12971" xr:uid="{F9F17BCA-470E-4426-ADB6-166AB09AD651}"/>
    <cellStyle name="Normal 9 3 6 3" xfId="5717" xr:uid="{00000000-0005-0000-0000-00003D200000}"/>
    <cellStyle name="Normal 9 3 6 3 2" xfId="23483" xr:uid="{45643AC9-EB9D-4A10-A18D-258A16142592}"/>
    <cellStyle name="Normal 9 3 6 3 3" xfId="15043" xr:uid="{8765947F-3824-42E9-8247-57B94D0B5CEB}"/>
    <cellStyle name="Normal 9 3 6 4" xfId="19266" xr:uid="{1203BB81-5E37-4F49-A30A-746D78116AF5}"/>
    <cellStyle name="Normal 9 3 6 5" xfId="10826" xr:uid="{7C1BFECA-099D-49E1-859C-29E1664C2909}"/>
    <cellStyle name="Normal 9 3 7" xfId="1823" xr:uid="{00000000-0005-0000-0000-00003E200000}"/>
    <cellStyle name="Normal 9 3 7 2" xfId="4053" xr:uid="{00000000-0005-0000-0000-00003F200000}"/>
    <cellStyle name="Normal 9 3 7 2 2" xfId="8275" xr:uid="{00000000-0005-0000-0000-000040200000}"/>
    <cellStyle name="Normal 9 3 7 2 2 2" xfId="26041" xr:uid="{A813112D-AE5B-4D92-BE05-909B46C3C2F9}"/>
    <cellStyle name="Normal 9 3 7 2 2 3" xfId="17601" xr:uid="{C567F9D7-8942-4BE3-88BF-440C11A006BA}"/>
    <cellStyle name="Normal 9 3 7 2 3" xfId="21824" xr:uid="{22F01A08-96F4-455C-8F2A-89AC01DAC2B2}"/>
    <cellStyle name="Normal 9 3 7 2 4" xfId="13384" xr:uid="{0FD9C65B-2549-4A51-B4A8-02F597A83B1C}"/>
    <cellStyle name="Normal 9 3 7 3" xfId="6130" xr:uid="{00000000-0005-0000-0000-000041200000}"/>
    <cellStyle name="Normal 9 3 7 3 2" xfId="23896" xr:uid="{E1AC15C1-4FA7-4C2A-96D6-43E616564DCE}"/>
    <cellStyle name="Normal 9 3 7 3 3" xfId="15456" xr:uid="{ED19908F-7F58-490C-9139-A2203421169A}"/>
    <cellStyle name="Normal 9 3 7 4" xfId="19679" xr:uid="{0675E464-810F-4FAA-A585-FFE97DB7C4BA}"/>
    <cellStyle name="Normal 9 3 7 5" xfId="11239" xr:uid="{B2398270-411F-4596-AA44-886E2791CA1F}"/>
    <cellStyle name="Normal 9 3 8" xfId="2237" xr:uid="{00000000-0005-0000-0000-000042200000}"/>
    <cellStyle name="Normal 9 3 8 2" xfId="4466" xr:uid="{00000000-0005-0000-0000-000043200000}"/>
    <cellStyle name="Normal 9 3 8 2 2" xfId="8688" xr:uid="{00000000-0005-0000-0000-000044200000}"/>
    <cellStyle name="Normal 9 3 8 2 2 2" xfId="26454" xr:uid="{A7C7BE0E-F5B7-4998-8870-7C5A4C848BC1}"/>
    <cellStyle name="Normal 9 3 8 2 2 3" xfId="18014" xr:uid="{E5A039E3-2E64-4BE2-B24D-D67DD24416F0}"/>
    <cellStyle name="Normal 9 3 8 2 3" xfId="22237" xr:uid="{D5E6FA62-C8B6-4A9A-9FBD-283142DC0D05}"/>
    <cellStyle name="Normal 9 3 8 2 4" xfId="13797" xr:uid="{48508F12-B88E-4573-8DEF-5BAB7FABB13B}"/>
    <cellStyle name="Normal 9 3 8 3" xfId="6543" xr:uid="{00000000-0005-0000-0000-000045200000}"/>
    <cellStyle name="Normal 9 3 8 3 2" xfId="24309" xr:uid="{B93BA466-B337-4C02-BF80-409704047C96}"/>
    <cellStyle name="Normal 9 3 8 3 3" xfId="15869" xr:uid="{1BD692E3-5419-46FC-889B-20048E48BF88}"/>
    <cellStyle name="Normal 9 3 8 4" xfId="20092" xr:uid="{044A4AF0-E197-4929-B6BE-9C331C9DF747}"/>
    <cellStyle name="Normal 9 3 8 5" xfId="11652" xr:uid="{494D8F6B-2B22-4627-84EA-E5DF51682DB4}"/>
    <cellStyle name="Normal 9 3 9" xfId="2673" xr:uid="{00000000-0005-0000-0000-000046200000}"/>
    <cellStyle name="Normal 9 3 9 2" xfId="6956" xr:uid="{00000000-0005-0000-0000-000047200000}"/>
    <cellStyle name="Normal 9 3 9 2 2" xfId="24722" xr:uid="{4C0A7907-E3E9-4336-AE7C-9453BF89A29D}"/>
    <cellStyle name="Normal 9 3 9 2 3" xfId="16282" xr:uid="{4585CEED-EA71-4422-8472-397E2F98D07F}"/>
    <cellStyle name="Normal 9 3 9 3" xfId="20505" xr:uid="{F6483728-550E-4F97-9F7E-A44B7EE72752}"/>
    <cellStyle name="Normal 9 3 9 4" xfId="12065" xr:uid="{D6BE1456-6860-4B27-9721-6AF99F780769}"/>
    <cellStyle name="Normal 9 4" xfId="535" xr:uid="{00000000-0005-0000-0000-000048200000}"/>
    <cellStyle name="Normal 9 4 2" xfId="1002" xr:uid="{00000000-0005-0000-0000-000049200000}"/>
    <cellStyle name="Normal 9 5" xfId="536" xr:uid="{00000000-0005-0000-0000-00004A200000}"/>
    <cellStyle name="Normal 9 5 10" xfId="10008" xr:uid="{FF4E149B-0E09-4214-B024-D9EAFDF5489D}"/>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25224" xr:uid="{965D8451-CAA3-4584-AF2E-0F0FCF9FA2FF}"/>
    <cellStyle name="Normal 9 5 2 2 2 2 3" xfId="16784" xr:uid="{D225AFFF-6ED1-47B3-A5CB-98C00CC34B49}"/>
    <cellStyle name="Normal 9 5 2 2 2 3" xfId="21007" xr:uid="{E0585A0E-1F47-45FF-ADED-76D3C3ACF0F2}"/>
    <cellStyle name="Normal 9 5 2 2 2 4" xfId="12567" xr:uid="{3E762EFB-A1B3-4E9F-96E0-7625BD077CDC}"/>
    <cellStyle name="Normal 9 5 2 2 3" xfId="5313" xr:uid="{00000000-0005-0000-0000-00004F200000}"/>
    <cellStyle name="Normal 9 5 2 2 3 2" xfId="23079" xr:uid="{9725ACBB-6DAE-4F45-82B6-265C1F52F34D}"/>
    <cellStyle name="Normal 9 5 2 2 3 3" xfId="14639" xr:uid="{DAE761B4-F2C2-472B-AC7D-DC83BABBAB2D}"/>
    <cellStyle name="Normal 9 5 2 2 4" xfId="9480" xr:uid="{BC9702BE-C2B3-450A-99DF-6FFE7C7A82FD}"/>
    <cellStyle name="Normal 9 5 2 2 4 2" xfId="18862" xr:uid="{E2E86078-5E8D-4806-8D2D-6438DDC41977}"/>
    <cellStyle name="Normal 9 5 2 2 5" xfId="10422" xr:uid="{6C3DEA62-A123-44DE-A2F1-B246E6164814}"/>
    <cellStyle name="Normal 9 5 2 3" xfId="1419" xr:uid="{00000000-0005-0000-0000-000050200000}"/>
    <cellStyle name="Normal 9 5 2 3 2" xfId="3649" xr:uid="{00000000-0005-0000-0000-000051200000}"/>
    <cellStyle name="Normal 9 5 2 3 2 2" xfId="7871" xr:uid="{00000000-0005-0000-0000-000052200000}"/>
    <cellStyle name="Normal 9 5 2 3 2 2 2" xfId="25637" xr:uid="{18BAB503-5412-4BBE-819B-B8702A37B869}"/>
    <cellStyle name="Normal 9 5 2 3 2 2 3" xfId="17197" xr:uid="{B11E6891-E06D-448E-A657-7743989A1EAA}"/>
    <cellStyle name="Normal 9 5 2 3 2 3" xfId="21420" xr:uid="{F1548BC5-36FF-4DCC-B3AE-211F55AD0775}"/>
    <cellStyle name="Normal 9 5 2 3 2 4" xfId="12980" xr:uid="{382C5DD7-13A8-4B6C-9CCA-2FCD1B90F8F9}"/>
    <cellStyle name="Normal 9 5 2 3 3" xfId="5726" xr:uid="{00000000-0005-0000-0000-000053200000}"/>
    <cellStyle name="Normal 9 5 2 3 3 2" xfId="23492" xr:uid="{488BB256-E11F-4F4C-9C77-24965217143F}"/>
    <cellStyle name="Normal 9 5 2 3 3 3" xfId="15052" xr:uid="{9A0CB749-B746-4110-822B-B4983DEF35B2}"/>
    <cellStyle name="Normal 9 5 2 3 4" xfId="19275" xr:uid="{3F12BA67-9D19-4654-ACBC-6D6A155DCF73}"/>
    <cellStyle name="Normal 9 5 2 3 5" xfId="10835" xr:uid="{28893410-50F7-4FB3-8A7B-D22F155BA876}"/>
    <cellStyle name="Normal 9 5 2 4" xfId="1832" xr:uid="{00000000-0005-0000-0000-000054200000}"/>
    <cellStyle name="Normal 9 5 2 4 2" xfId="4062" xr:uid="{00000000-0005-0000-0000-000055200000}"/>
    <cellStyle name="Normal 9 5 2 4 2 2" xfId="8284" xr:uid="{00000000-0005-0000-0000-000056200000}"/>
    <cellStyle name="Normal 9 5 2 4 2 2 2" xfId="26050" xr:uid="{14F1D277-CE15-4325-883E-1BAED25101EF}"/>
    <cellStyle name="Normal 9 5 2 4 2 2 3" xfId="17610" xr:uid="{2FD634A2-AE56-4F8A-B04A-AEAA4436B3B8}"/>
    <cellStyle name="Normal 9 5 2 4 2 3" xfId="21833" xr:uid="{2D82B6FD-3185-4194-8EC2-4140D5EEBFA8}"/>
    <cellStyle name="Normal 9 5 2 4 2 4" xfId="13393" xr:uid="{3CC60581-F574-44E5-8467-0729A4001C97}"/>
    <cellStyle name="Normal 9 5 2 4 3" xfId="6139" xr:uid="{00000000-0005-0000-0000-000057200000}"/>
    <cellStyle name="Normal 9 5 2 4 3 2" xfId="23905" xr:uid="{A9E9BAC2-C243-46BF-A164-D9860CBCF118}"/>
    <cellStyle name="Normal 9 5 2 4 3 3" xfId="15465" xr:uid="{11E1FAB0-5365-44D5-BEA7-866F4935EE7A}"/>
    <cellStyle name="Normal 9 5 2 4 4" xfId="19688" xr:uid="{BA625670-9ECD-4EA4-BB9F-B21C87C07635}"/>
    <cellStyle name="Normal 9 5 2 4 5" xfId="11248" xr:uid="{BB1F6EF9-14B3-4E41-B028-96694D861D6E}"/>
    <cellStyle name="Normal 9 5 2 5" xfId="2246" xr:uid="{00000000-0005-0000-0000-000058200000}"/>
    <cellStyle name="Normal 9 5 2 5 2" xfId="4475" xr:uid="{00000000-0005-0000-0000-000059200000}"/>
    <cellStyle name="Normal 9 5 2 5 2 2" xfId="8697" xr:uid="{00000000-0005-0000-0000-00005A200000}"/>
    <cellStyle name="Normal 9 5 2 5 2 2 2" xfId="26463" xr:uid="{5C756F8E-98FB-43DE-AC1D-0A11A42C4B0C}"/>
    <cellStyle name="Normal 9 5 2 5 2 2 3" xfId="18023" xr:uid="{BC6AAE24-A895-4BA3-BCC7-06DCCD37712B}"/>
    <cellStyle name="Normal 9 5 2 5 2 3" xfId="22246" xr:uid="{6DB0D1B6-52D5-40B7-981D-526A88718CBF}"/>
    <cellStyle name="Normal 9 5 2 5 2 4" xfId="13806" xr:uid="{EF8D5BC6-0730-423C-9011-6D216C6BE2CD}"/>
    <cellStyle name="Normal 9 5 2 5 3" xfId="6552" xr:uid="{00000000-0005-0000-0000-00005B200000}"/>
    <cellStyle name="Normal 9 5 2 5 3 2" xfId="24318" xr:uid="{FEDAD73B-50CF-4CD0-BE7C-A8BD3E1FDD6D}"/>
    <cellStyle name="Normal 9 5 2 5 3 3" xfId="15878" xr:uid="{320E591B-CB81-40F9-B9F9-5920E64C7C21}"/>
    <cellStyle name="Normal 9 5 2 5 4" xfId="20101" xr:uid="{ECD7DE6A-6023-4B67-8877-2F76CB2FCF12}"/>
    <cellStyle name="Normal 9 5 2 5 5" xfId="11661" xr:uid="{1FB9EB9E-8550-426C-8BBE-793A655E9AF2}"/>
    <cellStyle name="Normal 9 5 2 6" xfId="2682" xr:uid="{00000000-0005-0000-0000-00005C200000}"/>
    <cellStyle name="Normal 9 5 2 6 2" xfId="6965" xr:uid="{00000000-0005-0000-0000-00005D200000}"/>
    <cellStyle name="Normal 9 5 2 6 2 2" xfId="24731" xr:uid="{FAD19DEB-E390-47EE-91F9-C01EB0D4220A}"/>
    <cellStyle name="Normal 9 5 2 6 2 3" xfId="16291" xr:uid="{D5A841C4-849D-4662-8355-8941C734A95D}"/>
    <cellStyle name="Normal 9 5 2 6 3" xfId="20514" xr:uid="{B017A9DF-0278-479B-8C49-17A123436990}"/>
    <cellStyle name="Normal 9 5 2 6 4" xfId="12074" xr:uid="{7F15B54D-A088-4276-B36D-4ACE3C555948}"/>
    <cellStyle name="Normal 9 5 2 7" xfId="4900" xr:uid="{00000000-0005-0000-0000-00005E200000}"/>
    <cellStyle name="Normal 9 5 2 7 2" xfId="22666" xr:uid="{5260CB30-CADD-49FC-8DD2-8EFD2FFFBC24}"/>
    <cellStyle name="Normal 9 5 2 7 3" xfId="14226" xr:uid="{A7A6E26F-F6B5-4113-8918-AE88D262BBD3}"/>
    <cellStyle name="Normal 9 5 2 8" xfId="9055" xr:uid="{3DD071E2-A4B3-45E3-9F20-3C2D5AEE5CB2}"/>
    <cellStyle name="Normal 9 5 2 8 2" xfId="18449" xr:uid="{00718D0A-D9F9-49BE-85EC-AA0684663AE6}"/>
    <cellStyle name="Normal 9 5 2 9" xfId="10009" xr:uid="{9C1095AA-D51B-42A5-A114-08F856DEFCA0}"/>
    <cellStyle name="Normal 9 5 3" xfId="1003" xr:uid="{00000000-0005-0000-0000-00005F200000}"/>
    <cellStyle name="Normal 9 5 3 2" xfId="3235" xr:uid="{00000000-0005-0000-0000-000060200000}"/>
    <cellStyle name="Normal 9 5 3 2 2" xfId="7457" xr:uid="{00000000-0005-0000-0000-000061200000}"/>
    <cellStyle name="Normal 9 5 3 2 2 2" xfId="25223" xr:uid="{09F8E2A8-2830-47BF-BBFC-0D3FABEF6B10}"/>
    <cellStyle name="Normal 9 5 3 2 2 3" xfId="16783" xr:uid="{BCB42AE2-598C-4CBA-A5FC-B393B32D2C1D}"/>
    <cellStyle name="Normal 9 5 3 2 3" xfId="21006" xr:uid="{BC2FBB06-EAF8-4AB0-87E9-8D5832F4594A}"/>
    <cellStyle name="Normal 9 5 3 2 4" xfId="12566" xr:uid="{3B44B801-1C1C-4AF8-BF2D-1D37BCD58090}"/>
    <cellStyle name="Normal 9 5 3 3" xfId="5312" xr:uid="{00000000-0005-0000-0000-000062200000}"/>
    <cellStyle name="Normal 9 5 3 3 2" xfId="23078" xr:uid="{8F40A133-57F8-4740-9B9C-E49248856A71}"/>
    <cellStyle name="Normal 9 5 3 3 3" xfId="14638" xr:uid="{84EB4297-B7E9-4B38-8507-A788AE0BB825}"/>
    <cellStyle name="Normal 9 5 3 4" xfId="9273" xr:uid="{AE6CB61B-02C5-436E-A328-3B2AC8AC9E53}"/>
    <cellStyle name="Normal 9 5 3 4 2" xfId="18861" xr:uid="{574F4351-8872-4DEE-8126-22B6CA38AF1F}"/>
    <cellStyle name="Normal 9 5 3 5" xfId="10421" xr:uid="{98A67035-6980-455A-B86D-54D8FBE26531}"/>
    <cellStyle name="Normal 9 5 4" xfId="1418" xr:uid="{00000000-0005-0000-0000-000063200000}"/>
    <cellStyle name="Normal 9 5 4 2" xfId="3648" xr:uid="{00000000-0005-0000-0000-000064200000}"/>
    <cellStyle name="Normal 9 5 4 2 2" xfId="7870" xr:uid="{00000000-0005-0000-0000-000065200000}"/>
    <cellStyle name="Normal 9 5 4 2 2 2" xfId="25636" xr:uid="{32B7F915-9DBD-4479-B851-199EB56CDFE2}"/>
    <cellStyle name="Normal 9 5 4 2 2 3" xfId="17196" xr:uid="{823D8F0D-1CFE-45A9-96EA-561302BDFF87}"/>
    <cellStyle name="Normal 9 5 4 2 3" xfId="21419" xr:uid="{4ABF69FE-108F-4881-AC3B-6E351234BD56}"/>
    <cellStyle name="Normal 9 5 4 2 4" xfId="12979" xr:uid="{6CAB5E44-279E-4305-830B-46FAF36F4B7E}"/>
    <cellStyle name="Normal 9 5 4 3" xfId="5725" xr:uid="{00000000-0005-0000-0000-000066200000}"/>
    <cellStyle name="Normal 9 5 4 3 2" xfId="23491" xr:uid="{52A71CF2-C598-40B5-AE7D-FF2DBDDAC3E5}"/>
    <cellStyle name="Normal 9 5 4 3 3" xfId="15051" xr:uid="{D45C5C94-323A-4BAA-AE19-000A61080CC0}"/>
    <cellStyle name="Normal 9 5 4 4" xfId="19274" xr:uid="{42934B97-39B4-45A3-B764-6F54C7BC029A}"/>
    <cellStyle name="Normal 9 5 4 5" xfId="10834" xr:uid="{17E2E548-1BF3-414D-B38E-C5FC4FB10216}"/>
    <cellStyle name="Normal 9 5 5" xfId="1831" xr:uid="{00000000-0005-0000-0000-000067200000}"/>
    <cellStyle name="Normal 9 5 5 2" xfId="4061" xr:uid="{00000000-0005-0000-0000-000068200000}"/>
    <cellStyle name="Normal 9 5 5 2 2" xfId="8283" xr:uid="{00000000-0005-0000-0000-000069200000}"/>
    <cellStyle name="Normal 9 5 5 2 2 2" xfId="26049" xr:uid="{7213AB9A-28C2-4FD8-A825-213426B433DF}"/>
    <cellStyle name="Normal 9 5 5 2 2 3" xfId="17609" xr:uid="{EEBE817A-4BD0-484E-8CE8-97F87D579A17}"/>
    <cellStyle name="Normal 9 5 5 2 3" xfId="21832" xr:uid="{9F468E26-40FE-4B96-AC32-61C456D08209}"/>
    <cellStyle name="Normal 9 5 5 2 4" xfId="13392" xr:uid="{1BCF526B-92E8-488A-9DE8-B2CDDABF388A}"/>
    <cellStyle name="Normal 9 5 5 3" xfId="6138" xr:uid="{00000000-0005-0000-0000-00006A200000}"/>
    <cellStyle name="Normal 9 5 5 3 2" xfId="23904" xr:uid="{4DD900FA-A599-43ED-ABDE-7E14CD251B48}"/>
    <cellStyle name="Normal 9 5 5 3 3" xfId="15464" xr:uid="{D015CE6E-77C6-4533-A97A-1DFBAD6A84F1}"/>
    <cellStyle name="Normal 9 5 5 4" xfId="19687" xr:uid="{4B971737-93B8-4323-92B7-01E1BDBE7658}"/>
    <cellStyle name="Normal 9 5 5 5" xfId="11247" xr:uid="{66413784-6855-4B0E-B5C2-6E70B72911AA}"/>
    <cellStyle name="Normal 9 5 6" xfId="2245" xr:uid="{00000000-0005-0000-0000-00006B200000}"/>
    <cellStyle name="Normal 9 5 6 2" xfId="4474" xr:uid="{00000000-0005-0000-0000-00006C200000}"/>
    <cellStyle name="Normal 9 5 6 2 2" xfId="8696" xr:uid="{00000000-0005-0000-0000-00006D200000}"/>
    <cellStyle name="Normal 9 5 6 2 2 2" xfId="26462" xr:uid="{661F2708-3AE8-4EEA-84E1-49402A110424}"/>
    <cellStyle name="Normal 9 5 6 2 2 3" xfId="18022" xr:uid="{7E5B85E9-CD31-46BE-B8AA-206A0455062A}"/>
    <cellStyle name="Normal 9 5 6 2 3" xfId="22245" xr:uid="{5B780A44-2CF3-4E4F-8438-C6000ADC56F8}"/>
    <cellStyle name="Normal 9 5 6 2 4" xfId="13805" xr:uid="{456ACC1C-FBFE-4B37-AF87-CD101AD88F0A}"/>
    <cellStyle name="Normal 9 5 6 3" xfId="6551" xr:uid="{00000000-0005-0000-0000-00006E200000}"/>
    <cellStyle name="Normal 9 5 6 3 2" xfId="24317" xr:uid="{4FBC82D1-E8D1-4637-8073-34C886050FFF}"/>
    <cellStyle name="Normal 9 5 6 3 3" xfId="15877" xr:uid="{9CC64B7C-D63B-4EB0-B8C2-02E54CA2AB35}"/>
    <cellStyle name="Normal 9 5 6 4" xfId="20100" xr:uid="{38CC563E-214E-49E3-BADD-A59668BEAD75}"/>
    <cellStyle name="Normal 9 5 6 5" xfId="11660" xr:uid="{1635692E-E096-43B9-A1FE-0435CDDE5481}"/>
    <cellStyle name="Normal 9 5 7" xfId="2681" xr:uid="{00000000-0005-0000-0000-00006F200000}"/>
    <cellStyle name="Normal 9 5 7 2" xfId="6964" xr:uid="{00000000-0005-0000-0000-000070200000}"/>
    <cellStyle name="Normal 9 5 7 2 2" xfId="24730" xr:uid="{2DBB3FE4-82C0-4BEE-BDBD-69378DA5789F}"/>
    <cellStyle name="Normal 9 5 7 2 3" xfId="16290" xr:uid="{4B5525C3-A2BB-4A5D-994F-CF18EDF8D9E5}"/>
    <cellStyle name="Normal 9 5 7 3" xfId="20513" xr:uid="{F12F1950-048B-4238-AB89-B9BA20A4CDC3}"/>
    <cellStyle name="Normal 9 5 7 4" xfId="12073" xr:uid="{EB02C8F0-0830-41AA-AF99-1DF48A386AD9}"/>
    <cellStyle name="Normal 9 5 8" xfId="4899" xr:uid="{00000000-0005-0000-0000-000071200000}"/>
    <cellStyle name="Normal 9 5 8 2" xfId="22665" xr:uid="{25B969DB-12E7-4881-B27A-B507D886CC6E}"/>
    <cellStyle name="Normal 9 5 8 3" xfId="14225" xr:uid="{0DE8AA61-DA3B-40C1-9F2E-6A40F9C6DF88}"/>
    <cellStyle name="Normal 9 5 9" xfId="8848" xr:uid="{B1BE5F70-14E5-42B6-9EBA-D267F3B60A08}"/>
    <cellStyle name="Normal 9 5 9 2" xfId="18448" xr:uid="{7FD75EE8-B352-4C96-9C66-F9EFD92273C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25225" xr:uid="{F2E4B529-BD7A-45BD-BBC3-C0BB5FEABB6B}"/>
    <cellStyle name="Normal 9 6 2 2 2 3" xfId="16785" xr:uid="{72734127-A5BB-4EDC-87C9-0B6FE4CEAFEF}"/>
    <cellStyle name="Normal 9 6 2 2 3" xfId="21008" xr:uid="{90B0A6F7-3E83-4176-AB29-DED325C7BB55}"/>
    <cellStyle name="Normal 9 6 2 2 4" xfId="12568" xr:uid="{F786ADF9-F8EA-46F0-8CAB-1FF5549AEEC1}"/>
    <cellStyle name="Normal 9 6 2 3" xfId="5314" xr:uid="{00000000-0005-0000-0000-000076200000}"/>
    <cellStyle name="Normal 9 6 2 3 2" xfId="23080" xr:uid="{3661B57A-8595-4039-9E91-04F383274D5C}"/>
    <cellStyle name="Normal 9 6 2 3 3" xfId="14640" xr:uid="{8E96B1CF-3948-4C67-B2B4-86896578EAB9}"/>
    <cellStyle name="Normal 9 6 2 4" xfId="9389" xr:uid="{2A0458F6-466A-4C3B-BA39-FF09FD770FDD}"/>
    <cellStyle name="Normal 9 6 2 4 2" xfId="18863" xr:uid="{FF6B7CF8-F4BE-43D4-8177-2624FB3011FA}"/>
    <cellStyle name="Normal 9 6 2 5" xfId="10423" xr:uid="{D55E34EB-8AFC-4846-8C09-AF05A238FD31}"/>
    <cellStyle name="Normal 9 6 3" xfId="1420" xr:uid="{00000000-0005-0000-0000-000077200000}"/>
    <cellStyle name="Normal 9 6 3 2" xfId="3650" xr:uid="{00000000-0005-0000-0000-000078200000}"/>
    <cellStyle name="Normal 9 6 3 2 2" xfId="7872" xr:uid="{00000000-0005-0000-0000-000079200000}"/>
    <cellStyle name="Normal 9 6 3 2 2 2" xfId="25638" xr:uid="{73A0DA15-8D04-4BEA-BA51-AED53106D33B}"/>
    <cellStyle name="Normal 9 6 3 2 2 3" xfId="17198" xr:uid="{0B52448B-C35E-44AD-AAB7-715826B1D632}"/>
    <cellStyle name="Normal 9 6 3 2 3" xfId="21421" xr:uid="{41352F28-A4FF-43E6-A666-0418B23CCFDA}"/>
    <cellStyle name="Normal 9 6 3 2 4" xfId="12981" xr:uid="{CA26939C-6247-4383-A806-2929870A394C}"/>
    <cellStyle name="Normal 9 6 3 3" xfId="5727" xr:uid="{00000000-0005-0000-0000-00007A200000}"/>
    <cellStyle name="Normal 9 6 3 3 2" xfId="23493" xr:uid="{F552315F-6B1C-40F3-80E5-7713E716DB11}"/>
    <cellStyle name="Normal 9 6 3 3 3" xfId="15053" xr:uid="{5BEBA63D-078A-4EDB-85E1-C15F92EE2451}"/>
    <cellStyle name="Normal 9 6 3 4" xfId="19276" xr:uid="{CABF6F01-3321-45D2-9A12-D1EF20486070}"/>
    <cellStyle name="Normal 9 6 3 5" xfId="10836" xr:uid="{809FEDED-802E-4B86-81A4-A0A7D9DA7CC4}"/>
    <cellStyle name="Normal 9 6 4" xfId="1833" xr:uid="{00000000-0005-0000-0000-00007B200000}"/>
    <cellStyle name="Normal 9 6 4 2" xfId="4063" xr:uid="{00000000-0005-0000-0000-00007C200000}"/>
    <cellStyle name="Normal 9 6 4 2 2" xfId="8285" xr:uid="{00000000-0005-0000-0000-00007D200000}"/>
    <cellStyle name="Normal 9 6 4 2 2 2" xfId="26051" xr:uid="{43B98AA9-E8C6-475C-9793-09DB03E69EF4}"/>
    <cellStyle name="Normal 9 6 4 2 2 3" xfId="17611" xr:uid="{73DEAD57-DC82-43C1-96C6-BD3643BD4542}"/>
    <cellStyle name="Normal 9 6 4 2 3" xfId="21834" xr:uid="{D06F9BE9-ADF9-4523-B3F5-43078F0CE6EE}"/>
    <cellStyle name="Normal 9 6 4 2 4" xfId="13394" xr:uid="{7EAE9DE2-D716-4DAD-A951-3FB9CC5A6435}"/>
    <cellStyle name="Normal 9 6 4 3" xfId="6140" xr:uid="{00000000-0005-0000-0000-00007E200000}"/>
    <cellStyle name="Normal 9 6 4 3 2" xfId="23906" xr:uid="{5C6BF1E5-C013-4822-8CEE-CD18CD7E2A04}"/>
    <cellStyle name="Normal 9 6 4 3 3" xfId="15466" xr:uid="{D29EB6D9-F3EB-4191-BADB-71AF5DAE84FA}"/>
    <cellStyle name="Normal 9 6 4 4" xfId="19689" xr:uid="{DC27C80E-528F-4F6C-8891-C3C428476772}"/>
    <cellStyle name="Normal 9 6 4 5" xfId="11249" xr:uid="{95C19F94-96AB-413A-A4CF-42723D5276DC}"/>
    <cellStyle name="Normal 9 6 5" xfId="2247" xr:uid="{00000000-0005-0000-0000-00007F200000}"/>
    <cellStyle name="Normal 9 6 5 2" xfId="4476" xr:uid="{00000000-0005-0000-0000-000080200000}"/>
    <cellStyle name="Normal 9 6 5 2 2" xfId="8698" xr:uid="{00000000-0005-0000-0000-000081200000}"/>
    <cellStyle name="Normal 9 6 5 2 2 2" xfId="26464" xr:uid="{848C65D8-8590-4DEB-99E4-E28B7E5FE88F}"/>
    <cellStyle name="Normal 9 6 5 2 2 3" xfId="18024" xr:uid="{A8F16B1B-4533-4D14-BEDE-FB2AEB26A7C8}"/>
    <cellStyle name="Normal 9 6 5 2 3" xfId="22247" xr:uid="{F87DE4B2-2711-4F5A-B21B-5EEF599D6952}"/>
    <cellStyle name="Normal 9 6 5 2 4" xfId="13807" xr:uid="{2C09F5FB-B3EA-443E-ADA3-1D53061DA24C}"/>
    <cellStyle name="Normal 9 6 5 3" xfId="6553" xr:uid="{00000000-0005-0000-0000-000082200000}"/>
    <cellStyle name="Normal 9 6 5 3 2" xfId="24319" xr:uid="{74A98FF2-6127-4EFB-9CCE-455ECAA6E469}"/>
    <cellStyle name="Normal 9 6 5 3 3" xfId="15879" xr:uid="{996DDF5E-508A-45F8-8898-606010DB127B}"/>
    <cellStyle name="Normal 9 6 5 4" xfId="20102" xr:uid="{DF539AC5-253A-48A7-804E-42A55C1DC92D}"/>
    <cellStyle name="Normal 9 6 5 5" xfId="11662" xr:uid="{907DAACC-27B4-4F1A-88D3-25DFED0E6B66}"/>
    <cellStyle name="Normal 9 6 6" xfId="2683" xr:uid="{00000000-0005-0000-0000-000083200000}"/>
    <cellStyle name="Normal 9 6 6 2" xfId="6966" xr:uid="{00000000-0005-0000-0000-000084200000}"/>
    <cellStyle name="Normal 9 6 6 2 2" xfId="24732" xr:uid="{684CE8A5-3F26-4EF4-9131-52A7A7821CA8}"/>
    <cellStyle name="Normal 9 6 6 2 3" xfId="16292" xr:uid="{82F5D04F-B59D-4E05-AEE9-D7D9151362C2}"/>
    <cellStyle name="Normal 9 6 6 3" xfId="20515" xr:uid="{F67008E3-732A-45EC-ADEA-AABA368E9041}"/>
    <cellStyle name="Normal 9 6 6 4" xfId="12075" xr:uid="{B2B8929E-17A9-4693-920A-92233D39A845}"/>
    <cellStyle name="Normal 9 6 7" xfId="4901" xr:uid="{00000000-0005-0000-0000-000085200000}"/>
    <cellStyle name="Normal 9 6 7 2" xfId="22667" xr:uid="{DF428CD1-BBD5-4EC8-B1C4-9531FC45CED4}"/>
    <cellStyle name="Normal 9 6 7 3" xfId="14227" xr:uid="{EE3F4350-46EE-4B86-A783-934946EDF447}"/>
    <cellStyle name="Normal 9 6 8" xfId="8964" xr:uid="{9BBC9C46-7A3A-4BC9-9542-DC33DFA165C2}"/>
    <cellStyle name="Normal 9 6 8 2" xfId="18450" xr:uid="{8FD0AB5F-D669-4346-9CB4-51BBF5F04C90}"/>
    <cellStyle name="Normal 9 6 9" xfId="10010" xr:uid="{E05B3FF0-FCD5-472E-B0F1-737500119481}"/>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24813" xr:uid="{E5822BBB-3553-40E6-96D9-CBDC284C286E}"/>
    <cellStyle name="Note 2 2 10 2 3" xfId="16373" xr:uid="{65E5EFCF-77DC-4CF3-A5CD-21CFD692D192}"/>
    <cellStyle name="Note 2 2 10 3" xfId="20596" xr:uid="{BD9E019C-1D56-4770-BA87-E47CF589F71C}"/>
    <cellStyle name="Note 2 2 10 4" xfId="12156" xr:uid="{E3015394-5FA2-46E5-A3BF-00F59586279A}"/>
    <cellStyle name="Note 2 2 11" xfId="4902" xr:uid="{00000000-0005-0000-0000-000094200000}"/>
    <cellStyle name="Note 2 2 11 2" xfId="22668" xr:uid="{CA37B522-F007-415A-8DEB-9880FD3F3899}"/>
    <cellStyle name="Note 2 2 11 3" xfId="14228" xr:uid="{81AB0163-448A-48FD-9015-AC40B20A730A}"/>
    <cellStyle name="Note 2 2 12" xfId="8841" xr:uid="{E94E1FD8-31C4-4718-9658-C7A587CBF323}"/>
    <cellStyle name="Note 2 2 12 2" xfId="18451" xr:uid="{110D8073-B38F-486E-B11A-33791782585F}"/>
    <cellStyle name="Note 2 2 13" xfId="10011" xr:uid="{A8226A9F-0DD2-4E32-A98B-ACF402B614A1}"/>
    <cellStyle name="Note 2 2 2" xfId="546" xr:uid="{00000000-0005-0000-0000-000095200000}"/>
    <cellStyle name="Note 2 2 2 10" xfId="4903" xr:uid="{00000000-0005-0000-0000-000096200000}"/>
    <cellStyle name="Note 2 2 2 10 2" xfId="22669" xr:uid="{CFB12CB0-AC9C-4C81-ADB3-B71FDDC35BE8}"/>
    <cellStyle name="Note 2 2 2 10 3" xfId="14229" xr:uid="{2808C6FB-DBD6-46D5-AAB7-035FD87271F7}"/>
    <cellStyle name="Note 2 2 2 11" xfId="8944" xr:uid="{B75A3404-A4A3-41D6-B6C3-54560C6DD592}"/>
    <cellStyle name="Note 2 2 2 11 2" xfId="18452" xr:uid="{67047101-E845-43C3-89E5-6C4A3B7953EB}"/>
    <cellStyle name="Note 2 2 2 12" xfId="10012" xr:uid="{58DFA315-CCA7-44E5-A339-E3918AC4C7AB}"/>
    <cellStyle name="Note 2 2 2 2" xfId="547" xr:uid="{00000000-0005-0000-0000-000097200000}"/>
    <cellStyle name="Note 2 2 2 2 10" xfId="9151" xr:uid="{DE810DD8-00EC-4339-9CFC-C84D5E182971}"/>
    <cellStyle name="Note 2 2 2 2 10 2" xfId="18453" xr:uid="{B6B0F871-5B99-4EEB-B365-03438FE844A8}"/>
    <cellStyle name="Note 2 2 2 2 11" xfId="10013" xr:uid="{670F9E16-C67A-49DF-A733-684BB148475D}"/>
    <cellStyle name="Note 2 2 2 2 2" xfId="1008" xr:uid="{00000000-0005-0000-0000-000098200000}"/>
    <cellStyle name="Note 2 2 2 2 2 2" xfId="3240" xr:uid="{00000000-0005-0000-0000-000099200000}"/>
    <cellStyle name="Note 2 2 2 2 2 2 2" xfId="7462" xr:uid="{00000000-0005-0000-0000-00009A200000}"/>
    <cellStyle name="Note 2 2 2 2 2 2 2 2" xfId="25228" xr:uid="{77889FED-386C-49EF-A5E7-5BCD4DF1F355}"/>
    <cellStyle name="Note 2 2 2 2 2 2 2 3" xfId="16788" xr:uid="{D3AFADDD-276E-40A7-BBE5-812D456314A1}"/>
    <cellStyle name="Note 2 2 2 2 2 2 3" xfId="21011" xr:uid="{02C56215-88C8-4569-A271-5E858CACE5CE}"/>
    <cellStyle name="Note 2 2 2 2 2 2 4" xfId="12571" xr:uid="{08B08EE8-E10E-4536-BF86-036203064CAD}"/>
    <cellStyle name="Note 2 2 2 2 2 3" xfId="5317" xr:uid="{00000000-0005-0000-0000-00009B200000}"/>
    <cellStyle name="Note 2 2 2 2 2 3 2" xfId="23083" xr:uid="{7D2BA605-A46D-419C-A178-7F51F5FDEB8D}"/>
    <cellStyle name="Note 2 2 2 2 2 3 3" xfId="14643" xr:uid="{A27A9F1B-A21B-4F57-AAB9-C83E240F92B9}"/>
    <cellStyle name="Note 2 2 2 2 2 4" xfId="9576" xr:uid="{375E296C-598F-454E-B7C4-9E851CE02ED2}"/>
    <cellStyle name="Note 2 2 2 2 2 4 2" xfId="18866" xr:uid="{F082FBFD-774D-4E6B-92DE-2F2872E33D10}"/>
    <cellStyle name="Note 2 2 2 2 2 5" xfId="10426" xr:uid="{265B9C10-549F-4732-950F-2EB560B421FB}"/>
    <cellStyle name="Note 2 2 2 2 3" xfId="1423" xr:uid="{00000000-0005-0000-0000-00009C200000}"/>
    <cellStyle name="Note 2 2 2 2 3 2" xfId="3653" xr:uid="{00000000-0005-0000-0000-00009D200000}"/>
    <cellStyle name="Note 2 2 2 2 3 2 2" xfId="7875" xr:uid="{00000000-0005-0000-0000-00009E200000}"/>
    <cellStyle name="Note 2 2 2 2 3 2 2 2" xfId="25641" xr:uid="{38C04690-576B-4B26-A921-174FA88477D1}"/>
    <cellStyle name="Note 2 2 2 2 3 2 2 3" xfId="17201" xr:uid="{AC88907B-C7BF-4316-812A-37B15328A029}"/>
    <cellStyle name="Note 2 2 2 2 3 2 3" xfId="21424" xr:uid="{D3623FD8-CAAE-46A0-A6EB-2A190B5A5099}"/>
    <cellStyle name="Note 2 2 2 2 3 2 4" xfId="12984" xr:uid="{B3F4045C-4946-4EEF-8C2A-F7BF7C6D9D9B}"/>
    <cellStyle name="Note 2 2 2 2 3 3" xfId="5730" xr:uid="{00000000-0005-0000-0000-00009F200000}"/>
    <cellStyle name="Note 2 2 2 2 3 3 2" xfId="23496" xr:uid="{9EB1E1CE-B01C-431F-9683-2C0FCE16FE3B}"/>
    <cellStyle name="Note 2 2 2 2 3 3 3" xfId="15056" xr:uid="{C744F3FB-50CF-4777-B9B9-DE6303CCF314}"/>
    <cellStyle name="Note 2 2 2 2 3 4" xfId="19279" xr:uid="{DAADBB67-A4AA-41E0-8C35-EF093FAB1907}"/>
    <cellStyle name="Note 2 2 2 2 3 5" xfId="10839" xr:uid="{17923CF9-93E0-422B-87E9-9E3FDE84FB4E}"/>
    <cellStyle name="Note 2 2 2 2 4" xfId="1837" xr:uid="{00000000-0005-0000-0000-0000A0200000}"/>
    <cellStyle name="Note 2 2 2 2 4 2" xfId="4066" xr:uid="{00000000-0005-0000-0000-0000A1200000}"/>
    <cellStyle name="Note 2 2 2 2 4 2 2" xfId="8288" xr:uid="{00000000-0005-0000-0000-0000A2200000}"/>
    <cellStyle name="Note 2 2 2 2 4 2 2 2" xfId="26054" xr:uid="{9A1F7750-AE1C-4FF8-B62D-AF44A0264112}"/>
    <cellStyle name="Note 2 2 2 2 4 2 2 3" xfId="17614" xr:uid="{90CAA411-529C-4B76-94BF-5A64F1325F5E}"/>
    <cellStyle name="Note 2 2 2 2 4 2 3" xfId="21837" xr:uid="{3EDAB804-B644-4407-94D9-6E3E428AEBD2}"/>
    <cellStyle name="Note 2 2 2 2 4 2 4" xfId="13397" xr:uid="{11780A18-3710-44C2-A618-05FAB495C9BA}"/>
    <cellStyle name="Note 2 2 2 2 4 3" xfId="6143" xr:uid="{00000000-0005-0000-0000-0000A3200000}"/>
    <cellStyle name="Note 2 2 2 2 4 3 2" xfId="23909" xr:uid="{E09950CA-6AD6-4492-A440-A866C4FB0944}"/>
    <cellStyle name="Note 2 2 2 2 4 3 3" xfId="15469" xr:uid="{A286EF37-3B17-4EBD-B893-97EE44F3973B}"/>
    <cellStyle name="Note 2 2 2 2 4 4" xfId="19692" xr:uid="{E30029DC-0C06-4B70-89DF-4C3D76D2DF16}"/>
    <cellStyle name="Note 2 2 2 2 4 5" xfId="11252" xr:uid="{6662C41F-272C-4E56-9E73-8E6F2BEF31FE}"/>
    <cellStyle name="Note 2 2 2 2 5" xfId="2250" xr:uid="{00000000-0005-0000-0000-0000A4200000}"/>
    <cellStyle name="Note 2 2 2 2 5 2" xfId="4479" xr:uid="{00000000-0005-0000-0000-0000A5200000}"/>
    <cellStyle name="Note 2 2 2 2 5 2 2" xfId="8701" xr:uid="{00000000-0005-0000-0000-0000A6200000}"/>
    <cellStyle name="Note 2 2 2 2 5 2 2 2" xfId="26467" xr:uid="{1240F894-A6A3-430E-AADB-BD0E23E27204}"/>
    <cellStyle name="Note 2 2 2 2 5 2 2 3" xfId="18027" xr:uid="{E7754122-2176-401E-95F7-DA14F53FCB91}"/>
    <cellStyle name="Note 2 2 2 2 5 2 3" xfId="22250" xr:uid="{A050CB95-C106-43AA-973D-AABFCE4E4ED3}"/>
    <cellStyle name="Note 2 2 2 2 5 2 4" xfId="13810" xr:uid="{9D595819-0861-4D0D-B570-B9E85260366F}"/>
    <cellStyle name="Note 2 2 2 2 5 3" xfId="6556" xr:uid="{00000000-0005-0000-0000-0000A7200000}"/>
    <cellStyle name="Note 2 2 2 2 5 3 2" xfId="24322" xr:uid="{86AA4BB3-B4BC-459A-A46F-C3A02BDC8D41}"/>
    <cellStyle name="Note 2 2 2 2 5 3 3" xfId="15882" xr:uid="{795CDDB4-8FE9-4B9F-A1AE-961134496836}"/>
    <cellStyle name="Note 2 2 2 2 5 4" xfId="20105" xr:uid="{4D439A01-41AC-4F51-833B-0BEB0EDE4598}"/>
    <cellStyle name="Note 2 2 2 2 5 5" xfId="11665" xr:uid="{B03E3821-AAFC-4EC2-A22C-8692D1215034}"/>
    <cellStyle name="Note 2 2 2 2 6" xfId="2686" xr:uid="{00000000-0005-0000-0000-0000A8200000}"/>
    <cellStyle name="Note 2 2 2 2 6 2" xfId="6969" xr:uid="{00000000-0005-0000-0000-0000A9200000}"/>
    <cellStyle name="Note 2 2 2 2 6 2 2" xfId="24735" xr:uid="{660C1805-2B57-42CB-A484-593D38F246D1}"/>
    <cellStyle name="Note 2 2 2 2 6 2 3" xfId="16295" xr:uid="{3C529359-3E63-485C-BC27-66577B54C351}"/>
    <cellStyle name="Note 2 2 2 2 6 3" xfId="20518" xr:uid="{45DB9C07-01D8-4DEE-A78E-37D9E684B453}"/>
    <cellStyle name="Note 2 2 2 2 6 4" xfId="12078" xr:uid="{65276A4F-3E2A-4984-816F-A715DAF5FDAF}"/>
    <cellStyle name="Note 2 2 2 2 7" xfId="2745" xr:uid="{00000000-0005-0000-0000-0000AA200000}"/>
    <cellStyle name="Note 2 2 2 2 8" xfId="2826" xr:uid="{00000000-0005-0000-0000-0000AB200000}"/>
    <cellStyle name="Note 2 2 2 2 8 2" xfId="7049" xr:uid="{00000000-0005-0000-0000-0000AC200000}"/>
    <cellStyle name="Note 2 2 2 2 8 2 2" xfId="24815" xr:uid="{973906EC-2C7C-4E73-B301-25A86CFC773B}"/>
    <cellStyle name="Note 2 2 2 2 8 2 3" xfId="16375" xr:uid="{1E747F84-4658-4A30-B01F-A315F726B2F9}"/>
    <cellStyle name="Note 2 2 2 2 8 3" xfId="20598" xr:uid="{2875DA8A-7EE1-4B7C-85DE-4C860688634F}"/>
    <cellStyle name="Note 2 2 2 2 8 4" xfId="12158" xr:uid="{1CD7239C-C497-4B6E-86FC-E63363DF736F}"/>
    <cellStyle name="Note 2 2 2 2 9" xfId="4904" xr:uid="{00000000-0005-0000-0000-0000AD200000}"/>
    <cellStyle name="Note 2 2 2 2 9 2" xfId="22670" xr:uid="{B2931B6F-ED8A-4A21-855F-AF7C9DD4E16B}"/>
    <cellStyle name="Note 2 2 2 2 9 3" xfId="14230" xr:uid="{22860749-C396-47B9-A28C-74100D526E95}"/>
    <cellStyle name="Note 2 2 2 3" xfId="1007" xr:uid="{00000000-0005-0000-0000-0000AE200000}"/>
    <cellStyle name="Note 2 2 2 3 2" xfId="3239" xr:uid="{00000000-0005-0000-0000-0000AF200000}"/>
    <cellStyle name="Note 2 2 2 3 2 2" xfId="7461" xr:uid="{00000000-0005-0000-0000-0000B0200000}"/>
    <cellStyle name="Note 2 2 2 3 2 2 2" xfId="25227" xr:uid="{28FA360B-252E-42E6-B4FF-7042E18FC7DB}"/>
    <cellStyle name="Note 2 2 2 3 2 2 3" xfId="16787" xr:uid="{EC35FBF0-FF47-49E5-9A09-F5D6BC8F3CCB}"/>
    <cellStyle name="Note 2 2 2 3 2 3" xfId="21010" xr:uid="{5E365827-4E88-4FFD-BD68-CB7FFDCE3752}"/>
    <cellStyle name="Note 2 2 2 3 2 4" xfId="12570" xr:uid="{337189A7-4FFD-4A7F-9C39-22E9C409C4B0}"/>
    <cellStyle name="Note 2 2 2 3 3" xfId="5316" xr:uid="{00000000-0005-0000-0000-0000B1200000}"/>
    <cellStyle name="Note 2 2 2 3 3 2" xfId="23082" xr:uid="{801E9859-2BED-4AEA-8E3F-3A80EEEC8460}"/>
    <cellStyle name="Note 2 2 2 3 3 3" xfId="14642" xr:uid="{DA9820AE-E4D2-4600-9B93-CC1962F12FFC}"/>
    <cellStyle name="Note 2 2 2 3 4" xfId="9369" xr:uid="{37FCA23B-964B-404F-A343-B489211FDCDC}"/>
    <cellStyle name="Note 2 2 2 3 4 2" xfId="18865" xr:uid="{966851E6-20C5-4571-9EEF-7829C8614C32}"/>
    <cellStyle name="Note 2 2 2 3 5" xfId="10425" xr:uid="{819E72D8-CDC2-431A-B63D-75699541742E}"/>
    <cellStyle name="Note 2 2 2 4" xfId="1422" xr:uid="{00000000-0005-0000-0000-0000B2200000}"/>
    <cellStyle name="Note 2 2 2 4 2" xfId="3652" xr:uid="{00000000-0005-0000-0000-0000B3200000}"/>
    <cellStyle name="Note 2 2 2 4 2 2" xfId="7874" xr:uid="{00000000-0005-0000-0000-0000B4200000}"/>
    <cellStyle name="Note 2 2 2 4 2 2 2" xfId="25640" xr:uid="{40732850-2506-40D7-AFFA-1A56C9B734F1}"/>
    <cellStyle name="Note 2 2 2 4 2 2 3" xfId="17200" xr:uid="{177B8BFB-7A5E-48E7-9B3B-CB6585D06F99}"/>
    <cellStyle name="Note 2 2 2 4 2 3" xfId="21423" xr:uid="{CDB67ABF-67D5-4C4F-BDED-8ACFDAE8A99A}"/>
    <cellStyle name="Note 2 2 2 4 2 4" xfId="12983" xr:uid="{D79E4B6B-5F0B-4C37-8330-E2FC106857BB}"/>
    <cellStyle name="Note 2 2 2 4 3" xfId="5729" xr:uid="{00000000-0005-0000-0000-0000B5200000}"/>
    <cellStyle name="Note 2 2 2 4 3 2" xfId="23495" xr:uid="{38050875-8C4E-490F-A356-A228CEE4B322}"/>
    <cellStyle name="Note 2 2 2 4 3 3" xfId="15055" xr:uid="{E9710686-9E1F-47B9-B56A-B61C81411D5A}"/>
    <cellStyle name="Note 2 2 2 4 4" xfId="19278" xr:uid="{7665C7DD-7375-4D12-9DC2-05744581D039}"/>
    <cellStyle name="Note 2 2 2 4 5" xfId="10838" xr:uid="{5CE73F71-3348-4100-B256-7BF5F0460C92}"/>
    <cellStyle name="Note 2 2 2 5" xfId="1836" xr:uid="{00000000-0005-0000-0000-0000B6200000}"/>
    <cellStyle name="Note 2 2 2 5 2" xfId="4065" xr:uid="{00000000-0005-0000-0000-0000B7200000}"/>
    <cellStyle name="Note 2 2 2 5 2 2" xfId="8287" xr:uid="{00000000-0005-0000-0000-0000B8200000}"/>
    <cellStyle name="Note 2 2 2 5 2 2 2" xfId="26053" xr:uid="{15D3CE3F-0A65-4597-B6AF-81B07C79013F}"/>
    <cellStyle name="Note 2 2 2 5 2 2 3" xfId="17613" xr:uid="{A42E9D4E-72F0-4769-8C98-DBB0E6C2A2FE}"/>
    <cellStyle name="Note 2 2 2 5 2 3" xfId="21836" xr:uid="{AD215436-5CA0-4062-9C96-4FCAFD29AE7A}"/>
    <cellStyle name="Note 2 2 2 5 2 4" xfId="13396" xr:uid="{D426A68A-19B3-49F5-8A96-815C512E971E}"/>
    <cellStyle name="Note 2 2 2 5 3" xfId="6142" xr:uid="{00000000-0005-0000-0000-0000B9200000}"/>
    <cellStyle name="Note 2 2 2 5 3 2" xfId="23908" xr:uid="{A792E6E2-8196-4E5A-805D-D30289836FA7}"/>
    <cellStyle name="Note 2 2 2 5 3 3" xfId="15468" xr:uid="{6B454645-C3D1-4AA6-96AF-B05865CF34D8}"/>
    <cellStyle name="Note 2 2 2 5 4" xfId="19691" xr:uid="{4AF2B8E9-C068-446C-8026-75CCB8FD28DD}"/>
    <cellStyle name="Note 2 2 2 5 5" xfId="11251" xr:uid="{143D0E0C-1933-4684-AF6D-431D0D72F933}"/>
    <cellStyle name="Note 2 2 2 6" xfId="2249" xr:uid="{00000000-0005-0000-0000-0000BA200000}"/>
    <cellStyle name="Note 2 2 2 6 2" xfId="4478" xr:uid="{00000000-0005-0000-0000-0000BB200000}"/>
    <cellStyle name="Note 2 2 2 6 2 2" xfId="8700" xr:uid="{00000000-0005-0000-0000-0000BC200000}"/>
    <cellStyle name="Note 2 2 2 6 2 2 2" xfId="26466" xr:uid="{9BF2057D-9143-4C0F-9D21-77F1AA75485C}"/>
    <cellStyle name="Note 2 2 2 6 2 2 3" xfId="18026" xr:uid="{A37A14E6-6DFD-4FD8-9819-015F9E08DC7F}"/>
    <cellStyle name="Note 2 2 2 6 2 3" xfId="22249" xr:uid="{6E7217AC-25D0-4BC1-910C-81B75BE08F55}"/>
    <cellStyle name="Note 2 2 2 6 2 4" xfId="13809" xr:uid="{4026341F-7C6F-4761-9F33-98482AC8DF12}"/>
    <cellStyle name="Note 2 2 2 6 3" xfId="6555" xr:uid="{00000000-0005-0000-0000-0000BD200000}"/>
    <cellStyle name="Note 2 2 2 6 3 2" xfId="24321" xr:uid="{05B241FC-4025-4D00-8331-D81B5BFC063A}"/>
    <cellStyle name="Note 2 2 2 6 3 3" xfId="15881" xr:uid="{462AED62-0E0C-443A-8E84-53CEC9AE6466}"/>
    <cellStyle name="Note 2 2 2 6 4" xfId="20104" xr:uid="{E45BD770-C4BB-4317-8253-6EF240B3AAB3}"/>
    <cellStyle name="Note 2 2 2 6 5" xfId="11664" xr:uid="{E424C11F-37FE-4413-AAC4-11F21966401F}"/>
    <cellStyle name="Note 2 2 2 7" xfId="2685" xr:uid="{00000000-0005-0000-0000-0000BE200000}"/>
    <cellStyle name="Note 2 2 2 7 2" xfId="6968" xr:uid="{00000000-0005-0000-0000-0000BF200000}"/>
    <cellStyle name="Note 2 2 2 7 2 2" xfId="24734" xr:uid="{41514A85-3710-45ED-A0A6-A92A61C1ED65}"/>
    <cellStyle name="Note 2 2 2 7 2 3" xfId="16294" xr:uid="{838A22A7-0DF1-4556-BA6A-FB88F17C94D0}"/>
    <cellStyle name="Note 2 2 2 7 3" xfId="20517" xr:uid="{2FCE0F93-74AB-4C3C-AA19-CDD6C1482026}"/>
    <cellStyle name="Note 2 2 2 7 4" xfId="12077" xr:uid="{26F63588-631D-4451-A081-EED8D2114EA5}"/>
    <cellStyle name="Note 2 2 2 8" xfId="2744" xr:uid="{00000000-0005-0000-0000-0000C0200000}"/>
    <cellStyle name="Note 2 2 2 9" xfId="2825" xr:uid="{00000000-0005-0000-0000-0000C1200000}"/>
    <cellStyle name="Note 2 2 2 9 2" xfId="7048" xr:uid="{00000000-0005-0000-0000-0000C2200000}"/>
    <cellStyle name="Note 2 2 2 9 2 2" xfId="24814" xr:uid="{E9880EA3-1417-458B-8C6A-ED31ECC5AA43}"/>
    <cellStyle name="Note 2 2 2 9 2 3" xfId="16374" xr:uid="{1FC4516F-DF84-40ED-945A-A61452E51693}"/>
    <cellStyle name="Note 2 2 2 9 3" xfId="20597" xr:uid="{57C91785-DAB3-4D36-A017-975A0669E777}"/>
    <cellStyle name="Note 2 2 2 9 4" xfId="12157" xr:uid="{7D90E0A4-7DDA-4E98-9EC4-8D0A8DACA8BB}"/>
    <cellStyle name="Note 2 2 3" xfId="548" xr:uid="{00000000-0005-0000-0000-0000C3200000}"/>
    <cellStyle name="Note 2 2 3 10" xfId="9048" xr:uid="{894401FF-B7D8-49E8-91E6-A1C42DD04D54}"/>
    <cellStyle name="Note 2 2 3 10 2" xfId="18454" xr:uid="{E7CC1D55-0DD0-4668-A784-7007946F74CE}"/>
    <cellStyle name="Note 2 2 3 11" xfId="10014" xr:uid="{CD2629EB-2650-4A75-A966-C5E0A8744521}"/>
    <cellStyle name="Note 2 2 3 2" xfId="1009" xr:uid="{00000000-0005-0000-0000-0000C4200000}"/>
    <cellStyle name="Note 2 2 3 2 2" xfId="3241" xr:uid="{00000000-0005-0000-0000-0000C5200000}"/>
    <cellStyle name="Note 2 2 3 2 2 2" xfId="7463" xr:uid="{00000000-0005-0000-0000-0000C6200000}"/>
    <cellStyle name="Note 2 2 3 2 2 2 2" xfId="25229" xr:uid="{5B038818-8F53-496E-AB78-D9BCEC2EBC80}"/>
    <cellStyle name="Note 2 2 3 2 2 2 3" xfId="16789" xr:uid="{25ABA3AE-1E8C-44FB-ABC3-CF4A2500C526}"/>
    <cellStyle name="Note 2 2 3 2 2 3" xfId="21012" xr:uid="{B38620BD-397F-43DF-B7EA-9842B8642530}"/>
    <cellStyle name="Note 2 2 3 2 2 4" xfId="12572" xr:uid="{B5BCFEC3-2F72-43E6-B0E2-41EB1562AD81}"/>
    <cellStyle name="Note 2 2 3 2 3" xfId="5318" xr:uid="{00000000-0005-0000-0000-0000C7200000}"/>
    <cellStyle name="Note 2 2 3 2 3 2" xfId="23084" xr:uid="{9072AF0D-0BD5-49BE-8921-6B9F47B3F9F6}"/>
    <cellStyle name="Note 2 2 3 2 3 3" xfId="14644" xr:uid="{71EF5747-A843-4834-A820-26D0941CD438}"/>
    <cellStyle name="Note 2 2 3 2 4" xfId="9473" xr:uid="{7711F4E0-385B-44CD-ACEA-5E9D7E4CD8DC}"/>
    <cellStyle name="Note 2 2 3 2 4 2" xfId="18867" xr:uid="{0FB233FB-DCD1-4242-9FC2-354403EF279F}"/>
    <cellStyle name="Note 2 2 3 2 5" xfId="10427" xr:uid="{C52CC6D3-50A2-4ABB-8734-79B505A9CB5A}"/>
    <cellStyle name="Note 2 2 3 3" xfId="1424" xr:uid="{00000000-0005-0000-0000-0000C8200000}"/>
    <cellStyle name="Note 2 2 3 3 2" xfId="3654" xr:uid="{00000000-0005-0000-0000-0000C9200000}"/>
    <cellStyle name="Note 2 2 3 3 2 2" xfId="7876" xr:uid="{00000000-0005-0000-0000-0000CA200000}"/>
    <cellStyle name="Note 2 2 3 3 2 2 2" xfId="25642" xr:uid="{FD31A25C-83BF-445A-9D9D-B6B2641A3519}"/>
    <cellStyle name="Note 2 2 3 3 2 2 3" xfId="17202" xr:uid="{8BC4B990-21DC-46B3-AA97-3D5A4AC7CEA0}"/>
    <cellStyle name="Note 2 2 3 3 2 3" xfId="21425" xr:uid="{F835DC32-FBF6-4C82-ABB7-FCD899668250}"/>
    <cellStyle name="Note 2 2 3 3 2 4" xfId="12985" xr:uid="{CC92AFE5-2D25-4AD5-B27A-F78D0531653C}"/>
    <cellStyle name="Note 2 2 3 3 3" xfId="5731" xr:uid="{00000000-0005-0000-0000-0000CB200000}"/>
    <cellStyle name="Note 2 2 3 3 3 2" xfId="23497" xr:uid="{2600355B-A60A-451C-8C80-A0F648071FAD}"/>
    <cellStyle name="Note 2 2 3 3 3 3" xfId="15057" xr:uid="{B0588017-122C-458F-8F5D-C4FC626DA2F1}"/>
    <cellStyle name="Note 2 2 3 3 4" xfId="19280" xr:uid="{819D4EB3-2726-4CF4-BFB8-821E15B5707A}"/>
    <cellStyle name="Note 2 2 3 3 5" xfId="10840" xr:uid="{7F4B6B0A-D5EF-4631-9F15-C4F7AC1ABFD2}"/>
    <cellStyle name="Note 2 2 3 4" xfId="1838" xr:uid="{00000000-0005-0000-0000-0000CC200000}"/>
    <cellStyle name="Note 2 2 3 4 2" xfId="4067" xr:uid="{00000000-0005-0000-0000-0000CD200000}"/>
    <cellStyle name="Note 2 2 3 4 2 2" xfId="8289" xr:uid="{00000000-0005-0000-0000-0000CE200000}"/>
    <cellStyle name="Note 2 2 3 4 2 2 2" xfId="26055" xr:uid="{436C2BBE-B99F-4BA4-A060-399A1F0B0EFF}"/>
    <cellStyle name="Note 2 2 3 4 2 2 3" xfId="17615" xr:uid="{993B27D9-8B50-4842-93AF-6D4EE000CA19}"/>
    <cellStyle name="Note 2 2 3 4 2 3" xfId="21838" xr:uid="{2978C977-5724-4956-8BD1-18A5FE4C1752}"/>
    <cellStyle name="Note 2 2 3 4 2 4" xfId="13398" xr:uid="{C2EAFB59-A473-4BF6-879A-4DAD8CA4F704}"/>
    <cellStyle name="Note 2 2 3 4 3" xfId="6144" xr:uid="{00000000-0005-0000-0000-0000CF200000}"/>
    <cellStyle name="Note 2 2 3 4 3 2" xfId="23910" xr:uid="{F94CE627-B017-4224-8D68-CBB07E79809E}"/>
    <cellStyle name="Note 2 2 3 4 3 3" xfId="15470" xr:uid="{55EAB6BB-FF21-4370-A544-486BCA77AB4B}"/>
    <cellStyle name="Note 2 2 3 4 4" xfId="19693" xr:uid="{0EC08C11-C093-4A84-B65C-2BCEF570D73D}"/>
    <cellStyle name="Note 2 2 3 4 5" xfId="11253" xr:uid="{E914E377-5936-4E4D-829D-33C9960BAD12}"/>
    <cellStyle name="Note 2 2 3 5" xfId="2251" xr:uid="{00000000-0005-0000-0000-0000D0200000}"/>
    <cellStyle name="Note 2 2 3 5 2" xfId="4480" xr:uid="{00000000-0005-0000-0000-0000D1200000}"/>
    <cellStyle name="Note 2 2 3 5 2 2" xfId="8702" xr:uid="{00000000-0005-0000-0000-0000D2200000}"/>
    <cellStyle name="Note 2 2 3 5 2 2 2" xfId="26468" xr:uid="{DECA34CA-205B-4ED3-A2CA-6ED73047064C}"/>
    <cellStyle name="Note 2 2 3 5 2 2 3" xfId="18028" xr:uid="{A1DB0F14-0DB7-41EF-826C-C00E6B12F2D2}"/>
    <cellStyle name="Note 2 2 3 5 2 3" xfId="22251" xr:uid="{D12B91F4-1A7B-4792-B1D4-6CE7234E7802}"/>
    <cellStyle name="Note 2 2 3 5 2 4" xfId="13811" xr:uid="{217B5258-6A2C-4BF9-88B2-3A34D9CCF776}"/>
    <cellStyle name="Note 2 2 3 5 3" xfId="6557" xr:uid="{00000000-0005-0000-0000-0000D3200000}"/>
    <cellStyle name="Note 2 2 3 5 3 2" xfId="24323" xr:uid="{51D29882-BE60-4778-8095-9071D05CFB89}"/>
    <cellStyle name="Note 2 2 3 5 3 3" xfId="15883" xr:uid="{2AD2D17F-5EF6-4D16-81A0-6F5DF208B516}"/>
    <cellStyle name="Note 2 2 3 5 4" xfId="20106" xr:uid="{9FE19FDC-2B0C-4DA3-A374-12862FCC8F93}"/>
    <cellStyle name="Note 2 2 3 5 5" xfId="11666" xr:uid="{0FF176F6-9E21-46FD-A288-9858BF50EADF}"/>
    <cellStyle name="Note 2 2 3 6" xfId="2687" xr:uid="{00000000-0005-0000-0000-0000D4200000}"/>
    <cellStyle name="Note 2 2 3 6 2" xfId="6970" xr:uid="{00000000-0005-0000-0000-0000D5200000}"/>
    <cellStyle name="Note 2 2 3 6 2 2" xfId="24736" xr:uid="{DAFEF10F-C658-4EC2-AE02-C9F63A302BFE}"/>
    <cellStyle name="Note 2 2 3 6 2 3" xfId="16296" xr:uid="{86678278-D70C-4FAA-AF83-27ABF3973080}"/>
    <cellStyle name="Note 2 2 3 6 3" xfId="20519" xr:uid="{AB823CE7-0FC7-464E-836F-DD794812432D}"/>
    <cellStyle name="Note 2 2 3 6 4" xfId="12079" xr:uid="{9AD41871-A34C-4225-9481-CE2185D7AE57}"/>
    <cellStyle name="Note 2 2 3 7" xfId="2746" xr:uid="{00000000-0005-0000-0000-0000D6200000}"/>
    <cellStyle name="Note 2 2 3 8" xfId="2827" xr:uid="{00000000-0005-0000-0000-0000D7200000}"/>
    <cellStyle name="Note 2 2 3 8 2" xfId="7050" xr:uid="{00000000-0005-0000-0000-0000D8200000}"/>
    <cellStyle name="Note 2 2 3 8 2 2" xfId="24816" xr:uid="{1E513D5A-BA1E-4073-8648-6901E279C2E5}"/>
    <cellStyle name="Note 2 2 3 8 2 3" xfId="16376" xr:uid="{5D88D8B2-47B1-4DDC-8D06-DFCB039B549B}"/>
    <cellStyle name="Note 2 2 3 8 3" xfId="20599" xr:uid="{CE446E61-DFDF-4DD7-B463-5DEF6B329077}"/>
    <cellStyle name="Note 2 2 3 8 4" xfId="12159" xr:uid="{2E1A05CD-C6F4-417A-A875-CB1DA3851C0C}"/>
    <cellStyle name="Note 2 2 3 9" xfId="4905" xr:uid="{00000000-0005-0000-0000-0000D9200000}"/>
    <cellStyle name="Note 2 2 3 9 2" xfId="22671" xr:uid="{D35D5958-12EF-4022-9F73-24292B7D0C02}"/>
    <cellStyle name="Note 2 2 3 9 3" xfId="14231" xr:uid="{249051D8-66DF-4B7F-87BC-374A7F058A26}"/>
    <cellStyle name="Note 2 2 4" xfId="1006" xr:uid="{00000000-0005-0000-0000-0000DA200000}"/>
    <cellStyle name="Note 2 2 4 2" xfId="3238" xr:uid="{00000000-0005-0000-0000-0000DB200000}"/>
    <cellStyle name="Note 2 2 4 2 2" xfId="7460" xr:uid="{00000000-0005-0000-0000-0000DC200000}"/>
    <cellStyle name="Note 2 2 4 2 2 2" xfId="25226" xr:uid="{71EA16B2-4FDE-4427-9D87-6082B7404132}"/>
    <cellStyle name="Note 2 2 4 2 2 3" xfId="16786" xr:uid="{6CFB7BED-FFCB-423F-83D6-DAD90FDFECC1}"/>
    <cellStyle name="Note 2 2 4 2 3" xfId="21009" xr:uid="{37DFEF01-0683-40A5-899B-A381FD14A523}"/>
    <cellStyle name="Note 2 2 4 2 4" xfId="12569" xr:uid="{D818CC9F-D938-4956-80B3-C8250F252A52}"/>
    <cellStyle name="Note 2 2 4 3" xfId="5315" xr:uid="{00000000-0005-0000-0000-0000DD200000}"/>
    <cellStyle name="Note 2 2 4 3 2" xfId="23081" xr:uid="{8DC6D240-5B47-4A41-B27F-ACCCA2CAA9B3}"/>
    <cellStyle name="Note 2 2 4 3 3" xfId="14641" xr:uid="{7CE6928D-C3CE-4AFD-8710-EB5979851FC8}"/>
    <cellStyle name="Note 2 2 4 4" xfId="9266" xr:uid="{8B6F7B8D-50FA-47DA-836F-17B0F9492E54}"/>
    <cellStyle name="Note 2 2 4 4 2" xfId="18864" xr:uid="{1C9FA9B3-A0B9-4E10-9324-E626DC68C4EA}"/>
    <cellStyle name="Note 2 2 4 5" xfId="10424" xr:uid="{5E50DBF8-EC1D-452D-BA6A-F52F8C547C20}"/>
    <cellStyle name="Note 2 2 5" xfId="1421" xr:uid="{00000000-0005-0000-0000-0000DE200000}"/>
    <cellStyle name="Note 2 2 5 2" xfId="3651" xr:uid="{00000000-0005-0000-0000-0000DF200000}"/>
    <cellStyle name="Note 2 2 5 2 2" xfId="7873" xr:uid="{00000000-0005-0000-0000-0000E0200000}"/>
    <cellStyle name="Note 2 2 5 2 2 2" xfId="25639" xr:uid="{EB86E405-D467-43C1-A794-1568D5A0BC16}"/>
    <cellStyle name="Note 2 2 5 2 2 3" xfId="17199" xr:uid="{9EE18029-A759-4FF3-9F4C-6033B867F7E0}"/>
    <cellStyle name="Note 2 2 5 2 3" xfId="21422" xr:uid="{99C288F7-C364-452E-A19E-1AB0A0AF06C7}"/>
    <cellStyle name="Note 2 2 5 2 4" xfId="12982" xr:uid="{C1AA24B8-5673-4FD8-95BA-A599F0F8A14D}"/>
    <cellStyle name="Note 2 2 5 3" xfId="5728" xr:uid="{00000000-0005-0000-0000-0000E1200000}"/>
    <cellStyle name="Note 2 2 5 3 2" xfId="23494" xr:uid="{7FE9DBFD-10CF-4E27-8B6A-EF4A73C4C307}"/>
    <cellStyle name="Note 2 2 5 3 3" xfId="15054" xr:uid="{B4C32F32-85D1-48F5-BACD-DA7E07B52AA2}"/>
    <cellStyle name="Note 2 2 5 4" xfId="19277" xr:uid="{FA3A44CA-D37B-4141-99DD-7AC413EBE0A1}"/>
    <cellStyle name="Note 2 2 5 5" xfId="10837" xr:uid="{14956327-58FE-4DD4-9650-4E751307F4D4}"/>
    <cellStyle name="Note 2 2 6" xfId="1835" xr:uid="{00000000-0005-0000-0000-0000E2200000}"/>
    <cellStyle name="Note 2 2 6 2" xfId="4064" xr:uid="{00000000-0005-0000-0000-0000E3200000}"/>
    <cellStyle name="Note 2 2 6 2 2" xfId="8286" xr:uid="{00000000-0005-0000-0000-0000E4200000}"/>
    <cellStyle name="Note 2 2 6 2 2 2" xfId="26052" xr:uid="{E2DA7A74-6996-405B-8471-98CA340C2E25}"/>
    <cellStyle name="Note 2 2 6 2 2 3" xfId="17612" xr:uid="{2E23886A-DC1C-43BE-BEB4-849FACF1E3E2}"/>
    <cellStyle name="Note 2 2 6 2 3" xfId="21835" xr:uid="{4CA88D1A-9739-457D-96F8-EE94E60F2FEC}"/>
    <cellStyle name="Note 2 2 6 2 4" xfId="13395" xr:uid="{8D2496D9-DD98-4D5C-ACB4-8308245B37B1}"/>
    <cellStyle name="Note 2 2 6 3" xfId="6141" xr:uid="{00000000-0005-0000-0000-0000E5200000}"/>
    <cellStyle name="Note 2 2 6 3 2" xfId="23907" xr:uid="{D94999A7-F8DE-4084-B26E-5B435F16DB59}"/>
    <cellStyle name="Note 2 2 6 3 3" xfId="15467" xr:uid="{5BA5BCDB-90D7-47DD-BC7A-B4B4D2B386EA}"/>
    <cellStyle name="Note 2 2 6 4" xfId="19690" xr:uid="{22587621-EA5D-4E8A-8FCE-E06E4C434EC4}"/>
    <cellStyle name="Note 2 2 6 5" xfId="11250" xr:uid="{ACD5E3D2-9224-49A0-810F-556476E53645}"/>
    <cellStyle name="Note 2 2 7" xfId="2248" xr:uid="{00000000-0005-0000-0000-0000E6200000}"/>
    <cellStyle name="Note 2 2 7 2" xfId="4477" xr:uid="{00000000-0005-0000-0000-0000E7200000}"/>
    <cellStyle name="Note 2 2 7 2 2" xfId="8699" xr:uid="{00000000-0005-0000-0000-0000E8200000}"/>
    <cellStyle name="Note 2 2 7 2 2 2" xfId="26465" xr:uid="{3C82963A-5260-4FAD-A282-800F51424CA3}"/>
    <cellStyle name="Note 2 2 7 2 2 3" xfId="18025" xr:uid="{338DA2CC-4080-40D7-8336-620E06215333}"/>
    <cellStyle name="Note 2 2 7 2 3" xfId="22248" xr:uid="{F512DFEC-4A56-4FDC-BF9F-68B062185F77}"/>
    <cellStyle name="Note 2 2 7 2 4" xfId="13808" xr:uid="{C30EAE80-323D-4468-8421-40805F9A72B1}"/>
    <cellStyle name="Note 2 2 7 3" xfId="6554" xr:uid="{00000000-0005-0000-0000-0000E9200000}"/>
    <cellStyle name="Note 2 2 7 3 2" xfId="24320" xr:uid="{9FDDB0FD-40F4-4706-8AE3-34A0162B41A2}"/>
    <cellStyle name="Note 2 2 7 3 3" xfId="15880" xr:uid="{45701F41-AF92-4975-83FF-64DAB8F5624C}"/>
    <cellStyle name="Note 2 2 7 4" xfId="20103" xr:uid="{E75E73CD-9A3A-4C12-BC0B-709E4EF3E888}"/>
    <cellStyle name="Note 2 2 7 5" xfId="11663" xr:uid="{643CAB3F-083D-4D5A-B8B4-F866F768DC3E}"/>
    <cellStyle name="Note 2 2 8" xfId="2684" xr:uid="{00000000-0005-0000-0000-0000EA200000}"/>
    <cellStyle name="Note 2 2 8 2" xfId="6967" xr:uid="{00000000-0005-0000-0000-0000EB200000}"/>
    <cellStyle name="Note 2 2 8 2 2" xfId="24733" xr:uid="{BF23252D-4D61-4144-A8C3-F119A06992E4}"/>
    <cellStyle name="Note 2 2 8 2 3" xfId="16293" xr:uid="{4E062741-C70C-48AC-A7BE-68A8A813A88C}"/>
    <cellStyle name="Note 2 2 8 3" xfId="20516" xr:uid="{E12910AB-9160-48E6-873E-7BE8234E2BC2}"/>
    <cellStyle name="Note 2 2 8 4" xfId="12076" xr:uid="{567538B0-30BE-4FC3-BC25-599A168BBC4A}"/>
    <cellStyle name="Note 2 2 9" xfId="2743" xr:uid="{00000000-0005-0000-0000-0000EC200000}"/>
    <cellStyle name="Note 2 3" xfId="549" xr:uid="{00000000-0005-0000-0000-0000ED200000}"/>
    <cellStyle name="Note 2 3 10" xfId="4906" xr:uid="{00000000-0005-0000-0000-0000EE200000}"/>
    <cellStyle name="Note 2 3 10 2" xfId="22672" xr:uid="{2E304EB1-D995-426C-909C-F699BCED3F24}"/>
    <cellStyle name="Note 2 3 10 3" xfId="14232" xr:uid="{B7166B40-56BB-40DD-97A2-7FA522DA4725}"/>
    <cellStyle name="Note 2 3 11" xfId="8894" xr:uid="{2BFFE8D0-DA42-4876-8895-58F80713E965}"/>
    <cellStyle name="Note 2 3 11 2" xfId="18455" xr:uid="{C322123B-96EC-411A-B9BF-F8F47D0D9B32}"/>
    <cellStyle name="Note 2 3 12" xfId="10015" xr:uid="{1F371794-465F-4BF4-AF11-289B51C09485}"/>
    <cellStyle name="Note 2 3 2" xfId="550" xr:uid="{00000000-0005-0000-0000-0000EF200000}"/>
    <cellStyle name="Note 2 3 2 10" xfId="9101" xr:uid="{1822EEA2-225E-465E-B4CD-D4615440EC62}"/>
    <cellStyle name="Note 2 3 2 10 2" xfId="18456" xr:uid="{F45155E2-46FC-4A91-BC50-E7EA53C65677}"/>
    <cellStyle name="Note 2 3 2 11" xfId="10016" xr:uid="{6C91472E-3AAD-449A-98EB-95D5F1CCAFFC}"/>
    <cellStyle name="Note 2 3 2 2" xfId="1011" xr:uid="{00000000-0005-0000-0000-0000F0200000}"/>
    <cellStyle name="Note 2 3 2 2 2" xfId="3243" xr:uid="{00000000-0005-0000-0000-0000F1200000}"/>
    <cellStyle name="Note 2 3 2 2 2 2" xfId="7465" xr:uid="{00000000-0005-0000-0000-0000F2200000}"/>
    <cellStyle name="Note 2 3 2 2 2 2 2" xfId="25231" xr:uid="{C126D064-B4F5-401A-B476-A2D4AD765C4D}"/>
    <cellStyle name="Note 2 3 2 2 2 2 3" xfId="16791" xr:uid="{D8F5701D-FA9F-49A7-BFF1-34B920E5C474}"/>
    <cellStyle name="Note 2 3 2 2 2 3" xfId="21014" xr:uid="{B9483860-34C2-4374-8FCE-01C7FF7628C0}"/>
    <cellStyle name="Note 2 3 2 2 2 4" xfId="12574" xr:uid="{30D6C306-EFF0-4EEF-BB0B-66FA3CFFB80C}"/>
    <cellStyle name="Note 2 3 2 2 3" xfId="5320" xr:uid="{00000000-0005-0000-0000-0000F3200000}"/>
    <cellStyle name="Note 2 3 2 2 3 2" xfId="23086" xr:uid="{3C2CD59A-C7EE-4B4C-9624-6AD716069CD2}"/>
    <cellStyle name="Note 2 3 2 2 3 3" xfId="14646" xr:uid="{8A373C18-AC37-4555-932E-D210E15F3485}"/>
    <cellStyle name="Note 2 3 2 2 4" xfId="9526" xr:uid="{1C428179-0C82-4F5D-9FE4-E11D597F9E89}"/>
    <cellStyle name="Note 2 3 2 2 4 2" xfId="18869" xr:uid="{AD025CC0-D8FC-4C5A-97D6-1892839910D1}"/>
    <cellStyle name="Note 2 3 2 2 5" xfId="10429" xr:uid="{EBB92FD1-B342-4414-B8AD-29A067402639}"/>
    <cellStyle name="Note 2 3 2 3" xfId="1426" xr:uid="{00000000-0005-0000-0000-0000F4200000}"/>
    <cellStyle name="Note 2 3 2 3 2" xfId="3656" xr:uid="{00000000-0005-0000-0000-0000F5200000}"/>
    <cellStyle name="Note 2 3 2 3 2 2" xfId="7878" xr:uid="{00000000-0005-0000-0000-0000F6200000}"/>
    <cellStyle name="Note 2 3 2 3 2 2 2" xfId="25644" xr:uid="{5E8C5D4E-B54D-453F-9AA7-4FA8EEB759C3}"/>
    <cellStyle name="Note 2 3 2 3 2 2 3" xfId="17204" xr:uid="{31CF0739-E0BD-4809-8E38-AF5E551D865B}"/>
    <cellStyle name="Note 2 3 2 3 2 3" xfId="21427" xr:uid="{39DCABAF-6132-457E-83ED-6CCD3DD99DF9}"/>
    <cellStyle name="Note 2 3 2 3 2 4" xfId="12987" xr:uid="{6E38A7BB-413F-4CCD-B00C-2E0238278A0F}"/>
    <cellStyle name="Note 2 3 2 3 3" xfId="5733" xr:uid="{00000000-0005-0000-0000-0000F7200000}"/>
    <cellStyle name="Note 2 3 2 3 3 2" xfId="23499" xr:uid="{CEF14509-6AE8-41DE-BD42-C64076E900D7}"/>
    <cellStyle name="Note 2 3 2 3 3 3" xfId="15059" xr:uid="{44553041-AE1F-49F7-B082-99158E757403}"/>
    <cellStyle name="Note 2 3 2 3 4" xfId="19282" xr:uid="{A6199030-9128-475D-AD82-70B4F269637A}"/>
    <cellStyle name="Note 2 3 2 3 5" xfId="10842" xr:uid="{7DD55BA9-3969-466C-8C19-B3CCB879B519}"/>
    <cellStyle name="Note 2 3 2 4" xfId="1840" xr:uid="{00000000-0005-0000-0000-0000F8200000}"/>
    <cellStyle name="Note 2 3 2 4 2" xfId="4069" xr:uid="{00000000-0005-0000-0000-0000F9200000}"/>
    <cellStyle name="Note 2 3 2 4 2 2" xfId="8291" xr:uid="{00000000-0005-0000-0000-0000FA200000}"/>
    <cellStyle name="Note 2 3 2 4 2 2 2" xfId="26057" xr:uid="{94261338-BD61-441E-9F12-595891D3194A}"/>
    <cellStyle name="Note 2 3 2 4 2 2 3" xfId="17617" xr:uid="{9D97FAEA-2FD4-450B-8868-08EEEEAD4912}"/>
    <cellStyle name="Note 2 3 2 4 2 3" xfId="21840" xr:uid="{D1F5DF07-0351-4077-834F-CEBFB27B3542}"/>
    <cellStyle name="Note 2 3 2 4 2 4" xfId="13400" xr:uid="{695283F7-FC0D-46DB-A096-E9CB384E0F33}"/>
    <cellStyle name="Note 2 3 2 4 3" xfId="6146" xr:uid="{00000000-0005-0000-0000-0000FB200000}"/>
    <cellStyle name="Note 2 3 2 4 3 2" xfId="23912" xr:uid="{8EE1A35D-1A7E-4453-AA50-5B3340112FE5}"/>
    <cellStyle name="Note 2 3 2 4 3 3" xfId="15472" xr:uid="{448F1D40-B9FF-4A95-AA61-450CE5643D9C}"/>
    <cellStyle name="Note 2 3 2 4 4" xfId="19695" xr:uid="{7284847B-056C-442E-A509-B9E2A47420EF}"/>
    <cellStyle name="Note 2 3 2 4 5" xfId="11255" xr:uid="{E8033923-5C2B-4958-8F2B-B43C1D81AE9A}"/>
    <cellStyle name="Note 2 3 2 5" xfId="2253" xr:uid="{00000000-0005-0000-0000-0000FC200000}"/>
    <cellStyle name="Note 2 3 2 5 2" xfId="4482" xr:uid="{00000000-0005-0000-0000-0000FD200000}"/>
    <cellStyle name="Note 2 3 2 5 2 2" xfId="8704" xr:uid="{00000000-0005-0000-0000-0000FE200000}"/>
    <cellStyle name="Note 2 3 2 5 2 2 2" xfId="26470" xr:uid="{093BFB39-7C33-4DBF-BE7D-81BDA5D14C88}"/>
    <cellStyle name="Note 2 3 2 5 2 2 3" xfId="18030" xr:uid="{8BEB2674-7DC3-4A1D-A280-F7DC0A757F41}"/>
    <cellStyle name="Note 2 3 2 5 2 3" xfId="22253" xr:uid="{849596E4-4284-4EE5-8D87-53DD387EC864}"/>
    <cellStyle name="Note 2 3 2 5 2 4" xfId="13813" xr:uid="{E3D10C88-5861-4CF5-9DA2-5302A0BCFAD5}"/>
    <cellStyle name="Note 2 3 2 5 3" xfId="6559" xr:uid="{00000000-0005-0000-0000-0000FF200000}"/>
    <cellStyle name="Note 2 3 2 5 3 2" xfId="24325" xr:uid="{2077C4BB-AF8C-4462-BEED-F2DBFF01DB4A}"/>
    <cellStyle name="Note 2 3 2 5 3 3" xfId="15885" xr:uid="{41B30F6A-9176-44DE-969B-924A85C48929}"/>
    <cellStyle name="Note 2 3 2 5 4" xfId="20108" xr:uid="{7E04889A-CDC6-4EE8-A546-40059CDEA9D1}"/>
    <cellStyle name="Note 2 3 2 5 5" xfId="11668" xr:uid="{C16458CE-71DB-4B42-B1C4-E758E9C77418}"/>
    <cellStyle name="Note 2 3 2 6" xfId="2689" xr:uid="{00000000-0005-0000-0000-000000210000}"/>
    <cellStyle name="Note 2 3 2 6 2" xfId="6972" xr:uid="{00000000-0005-0000-0000-000001210000}"/>
    <cellStyle name="Note 2 3 2 6 2 2" xfId="24738" xr:uid="{47E0B1FE-9995-4B59-8E9B-6E7C15A22B26}"/>
    <cellStyle name="Note 2 3 2 6 2 3" xfId="16298" xr:uid="{BB0719E5-5149-4183-AF54-F07ACF7409B8}"/>
    <cellStyle name="Note 2 3 2 6 3" xfId="20521" xr:uid="{F5779EC3-6F1A-4E67-815A-E8D29289FB07}"/>
    <cellStyle name="Note 2 3 2 6 4" xfId="12081" xr:uid="{F670BBD1-055C-4396-A2E9-2127AAF63DA0}"/>
    <cellStyle name="Note 2 3 2 7" xfId="2748" xr:uid="{00000000-0005-0000-0000-000002210000}"/>
    <cellStyle name="Note 2 3 2 8" xfId="2829" xr:uid="{00000000-0005-0000-0000-000003210000}"/>
    <cellStyle name="Note 2 3 2 8 2" xfId="7052" xr:uid="{00000000-0005-0000-0000-000004210000}"/>
    <cellStyle name="Note 2 3 2 8 2 2" xfId="24818" xr:uid="{ECAD60B3-CC1F-4B1F-A488-1C00F07DECAE}"/>
    <cellStyle name="Note 2 3 2 8 2 3" xfId="16378" xr:uid="{745089C6-8A2B-4495-BAD4-04DE1C86A3D6}"/>
    <cellStyle name="Note 2 3 2 8 3" xfId="20601" xr:uid="{664309BD-28B5-4F49-8943-4577BF9CCA5D}"/>
    <cellStyle name="Note 2 3 2 8 4" xfId="12161" xr:uid="{2058416F-AC80-4CCE-8C95-5B9D6BC371A1}"/>
    <cellStyle name="Note 2 3 2 9" xfId="4907" xr:uid="{00000000-0005-0000-0000-000005210000}"/>
    <cellStyle name="Note 2 3 2 9 2" xfId="22673" xr:uid="{128EE592-A0DF-4723-B1BF-A780F72F8509}"/>
    <cellStyle name="Note 2 3 2 9 3" xfId="14233" xr:uid="{9E1AB61B-80F2-48AB-87C6-6D37C3FCABC0}"/>
    <cellStyle name="Note 2 3 3" xfId="1010" xr:uid="{00000000-0005-0000-0000-000006210000}"/>
    <cellStyle name="Note 2 3 3 2" xfId="3242" xr:uid="{00000000-0005-0000-0000-000007210000}"/>
    <cellStyle name="Note 2 3 3 2 2" xfId="7464" xr:uid="{00000000-0005-0000-0000-000008210000}"/>
    <cellStyle name="Note 2 3 3 2 2 2" xfId="25230" xr:uid="{EB5EB21C-18FD-4ACB-ACCA-1F5FCA3CFC52}"/>
    <cellStyle name="Note 2 3 3 2 2 3" xfId="16790" xr:uid="{D066D5AC-E45B-4474-A891-5D333787CEEF}"/>
    <cellStyle name="Note 2 3 3 2 3" xfId="21013" xr:uid="{D7064CAC-DD4B-4505-BCBF-109A5FC8C281}"/>
    <cellStyle name="Note 2 3 3 2 4" xfId="12573" xr:uid="{A37127F8-CA4B-4D7A-BCF3-79FBE1E53BF9}"/>
    <cellStyle name="Note 2 3 3 3" xfId="5319" xr:uid="{00000000-0005-0000-0000-000009210000}"/>
    <cellStyle name="Note 2 3 3 3 2" xfId="23085" xr:uid="{BE075B0F-50F1-4F9E-B619-FE5C5D0FE001}"/>
    <cellStyle name="Note 2 3 3 3 3" xfId="14645" xr:uid="{7C93DAA9-6C66-43AE-8477-43CC8822DE95}"/>
    <cellStyle name="Note 2 3 3 4" xfId="9319" xr:uid="{06E4A3C6-5CAA-4424-B4C3-41162F21AE7D}"/>
    <cellStyle name="Note 2 3 3 4 2" xfId="18868" xr:uid="{7F05F480-698C-4808-AEFF-9EC0116668D4}"/>
    <cellStyle name="Note 2 3 3 5" xfId="10428" xr:uid="{DF94B528-2398-42C2-BAC4-9CD8A2A260EC}"/>
    <cellStyle name="Note 2 3 4" xfId="1425" xr:uid="{00000000-0005-0000-0000-00000A210000}"/>
    <cellStyle name="Note 2 3 4 2" xfId="3655" xr:uid="{00000000-0005-0000-0000-00000B210000}"/>
    <cellStyle name="Note 2 3 4 2 2" xfId="7877" xr:uid="{00000000-0005-0000-0000-00000C210000}"/>
    <cellStyle name="Note 2 3 4 2 2 2" xfId="25643" xr:uid="{87EB9CB7-5ADF-432A-A7FA-9AD738DDD1C7}"/>
    <cellStyle name="Note 2 3 4 2 2 3" xfId="17203" xr:uid="{64890D33-817B-41DD-ADE5-2393BF761AF4}"/>
    <cellStyle name="Note 2 3 4 2 3" xfId="21426" xr:uid="{252BD16E-ACE8-4895-B1B1-9E3C82E8272A}"/>
    <cellStyle name="Note 2 3 4 2 4" xfId="12986" xr:uid="{06BAA6E2-3B8E-4B76-B0E1-8B092DEC4C24}"/>
    <cellStyle name="Note 2 3 4 3" xfId="5732" xr:uid="{00000000-0005-0000-0000-00000D210000}"/>
    <cellStyle name="Note 2 3 4 3 2" xfId="23498" xr:uid="{93E2339C-18FB-4D46-ACCC-8BBD23B51B3D}"/>
    <cellStyle name="Note 2 3 4 3 3" xfId="15058" xr:uid="{38E88791-A937-43EF-8065-E04CA8BA3A64}"/>
    <cellStyle name="Note 2 3 4 4" xfId="19281" xr:uid="{90D32CAF-9C91-4333-B505-4C64ED9BE229}"/>
    <cellStyle name="Note 2 3 4 5" xfId="10841" xr:uid="{E61116B3-E32F-4EAB-8D77-C34B2F330C53}"/>
    <cellStyle name="Note 2 3 5" xfId="1839" xr:uid="{00000000-0005-0000-0000-00000E210000}"/>
    <cellStyle name="Note 2 3 5 2" xfId="4068" xr:uid="{00000000-0005-0000-0000-00000F210000}"/>
    <cellStyle name="Note 2 3 5 2 2" xfId="8290" xr:uid="{00000000-0005-0000-0000-000010210000}"/>
    <cellStyle name="Note 2 3 5 2 2 2" xfId="26056" xr:uid="{1465293E-EFB7-4B44-BA30-4FBEACA50E87}"/>
    <cellStyle name="Note 2 3 5 2 2 3" xfId="17616" xr:uid="{265F3598-AF13-4204-8717-79F0E485B135}"/>
    <cellStyle name="Note 2 3 5 2 3" xfId="21839" xr:uid="{50715B0F-8B41-4B46-991C-B030AE6FFF4F}"/>
    <cellStyle name="Note 2 3 5 2 4" xfId="13399" xr:uid="{20872526-0D40-4EE7-A692-895F13A3BD56}"/>
    <cellStyle name="Note 2 3 5 3" xfId="6145" xr:uid="{00000000-0005-0000-0000-000011210000}"/>
    <cellStyle name="Note 2 3 5 3 2" xfId="23911" xr:uid="{659C719A-F2F4-4F08-9CE1-872EBD0B8997}"/>
    <cellStyle name="Note 2 3 5 3 3" xfId="15471" xr:uid="{EA1D9104-21B1-4B7E-AB54-843FC152D4E4}"/>
    <cellStyle name="Note 2 3 5 4" xfId="19694" xr:uid="{530D6210-DE32-443C-82E7-5A0EF3313404}"/>
    <cellStyle name="Note 2 3 5 5" xfId="11254" xr:uid="{AF5CBD5D-0824-4C39-9544-0F5AFBCBC13E}"/>
    <cellStyle name="Note 2 3 6" xfId="2252" xr:uid="{00000000-0005-0000-0000-000012210000}"/>
    <cellStyle name="Note 2 3 6 2" xfId="4481" xr:uid="{00000000-0005-0000-0000-000013210000}"/>
    <cellStyle name="Note 2 3 6 2 2" xfId="8703" xr:uid="{00000000-0005-0000-0000-000014210000}"/>
    <cellStyle name="Note 2 3 6 2 2 2" xfId="26469" xr:uid="{10040114-0E40-45E0-8C8E-5E5370A3A6F4}"/>
    <cellStyle name="Note 2 3 6 2 2 3" xfId="18029" xr:uid="{3D13579B-10F1-43DB-9725-C2B11B275903}"/>
    <cellStyle name="Note 2 3 6 2 3" xfId="22252" xr:uid="{D2348960-ACCE-4AFC-87DE-D5EC81BE5E1E}"/>
    <cellStyle name="Note 2 3 6 2 4" xfId="13812" xr:uid="{0041EE33-3F49-47E3-8621-CF5BB5C70D41}"/>
    <cellStyle name="Note 2 3 6 3" xfId="6558" xr:uid="{00000000-0005-0000-0000-000015210000}"/>
    <cellStyle name="Note 2 3 6 3 2" xfId="24324" xr:uid="{1B964659-06C7-4968-B6A4-A07EADD7C2C3}"/>
    <cellStyle name="Note 2 3 6 3 3" xfId="15884" xr:uid="{51FE77D2-ED4E-48A9-9CEC-18877580040F}"/>
    <cellStyle name="Note 2 3 6 4" xfId="20107" xr:uid="{3E59DB5E-5DB9-4EFF-8157-1EDBA30764BD}"/>
    <cellStyle name="Note 2 3 6 5" xfId="11667" xr:uid="{56085C77-1426-4224-8722-982AF7B5C925}"/>
    <cellStyle name="Note 2 3 7" xfId="2688" xr:uid="{00000000-0005-0000-0000-000016210000}"/>
    <cellStyle name="Note 2 3 7 2" xfId="6971" xr:uid="{00000000-0005-0000-0000-000017210000}"/>
    <cellStyle name="Note 2 3 7 2 2" xfId="24737" xr:uid="{181E28D2-6D3C-461D-8EBB-29BA2D9EAF4F}"/>
    <cellStyle name="Note 2 3 7 2 3" xfId="16297" xr:uid="{07366234-C7DE-4108-82B2-943FE39ED58B}"/>
    <cellStyle name="Note 2 3 7 3" xfId="20520" xr:uid="{908405B2-893A-47C6-9311-A37D456CC0BB}"/>
    <cellStyle name="Note 2 3 7 4" xfId="12080" xr:uid="{8E671BFD-88A1-466D-A72F-E186ED465CFC}"/>
    <cellStyle name="Note 2 3 8" xfId="2747" xr:uid="{00000000-0005-0000-0000-000018210000}"/>
    <cellStyle name="Note 2 3 9" xfId="2828" xr:uid="{00000000-0005-0000-0000-000019210000}"/>
    <cellStyle name="Note 2 3 9 2" xfId="7051" xr:uid="{00000000-0005-0000-0000-00001A210000}"/>
    <cellStyle name="Note 2 3 9 2 2" xfId="24817" xr:uid="{E53D32E7-06A1-4596-8C4A-423CA1AF721C}"/>
    <cellStyle name="Note 2 3 9 2 3" xfId="16377" xr:uid="{96026BA7-165C-4521-AA0B-862432638D56}"/>
    <cellStyle name="Note 2 3 9 3" xfId="20600" xr:uid="{E9651A55-B795-432D-B66E-959F03747348}"/>
    <cellStyle name="Note 2 3 9 4" xfId="12160" xr:uid="{1A131833-BAA6-4171-ACB8-56C377F0A48D}"/>
    <cellStyle name="Note 2 4" xfId="551" xr:uid="{00000000-0005-0000-0000-00001B210000}"/>
    <cellStyle name="Note 2 4 10" xfId="8998" xr:uid="{AC87C288-14A9-4FB3-A26C-1706964E6651}"/>
    <cellStyle name="Note 2 4 10 2" xfId="18457" xr:uid="{E0AD22B9-20BA-4A1A-842C-302F76734E2D}"/>
    <cellStyle name="Note 2 4 11" xfId="10017" xr:uid="{51D31F29-3340-467F-B1E5-E014C441738D}"/>
    <cellStyle name="Note 2 4 2" xfId="1012" xr:uid="{00000000-0005-0000-0000-00001C210000}"/>
    <cellStyle name="Note 2 4 2 2" xfId="3244" xr:uid="{00000000-0005-0000-0000-00001D210000}"/>
    <cellStyle name="Note 2 4 2 2 2" xfId="7466" xr:uid="{00000000-0005-0000-0000-00001E210000}"/>
    <cellStyle name="Note 2 4 2 2 2 2" xfId="25232" xr:uid="{4A0BFB78-F93C-46D1-A233-1C20B0A038BF}"/>
    <cellStyle name="Note 2 4 2 2 2 3" xfId="16792" xr:uid="{A32E2265-4B31-4B21-920E-B3325DFEB88C}"/>
    <cellStyle name="Note 2 4 2 2 3" xfId="21015" xr:uid="{4E67A555-BD49-44B5-9A9C-B8613D7F6952}"/>
    <cellStyle name="Note 2 4 2 2 4" xfId="12575" xr:uid="{CF373B16-3E32-4321-9DE3-833DBCD8D58F}"/>
    <cellStyle name="Note 2 4 2 3" xfId="5321" xr:uid="{00000000-0005-0000-0000-00001F210000}"/>
    <cellStyle name="Note 2 4 2 3 2" xfId="23087" xr:uid="{48C63C7A-AE06-4E9F-B549-905D35B5B13E}"/>
    <cellStyle name="Note 2 4 2 3 3" xfId="14647" xr:uid="{7026D65A-7B34-4FF9-A6C1-57BA8007F0D3}"/>
    <cellStyle name="Note 2 4 2 4" xfId="9423" xr:uid="{43B93802-BE55-43D9-BEBC-4095E3C1FF74}"/>
    <cellStyle name="Note 2 4 2 4 2" xfId="18870" xr:uid="{0393B319-A995-4255-86E3-9DFE1205FD59}"/>
    <cellStyle name="Note 2 4 2 5" xfId="10430" xr:uid="{8235E772-776F-46A3-A8A9-848BFB4AA614}"/>
    <cellStyle name="Note 2 4 3" xfId="1427" xr:uid="{00000000-0005-0000-0000-000020210000}"/>
    <cellStyle name="Note 2 4 3 2" xfId="3657" xr:uid="{00000000-0005-0000-0000-000021210000}"/>
    <cellStyle name="Note 2 4 3 2 2" xfId="7879" xr:uid="{00000000-0005-0000-0000-000022210000}"/>
    <cellStyle name="Note 2 4 3 2 2 2" xfId="25645" xr:uid="{8437D622-6C2F-4F0C-9733-2B8C2FB3909E}"/>
    <cellStyle name="Note 2 4 3 2 2 3" xfId="17205" xr:uid="{5382DD02-1814-4172-A37F-3D12B453D554}"/>
    <cellStyle name="Note 2 4 3 2 3" xfId="21428" xr:uid="{6B40165F-9AAA-48AB-A539-9A046524F7EC}"/>
    <cellStyle name="Note 2 4 3 2 4" xfId="12988" xr:uid="{0633DBB5-DEBE-491A-964C-59A8E453B255}"/>
    <cellStyle name="Note 2 4 3 3" xfId="5734" xr:uid="{00000000-0005-0000-0000-000023210000}"/>
    <cellStyle name="Note 2 4 3 3 2" xfId="23500" xr:uid="{4A68C078-63C4-48F9-8EC7-E3E2115A340C}"/>
    <cellStyle name="Note 2 4 3 3 3" xfId="15060" xr:uid="{9142A155-2C63-4122-808A-4F480D48CD8C}"/>
    <cellStyle name="Note 2 4 3 4" xfId="19283" xr:uid="{245DC5C4-B6DD-4AC3-AEFD-F331F14F9A87}"/>
    <cellStyle name="Note 2 4 3 5" xfId="10843" xr:uid="{5702CDB7-AE81-43DC-B9C4-0CC43704E9E3}"/>
    <cellStyle name="Note 2 4 4" xfId="1841" xr:uid="{00000000-0005-0000-0000-000024210000}"/>
    <cellStyle name="Note 2 4 4 2" xfId="4070" xr:uid="{00000000-0005-0000-0000-000025210000}"/>
    <cellStyle name="Note 2 4 4 2 2" xfId="8292" xr:uid="{00000000-0005-0000-0000-000026210000}"/>
    <cellStyle name="Note 2 4 4 2 2 2" xfId="26058" xr:uid="{49951949-C648-4E67-BFD0-DFAB96137771}"/>
    <cellStyle name="Note 2 4 4 2 2 3" xfId="17618" xr:uid="{792098FB-2C56-4606-B629-35EBC6F53197}"/>
    <cellStyle name="Note 2 4 4 2 3" xfId="21841" xr:uid="{38EF00A6-BB89-4D4D-AF9A-D6F6690F253E}"/>
    <cellStyle name="Note 2 4 4 2 4" xfId="13401" xr:uid="{AFEB7D6D-D252-4E6F-84F7-CF705398307C}"/>
    <cellStyle name="Note 2 4 4 3" xfId="6147" xr:uid="{00000000-0005-0000-0000-000027210000}"/>
    <cellStyle name="Note 2 4 4 3 2" xfId="23913" xr:uid="{57C00B2A-D925-4BFE-8BC8-F9CD8C8D18FF}"/>
    <cellStyle name="Note 2 4 4 3 3" xfId="15473" xr:uid="{CCEF525A-E9B2-400A-BC45-5CC0AFF68A77}"/>
    <cellStyle name="Note 2 4 4 4" xfId="19696" xr:uid="{E68FA199-F577-4416-B0C1-8B72BBB5BF4F}"/>
    <cellStyle name="Note 2 4 4 5" xfId="11256" xr:uid="{DAD0AA08-3C7B-4E5C-8A8D-ED4B74715136}"/>
    <cellStyle name="Note 2 4 5" xfId="2254" xr:uid="{00000000-0005-0000-0000-000028210000}"/>
    <cellStyle name="Note 2 4 5 2" xfId="4483" xr:uid="{00000000-0005-0000-0000-000029210000}"/>
    <cellStyle name="Note 2 4 5 2 2" xfId="8705" xr:uid="{00000000-0005-0000-0000-00002A210000}"/>
    <cellStyle name="Note 2 4 5 2 2 2" xfId="26471" xr:uid="{E8A24D9D-181D-4FB0-96DE-C9E5F1C9942D}"/>
    <cellStyle name="Note 2 4 5 2 2 3" xfId="18031" xr:uid="{04E9052A-C787-4F26-9365-015B8E29C268}"/>
    <cellStyle name="Note 2 4 5 2 3" xfId="22254" xr:uid="{9BA4FD28-3A30-410F-AD46-AF734A792D55}"/>
    <cellStyle name="Note 2 4 5 2 4" xfId="13814" xr:uid="{7266B666-578E-4597-9DDC-B1C7A001A66A}"/>
    <cellStyle name="Note 2 4 5 3" xfId="6560" xr:uid="{00000000-0005-0000-0000-00002B210000}"/>
    <cellStyle name="Note 2 4 5 3 2" xfId="24326" xr:uid="{2D162385-B70A-4198-9F87-E31C201E142D}"/>
    <cellStyle name="Note 2 4 5 3 3" xfId="15886" xr:uid="{3C011B22-A52D-4EF3-81CF-545DDBD3041D}"/>
    <cellStyle name="Note 2 4 5 4" xfId="20109" xr:uid="{4A542D89-62D9-4CB3-807D-8852765BFBBC}"/>
    <cellStyle name="Note 2 4 5 5" xfId="11669" xr:uid="{C489D263-B502-4C55-8D7E-08B303266490}"/>
    <cellStyle name="Note 2 4 6" xfId="2690" xr:uid="{00000000-0005-0000-0000-00002C210000}"/>
    <cellStyle name="Note 2 4 6 2" xfId="6973" xr:uid="{00000000-0005-0000-0000-00002D210000}"/>
    <cellStyle name="Note 2 4 6 2 2" xfId="24739" xr:uid="{D49B24B4-57B3-4722-8BF2-7377B1271E3F}"/>
    <cellStyle name="Note 2 4 6 2 3" xfId="16299" xr:uid="{886DA8FF-7358-4865-AFA6-76BDA9E6ABE1}"/>
    <cellStyle name="Note 2 4 6 3" xfId="20522" xr:uid="{2A04E587-D989-4A87-B0A0-6869AE49D123}"/>
    <cellStyle name="Note 2 4 6 4" xfId="12082" xr:uid="{BBE82BE7-65B4-414D-96E6-79C4DAF1123B}"/>
    <cellStyle name="Note 2 4 7" xfId="2749" xr:uid="{00000000-0005-0000-0000-00002E210000}"/>
    <cellStyle name="Note 2 4 8" xfId="2830" xr:uid="{00000000-0005-0000-0000-00002F210000}"/>
    <cellStyle name="Note 2 4 8 2" xfId="7053" xr:uid="{00000000-0005-0000-0000-000030210000}"/>
    <cellStyle name="Note 2 4 8 2 2" xfId="24819" xr:uid="{F6F35FEC-E7BE-4E25-99B4-7674B3B5CB37}"/>
    <cellStyle name="Note 2 4 8 2 3" xfId="16379" xr:uid="{FF37835B-7EA5-48B1-936D-796F0013D6B2}"/>
    <cellStyle name="Note 2 4 8 3" xfId="20602" xr:uid="{46C04512-16F5-47AD-A231-FA2F015AAD1F}"/>
    <cellStyle name="Note 2 4 8 4" xfId="12162" xr:uid="{DB3CC1CA-0A8B-4ADC-BD92-E86F51A2E957}"/>
    <cellStyle name="Note 2 4 9" xfId="4908" xr:uid="{00000000-0005-0000-0000-000031210000}"/>
    <cellStyle name="Note 2 4 9 2" xfId="22674" xr:uid="{EC03CA8E-787D-4174-99EB-3367012C8003}"/>
    <cellStyle name="Note 2 4 9 3" xfId="14234" xr:uid="{BDFF5E2F-C7DE-4B02-A054-4B650B28A4E6}"/>
    <cellStyle name="Note 2 5" xfId="552" xr:uid="{00000000-0005-0000-0000-000032210000}"/>
    <cellStyle name="Note 2 5 10" xfId="9215" xr:uid="{69947D86-0683-476F-9E74-96CA08091560}"/>
    <cellStyle name="Note 2 5 10 2" xfId="18458" xr:uid="{DB875426-816B-49E9-94AC-BF0725631063}"/>
    <cellStyle name="Note 2 5 11" xfId="10018" xr:uid="{4A92E33A-D94F-4307-9575-3745EE6CD83D}"/>
    <cellStyle name="Note 2 5 2" xfId="1013" xr:uid="{00000000-0005-0000-0000-000033210000}"/>
    <cellStyle name="Note 2 5 2 2" xfId="3245" xr:uid="{00000000-0005-0000-0000-000034210000}"/>
    <cellStyle name="Note 2 5 2 2 2" xfId="7467" xr:uid="{00000000-0005-0000-0000-000035210000}"/>
    <cellStyle name="Note 2 5 2 2 2 2" xfId="25233" xr:uid="{99B2B0CA-8BEA-40AC-9299-5D70A05B946B}"/>
    <cellStyle name="Note 2 5 2 2 2 3" xfId="16793" xr:uid="{CC81255D-1E06-4EF9-ADB6-7FA5A53B85C8}"/>
    <cellStyle name="Note 2 5 2 2 3" xfId="21016" xr:uid="{839C658B-D7BD-4382-BB0F-84B790D620AF}"/>
    <cellStyle name="Note 2 5 2 2 4" xfId="12576" xr:uid="{43BCFA9F-DC07-4069-ACD2-5B067BD26BEE}"/>
    <cellStyle name="Note 2 5 2 3" xfId="5322" xr:uid="{00000000-0005-0000-0000-000036210000}"/>
    <cellStyle name="Note 2 5 2 3 2" xfId="23088" xr:uid="{95335D19-48C3-4CF3-93A7-4E19DAD5071B}"/>
    <cellStyle name="Note 2 5 2 3 3" xfId="14648" xr:uid="{7E33A236-7A2C-4390-A9FC-000E1BD10B16}"/>
    <cellStyle name="Note 2 5 2 4" xfId="9610" xr:uid="{26530D10-1DF8-4FA4-8FC9-4C945AA92A94}"/>
    <cellStyle name="Note 2 5 2 4 2" xfId="18871" xr:uid="{270AF08B-1905-4A1B-8229-4D26F323095E}"/>
    <cellStyle name="Note 2 5 2 5" xfId="10431" xr:uid="{F1CA2985-33B7-4AD6-B41F-DA1DCAB22F2D}"/>
    <cellStyle name="Note 2 5 3" xfId="1428" xr:uid="{00000000-0005-0000-0000-000037210000}"/>
    <cellStyle name="Note 2 5 3 2" xfId="3658" xr:uid="{00000000-0005-0000-0000-000038210000}"/>
    <cellStyle name="Note 2 5 3 2 2" xfId="7880" xr:uid="{00000000-0005-0000-0000-000039210000}"/>
    <cellStyle name="Note 2 5 3 2 2 2" xfId="25646" xr:uid="{6EAE0CC6-F186-467A-9FF4-594CFBBE93A3}"/>
    <cellStyle name="Note 2 5 3 2 2 3" xfId="17206" xr:uid="{EAB8B78A-BDDE-4155-9C35-3A96B6F0081F}"/>
    <cellStyle name="Note 2 5 3 2 3" xfId="21429" xr:uid="{DEC9E64D-9007-4D82-8C20-057FC26E8FD4}"/>
    <cellStyle name="Note 2 5 3 2 4" xfId="12989" xr:uid="{C94A5AA7-6966-43D8-8A6C-A8E856AB3390}"/>
    <cellStyle name="Note 2 5 3 3" xfId="5735" xr:uid="{00000000-0005-0000-0000-00003A210000}"/>
    <cellStyle name="Note 2 5 3 3 2" xfId="23501" xr:uid="{44050062-6921-4864-9B66-80651FFA5A10}"/>
    <cellStyle name="Note 2 5 3 3 3" xfId="15061" xr:uid="{65C9C6DE-7142-44E9-9615-FB2AC81EB263}"/>
    <cellStyle name="Note 2 5 3 4" xfId="19284" xr:uid="{2C6F39DB-429A-421C-9697-CE890AF2F2E4}"/>
    <cellStyle name="Note 2 5 3 5" xfId="10844" xr:uid="{999CF0C5-47C6-4FBB-A9CF-BAFE2CD78C38}"/>
    <cellStyle name="Note 2 5 4" xfId="1842" xr:uid="{00000000-0005-0000-0000-00003B210000}"/>
    <cellStyle name="Note 2 5 4 2" xfId="4071" xr:uid="{00000000-0005-0000-0000-00003C210000}"/>
    <cellStyle name="Note 2 5 4 2 2" xfId="8293" xr:uid="{00000000-0005-0000-0000-00003D210000}"/>
    <cellStyle name="Note 2 5 4 2 2 2" xfId="26059" xr:uid="{CE289F3B-AE99-44E0-B5B1-10598701CD01}"/>
    <cellStyle name="Note 2 5 4 2 2 3" xfId="17619" xr:uid="{1A405415-7BF8-441C-A0D8-9066BBF5D1A3}"/>
    <cellStyle name="Note 2 5 4 2 3" xfId="21842" xr:uid="{65BADF39-06DD-4415-AFF1-F4402B6F11A5}"/>
    <cellStyle name="Note 2 5 4 2 4" xfId="13402" xr:uid="{8DCAFF0D-AD32-4B2E-9BF0-F9094A036082}"/>
    <cellStyle name="Note 2 5 4 3" xfId="6148" xr:uid="{00000000-0005-0000-0000-00003E210000}"/>
    <cellStyle name="Note 2 5 4 3 2" xfId="23914" xr:uid="{8C8ADDCB-2D66-47FC-928C-5692F1840333}"/>
    <cellStyle name="Note 2 5 4 3 3" xfId="15474" xr:uid="{D124266E-6016-4561-A9DA-A8AA9206439E}"/>
    <cellStyle name="Note 2 5 4 4" xfId="19697" xr:uid="{649CAB17-8AD6-47D2-91D9-987A47370055}"/>
    <cellStyle name="Note 2 5 4 5" xfId="11257" xr:uid="{B1FAA847-3DBE-46C4-9786-8A31746B5B61}"/>
    <cellStyle name="Note 2 5 5" xfId="2255" xr:uid="{00000000-0005-0000-0000-00003F210000}"/>
    <cellStyle name="Note 2 5 5 2" xfId="4484" xr:uid="{00000000-0005-0000-0000-000040210000}"/>
    <cellStyle name="Note 2 5 5 2 2" xfId="8706" xr:uid="{00000000-0005-0000-0000-000041210000}"/>
    <cellStyle name="Note 2 5 5 2 2 2" xfId="26472" xr:uid="{CE366549-22C0-4D53-A778-9640E5D85146}"/>
    <cellStyle name="Note 2 5 5 2 2 3" xfId="18032" xr:uid="{7942EAB3-D989-4695-9925-F8564BA2D727}"/>
    <cellStyle name="Note 2 5 5 2 3" xfId="22255" xr:uid="{2A3C94F7-E58B-4366-9BC6-8A1134F535A8}"/>
    <cellStyle name="Note 2 5 5 2 4" xfId="13815" xr:uid="{2CBC5A7F-5F31-42CA-8954-2ADA7F76A4B6}"/>
    <cellStyle name="Note 2 5 5 3" xfId="6561" xr:uid="{00000000-0005-0000-0000-000042210000}"/>
    <cellStyle name="Note 2 5 5 3 2" xfId="24327" xr:uid="{3898F3B4-3D2C-4891-B916-F722D9453557}"/>
    <cellStyle name="Note 2 5 5 3 3" xfId="15887" xr:uid="{F796FF0F-74DF-4470-A9C3-44DB852ACD85}"/>
    <cellStyle name="Note 2 5 5 4" xfId="20110" xr:uid="{2712DDE4-39F5-47FB-9ED2-090E7B57E839}"/>
    <cellStyle name="Note 2 5 5 5" xfId="11670" xr:uid="{DAFF4C25-3542-48F0-820C-359F5BF32AAD}"/>
    <cellStyle name="Note 2 5 6" xfId="2691" xr:uid="{00000000-0005-0000-0000-000043210000}"/>
    <cellStyle name="Note 2 5 6 2" xfId="6974" xr:uid="{00000000-0005-0000-0000-000044210000}"/>
    <cellStyle name="Note 2 5 6 2 2" xfId="24740" xr:uid="{F5954983-9636-4B34-AACD-54A3DFF15D25}"/>
    <cellStyle name="Note 2 5 6 2 3" xfId="16300" xr:uid="{EF05BB39-1F0A-49AC-9D14-D426AC6DB05A}"/>
    <cellStyle name="Note 2 5 6 3" xfId="20523" xr:uid="{C83948D9-8D39-4D95-8946-3EDED9C10B26}"/>
    <cellStyle name="Note 2 5 6 4" xfId="12083" xr:uid="{6FA3A004-E68F-43A0-AC61-067B6843D6D6}"/>
    <cellStyle name="Note 2 5 7" xfId="2750" xr:uid="{00000000-0005-0000-0000-000045210000}"/>
    <cellStyle name="Note 2 5 8" xfId="2831" xr:uid="{00000000-0005-0000-0000-000046210000}"/>
    <cellStyle name="Note 2 5 8 2" xfId="7054" xr:uid="{00000000-0005-0000-0000-000047210000}"/>
    <cellStyle name="Note 2 5 8 2 2" xfId="24820" xr:uid="{DC98FE63-3483-46BD-8932-ADC8171D9746}"/>
    <cellStyle name="Note 2 5 8 2 3" xfId="16380" xr:uid="{9104CE2E-EE22-4CFD-BFB5-EC1D89C0854C}"/>
    <cellStyle name="Note 2 5 8 3" xfId="20603" xr:uid="{F21B42C0-32C5-479A-8F82-1A64C4F54945}"/>
    <cellStyle name="Note 2 5 8 4" xfId="12163" xr:uid="{57005060-5A19-4A20-95A6-2C0CB09D62A7}"/>
    <cellStyle name="Note 2 5 9" xfId="4909" xr:uid="{00000000-0005-0000-0000-000048210000}"/>
    <cellStyle name="Note 2 5 9 2" xfId="22675" xr:uid="{98DF923D-A8B9-4A32-9389-4705E1442F6C}"/>
    <cellStyle name="Note 2 5 9 3" xfId="14235" xr:uid="{D4E59104-F5B4-4A00-8773-83F2CD27EC8B}"/>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24821" xr:uid="{7B3D2A58-8DE8-4D85-B125-66B572B849B8}"/>
    <cellStyle name="Note 3 2 10 2 3" xfId="16381" xr:uid="{257F0BBB-3AC0-411B-AC36-C3F61092B206}"/>
    <cellStyle name="Note 3 2 10 3" xfId="20604" xr:uid="{29FD722F-7179-462A-A37D-3F2CEFFA43F8}"/>
    <cellStyle name="Note 3 2 10 4" xfId="12164" xr:uid="{F9CEAEB6-4555-4590-AE4B-7A4F025C42C8}"/>
    <cellStyle name="Note 3 2 11" xfId="4910" xr:uid="{00000000-0005-0000-0000-00004D210000}"/>
    <cellStyle name="Note 3 2 11 2" xfId="22676" xr:uid="{C0101E35-6B57-44FA-BE30-F0A1E8D2969C}"/>
    <cellStyle name="Note 3 2 11 3" xfId="14236" xr:uid="{3318ADFD-0799-4879-B101-0A953B2211D7}"/>
    <cellStyle name="Note 3 2 12" xfId="8842" xr:uid="{646587AC-B7A9-43E2-AC1E-1B77745805D8}"/>
    <cellStyle name="Note 3 2 12 2" xfId="18459" xr:uid="{B0723FD9-FB19-4384-82AB-D58159217ACF}"/>
    <cellStyle name="Note 3 2 13" xfId="10019" xr:uid="{32414F03-B8A1-46BD-9920-F93797744FB6}"/>
    <cellStyle name="Note 3 2 2" xfId="555" xr:uid="{00000000-0005-0000-0000-00004E210000}"/>
    <cellStyle name="Note 3 2 2 10" xfId="4911" xr:uid="{00000000-0005-0000-0000-00004F210000}"/>
    <cellStyle name="Note 3 2 2 10 2" xfId="22677" xr:uid="{DCF8C44B-E8C3-4764-B163-07F9C8C275F0}"/>
    <cellStyle name="Note 3 2 2 10 3" xfId="14237" xr:uid="{45078F02-BDC8-44A8-BF44-D3D3075AE91C}"/>
    <cellStyle name="Note 3 2 2 11" xfId="8945" xr:uid="{D320AF38-4F47-4266-9CB9-3BD7E15BFDAE}"/>
    <cellStyle name="Note 3 2 2 11 2" xfId="18460" xr:uid="{683E5561-11D0-4BB6-AC1D-30A6BD7BF9A7}"/>
    <cellStyle name="Note 3 2 2 12" xfId="10020" xr:uid="{81F34CAD-7E02-44F9-B187-6854FBFECBE7}"/>
    <cellStyle name="Note 3 2 2 2" xfId="556" xr:uid="{00000000-0005-0000-0000-000050210000}"/>
    <cellStyle name="Note 3 2 2 2 10" xfId="9152" xr:uid="{24874F5B-4700-44ED-9556-84C4E89A274D}"/>
    <cellStyle name="Note 3 2 2 2 10 2" xfId="18461" xr:uid="{0508A34F-47F1-4718-AC4F-CABC8DA15CF6}"/>
    <cellStyle name="Note 3 2 2 2 11" xfId="10021" xr:uid="{48EDFE70-58A8-4A80-8816-0977C40136AB}"/>
    <cellStyle name="Note 3 2 2 2 2" xfId="1016" xr:uid="{00000000-0005-0000-0000-000051210000}"/>
    <cellStyle name="Note 3 2 2 2 2 2" xfId="3248" xr:uid="{00000000-0005-0000-0000-000052210000}"/>
    <cellStyle name="Note 3 2 2 2 2 2 2" xfId="7470" xr:uid="{00000000-0005-0000-0000-000053210000}"/>
    <cellStyle name="Note 3 2 2 2 2 2 2 2" xfId="25236" xr:uid="{AADF4377-D187-4A7C-8340-D0D9D9242F8F}"/>
    <cellStyle name="Note 3 2 2 2 2 2 2 3" xfId="16796" xr:uid="{98977798-6282-4ABF-85A3-ED597C70E377}"/>
    <cellStyle name="Note 3 2 2 2 2 2 3" xfId="21019" xr:uid="{6A585B8C-871E-4834-81E9-99040ACF4789}"/>
    <cellStyle name="Note 3 2 2 2 2 2 4" xfId="12579" xr:uid="{5EEDCD3B-DD49-4425-976D-5D805B08FD04}"/>
    <cellStyle name="Note 3 2 2 2 2 3" xfId="5325" xr:uid="{00000000-0005-0000-0000-000054210000}"/>
    <cellStyle name="Note 3 2 2 2 2 3 2" xfId="23091" xr:uid="{76DE0F9F-A125-4DB5-8E6E-77EFB9E21176}"/>
    <cellStyle name="Note 3 2 2 2 2 3 3" xfId="14651" xr:uid="{3520892A-8014-443C-877A-6DF7854AEBA0}"/>
    <cellStyle name="Note 3 2 2 2 2 4" xfId="9577" xr:uid="{7C0C89D7-CA14-4942-89B2-D584AC810EDC}"/>
    <cellStyle name="Note 3 2 2 2 2 4 2" xfId="18874" xr:uid="{B44622C7-BCB0-406B-B297-1B408C796E30}"/>
    <cellStyle name="Note 3 2 2 2 2 5" xfId="10434" xr:uid="{96EE826D-211C-4538-9576-1BE402F0888E}"/>
    <cellStyle name="Note 3 2 2 2 3" xfId="1431" xr:uid="{00000000-0005-0000-0000-000055210000}"/>
    <cellStyle name="Note 3 2 2 2 3 2" xfId="3661" xr:uid="{00000000-0005-0000-0000-000056210000}"/>
    <cellStyle name="Note 3 2 2 2 3 2 2" xfId="7883" xr:uid="{00000000-0005-0000-0000-000057210000}"/>
    <cellStyle name="Note 3 2 2 2 3 2 2 2" xfId="25649" xr:uid="{C55B128A-5E8B-4D2C-A42C-0B09A60F7776}"/>
    <cellStyle name="Note 3 2 2 2 3 2 2 3" xfId="17209" xr:uid="{4544A6E9-74FD-44B0-8C9E-DA264B6619E0}"/>
    <cellStyle name="Note 3 2 2 2 3 2 3" xfId="21432" xr:uid="{40DA493B-DA85-4D73-80D0-9323A1933151}"/>
    <cellStyle name="Note 3 2 2 2 3 2 4" xfId="12992" xr:uid="{99E3C595-84B9-4677-B234-A41DA78CEC53}"/>
    <cellStyle name="Note 3 2 2 2 3 3" xfId="5738" xr:uid="{00000000-0005-0000-0000-000058210000}"/>
    <cellStyle name="Note 3 2 2 2 3 3 2" xfId="23504" xr:uid="{54BC27A9-98D7-49D8-B3ED-E04F03E84742}"/>
    <cellStyle name="Note 3 2 2 2 3 3 3" xfId="15064" xr:uid="{8E83AF73-AAA0-4296-B1CE-CB2D783EC902}"/>
    <cellStyle name="Note 3 2 2 2 3 4" xfId="19287" xr:uid="{6F4EA325-EA9A-4F3B-95C1-8680240514B6}"/>
    <cellStyle name="Note 3 2 2 2 3 5" xfId="10847" xr:uid="{07585D3C-4201-4FBE-B137-B43161F54285}"/>
    <cellStyle name="Note 3 2 2 2 4" xfId="1845" xr:uid="{00000000-0005-0000-0000-000059210000}"/>
    <cellStyle name="Note 3 2 2 2 4 2" xfId="4074" xr:uid="{00000000-0005-0000-0000-00005A210000}"/>
    <cellStyle name="Note 3 2 2 2 4 2 2" xfId="8296" xr:uid="{00000000-0005-0000-0000-00005B210000}"/>
    <cellStyle name="Note 3 2 2 2 4 2 2 2" xfId="26062" xr:uid="{DB4E1BB5-4335-4C0E-A0B5-7E90131230AC}"/>
    <cellStyle name="Note 3 2 2 2 4 2 2 3" xfId="17622" xr:uid="{241B3823-4A5D-4666-9F04-751D47B1D278}"/>
    <cellStyle name="Note 3 2 2 2 4 2 3" xfId="21845" xr:uid="{907E69F7-CB0E-499F-97F7-6FEC56F0A5E5}"/>
    <cellStyle name="Note 3 2 2 2 4 2 4" xfId="13405" xr:uid="{237D1F9C-88A8-4238-8654-C725CE862688}"/>
    <cellStyle name="Note 3 2 2 2 4 3" xfId="6151" xr:uid="{00000000-0005-0000-0000-00005C210000}"/>
    <cellStyle name="Note 3 2 2 2 4 3 2" xfId="23917" xr:uid="{5A128D7C-4324-4CCC-88E6-BD451CA13268}"/>
    <cellStyle name="Note 3 2 2 2 4 3 3" xfId="15477" xr:uid="{0EF0CC7E-2D3C-4223-A15B-D83C9DCB8260}"/>
    <cellStyle name="Note 3 2 2 2 4 4" xfId="19700" xr:uid="{35B9A3CE-FB00-4F1B-93A5-459C09CEE9C6}"/>
    <cellStyle name="Note 3 2 2 2 4 5" xfId="11260" xr:uid="{475BE001-EEDB-491A-94B4-3B50CCFAE3CF}"/>
    <cellStyle name="Note 3 2 2 2 5" xfId="2258" xr:uid="{00000000-0005-0000-0000-00005D210000}"/>
    <cellStyle name="Note 3 2 2 2 5 2" xfId="4487" xr:uid="{00000000-0005-0000-0000-00005E210000}"/>
    <cellStyle name="Note 3 2 2 2 5 2 2" xfId="8709" xr:uid="{00000000-0005-0000-0000-00005F210000}"/>
    <cellStyle name="Note 3 2 2 2 5 2 2 2" xfId="26475" xr:uid="{A87BD1B0-4BD0-47A5-B022-245DD0D6608C}"/>
    <cellStyle name="Note 3 2 2 2 5 2 2 3" xfId="18035" xr:uid="{451DFB53-E103-4937-93BC-252B9F9353B7}"/>
    <cellStyle name="Note 3 2 2 2 5 2 3" xfId="22258" xr:uid="{D6801E66-F9F4-4978-92F1-DD0EA9ECBEAE}"/>
    <cellStyle name="Note 3 2 2 2 5 2 4" xfId="13818" xr:uid="{960CE535-1767-457F-B4D7-3AE658D039D1}"/>
    <cellStyle name="Note 3 2 2 2 5 3" xfId="6564" xr:uid="{00000000-0005-0000-0000-000060210000}"/>
    <cellStyle name="Note 3 2 2 2 5 3 2" xfId="24330" xr:uid="{4CAF1E6F-7AC5-4352-A68A-02970466B1ED}"/>
    <cellStyle name="Note 3 2 2 2 5 3 3" xfId="15890" xr:uid="{97AC5B55-DB93-41FB-AB5D-1D62DAF08333}"/>
    <cellStyle name="Note 3 2 2 2 5 4" xfId="20113" xr:uid="{8F409366-A00F-430E-A223-9652AD8018E5}"/>
    <cellStyle name="Note 3 2 2 2 5 5" xfId="11673" xr:uid="{19910624-5853-4BF9-ADDE-480CE05F545C}"/>
    <cellStyle name="Note 3 2 2 2 6" xfId="2694" xr:uid="{00000000-0005-0000-0000-000061210000}"/>
    <cellStyle name="Note 3 2 2 2 6 2" xfId="6977" xr:uid="{00000000-0005-0000-0000-000062210000}"/>
    <cellStyle name="Note 3 2 2 2 6 2 2" xfId="24743" xr:uid="{C43B78C9-21C2-4C03-9D41-B3C0727B998B}"/>
    <cellStyle name="Note 3 2 2 2 6 2 3" xfId="16303" xr:uid="{1F8C4176-FCF6-4F3C-B948-7D137C28E046}"/>
    <cellStyle name="Note 3 2 2 2 6 3" xfId="20526" xr:uid="{689D9C7C-4B19-4BFA-BE2D-CBF0ECB25B9D}"/>
    <cellStyle name="Note 3 2 2 2 6 4" xfId="12086" xr:uid="{AC364A10-D15A-4D73-92E7-AEA039342F9F}"/>
    <cellStyle name="Note 3 2 2 2 7" xfId="2753" xr:uid="{00000000-0005-0000-0000-000063210000}"/>
    <cellStyle name="Note 3 2 2 2 8" xfId="2834" xr:uid="{00000000-0005-0000-0000-000064210000}"/>
    <cellStyle name="Note 3 2 2 2 8 2" xfId="7057" xr:uid="{00000000-0005-0000-0000-000065210000}"/>
    <cellStyle name="Note 3 2 2 2 8 2 2" xfId="24823" xr:uid="{DF90BB35-E4A4-43A2-B521-648A238A4671}"/>
    <cellStyle name="Note 3 2 2 2 8 2 3" xfId="16383" xr:uid="{5007CE3C-374A-46BF-AFC0-6B19D592DFF6}"/>
    <cellStyle name="Note 3 2 2 2 8 3" xfId="20606" xr:uid="{A505E853-A3C0-4675-8E32-482997B7D074}"/>
    <cellStyle name="Note 3 2 2 2 8 4" xfId="12166" xr:uid="{0AFC455F-61E0-4311-8953-0D0CBE6EE0A6}"/>
    <cellStyle name="Note 3 2 2 2 9" xfId="4912" xr:uid="{00000000-0005-0000-0000-000066210000}"/>
    <cellStyle name="Note 3 2 2 2 9 2" xfId="22678" xr:uid="{605D1790-B883-4126-AA70-541058579274}"/>
    <cellStyle name="Note 3 2 2 2 9 3" xfId="14238" xr:uid="{515A87FD-70EB-4A2B-8306-3EDA1CB6D54F}"/>
    <cellStyle name="Note 3 2 2 3" xfId="1015" xr:uid="{00000000-0005-0000-0000-000067210000}"/>
    <cellStyle name="Note 3 2 2 3 2" xfId="3247" xr:uid="{00000000-0005-0000-0000-000068210000}"/>
    <cellStyle name="Note 3 2 2 3 2 2" xfId="7469" xr:uid="{00000000-0005-0000-0000-000069210000}"/>
    <cellStyle name="Note 3 2 2 3 2 2 2" xfId="25235" xr:uid="{E9826802-79B1-4FDE-81A0-2820A04564D2}"/>
    <cellStyle name="Note 3 2 2 3 2 2 3" xfId="16795" xr:uid="{2CE92012-8EB6-417A-8D57-8EF29D3DC779}"/>
    <cellStyle name="Note 3 2 2 3 2 3" xfId="21018" xr:uid="{A87ED68F-4E56-46F2-A3FD-F749B0896C64}"/>
    <cellStyle name="Note 3 2 2 3 2 4" xfId="12578" xr:uid="{192DE1E8-8539-4471-8BFB-FDC723368215}"/>
    <cellStyle name="Note 3 2 2 3 3" xfId="5324" xr:uid="{00000000-0005-0000-0000-00006A210000}"/>
    <cellStyle name="Note 3 2 2 3 3 2" xfId="23090" xr:uid="{9E41D110-7042-44FF-8702-25EB3C0FC08A}"/>
    <cellStyle name="Note 3 2 2 3 3 3" xfId="14650" xr:uid="{2B5DA9B7-8FB6-4776-9F6B-2C12404D2562}"/>
    <cellStyle name="Note 3 2 2 3 4" xfId="9370" xr:uid="{7A803908-679B-4EF0-9BD4-89724B1FB321}"/>
    <cellStyle name="Note 3 2 2 3 4 2" xfId="18873" xr:uid="{837D8053-F097-46B0-A379-91638A7C6EB6}"/>
    <cellStyle name="Note 3 2 2 3 5" xfId="10433" xr:uid="{F9E31FCC-F7E3-4D1E-B37B-49F4EB719F1A}"/>
    <cellStyle name="Note 3 2 2 4" xfId="1430" xr:uid="{00000000-0005-0000-0000-00006B210000}"/>
    <cellStyle name="Note 3 2 2 4 2" xfId="3660" xr:uid="{00000000-0005-0000-0000-00006C210000}"/>
    <cellStyle name="Note 3 2 2 4 2 2" xfId="7882" xr:uid="{00000000-0005-0000-0000-00006D210000}"/>
    <cellStyle name="Note 3 2 2 4 2 2 2" xfId="25648" xr:uid="{84110C3C-DD6D-455E-BA6F-574B4CF0977D}"/>
    <cellStyle name="Note 3 2 2 4 2 2 3" xfId="17208" xr:uid="{E3560C15-1A78-4A0E-83D7-4BE6803DA769}"/>
    <cellStyle name="Note 3 2 2 4 2 3" xfId="21431" xr:uid="{CA49945F-ACCF-4BD8-866C-DE94F366E785}"/>
    <cellStyle name="Note 3 2 2 4 2 4" xfId="12991" xr:uid="{110C3A22-972F-46BB-98EB-F00C44E4B2D4}"/>
    <cellStyle name="Note 3 2 2 4 3" xfId="5737" xr:uid="{00000000-0005-0000-0000-00006E210000}"/>
    <cellStyle name="Note 3 2 2 4 3 2" xfId="23503" xr:uid="{A2CB5EF7-EF84-4545-B4AF-5AC7BD354ED9}"/>
    <cellStyle name="Note 3 2 2 4 3 3" xfId="15063" xr:uid="{1F17FABF-B7D0-47A4-B0E0-83C0CAACA5BD}"/>
    <cellStyle name="Note 3 2 2 4 4" xfId="19286" xr:uid="{CA96403C-50F0-4082-AF32-618192FB6CD3}"/>
    <cellStyle name="Note 3 2 2 4 5" xfId="10846" xr:uid="{AD3E1D84-8716-416F-922F-792D02A7233B}"/>
    <cellStyle name="Note 3 2 2 5" xfId="1844" xr:uid="{00000000-0005-0000-0000-00006F210000}"/>
    <cellStyle name="Note 3 2 2 5 2" xfId="4073" xr:uid="{00000000-0005-0000-0000-000070210000}"/>
    <cellStyle name="Note 3 2 2 5 2 2" xfId="8295" xr:uid="{00000000-0005-0000-0000-000071210000}"/>
    <cellStyle name="Note 3 2 2 5 2 2 2" xfId="26061" xr:uid="{198BDA19-1D60-4AB1-9A61-CCD4484BFCB7}"/>
    <cellStyle name="Note 3 2 2 5 2 2 3" xfId="17621" xr:uid="{A9B975F2-BAB2-49CA-8286-64C7E5EF0488}"/>
    <cellStyle name="Note 3 2 2 5 2 3" xfId="21844" xr:uid="{D4E04B54-08F6-4D5D-9C6A-4FC0BE175916}"/>
    <cellStyle name="Note 3 2 2 5 2 4" xfId="13404" xr:uid="{B5EF03E2-40CC-4531-B9C9-45F7A7D51FF7}"/>
    <cellStyle name="Note 3 2 2 5 3" xfId="6150" xr:uid="{00000000-0005-0000-0000-000072210000}"/>
    <cellStyle name="Note 3 2 2 5 3 2" xfId="23916" xr:uid="{029B4F61-3196-4B79-A3C5-FED1B3D00F87}"/>
    <cellStyle name="Note 3 2 2 5 3 3" xfId="15476" xr:uid="{636BBD43-8F64-4AA7-9CAA-BAE6E697E8CE}"/>
    <cellStyle name="Note 3 2 2 5 4" xfId="19699" xr:uid="{135EF3AB-8575-4DC4-B97A-665004D1D720}"/>
    <cellStyle name="Note 3 2 2 5 5" xfId="11259" xr:uid="{3BCE5CE8-0F4A-48AC-848B-39A5CB5466E9}"/>
    <cellStyle name="Note 3 2 2 6" xfId="2257" xr:uid="{00000000-0005-0000-0000-000073210000}"/>
    <cellStyle name="Note 3 2 2 6 2" xfId="4486" xr:uid="{00000000-0005-0000-0000-000074210000}"/>
    <cellStyle name="Note 3 2 2 6 2 2" xfId="8708" xr:uid="{00000000-0005-0000-0000-000075210000}"/>
    <cellStyle name="Note 3 2 2 6 2 2 2" xfId="26474" xr:uid="{4FA0D113-9803-493F-A698-11BF680FEEF0}"/>
    <cellStyle name="Note 3 2 2 6 2 2 3" xfId="18034" xr:uid="{422912FE-46D5-4E65-BE8B-F2D2361FE13B}"/>
    <cellStyle name="Note 3 2 2 6 2 3" xfId="22257" xr:uid="{31489885-CC6B-44B1-8C4D-EE3E3A969436}"/>
    <cellStyle name="Note 3 2 2 6 2 4" xfId="13817" xr:uid="{60A74933-CF02-4C62-B04E-67CF4028A128}"/>
    <cellStyle name="Note 3 2 2 6 3" xfId="6563" xr:uid="{00000000-0005-0000-0000-000076210000}"/>
    <cellStyle name="Note 3 2 2 6 3 2" xfId="24329" xr:uid="{B5938052-210F-42AE-8925-F5D6C666AC6B}"/>
    <cellStyle name="Note 3 2 2 6 3 3" xfId="15889" xr:uid="{49E5ABAF-D14E-49FB-8D25-30D11BC9C2D4}"/>
    <cellStyle name="Note 3 2 2 6 4" xfId="20112" xr:uid="{614B9512-D014-4A50-9ACB-ED6DF51A5F60}"/>
    <cellStyle name="Note 3 2 2 6 5" xfId="11672" xr:uid="{E6F6DCBA-50C8-4E2D-85F6-BDE33226E2BE}"/>
    <cellStyle name="Note 3 2 2 7" xfId="2693" xr:uid="{00000000-0005-0000-0000-000077210000}"/>
    <cellStyle name="Note 3 2 2 7 2" xfId="6976" xr:uid="{00000000-0005-0000-0000-000078210000}"/>
    <cellStyle name="Note 3 2 2 7 2 2" xfId="24742" xr:uid="{DA035307-B22B-4C46-8078-059152ECF287}"/>
    <cellStyle name="Note 3 2 2 7 2 3" xfId="16302" xr:uid="{B9527428-D411-4BCF-8CE9-C16CD3BF4EDF}"/>
    <cellStyle name="Note 3 2 2 7 3" xfId="20525" xr:uid="{5D8C1E65-FCC7-4EDC-A556-C3EE8220C175}"/>
    <cellStyle name="Note 3 2 2 7 4" xfId="12085" xr:uid="{B0759E54-C0FC-48E1-8655-56897D8B9A35}"/>
    <cellStyle name="Note 3 2 2 8" xfId="2752" xr:uid="{00000000-0005-0000-0000-000079210000}"/>
    <cellStyle name="Note 3 2 2 9" xfId="2833" xr:uid="{00000000-0005-0000-0000-00007A210000}"/>
    <cellStyle name="Note 3 2 2 9 2" xfId="7056" xr:uid="{00000000-0005-0000-0000-00007B210000}"/>
    <cellStyle name="Note 3 2 2 9 2 2" xfId="24822" xr:uid="{70DCF202-AC8B-4DB4-A7E1-E7A2046DA2FE}"/>
    <cellStyle name="Note 3 2 2 9 2 3" xfId="16382" xr:uid="{EE3F8E45-BBBA-40FA-A7BA-08618C40678B}"/>
    <cellStyle name="Note 3 2 2 9 3" xfId="20605" xr:uid="{25730F08-E00A-4C8E-8F3E-5178F1FD5B89}"/>
    <cellStyle name="Note 3 2 2 9 4" xfId="12165" xr:uid="{074E4158-B787-41E5-8480-5C47F603040F}"/>
    <cellStyle name="Note 3 2 3" xfId="557" xr:uid="{00000000-0005-0000-0000-00007C210000}"/>
    <cellStyle name="Note 3 2 3 10" xfId="9049" xr:uid="{98DA21AE-8EED-4AF2-A5D5-94394E9C9EFE}"/>
    <cellStyle name="Note 3 2 3 10 2" xfId="18462" xr:uid="{3D83A2B2-D914-4410-AD88-CDD093B80E93}"/>
    <cellStyle name="Note 3 2 3 11" xfId="10022" xr:uid="{17A57898-6CE8-422E-B1A7-4C7C34472C8E}"/>
    <cellStyle name="Note 3 2 3 2" xfId="1017" xr:uid="{00000000-0005-0000-0000-00007D210000}"/>
    <cellStyle name="Note 3 2 3 2 2" xfId="3249" xr:uid="{00000000-0005-0000-0000-00007E210000}"/>
    <cellStyle name="Note 3 2 3 2 2 2" xfId="7471" xr:uid="{00000000-0005-0000-0000-00007F210000}"/>
    <cellStyle name="Note 3 2 3 2 2 2 2" xfId="25237" xr:uid="{14BC88A1-D060-46B4-85E8-795A54FF81B9}"/>
    <cellStyle name="Note 3 2 3 2 2 2 3" xfId="16797" xr:uid="{5188BCE9-7043-4203-A7D6-C91FD10D4394}"/>
    <cellStyle name="Note 3 2 3 2 2 3" xfId="21020" xr:uid="{BB006496-7E8F-4152-BB58-1380C5A346A1}"/>
    <cellStyle name="Note 3 2 3 2 2 4" xfId="12580" xr:uid="{78FBD2B6-5199-46D6-BEC6-B89EAD8C7ABD}"/>
    <cellStyle name="Note 3 2 3 2 3" xfId="5326" xr:uid="{00000000-0005-0000-0000-000080210000}"/>
    <cellStyle name="Note 3 2 3 2 3 2" xfId="23092" xr:uid="{F60D1C3D-998C-44E8-9276-1696CC27AAE5}"/>
    <cellStyle name="Note 3 2 3 2 3 3" xfId="14652" xr:uid="{6947B946-EB17-4901-9A9A-AB5FA4D21EDF}"/>
    <cellStyle name="Note 3 2 3 2 4" xfId="9474" xr:uid="{8827394E-7DCF-4E58-BF45-94E8587F7D91}"/>
    <cellStyle name="Note 3 2 3 2 4 2" xfId="18875" xr:uid="{3B82C399-3391-45E9-9F7D-15007B7283A9}"/>
    <cellStyle name="Note 3 2 3 2 5" xfId="10435" xr:uid="{FC7D8E91-B905-46A2-BA00-71118204DC05}"/>
    <cellStyle name="Note 3 2 3 3" xfId="1432" xr:uid="{00000000-0005-0000-0000-000081210000}"/>
    <cellStyle name="Note 3 2 3 3 2" xfId="3662" xr:uid="{00000000-0005-0000-0000-000082210000}"/>
    <cellStyle name="Note 3 2 3 3 2 2" xfId="7884" xr:uid="{00000000-0005-0000-0000-000083210000}"/>
    <cellStyle name="Note 3 2 3 3 2 2 2" xfId="25650" xr:uid="{E5678BB9-811F-47EA-A52E-E51E0D84EA81}"/>
    <cellStyle name="Note 3 2 3 3 2 2 3" xfId="17210" xr:uid="{738A4C2C-7DF1-4A3C-8163-F06F5EB7BAB2}"/>
    <cellStyle name="Note 3 2 3 3 2 3" xfId="21433" xr:uid="{1632C0CE-2F27-407D-8384-1956E4B5D2E7}"/>
    <cellStyle name="Note 3 2 3 3 2 4" xfId="12993" xr:uid="{FABB6144-CE8A-4867-9401-5EEFF94FA23C}"/>
    <cellStyle name="Note 3 2 3 3 3" xfId="5739" xr:uid="{00000000-0005-0000-0000-000084210000}"/>
    <cellStyle name="Note 3 2 3 3 3 2" xfId="23505" xr:uid="{30E5FE69-00CB-43F5-B66C-A81C24E587A5}"/>
    <cellStyle name="Note 3 2 3 3 3 3" xfId="15065" xr:uid="{04285AA0-16D3-4D2D-8379-612F446E9DD5}"/>
    <cellStyle name="Note 3 2 3 3 4" xfId="19288" xr:uid="{F69E0CCC-4B5F-4EE8-B3D6-DE44CF3E395F}"/>
    <cellStyle name="Note 3 2 3 3 5" xfId="10848" xr:uid="{8E838D88-CD3B-4BBA-B294-553D2E5E6110}"/>
    <cellStyle name="Note 3 2 3 4" xfId="1846" xr:uid="{00000000-0005-0000-0000-000085210000}"/>
    <cellStyle name="Note 3 2 3 4 2" xfId="4075" xr:uid="{00000000-0005-0000-0000-000086210000}"/>
    <cellStyle name="Note 3 2 3 4 2 2" xfId="8297" xr:uid="{00000000-0005-0000-0000-000087210000}"/>
    <cellStyle name="Note 3 2 3 4 2 2 2" xfId="26063" xr:uid="{D5D0CAD8-D4F1-4670-8381-6B7F0CAEFF89}"/>
    <cellStyle name="Note 3 2 3 4 2 2 3" xfId="17623" xr:uid="{03992385-6B0B-4E68-A7A6-0A4E9F90F8C5}"/>
    <cellStyle name="Note 3 2 3 4 2 3" xfId="21846" xr:uid="{5FFDCEEF-C1B0-4166-9902-B7A38674D899}"/>
    <cellStyle name="Note 3 2 3 4 2 4" xfId="13406" xr:uid="{F39E93C6-8817-49FF-A2F0-17696F0E27DC}"/>
    <cellStyle name="Note 3 2 3 4 3" xfId="6152" xr:uid="{00000000-0005-0000-0000-000088210000}"/>
    <cellStyle name="Note 3 2 3 4 3 2" xfId="23918" xr:uid="{294B2C37-D133-4DD5-B6B4-88966D033A7A}"/>
    <cellStyle name="Note 3 2 3 4 3 3" xfId="15478" xr:uid="{0DF9B61D-6146-43DB-BE0A-57BBC6D540DD}"/>
    <cellStyle name="Note 3 2 3 4 4" xfId="19701" xr:uid="{7F495B69-278D-4153-B0E9-E48814C5D65B}"/>
    <cellStyle name="Note 3 2 3 4 5" xfId="11261" xr:uid="{B12ABD57-EC01-4ED5-A3EA-194531D5C826}"/>
    <cellStyle name="Note 3 2 3 5" xfId="2259" xr:uid="{00000000-0005-0000-0000-000089210000}"/>
    <cellStyle name="Note 3 2 3 5 2" xfId="4488" xr:uid="{00000000-0005-0000-0000-00008A210000}"/>
    <cellStyle name="Note 3 2 3 5 2 2" xfId="8710" xr:uid="{00000000-0005-0000-0000-00008B210000}"/>
    <cellStyle name="Note 3 2 3 5 2 2 2" xfId="26476" xr:uid="{D4E3A2ED-0752-4A9B-AB6F-42A111E64240}"/>
    <cellStyle name="Note 3 2 3 5 2 2 3" xfId="18036" xr:uid="{1F0EC861-AC78-4EE8-850A-0A10C2AB3657}"/>
    <cellStyle name="Note 3 2 3 5 2 3" xfId="22259" xr:uid="{08C41586-8B5D-4172-B692-3F0C645DD4E3}"/>
    <cellStyle name="Note 3 2 3 5 2 4" xfId="13819" xr:uid="{B11B6BF1-2532-41F0-85D6-8624FCBB1C37}"/>
    <cellStyle name="Note 3 2 3 5 3" xfId="6565" xr:uid="{00000000-0005-0000-0000-00008C210000}"/>
    <cellStyle name="Note 3 2 3 5 3 2" xfId="24331" xr:uid="{89697E4C-B87B-4CDA-A16C-FFFBFA79B3B8}"/>
    <cellStyle name="Note 3 2 3 5 3 3" xfId="15891" xr:uid="{3FF0A950-458E-433A-A2C4-4105EDC9F02B}"/>
    <cellStyle name="Note 3 2 3 5 4" xfId="20114" xr:uid="{9CC73DBE-7AF4-40F1-B844-5FA0D55D7A57}"/>
    <cellStyle name="Note 3 2 3 5 5" xfId="11674" xr:uid="{D648DB9D-82C4-491C-89EA-C0BA0F3EE5C8}"/>
    <cellStyle name="Note 3 2 3 6" xfId="2695" xr:uid="{00000000-0005-0000-0000-00008D210000}"/>
    <cellStyle name="Note 3 2 3 6 2" xfId="6978" xr:uid="{00000000-0005-0000-0000-00008E210000}"/>
    <cellStyle name="Note 3 2 3 6 2 2" xfId="24744" xr:uid="{67642064-8E31-49D9-9997-2D442C9DE1D7}"/>
    <cellStyle name="Note 3 2 3 6 2 3" xfId="16304" xr:uid="{66C52E9A-5594-4F49-A8D9-3F818736665F}"/>
    <cellStyle name="Note 3 2 3 6 3" xfId="20527" xr:uid="{EF48D56C-8CAF-4323-B1FF-A2EDFEC1A349}"/>
    <cellStyle name="Note 3 2 3 6 4" xfId="12087" xr:uid="{66750D37-EBE5-4ACA-9100-BEDD7A3EC25D}"/>
    <cellStyle name="Note 3 2 3 7" xfId="2754" xr:uid="{00000000-0005-0000-0000-00008F210000}"/>
    <cellStyle name="Note 3 2 3 8" xfId="2835" xr:uid="{00000000-0005-0000-0000-000090210000}"/>
    <cellStyle name="Note 3 2 3 8 2" xfId="7058" xr:uid="{00000000-0005-0000-0000-000091210000}"/>
    <cellStyle name="Note 3 2 3 8 2 2" xfId="24824" xr:uid="{B753DA0C-489A-4219-AE42-91B0ACD6DF72}"/>
    <cellStyle name="Note 3 2 3 8 2 3" xfId="16384" xr:uid="{8A7507F8-3F18-406E-AA13-4DF7D0BBE9BA}"/>
    <cellStyle name="Note 3 2 3 8 3" xfId="20607" xr:uid="{B62FD5A7-CAC3-4302-A3F0-8C94F9446D67}"/>
    <cellStyle name="Note 3 2 3 8 4" xfId="12167" xr:uid="{DC3486D2-3C53-4404-A6C8-59057E5BA3F1}"/>
    <cellStyle name="Note 3 2 3 9" xfId="4913" xr:uid="{00000000-0005-0000-0000-000092210000}"/>
    <cellStyle name="Note 3 2 3 9 2" xfId="22679" xr:uid="{AA299AEC-132F-46B5-B7A6-CB1CF7B8FED7}"/>
    <cellStyle name="Note 3 2 3 9 3" xfId="14239" xr:uid="{E72B6E83-4889-44C8-90DF-19D82DF4E7A5}"/>
    <cellStyle name="Note 3 2 4" xfId="1014" xr:uid="{00000000-0005-0000-0000-000093210000}"/>
    <cellStyle name="Note 3 2 4 2" xfId="3246" xr:uid="{00000000-0005-0000-0000-000094210000}"/>
    <cellStyle name="Note 3 2 4 2 2" xfId="7468" xr:uid="{00000000-0005-0000-0000-000095210000}"/>
    <cellStyle name="Note 3 2 4 2 2 2" xfId="25234" xr:uid="{173FB298-D94B-468B-AC3F-1DAA0D7BB0AA}"/>
    <cellStyle name="Note 3 2 4 2 2 3" xfId="16794" xr:uid="{0E79CFA0-B2C4-41CA-B6AE-D3CBC6B8008A}"/>
    <cellStyle name="Note 3 2 4 2 3" xfId="21017" xr:uid="{73CDE19D-C270-48F1-9B00-A36316F81587}"/>
    <cellStyle name="Note 3 2 4 2 4" xfId="12577" xr:uid="{04E002FC-2792-44E2-B8BD-F9113B8C2160}"/>
    <cellStyle name="Note 3 2 4 3" xfId="5323" xr:uid="{00000000-0005-0000-0000-000096210000}"/>
    <cellStyle name="Note 3 2 4 3 2" xfId="23089" xr:uid="{B45C8F9D-F50B-4267-BAB8-EEC4D8899202}"/>
    <cellStyle name="Note 3 2 4 3 3" xfId="14649" xr:uid="{EB6EE7E7-464F-4C54-A7CC-7EBBD24C5093}"/>
    <cellStyle name="Note 3 2 4 4" xfId="9267" xr:uid="{1291CED5-E18E-4F1A-8856-A132B18F5C81}"/>
    <cellStyle name="Note 3 2 4 4 2" xfId="18872" xr:uid="{815FFCCE-3982-4AD4-BE77-35A04C0A5BA2}"/>
    <cellStyle name="Note 3 2 4 5" xfId="10432" xr:uid="{C7EA4BDC-7A66-41BB-882D-E88E9297AEA0}"/>
    <cellStyle name="Note 3 2 5" xfId="1429" xr:uid="{00000000-0005-0000-0000-000097210000}"/>
    <cellStyle name="Note 3 2 5 2" xfId="3659" xr:uid="{00000000-0005-0000-0000-000098210000}"/>
    <cellStyle name="Note 3 2 5 2 2" xfId="7881" xr:uid="{00000000-0005-0000-0000-000099210000}"/>
    <cellStyle name="Note 3 2 5 2 2 2" xfId="25647" xr:uid="{33145007-55AB-4B73-846E-7E3D88A9C5FA}"/>
    <cellStyle name="Note 3 2 5 2 2 3" xfId="17207" xr:uid="{532AFF28-1D27-47DC-B876-7A5AB6BA6894}"/>
    <cellStyle name="Note 3 2 5 2 3" xfId="21430" xr:uid="{23866AE8-13C7-4851-AD3C-55BF1DA6069F}"/>
    <cellStyle name="Note 3 2 5 2 4" xfId="12990" xr:uid="{6C2FA805-F9EC-4F5D-BF17-552D68163771}"/>
    <cellStyle name="Note 3 2 5 3" xfId="5736" xr:uid="{00000000-0005-0000-0000-00009A210000}"/>
    <cellStyle name="Note 3 2 5 3 2" xfId="23502" xr:uid="{C84FCA8E-48C7-4D0A-94AC-1790239F9BC2}"/>
    <cellStyle name="Note 3 2 5 3 3" xfId="15062" xr:uid="{394ED939-46F2-4D3D-821E-505B3E1B58CA}"/>
    <cellStyle name="Note 3 2 5 4" xfId="19285" xr:uid="{2DF1D735-82F0-4AE2-BE69-34B184E44456}"/>
    <cellStyle name="Note 3 2 5 5" xfId="10845" xr:uid="{4AEBC80F-D93F-4D99-A354-D20C9B37E64F}"/>
    <cellStyle name="Note 3 2 6" xfId="1843" xr:uid="{00000000-0005-0000-0000-00009B210000}"/>
    <cellStyle name="Note 3 2 6 2" xfId="4072" xr:uid="{00000000-0005-0000-0000-00009C210000}"/>
    <cellStyle name="Note 3 2 6 2 2" xfId="8294" xr:uid="{00000000-0005-0000-0000-00009D210000}"/>
    <cellStyle name="Note 3 2 6 2 2 2" xfId="26060" xr:uid="{E15AFBA2-C79A-40DE-8EA9-15D13CB8D653}"/>
    <cellStyle name="Note 3 2 6 2 2 3" xfId="17620" xr:uid="{98773857-665A-41DA-BF39-C4BA7DD396AC}"/>
    <cellStyle name="Note 3 2 6 2 3" xfId="21843" xr:uid="{9BA07A9E-054E-4568-8FED-36D8F1FEDB29}"/>
    <cellStyle name="Note 3 2 6 2 4" xfId="13403" xr:uid="{106C2733-3E59-40EC-B437-0A3AAC0592F1}"/>
    <cellStyle name="Note 3 2 6 3" xfId="6149" xr:uid="{00000000-0005-0000-0000-00009E210000}"/>
    <cellStyle name="Note 3 2 6 3 2" xfId="23915" xr:uid="{69DA6FC9-3579-42A9-BD08-518562C8DBF9}"/>
    <cellStyle name="Note 3 2 6 3 3" xfId="15475" xr:uid="{68D9140B-B3D0-46C6-91C5-2E75437F6227}"/>
    <cellStyle name="Note 3 2 6 4" xfId="19698" xr:uid="{DD77BADA-0E55-409C-AEE8-2F4EE1B7699D}"/>
    <cellStyle name="Note 3 2 6 5" xfId="11258" xr:uid="{C4C3211A-94D5-45C4-86AC-A608C3F9BA0F}"/>
    <cellStyle name="Note 3 2 7" xfId="2256" xr:uid="{00000000-0005-0000-0000-00009F210000}"/>
    <cellStyle name="Note 3 2 7 2" xfId="4485" xr:uid="{00000000-0005-0000-0000-0000A0210000}"/>
    <cellStyle name="Note 3 2 7 2 2" xfId="8707" xr:uid="{00000000-0005-0000-0000-0000A1210000}"/>
    <cellStyle name="Note 3 2 7 2 2 2" xfId="26473" xr:uid="{A1907018-AC05-47E3-B3D5-EB64CA9D8D43}"/>
    <cellStyle name="Note 3 2 7 2 2 3" xfId="18033" xr:uid="{625887C7-7AD6-41A4-93B6-92601C8B3F87}"/>
    <cellStyle name="Note 3 2 7 2 3" xfId="22256" xr:uid="{27CC8B8B-150F-46A8-AF0B-103D41A9985A}"/>
    <cellStyle name="Note 3 2 7 2 4" xfId="13816" xr:uid="{EB4421EB-E75C-4F1E-A71E-E5B758710537}"/>
    <cellStyle name="Note 3 2 7 3" xfId="6562" xr:uid="{00000000-0005-0000-0000-0000A2210000}"/>
    <cellStyle name="Note 3 2 7 3 2" xfId="24328" xr:uid="{8A90B8C1-B08C-4D91-ACB0-FD53E22B47FA}"/>
    <cellStyle name="Note 3 2 7 3 3" xfId="15888" xr:uid="{22FC25B8-828F-4BA1-A034-1DAF6580F9A7}"/>
    <cellStyle name="Note 3 2 7 4" xfId="20111" xr:uid="{EDC2B06F-37A6-494E-9D29-A42CD5490D88}"/>
    <cellStyle name="Note 3 2 7 5" xfId="11671" xr:uid="{B53C4182-9164-44EE-A78D-AC95605626C5}"/>
    <cellStyle name="Note 3 2 8" xfId="2692" xr:uid="{00000000-0005-0000-0000-0000A3210000}"/>
    <cellStyle name="Note 3 2 8 2" xfId="6975" xr:uid="{00000000-0005-0000-0000-0000A4210000}"/>
    <cellStyle name="Note 3 2 8 2 2" xfId="24741" xr:uid="{3AA32646-73D1-43E3-B5DF-C6A40A298130}"/>
    <cellStyle name="Note 3 2 8 2 3" xfId="16301" xr:uid="{79C1F10D-CA6E-4AD9-B955-16D75D038004}"/>
    <cellStyle name="Note 3 2 8 3" xfId="20524" xr:uid="{0082382F-7C45-42B4-B53C-0DF729ECDD56}"/>
    <cellStyle name="Note 3 2 8 4" xfId="12084" xr:uid="{8EE39CFB-5592-427F-9372-E2617E8A343A}"/>
    <cellStyle name="Note 3 2 9" xfId="2751" xr:uid="{00000000-0005-0000-0000-0000A5210000}"/>
    <cellStyle name="Note 3 3" xfId="558" xr:uid="{00000000-0005-0000-0000-0000A6210000}"/>
    <cellStyle name="Note 3 3 10" xfId="4914" xr:uid="{00000000-0005-0000-0000-0000A7210000}"/>
    <cellStyle name="Note 3 3 10 2" xfId="22680" xr:uid="{D99775B6-FDFA-4629-AF62-8B6FAB232CA7}"/>
    <cellStyle name="Note 3 3 10 3" xfId="14240" xr:uid="{91151C1F-809A-4488-A723-F5E233440CC7}"/>
    <cellStyle name="Note 3 3 11" xfId="8892" xr:uid="{8511F94A-7472-4DD0-A9AB-40754FEE5F47}"/>
    <cellStyle name="Note 3 3 11 2" xfId="18463" xr:uid="{8ADF2F63-CED1-415F-901A-BE6DEE1FE0A7}"/>
    <cellStyle name="Note 3 3 12" xfId="10023" xr:uid="{CF290B2A-2C75-49F3-92A9-AA59AA131C36}"/>
    <cellStyle name="Note 3 3 2" xfId="559" xr:uid="{00000000-0005-0000-0000-0000A8210000}"/>
    <cellStyle name="Note 3 3 2 10" xfId="9099" xr:uid="{29F3AC20-D296-4B59-BA53-0A5C025B0569}"/>
    <cellStyle name="Note 3 3 2 10 2" xfId="18464" xr:uid="{849A1063-49C2-4C34-905E-678C6415D25D}"/>
    <cellStyle name="Note 3 3 2 11" xfId="10024" xr:uid="{189B6E1C-AC75-46A7-8C25-CB002BE7991D}"/>
    <cellStyle name="Note 3 3 2 2" xfId="1019" xr:uid="{00000000-0005-0000-0000-0000A9210000}"/>
    <cellStyle name="Note 3 3 2 2 2" xfId="3251" xr:uid="{00000000-0005-0000-0000-0000AA210000}"/>
    <cellStyle name="Note 3 3 2 2 2 2" xfId="7473" xr:uid="{00000000-0005-0000-0000-0000AB210000}"/>
    <cellStyle name="Note 3 3 2 2 2 2 2" xfId="25239" xr:uid="{256BCC57-00E8-426E-8DEC-692E9C7A05BC}"/>
    <cellStyle name="Note 3 3 2 2 2 2 3" xfId="16799" xr:uid="{90E06A85-D9CD-4462-9DDC-0637072CE47A}"/>
    <cellStyle name="Note 3 3 2 2 2 3" xfId="21022" xr:uid="{B434DE26-829D-4991-8512-503BEB843439}"/>
    <cellStyle name="Note 3 3 2 2 2 4" xfId="12582" xr:uid="{A01DBB31-B4CD-4BC1-9667-3F284D79B7F3}"/>
    <cellStyle name="Note 3 3 2 2 3" xfId="5328" xr:uid="{00000000-0005-0000-0000-0000AC210000}"/>
    <cellStyle name="Note 3 3 2 2 3 2" xfId="23094" xr:uid="{3AD578D2-F9BB-47BE-A09A-921CC2B810FF}"/>
    <cellStyle name="Note 3 3 2 2 3 3" xfId="14654" xr:uid="{2BA5BC9C-A891-41FB-B5DC-60E966ACB136}"/>
    <cellStyle name="Note 3 3 2 2 4" xfId="9524" xr:uid="{D03F5DE7-D9AB-48C0-A1E3-0A929D2C18C5}"/>
    <cellStyle name="Note 3 3 2 2 4 2" xfId="18877" xr:uid="{6F293F10-4E2E-4EF9-A42C-874D7E242B3C}"/>
    <cellStyle name="Note 3 3 2 2 5" xfId="10437" xr:uid="{140B0570-1F1E-47FB-AD19-3E51DB452992}"/>
    <cellStyle name="Note 3 3 2 3" xfId="1434" xr:uid="{00000000-0005-0000-0000-0000AD210000}"/>
    <cellStyle name="Note 3 3 2 3 2" xfId="3664" xr:uid="{00000000-0005-0000-0000-0000AE210000}"/>
    <cellStyle name="Note 3 3 2 3 2 2" xfId="7886" xr:uid="{00000000-0005-0000-0000-0000AF210000}"/>
    <cellStyle name="Note 3 3 2 3 2 2 2" xfId="25652" xr:uid="{2D2D8B87-6524-41E0-8B16-700FB590968E}"/>
    <cellStyle name="Note 3 3 2 3 2 2 3" xfId="17212" xr:uid="{27907993-51D8-406A-B8C2-6C27B746136E}"/>
    <cellStyle name="Note 3 3 2 3 2 3" xfId="21435" xr:uid="{EB8C0BA1-4D3C-4208-80DC-CA938522BC92}"/>
    <cellStyle name="Note 3 3 2 3 2 4" xfId="12995" xr:uid="{FB78A2CD-9FE4-4830-97AF-96CFED568C8F}"/>
    <cellStyle name="Note 3 3 2 3 3" xfId="5741" xr:uid="{00000000-0005-0000-0000-0000B0210000}"/>
    <cellStyle name="Note 3 3 2 3 3 2" xfId="23507" xr:uid="{605DB597-A982-4AAB-A5E3-DC56E7A89BC3}"/>
    <cellStyle name="Note 3 3 2 3 3 3" xfId="15067" xr:uid="{9F083E4F-EDD9-4D2C-86FA-8534AECC8A1C}"/>
    <cellStyle name="Note 3 3 2 3 4" xfId="19290" xr:uid="{F96AFD0C-22E9-44FA-8289-F3D5C1EED013}"/>
    <cellStyle name="Note 3 3 2 3 5" xfId="10850" xr:uid="{30E8BEEA-76D6-4469-B09C-CF820F9C9B38}"/>
    <cellStyle name="Note 3 3 2 4" xfId="1848" xr:uid="{00000000-0005-0000-0000-0000B1210000}"/>
    <cellStyle name="Note 3 3 2 4 2" xfId="4077" xr:uid="{00000000-0005-0000-0000-0000B2210000}"/>
    <cellStyle name="Note 3 3 2 4 2 2" xfId="8299" xr:uid="{00000000-0005-0000-0000-0000B3210000}"/>
    <cellStyle name="Note 3 3 2 4 2 2 2" xfId="26065" xr:uid="{AAF560C1-CD30-4361-A222-94422E642A03}"/>
    <cellStyle name="Note 3 3 2 4 2 2 3" xfId="17625" xr:uid="{D9BA6EAC-5A69-42EB-B943-C3C827EB1D0E}"/>
    <cellStyle name="Note 3 3 2 4 2 3" xfId="21848" xr:uid="{A4C63BF4-A517-434E-B388-F259C817E617}"/>
    <cellStyle name="Note 3 3 2 4 2 4" xfId="13408" xr:uid="{BDABE018-4B13-4621-9BFB-762D09D82A83}"/>
    <cellStyle name="Note 3 3 2 4 3" xfId="6154" xr:uid="{00000000-0005-0000-0000-0000B4210000}"/>
    <cellStyle name="Note 3 3 2 4 3 2" xfId="23920" xr:uid="{EC09EC48-1404-4498-B780-DE5EF3DF53BB}"/>
    <cellStyle name="Note 3 3 2 4 3 3" xfId="15480" xr:uid="{A5537EB2-6DFE-4D9C-AD5F-668CF2E78A84}"/>
    <cellStyle name="Note 3 3 2 4 4" xfId="19703" xr:uid="{8E2F4670-8229-42D4-84D2-6573A8B961A7}"/>
    <cellStyle name="Note 3 3 2 4 5" xfId="11263" xr:uid="{C7A4E11B-73D9-4FBF-84D9-7E546C790AA1}"/>
    <cellStyle name="Note 3 3 2 5" xfId="2261" xr:uid="{00000000-0005-0000-0000-0000B5210000}"/>
    <cellStyle name="Note 3 3 2 5 2" xfId="4490" xr:uid="{00000000-0005-0000-0000-0000B6210000}"/>
    <cellStyle name="Note 3 3 2 5 2 2" xfId="8712" xr:uid="{00000000-0005-0000-0000-0000B7210000}"/>
    <cellStyle name="Note 3 3 2 5 2 2 2" xfId="26478" xr:uid="{F1BF70FE-1926-4B91-A9D5-EA425A3B6389}"/>
    <cellStyle name="Note 3 3 2 5 2 2 3" xfId="18038" xr:uid="{E74E7075-4126-4ED6-8D4B-A34240E3F461}"/>
    <cellStyle name="Note 3 3 2 5 2 3" xfId="22261" xr:uid="{1FD9F8C7-66A1-4B69-80AA-0A1522F3407F}"/>
    <cellStyle name="Note 3 3 2 5 2 4" xfId="13821" xr:uid="{6B3A468B-120D-4308-A74D-904E808880D4}"/>
    <cellStyle name="Note 3 3 2 5 3" xfId="6567" xr:uid="{00000000-0005-0000-0000-0000B8210000}"/>
    <cellStyle name="Note 3 3 2 5 3 2" xfId="24333" xr:uid="{8E89077C-149C-4A5D-A957-B9922F79D944}"/>
    <cellStyle name="Note 3 3 2 5 3 3" xfId="15893" xr:uid="{4EA6B2F1-7CA1-40F5-A9AC-E259DC3EAF30}"/>
    <cellStyle name="Note 3 3 2 5 4" xfId="20116" xr:uid="{084A07A8-2083-42A6-992F-AADD826C2219}"/>
    <cellStyle name="Note 3 3 2 5 5" xfId="11676" xr:uid="{E318D7DF-AA19-4525-A3D6-434AA8B98651}"/>
    <cellStyle name="Note 3 3 2 6" xfId="2697" xr:uid="{00000000-0005-0000-0000-0000B9210000}"/>
    <cellStyle name="Note 3 3 2 6 2" xfId="6980" xr:uid="{00000000-0005-0000-0000-0000BA210000}"/>
    <cellStyle name="Note 3 3 2 6 2 2" xfId="24746" xr:uid="{0A17AB3D-BBB7-44EC-AB2E-D81EDAD8E708}"/>
    <cellStyle name="Note 3 3 2 6 2 3" xfId="16306" xr:uid="{E97014E7-AE4F-4A94-95C7-7403143A3411}"/>
    <cellStyle name="Note 3 3 2 6 3" xfId="20529" xr:uid="{24C4BEA5-84CE-422C-9E69-CE3DC9CA02BC}"/>
    <cellStyle name="Note 3 3 2 6 4" xfId="12089" xr:uid="{7DEDC1DB-9B35-4415-86A6-9E62B6F8598C}"/>
    <cellStyle name="Note 3 3 2 7" xfId="2756" xr:uid="{00000000-0005-0000-0000-0000BB210000}"/>
    <cellStyle name="Note 3 3 2 8" xfId="2837" xr:uid="{00000000-0005-0000-0000-0000BC210000}"/>
    <cellStyle name="Note 3 3 2 8 2" xfId="7060" xr:uid="{00000000-0005-0000-0000-0000BD210000}"/>
    <cellStyle name="Note 3 3 2 8 2 2" xfId="24826" xr:uid="{BE0B895A-A860-4B0F-AF2C-420E881D6F2B}"/>
    <cellStyle name="Note 3 3 2 8 2 3" xfId="16386" xr:uid="{F560F41A-E3A3-43B2-910E-A51575BAFA27}"/>
    <cellStyle name="Note 3 3 2 8 3" xfId="20609" xr:uid="{3F52BA9C-1AFD-4A34-814F-679D923961BF}"/>
    <cellStyle name="Note 3 3 2 8 4" xfId="12169" xr:uid="{55E9354D-A861-49C0-AA03-3635D317E34F}"/>
    <cellStyle name="Note 3 3 2 9" xfId="4915" xr:uid="{00000000-0005-0000-0000-0000BE210000}"/>
    <cellStyle name="Note 3 3 2 9 2" xfId="22681" xr:uid="{6037CC24-1A3C-4D95-8914-4B64564F0E58}"/>
    <cellStyle name="Note 3 3 2 9 3" xfId="14241" xr:uid="{B97DA9E8-7518-49F7-ACA5-352DD4FA6548}"/>
    <cellStyle name="Note 3 3 3" xfId="1018" xr:uid="{00000000-0005-0000-0000-0000BF210000}"/>
    <cellStyle name="Note 3 3 3 2" xfId="3250" xr:uid="{00000000-0005-0000-0000-0000C0210000}"/>
    <cellStyle name="Note 3 3 3 2 2" xfId="7472" xr:uid="{00000000-0005-0000-0000-0000C1210000}"/>
    <cellStyle name="Note 3 3 3 2 2 2" xfId="25238" xr:uid="{BF258201-0A9B-4815-96D4-428696B06691}"/>
    <cellStyle name="Note 3 3 3 2 2 3" xfId="16798" xr:uid="{6F7C8621-C7C6-4158-815D-A8293342729F}"/>
    <cellStyle name="Note 3 3 3 2 3" xfId="21021" xr:uid="{40F72B35-F401-4B26-8195-C41A22C37846}"/>
    <cellStyle name="Note 3 3 3 2 4" xfId="12581" xr:uid="{F7600973-BDF9-4DE0-884D-F9C49EAB07D1}"/>
    <cellStyle name="Note 3 3 3 3" xfId="5327" xr:uid="{00000000-0005-0000-0000-0000C2210000}"/>
    <cellStyle name="Note 3 3 3 3 2" xfId="23093" xr:uid="{91F18715-43AA-4AA2-8B75-ED0FCD56959F}"/>
    <cellStyle name="Note 3 3 3 3 3" xfId="14653" xr:uid="{99BD837E-C2CC-42A7-A267-BDFA3E2D8459}"/>
    <cellStyle name="Note 3 3 3 4" xfId="9317" xr:uid="{171D8024-554D-4F15-BFD3-81CBE1A601EA}"/>
    <cellStyle name="Note 3 3 3 4 2" xfId="18876" xr:uid="{B6DB1B02-0EFD-4BFF-AA41-4001FD02E373}"/>
    <cellStyle name="Note 3 3 3 5" xfId="10436" xr:uid="{F49EBB84-4819-42DE-BD36-1C04A7FB981C}"/>
    <cellStyle name="Note 3 3 4" xfId="1433" xr:uid="{00000000-0005-0000-0000-0000C3210000}"/>
    <cellStyle name="Note 3 3 4 2" xfId="3663" xr:uid="{00000000-0005-0000-0000-0000C4210000}"/>
    <cellStyle name="Note 3 3 4 2 2" xfId="7885" xr:uid="{00000000-0005-0000-0000-0000C5210000}"/>
    <cellStyle name="Note 3 3 4 2 2 2" xfId="25651" xr:uid="{6E87002A-EF7E-45CD-AFB6-15C93025F9C5}"/>
    <cellStyle name="Note 3 3 4 2 2 3" xfId="17211" xr:uid="{86593888-B880-4B48-8E52-B53618DD9BCE}"/>
    <cellStyle name="Note 3 3 4 2 3" xfId="21434" xr:uid="{35A008BE-4FFC-4DF5-A07B-3C8DF3D531B7}"/>
    <cellStyle name="Note 3 3 4 2 4" xfId="12994" xr:uid="{E5542A27-4703-4475-A2F0-163FB925656F}"/>
    <cellStyle name="Note 3 3 4 3" xfId="5740" xr:uid="{00000000-0005-0000-0000-0000C6210000}"/>
    <cellStyle name="Note 3 3 4 3 2" xfId="23506" xr:uid="{413A6FA5-08FE-461A-8E05-8804EAD7D2EC}"/>
    <cellStyle name="Note 3 3 4 3 3" xfId="15066" xr:uid="{3E02FF8F-D7B2-4C04-8B6B-6E3580E5D7D6}"/>
    <cellStyle name="Note 3 3 4 4" xfId="19289" xr:uid="{A0B5A910-5649-47F4-94C4-AE6F12909796}"/>
    <cellStyle name="Note 3 3 4 5" xfId="10849" xr:uid="{4F1A8DDC-49E4-4293-B639-8E9DC86F193A}"/>
    <cellStyle name="Note 3 3 5" xfId="1847" xr:uid="{00000000-0005-0000-0000-0000C7210000}"/>
    <cellStyle name="Note 3 3 5 2" xfId="4076" xr:uid="{00000000-0005-0000-0000-0000C8210000}"/>
    <cellStyle name="Note 3 3 5 2 2" xfId="8298" xr:uid="{00000000-0005-0000-0000-0000C9210000}"/>
    <cellStyle name="Note 3 3 5 2 2 2" xfId="26064" xr:uid="{E15335DF-816F-49EB-A230-999D25D82261}"/>
    <cellStyle name="Note 3 3 5 2 2 3" xfId="17624" xr:uid="{50A7BC0A-6769-4748-AF56-A70BD1C5F20F}"/>
    <cellStyle name="Note 3 3 5 2 3" xfId="21847" xr:uid="{1A293551-7AB8-4AD7-9965-DFD9C40BDF09}"/>
    <cellStyle name="Note 3 3 5 2 4" xfId="13407" xr:uid="{0BE8E571-75B6-4135-9C8B-CEF00A722BE9}"/>
    <cellStyle name="Note 3 3 5 3" xfId="6153" xr:uid="{00000000-0005-0000-0000-0000CA210000}"/>
    <cellStyle name="Note 3 3 5 3 2" xfId="23919" xr:uid="{C1B16D1F-C499-46E3-A255-12E3601FB819}"/>
    <cellStyle name="Note 3 3 5 3 3" xfId="15479" xr:uid="{548D4E38-A0A7-49D4-BCE3-37660CF5CD3B}"/>
    <cellStyle name="Note 3 3 5 4" xfId="19702" xr:uid="{D616011C-9E4A-43F5-80B4-146153ECD14F}"/>
    <cellStyle name="Note 3 3 5 5" xfId="11262" xr:uid="{497DCE00-0BC7-4992-AED8-CA9849C6193A}"/>
    <cellStyle name="Note 3 3 6" xfId="2260" xr:uid="{00000000-0005-0000-0000-0000CB210000}"/>
    <cellStyle name="Note 3 3 6 2" xfId="4489" xr:uid="{00000000-0005-0000-0000-0000CC210000}"/>
    <cellStyle name="Note 3 3 6 2 2" xfId="8711" xr:uid="{00000000-0005-0000-0000-0000CD210000}"/>
    <cellStyle name="Note 3 3 6 2 2 2" xfId="26477" xr:uid="{63C5329A-91D3-48B9-B797-FB6E67FD4496}"/>
    <cellStyle name="Note 3 3 6 2 2 3" xfId="18037" xr:uid="{42E9FB09-1FB9-4E0F-BF8F-D2E7461B7B5F}"/>
    <cellStyle name="Note 3 3 6 2 3" xfId="22260" xr:uid="{2DA45A55-02DD-489B-A075-50442C176F71}"/>
    <cellStyle name="Note 3 3 6 2 4" xfId="13820" xr:uid="{1D238BE6-844F-4729-889A-09ABE71815B9}"/>
    <cellStyle name="Note 3 3 6 3" xfId="6566" xr:uid="{00000000-0005-0000-0000-0000CE210000}"/>
    <cellStyle name="Note 3 3 6 3 2" xfId="24332" xr:uid="{F935CC90-39AD-4A3D-8999-ABE9015636BC}"/>
    <cellStyle name="Note 3 3 6 3 3" xfId="15892" xr:uid="{2467B35D-3365-4340-B164-020E05000C65}"/>
    <cellStyle name="Note 3 3 6 4" xfId="20115" xr:uid="{E6306509-C12C-4362-AA37-82E4994B75E4}"/>
    <cellStyle name="Note 3 3 6 5" xfId="11675" xr:uid="{AB35ECEB-2157-458B-AEF8-F7CEA4538AD8}"/>
    <cellStyle name="Note 3 3 7" xfId="2696" xr:uid="{00000000-0005-0000-0000-0000CF210000}"/>
    <cellStyle name="Note 3 3 7 2" xfId="6979" xr:uid="{00000000-0005-0000-0000-0000D0210000}"/>
    <cellStyle name="Note 3 3 7 2 2" xfId="24745" xr:uid="{0CF86594-37DE-41F2-8AFA-1813E05FEDC5}"/>
    <cellStyle name="Note 3 3 7 2 3" xfId="16305" xr:uid="{9428B701-C396-4BFA-A500-A0809F8EE428}"/>
    <cellStyle name="Note 3 3 7 3" xfId="20528" xr:uid="{0F402233-B3E6-4A9B-83D0-A9851F4583A8}"/>
    <cellStyle name="Note 3 3 7 4" xfId="12088" xr:uid="{AC50D0B0-F4DC-4015-8AF7-F566B407B52D}"/>
    <cellStyle name="Note 3 3 8" xfId="2755" xr:uid="{00000000-0005-0000-0000-0000D1210000}"/>
    <cellStyle name="Note 3 3 9" xfId="2836" xr:uid="{00000000-0005-0000-0000-0000D2210000}"/>
    <cellStyle name="Note 3 3 9 2" xfId="7059" xr:uid="{00000000-0005-0000-0000-0000D3210000}"/>
    <cellStyle name="Note 3 3 9 2 2" xfId="24825" xr:uid="{C10AC301-27ED-49AF-8A52-B3E0D3C56D3D}"/>
    <cellStyle name="Note 3 3 9 2 3" xfId="16385" xr:uid="{ED6E6969-53C8-4490-A7AB-E6819C2E06EA}"/>
    <cellStyle name="Note 3 3 9 3" xfId="20608" xr:uid="{81FBE27F-95CB-4A5F-8B8D-9B525B07D788}"/>
    <cellStyle name="Note 3 3 9 4" xfId="12168" xr:uid="{3B157089-6CC4-4ED9-83CD-467BB1A2635E}"/>
    <cellStyle name="Note 3 4" xfId="560" xr:uid="{00000000-0005-0000-0000-0000D4210000}"/>
    <cellStyle name="Note 3 4 10" xfId="8996" xr:uid="{0D704BEA-0820-4E61-9EA3-F4C1E73C6543}"/>
    <cellStyle name="Note 3 4 10 2" xfId="18465" xr:uid="{EF60F6F0-5707-4AA5-8D8C-B2E18AF57AB0}"/>
    <cellStyle name="Note 3 4 11" xfId="10025" xr:uid="{B9F194DC-00B3-40F7-9034-1417135B2309}"/>
    <cellStyle name="Note 3 4 2" xfId="1020" xr:uid="{00000000-0005-0000-0000-0000D5210000}"/>
    <cellStyle name="Note 3 4 2 2" xfId="3252" xr:uid="{00000000-0005-0000-0000-0000D6210000}"/>
    <cellStyle name="Note 3 4 2 2 2" xfId="7474" xr:uid="{00000000-0005-0000-0000-0000D7210000}"/>
    <cellStyle name="Note 3 4 2 2 2 2" xfId="25240" xr:uid="{F266B22A-0B82-4E3E-A4DC-89BA81181477}"/>
    <cellStyle name="Note 3 4 2 2 2 3" xfId="16800" xr:uid="{9D612951-B150-4944-A5C9-28DD4167A63A}"/>
    <cellStyle name="Note 3 4 2 2 3" xfId="21023" xr:uid="{CF5E36E2-4DF7-4431-9E52-946CFF222A91}"/>
    <cellStyle name="Note 3 4 2 2 4" xfId="12583" xr:uid="{E5A6A3AE-14F4-4480-8FE1-576DCC718B64}"/>
    <cellStyle name="Note 3 4 2 3" xfId="5329" xr:uid="{00000000-0005-0000-0000-0000D8210000}"/>
    <cellStyle name="Note 3 4 2 3 2" xfId="23095" xr:uid="{C2E27772-12D0-4717-8C5E-C43DC38A47C0}"/>
    <cellStyle name="Note 3 4 2 3 3" xfId="14655" xr:uid="{B2A17615-759B-4E5A-84C6-354B43935374}"/>
    <cellStyle name="Note 3 4 2 4" xfId="9421" xr:uid="{EC0A57E0-416C-4EC5-866A-A09E44531CB5}"/>
    <cellStyle name="Note 3 4 2 4 2" xfId="18878" xr:uid="{A50CFA17-FECE-47DF-9A0E-4050E222C762}"/>
    <cellStyle name="Note 3 4 2 5" xfId="10438" xr:uid="{EC859686-9312-40B0-AA5E-6CA3D5CD1B7A}"/>
    <cellStyle name="Note 3 4 3" xfId="1435" xr:uid="{00000000-0005-0000-0000-0000D9210000}"/>
    <cellStyle name="Note 3 4 3 2" xfId="3665" xr:uid="{00000000-0005-0000-0000-0000DA210000}"/>
    <cellStyle name="Note 3 4 3 2 2" xfId="7887" xr:uid="{00000000-0005-0000-0000-0000DB210000}"/>
    <cellStyle name="Note 3 4 3 2 2 2" xfId="25653" xr:uid="{2D638071-3E40-4FA0-B1A3-6E5E5D2826E4}"/>
    <cellStyle name="Note 3 4 3 2 2 3" xfId="17213" xr:uid="{9EA44D78-BB81-49E2-A098-C080212F4D04}"/>
    <cellStyle name="Note 3 4 3 2 3" xfId="21436" xr:uid="{8602EF80-B7B7-44DF-9A3E-C9FB5401DF2C}"/>
    <cellStyle name="Note 3 4 3 2 4" xfId="12996" xr:uid="{2460740A-6CCD-45E1-B25A-1DE1111E1B0E}"/>
    <cellStyle name="Note 3 4 3 3" xfId="5742" xr:uid="{00000000-0005-0000-0000-0000DC210000}"/>
    <cellStyle name="Note 3 4 3 3 2" xfId="23508" xr:uid="{EE453632-56A5-4D62-B7C9-539F39753D8F}"/>
    <cellStyle name="Note 3 4 3 3 3" xfId="15068" xr:uid="{9EEF2448-EF8A-4B49-8D98-F81C494F76E0}"/>
    <cellStyle name="Note 3 4 3 4" xfId="19291" xr:uid="{ABC0DB80-B3CB-4355-BC2E-871914D50D45}"/>
    <cellStyle name="Note 3 4 3 5" xfId="10851" xr:uid="{D4910A76-968E-4FFD-90A5-93D01852E22D}"/>
    <cellStyle name="Note 3 4 4" xfId="1849" xr:uid="{00000000-0005-0000-0000-0000DD210000}"/>
    <cellStyle name="Note 3 4 4 2" xfId="4078" xr:uid="{00000000-0005-0000-0000-0000DE210000}"/>
    <cellStyle name="Note 3 4 4 2 2" xfId="8300" xr:uid="{00000000-0005-0000-0000-0000DF210000}"/>
    <cellStyle name="Note 3 4 4 2 2 2" xfId="26066" xr:uid="{FC880714-7D26-4822-940A-FAE133AD6AD3}"/>
    <cellStyle name="Note 3 4 4 2 2 3" xfId="17626" xr:uid="{7D703ECA-4B4C-4848-BD43-93DF656BEC34}"/>
    <cellStyle name="Note 3 4 4 2 3" xfId="21849" xr:uid="{A04455E4-0C4C-4704-AD31-C01E2CBF8B36}"/>
    <cellStyle name="Note 3 4 4 2 4" xfId="13409" xr:uid="{5F3B1033-58A4-40EC-B85A-2E19640784BF}"/>
    <cellStyle name="Note 3 4 4 3" xfId="6155" xr:uid="{00000000-0005-0000-0000-0000E0210000}"/>
    <cellStyle name="Note 3 4 4 3 2" xfId="23921" xr:uid="{BC58E1E8-AC43-4EC3-8632-A616E42489C6}"/>
    <cellStyle name="Note 3 4 4 3 3" xfId="15481" xr:uid="{DFB23F19-EDF6-4883-811D-943E804D76E7}"/>
    <cellStyle name="Note 3 4 4 4" xfId="19704" xr:uid="{C7FC82F9-BA78-4012-9312-8DDFDF9D5209}"/>
    <cellStyle name="Note 3 4 4 5" xfId="11264" xr:uid="{873BA1FA-4005-4A5F-A0B5-5B6A434C4C9A}"/>
    <cellStyle name="Note 3 4 5" xfId="2262" xr:uid="{00000000-0005-0000-0000-0000E1210000}"/>
    <cellStyle name="Note 3 4 5 2" xfId="4491" xr:uid="{00000000-0005-0000-0000-0000E2210000}"/>
    <cellStyle name="Note 3 4 5 2 2" xfId="8713" xr:uid="{00000000-0005-0000-0000-0000E3210000}"/>
    <cellStyle name="Note 3 4 5 2 2 2" xfId="26479" xr:uid="{94294057-A3A8-4692-A726-8ABA9110C56B}"/>
    <cellStyle name="Note 3 4 5 2 2 3" xfId="18039" xr:uid="{7A3577A3-45A9-40E4-96FF-4D5D7A3D95DE}"/>
    <cellStyle name="Note 3 4 5 2 3" xfId="22262" xr:uid="{AF38F1F1-C799-429E-8E26-9A1567A85A84}"/>
    <cellStyle name="Note 3 4 5 2 4" xfId="13822" xr:uid="{4627375C-3094-4F23-B686-CD4CF8DAF847}"/>
    <cellStyle name="Note 3 4 5 3" xfId="6568" xr:uid="{00000000-0005-0000-0000-0000E4210000}"/>
    <cellStyle name="Note 3 4 5 3 2" xfId="24334" xr:uid="{A36A8962-35A2-46B3-BA59-7CED5C0EDA24}"/>
    <cellStyle name="Note 3 4 5 3 3" xfId="15894" xr:uid="{CE619216-0498-407E-892A-AAAF0262A6B0}"/>
    <cellStyle name="Note 3 4 5 4" xfId="20117" xr:uid="{E1374FDA-0702-4DC6-A47E-2DA6976652A4}"/>
    <cellStyle name="Note 3 4 5 5" xfId="11677" xr:uid="{8C29AD58-D40D-491A-8241-D03F4F0AB004}"/>
    <cellStyle name="Note 3 4 6" xfId="2698" xr:uid="{00000000-0005-0000-0000-0000E5210000}"/>
    <cellStyle name="Note 3 4 6 2" xfId="6981" xr:uid="{00000000-0005-0000-0000-0000E6210000}"/>
    <cellStyle name="Note 3 4 6 2 2" xfId="24747" xr:uid="{86D9CF84-206E-4CBC-8BAB-F5A7F5442709}"/>
    <cellStyle name="Note 3 4 6 2 3" xfId="16307" xr:uid="{85A88E58-B4C1-4933-907A-6AB3400283B6}"/>
    <cellStyle name="Note 3 4 6 3" xfId="20530" xr:uid="{9159F86A-965F-4CE7-AF67-A7AE646E1E88}"/>
    <cellStyle name="Note 3 4 6 4" xfId="12090" xr:uid="{AA5F7B5C-165E-4F4D-BBA4-1D957498291E}"/>
    <cellStyle name="Note 3 4 7" xfId="2757" xr:uid="{00000000-0005-0000-0000-0000E7210000}"/>
    <cellStyle name="Note 3 4 8" xfId="2838" xr:uid="{00000000-0005-0000-0000-0000E8210000}"/>
    <cellStyle name="Note 3 4 8 2" xfId="7061" xr:uid="{00000000-0005-0000-0000-0000E9210000}"/>
    <cellStyle name="Note 3 4 8 2 2" xfId="24827" xr:uid="{76BB8BFB-60DB-49F2-B08F-63F131654ABE}"/>
    <cellStyle name="Note 3 4 8 2 3" xfId="16387" xr:uid="{6FEB221E-E6D6-4B37-A92F-8BFEDDE605A7}"/>
    <cellStyle name="Note 3 4 8 3" xfId="20610" xr:uid="{B99FA8CB-3A3F-41EF-8640-4F101CC11461}"/>
    <cellStyle name="Note 3 4 8 4" xfId="12170" xr:uid="{6F44BADD-D356-4108-96BC-ACC0C13C029F}"/>
    <cellStyle name="Note 3 4 9" xfId="4916" xr:uid="{00000000-0005-0000-0000-0000EA210000}"/>
    <cellStyle name="Note 3 4 9 2" xfId="22682" xr:uid="{940BDC40-B9ED-401B-AB2F-D062DDAAB912}"/>
    <cellStyle name="Note 3 4 9 3" xfId="14242" xr:uid="{1FA41923-6E73-4142-BDDF-826915ED188C}"/>
    <cellStyle name="Note 3 5" xfId="561" xr:uid="{00000000-0005-0000-0000-0000EB210000}"/>
    <cellStyle name="Note 3 5 10" xfId="9213" xr:uid="{D9D7FB9A-B03C-4A97-A778-36731B43DF3F}"/>
    <cellStyle name="Note 3 5 10 2" xfId="18466" xr:uid="{F575E9A5-C0C3-4FFC-8079-4CBA08F31CB6}"/>
    <cellStyle name="Note 3 5 11" xfId="10026" xr:uid="{84ACB0BC-D3A6-46F4-AFB0-A7960FE171B7}"/>
    <cellStyle name="Note 3 5 2" xfId="1021" xr:uid="{00000000-0005-0000-0000-0000EC210000}"/>
    <cellStyle name="Note 3 5 2 2" xfId="3253" xr:uid="{00000000-0005-0000-0000-0000ED210000}"/>
    <cellStyle name="Note 3 5 2 2 2" xfId="7475" xr:uid="{00000000-0005-0000-0000-0000EE210000}"/>
    <cellStyle name="Note 3 5 2 2 2 2" xfId="25241" xr:uid="{F954FB3B-A392-4E7B-BDBE-74C1058CDA5A}"/>
    <cellStyle name="Note 3 5 2 2 2 3" xfId="16801" xr:uid="{E64E1606-2E4C-47AE-8B8A-B8A3C06718D0}"/>
    <cellStyle name="Note 3 5 2 2 3" xfId="21024" xr:uid="{45466856-FA36-46AE-AF74-79835E1C6774}"/>
    <cellStyle name="Note 3 5 2 2 4" xfId="12584" xr:uid="{DF5737BE-F13C-4E34-A74D-FB32631612C2}"/>
    <cellStyle name="Note 3 5 2 3" xfId="5330" xr:uid="{00000000-0005-0000-0000-0000EF210000}"/>
    <cellStyle name="Note 3 5 2 3 2" xfId="23096" xr:uid="{064A7C98-488E-4FCC-A7FD-651A98311B60}"/>
    <cellStyle name="Note 3 5 2 3 3" xfId="14656" xr:uid="{0BA22BB7-C67C-4994-A293-9B326F6514AD}"/>
    <cellStyle name="Note 3 5 2 4" xfId="9611" xr:uid="{74765414-66B3-4FDA-BA21-3BFFEF98E338}"/>
    <cellStyle name="Note 3 5 2 4 2" xfId="18879" xr:uid="{DB49D38B-5981-4207-BA97-4D2AF6393131}"/>
    <cellStyle name="Note 3 5 2 5" xfId="10439" xr:uid="{854DD12E-1B8C-4484-81F4-9CA84E587D0D}"/>
    <cellStyle name="Note 3 5 3" xfId="1436" xr:uid="{00000000-0005-0000-0000-0000F0210000}"/>
    <cellStyle name="Note 3 5 3 2" xfId="3666" xr:uid="{00000000-0005-0000-0000-0000F1210000}"/>
    <cellStyle name="Note 3 5 3 2 2" xfId="7888" xr:uid="{00000000-0005-0000-0000-0000F2210000}"/>
    <cellStyle name="Note 3 5 3 2 2 2" xfId="25654" xr:uid="{E2F0B49D-049F-4DAC-9108-EA44A202B153}"/>
    <cellStyle name="Note 3 5 3 2 2 3" xfId="17214" xr:uid="{FB916FA4-67FC-4F20-919A-89258F05E144}"/>
    <cellStyle name="Note 3 5 3 2 3" xfId="21437" xr:uid="{BA11D954-D85D-4730-80AD-757B19EB23CF}"/>
    <cellStyle name="Note 3 5 3 2 4" xfId="12997" xr:uid="{012759AE-11EB-443E-BE0B-EBE9390BBC0E}"/>
    <cellStyle name="Note 3 5 3 3" xfId="5743" xr:uid="{00000000-0005-0000-0000-0000F3210000}"/>
    <cellStyle name="Note 3 5 3 3 2" xfId="23509" xr:uid="{6D664CDB-7D36-44A3-8D96-F1FB494B8414}"/>
    <cellStyle name="Note 3 5 3 3 3" xfId="15069" xr:uid="{07BC00DB-DAB9-496B-BDE2-0908EDEDDDBA}"/>
    <cellStyle name="Note 3 5 3 4" xfId="19292" xr:uid="{5EE200BA-EE18-4A37-A635-013E29C3E8A4}"/>
    <cellStyle name="Note 3 5 3 5" xfId="10852" xr:uid="{01929E0F-8E1D-44D2-B78F-D7CD7759500A}"/>
    <cellStyle name="Note 3 5 4" xfId="1850" xr:uid="{00000000-0005-0000-0000-0000F4210000}"/>
    <cellStyle name="Note 3 5 4 2" xfId="4079" xr:uid="{00000000-0005-0000-0000-0000F5210000}"/>
    <cellStyle name="Note 3 5 4 2 2" xfId="8301" xr:uid="{00000000-0005-0000-0000-0000F6210000}"/>
    <cellStyle name="Note 3 5 4 2 2 2" xfId="26067" xr:uid="{A7B1F29A-06F9-48D6-96B4-8A7DD9276ECD}"/>
    <cellStyle name="Note 3 5 4 2 2 3" xfId="17627" xr:uid="{E535E99B-800C-4524-B1C7-0AA7819BC2E5}"/>
    <cellStyle name="Note 3 5 4 2 3" xfId="21850" xr:uid="{A3AB4D6C-AE9A-4BC7-BF2A-270FCBE7FE14}"/>
    <cellStyle name="Note 3 5 4 2 4" xfId="13410" xr:uid="{1831FD54-D8DB-4086-971F-FEE8AC2B0BF4}"/>
    <cellStyle name="Note 3 5 4 3" xfId="6156" xr:uid="{00000000-0005-0000-0000-0000F7210000}"/>
    <cellStyle name="Note 3 5 4 3 2" xfId="23922" xr:uid="{FE26C90E-9148-4707-A1DC-01D536991CAE}"/>
    <cellStyle name="Note 3 5 4 3 3" xfId="15482" xr:uid="{9DF67D98-FA47-40D9-B82A-9B655D992D38}"/>
    <cellStyle name="Note 3 5 4 4" xfId="19705" xr:uid="{6D0F155B-99A2-4A06-84E0-73379BB9BBBE}"/>
    <cellStyle name="Note 3 5 4 5" xfId="11265" xr:uid="{05100696-E38A-460F-9D5D-895685C06350}"/>
    <cellStyle name="Note 3 5 5" xfId="2263" xr:uid="{00000000-0005-0000-0000-0000F8210000}"/>
    <cellStyle name="Note 3 5 5 2" xfId="4492" xr:uid="{00000000-0005-0000-0000-0000F9210000}"/>
    <cellStyle name="Note 3 5 5 2 2" xfId="8714" xr:uid="{00000000-0005-0000-0000-0000FA210000}"/>
    <cellStyle name="Note 3 5 5 2 2 2" xfId="26480" xr:uid="{C6AF4014-7B38-44F9-8181-10FC0B4398C8}"/>
    <cellStyle name="Note 3 5 5 2 2 3" xfId="18040" xr:uid="{0CB6EC3A-620D-4A70-B659-39C4C2AB06C4}"/>
    <cellStyle name="Note 3 5 5 2 3" xfId="22263" xr:uid="{950F8FF9-442C-43F6-98AE-FC5509FDC74C}"/>
    <cellStyle name="Note 3 5 5 2 4" xfId="13823" xr:uid="{9C8E8B2D-7F95-4234-AE9D-20F8AFD696A8}"/>
    <cellStyle name="Note 3 5 5 3" xfId="6569" xr:uid="{00000000-0005-0000-0000-0000FB210000}"/>
    <cellStyle name="Note 3 5 5 3 2" xfId="24335" xr:uid="{DE349833-203B-49B0-944A-9AA19235F38F}"/>
    <cellStyle name="Note 3 5 5 3 3" xfId="15895" xr:uid="{55F277FB-0F15-47A7-A3DB-45309256A4AE}"/>
    <cellStyle name="Note 3 5 5 4" xfId="20118" xr:uid="{C18828E8-CB5C-4687-BE55-7B40160B0C32}"/>
    <cellStyle name="Note 3 5 5 5" xfId="11678" xr:uid="{B9A35356-7CC8-4CE3-87BD-4B0AE22058D6}"/>
    <cellStyle name="Note 3 5 6" xfId="2699" xr:uid="{00000000-0005-0000-0000-0000FC210000}"/>
    <cellStyle name="Note 3 5 6 2" xfId="6982" xr:uid="{00000000-0005-0000-0000-0000FD210000}"/>
    <cellStyle name="Note 3 5 6 2 2" xfId="24748" xr:uid="{60642C79-0EA2-4964-A741-C6C7CB48AF01}"/>
    <cellStyle name="Note 3 5 6 2 3" xfId="16308" xr:uid="{CEC5871A-CCAC-41D8-B791-6E3C3DEEF6DC}"/>
    <cellStyle name="Note 3 5 6 3" xfId="20531" xr:uid="{53A60B1B-14FB-4FEB-B690-9DF815DD78B2}"/>
    <cellStyle name="Note 3 5 6 4" xfId="12091" xr:uid="{608A2FF7-EB03-40A6-A3ED-4F168224D840}"/>
    <cellStyle name="Note 3 5 7" xfId="2758" xr:uid="{00000000-0005-0000-0000-0000FE210000}"/>
    <cellStyle name="Note 3 5 8" xfId="2839" xr:uid="{00000000-0005-0000-0000-0000FF210000}"/>
    <cellStyle name="Note 3 5 8 2" xfId="7062" xr:uid="{00000000-0005-0000-0000-000000220000}"/>
    <cellStyle name="Note 3 5 8 2 2" xfId="24828" xr:uid="{6AFD4A32-4F10-441E-BC51-945B61449BA6}"/>
    <cellStyle name="Note 3 5 8 2 3" xfId="16388" xr:uid="{C7BCE3FA-7D19-4182-9430-403CFAC76C93}"/>
    <cellStyle name="Note 3 5 8 3" xfId="20611" xr:uid="{8596076C-E4E0-43CE-BE5B-E24F1E1F41DB}"/>
    <cellStyle name="Note 3 5 8 4" xfId="12171" xr:uid="{36AE7A25-B44B-4018-8451-DBAAAE243970}"/>
    <cellStyle name="Note 3 5 9" xfId="4917" xr:uid="{00000000-0005-0000-0000-000001220000}"/>
    <cellStyle name="Note 3 5 9 2" xfId="22683" xr:uid="{07095009-D322-4D3E-80DA-8C72CD81C5BF}"/>
    <cellStyle name="Note 3 5 9 3" xfId="14243" xr:uid="{A1843A7A-21D6-413A-B5BB-3A835BBCF32D}"/>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22266" xr:uid="{0DF717F0-9EDF-4091-ABD7-2ED9BC0176BF}"/>
    <cellStyle name="Percent 3 3" xfId="13826" xr:uid="{3B4EECF8-3175-4C25-B850-E6123A09CB41}"/>
    <cellStyle name="Percent 4" xfId="4502" xr:uid="{00000000-0005-0000-0000-000007220000}"/>
    <cellStyle name="Percent 4 2" xfId="8717" xr:uid="{00000000-0005-0000-0000-000008220000}"/>
    <cellStyle name="Percent 4 2 2" xfId="26483" xr:uid="{C10222CB-4734-474D-8943-39B92CCDBB68}"/>
    <cellStyle name="Percent 4 2 3" xfId="18043" xr:uid="{99B3BD6F-B5FD-4B83-8570-5441B3D55592}"/>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3" xfId="26492" xr:uid="{53C8B04B-9D3A-4632-BB51-4C8FBF1D3F3D}"/>
    <cellStyle name="Percent 4 3 2 2 3" xfId="18052" xr:uid="{70FBAD24-FF2A-4369-96D7-169BE07205EF}"/>
    <cellStyle name="Percent 4 3 2 3" xfId="26489" xr:uid="{F3D881CB-0502-4131-80B5-16F17C5E5A12}"/>
    <cellStyle name="Percent 4 3 2 4" xfId="18049" xr:uid="{C43FD9FE-E6C1-43F1-B599-F9EBC9F281AB}"/>
    <cellStyle name="Percent 4 3 3" xfId="26486" xr:uid="{53D85C47-61E5-47D0-A1E3-944E8E7C48E3}"/>
    <cellStyle name="Percent 4 3 4" xfId="18046" xr:uid="{6A3DAD44-13E0-442B-BD5F-88E990095425}"/>
    <cellStyle name="Percent 4 4" xfId="22269" xr:uid="{21050516-D246-4145-A966-90013E66D490}"/>
    <cellStyle name="Percent 4 5" xfId="13829" xr:uid="{153FDC08-14AD-4E36-9FD6-4387BC9EC92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J18" sqref="J18:AK18"/>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326" t="s">
        <v>550</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6"/>
    </row>
    <row r="2" spans="1:38" ht="13" thickBot="1">
      <c r="A2" s="1327"/>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c r="AH2" s="1327"/>
      <c r="AI2" s="1327"/>
      <c r="AJ2" s="1327"/>
      <c r="AK2" s="1327"/>
      <c r="AL2" s="1327"/>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6" t="s">
        <v>1992</v>
      </c>
      <c r="E7" s="1276"/>
      <c r="F7" s="1276"/>
      <c r="G7" s="1276"/>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455"/>
    </row>
    <row r="8" spans="1:38" ht="13">
      <c r="A8" s="204"/>
      <c r="B8" s="204"/>
      <c r="C8" s="205"/>
      <c r="D8" s="1276"/>
      <c r="E8" s="1276"/>
      <c r="F8" s="1276"/>
      <c r="G8" s="1276"/>
      <c r="H8" s="1276"/>
      <c r="I8" s="1276"/>
      <c r="J8" s="1276"/>
      <c r="K8" s="1276"/>
      <c r="L8" s="1276"/>
      <c r="M8" s="1276"/>
      <c r="N8" s="1276"/>
      <c r="O8" s="1276"/>
      <c r="P8" s="1276"/>
      <c r="Q8" s="1276"/>
      <c r="R8" s="1276"/>
      <c r="S8" s="1276"/>
      <c r="T8" s="1276"/>
      <c r="U8" s="1276"/>
      <c r="V8" s="1276"/>
      <c r="W8" s="1276"/>
      <c r="X8" s="1276"/>
      <c r="Y8" s="1276"/>
      <c r="Z8" s="1276"/>
      <c r="AA8" s="1276"/>
      <c r="AB8" s="1276"/>
      <c r="AC8" s="1276"/>
      <c r="AD8" s="1276"/>
      <c r="AE8" s="1276"/>
      <c r="AF8" s="1276"/>
      <c r="AG8" s="1276"/>
      <c r="AH8" s="1276"/>
      <c r="AI8" s="1276"/>
      <c r="AJ8" s="1276"/>
      <c r="AK8" s="1276"/>
      <c r="AL8" s="455"/>
    </row>
    <row r="9" spans="1:38" ht="13">
      <c r="A9" s="204"/>
      <c r="B9" s="204"/>
      <c r="C9" s="205"/>
      <c r="D9" s="1276"/>
      <c r="E9" s="1276"/>
      <c r="F9" s="1276"/>
      <c r="G9" s="1276"/>
      <c r="H9" s="1276"/>
      <c r="I9" s="1276"/>
      <c r="J9" s="1276"/>
      <c r="K9" s="1276"/>
      <c r="L9" s="1276"/>
      <c r="M9" s="1276"/>
      <c r="N9" s="1276"/>
      <c r="O9" s="1276"/>
      <c r="P9" s="1276"/>
      <c r="Q9" s="1276"/>
      <c r="R9" s="1276"/>
      <c r="S9" s="1276"/>
      <c r="T9" s="1276"/>
      <c r="U9" s="1276"/>
      <c r="V9" s="1276"/>
      <c r="W9" s="1276"/>
      <c r="X9" s="1276"/>
      <c r="Y9" s="1276"/>
      <c r="Z9" s="1276"/>
      <c r="AA9" s="1276"/>
      <c r="AB9" s="1276"/>
      <c r="AC9" s="1276"/>
      <c r="AD9" s="1276"/>
      <c r="AE9" s="1276"/>
      <c r="AF9" s="1276"/>
      <c r="AG9" s="1276"/>
      <c r="AH9" s="1276"/>
      <c r="AI9" s="1276"/>
      <c r="AJ9" s="1276"/>
      <c r="AK9" s="1276"/>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76" t="s">
        <v>1993</v>
      </c>
      <c r="E11" s="1276"/>
      <c r="F11" s="1276"/>
      <c r="G11" s="1276"/>
      <c r="H11" s="1276"/>
      <c r="I11" s="1276"/>
      <c r="J11" s="1276"/>
      <c r="K11" s="1276"/>
      <c r="L11" s="1276"/>
      <c r="M11" s="1276"/>
      <c r="N11" s="1276"/>
      <c r="O11" s="1276"/>
      <c r="P11" s="1276"/>
      <c r="Q11" s="1276"/>
      <c r="R11" s="1276"/>
      <c r="S11" s="1276"/>
      <c r="T11" s="1276"/>
      <c r="U11" s="1276"/>
      <c r="V11" s="1276"/>
      <c r="W11" s="1276"/>
      <c r="X11" s="1276"/>
      <c r="Y11" s="1276"/>
      <c r="Z11" s="1276"/>
      <c r="AA11" s="1276"/>
      <c r="AB11" s="1276"/>
      <c r="AC11" s="1276"/>
      <c r="AD11" s="1276"/>
      <c r="AE11" s="1276"/>
      <c r="AF11" s="1276"/>
      <c r="AG11" s="1276"/>
      <c r="AH11" s="1276"/>
      <c r="AI11" s="1276"/>
      <c r="AJ11" s="1276"/>
      <c r="AK11" s="1276"/>
      <c r="AL11" s="455"/>
    </row>
    <row r="12" spans="1:38" ht="13">
      <c r="A12" s="204"/>
      <c r="B12" s="204"/>
      <c r="C12" s="205"/>
      <c r="D12" s="1276"/>
      <c r="E12" s="1276"/>
      <c r="F12" s="1276"/>
      <c r="G12" s="1276"/>
      <c r="H12" s="1276"/>
      <c r="I12" s="1276"/>
      <c r="J12" s="1276"/>
      <c r="K12" s="1276"/>
      <c r="L12" s="1276"/>
      <c r="M12" s="1276"/>
      <c r="N12" s="1276"/>
      <c r="O12" s="1276"/>
      <c r="P12" s="1276"/>
      <c r="Q12" s="1276"/>
      <c r="R12" s="1276"/>
      <c r="S12" s="1276"/>
      <c r="T12" s="1276"/>
      <c r="U12" s="1276"/>
      <c r="V12" s="1276"/>
      <c r="W12" s="1276"/>
      <c r="X12" s="1276"/>
      <c r="Y12" s="1276"/>
      <c r="Z12" s="1276"/>
      <c r="AA12" s="1276"/>
      <c r="AB12" s="1276"/>
      <c r="AC12" s="1276"/>
      <c r="AD12" s="1276"/>
      <c r="AE12" s="1276"/>
      <c r="AF12" s="1276"/>
      <c r="AG12" s="1276"/>
      <c r="AH12" s="1276"/>
      <c r="AI12" s="1276"/>
      <c r="AJ12" s="1276"/>
      <c r="AK12" s="1276"/>
      <c r="AL12" s="455"/>
    </row>
    <row r="13" spans="1:38" ht="13">
      <c r="A13" s="204"/>
      <c r="B13" s="204"/>
      <c r="C13" s="205"/>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6" t="s">
        <v>2527</v>
      </c>
      <c r="E15" s="1276"/>
      <c r="F15" s="1276"/>
      <c r="G15" s="1276"/>
      <c r="H15" s="1276"/>
      <c r="I15" s="1276"/>
      <c r="J15" s="1276"/>
      <c r="K15" s="1276"/>
      <c r="L15" s="1276"/>
      <c r="M15" s="1276"/>
      <c r="N15" s="1276"/>
      <c r="O15" s="1276"/>
      <c r="P15" s="1276"/>
      <c r="Q15" s="1276"/>
      <c r="R15" s="1276"/>
      <c r="S15" s="1276"/>
      <c r="T15" s="1276"/>
      <c r="U15" s="1276"/>
      <c r="V15" s="1276"/>
      <c r="W15" s="1276"/>
      <c r="X15" s="1276"/>
      <c r="Y15" s="1276"/>
      <c r="Z15" s="1276"/>
      <c r="AA15" s="1276"/>
      <c r="AB15" s="1276"/>
      <c r="AC15" s="1276"/>
      <c r="AD15" s="1276"/>
      <c r="AE15" s="1276"/>
      <c r="AF15" s="1276"/>
      <c r="AG15" s="1276"/>
      <c r="AH15" s="1276"/>
      <c r="AI15" s="1276"/>
      <c r="AJ15" s="1276"/>
      <c r="AK15" s="1276"/>
      <c r="AL15" s="455"/>
    </row>
    <row r="16" spans="1:38" ht="13.15" customHeight="1">
      <c r="A16" s="204"/>
      <c r="B16" s="204"/>
      <c r="C16" s="205"/>
      <c r="D16" s="1276"/>
      <c r="E16" s="1276"/>
      <c r="F16" s="1276"/>
      <c r="G16" s="1276"/>
      <c r="H16" s="1276"/>
      <c r="I16" s="1276"/>
      <c r="J16" s="1276"/>
      <c r="K16" s="1276"/>
      <c r="L16" s="1276"/>
      <c r="M16" s="1276"/>
      <c r="N16" s="1276"/>
      <c r="O16" s="1276"/>
      <c r="P16" s="1276"/>
      <c r="Q16" s="1276"/>
      <c r="R16" s="1276"/>
      <c r="S16" s="1276"/>
      <c r="T16" s="1276"/>
      <c r="U16" s="1276"/>
      <c r="V16" s="1276"/>
      <c r="W16" s="1276"/>
      <c r="X16" s="1276"/>
      <c r="Y16" s="1276"/>
      <c r="Z16" s="1276"/>
      <c r="AA16" s="1276"/>
      <c r="AB16" s="1276"/>
      <c r="AC16" s="1276"/>
      <c r="AD16" s="1276"/>
      <c r="AE16" s="1276"/>
      <c r="AF16" s="1276"/>
      <c r="AG16" s="1276"/>
      <c r="AH16" s="1276"/>
      <c r="AI16" s="1276"/>
      <c r="AJ16" s="1276"/>
      <c r="AK16" s="1276"/>
      <c r="AL16" s="455"/>
    </row>
    <row r="17" spans="1:38" ht="13">
      <c r="A17" s="204"/>
      <c r="B17" s="204"/>
      <c r="C17" s="205"/>
      <c r="D17" s="1276"/>
      <c r="E17" s="1276"/>
      <c r="F17" s="1276"/>
      <c r="G17" s="1276"/>
      <c r="H17" s="1276"/>
      <c r="I17" s="1276"/>
      <c r="J17" s="1276"/>
      <c r="K17" s="1276"/>
      <c r="L17" s="1276"/>
      <c r="M17" s="1276"/>
      <c r="N17" s="1276"/>
      <c r="O17" s="1276"/>
      <c r="P17" s="1276"/>
      <c r="Q17" s="1276"/>
      <c r="R17" s="1276"/>
      <c r="S17" s="1276"/>
      <c r="T17" s="1276"/>
      <c r="U17" s="1276"/>
      <c r="V17" s="1276"/>
      <c r="W17" s="1276"/>
      <c r="X17" s="1276"/>
      <c r="Y17" s="1276"/>
      <c r="Z17" s="1276"/>
      <c r="AA17" s="1276"/>
      <c r="AB17" s="1276"/>
      <c r="AC17" s="1276"/>
      <c r="AD17" s="1276"/>
      <c r="AE17" s="1276"/>
      <c r="AF17" s="1276"/>
      <c r="AG17" s="1276"/>
      <c r="AH17" s="1276"/>
      <c r="AI17" s="1276"/>
      <c r="AJ17" s="1276"/>
      <c r="AK17" s="1276"/>
      <c r="AL17" s="455"/>
    </row>
    <row r="18" spans="1:38" ht="13">
      <c r="A18" s="204"/>
      <c r="B18" s="204"/>
      <c r="C18" s="205"/>
      <c r="D18" s="519" t="s">
        <v>2526</v>
      </c>
      <c r="E18" s="441"/>
      <c r="G18" s="441"/>
      <c r="H18" s="441"/>
      <c r="I18" s="441"/>
      <c r="J18" s="1329" t="s">
        <v>2525</v>
      </c>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29"/>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6" t="s">
        <v>1994</v>
      </c>
      <c r="E20" s="1276"/>
      <c r="F20" s="1276"/>
      <c r="G20" s="1276"/>
      <c r="H20" s="1276"/>
      <c r="I20" s="1276"/>
      <c r="J20" s="1276"/>
      <c r="K20" s="1276"/>
      <c r="L20" s="1276"/>
      <c r="M20" s="1276"/>
      <c r="N20" s="1276"/>
      <c r="O20" s="1276"/>
      <c r="P20" s="1276"/>
      <c r="Q20" s="1276"/>
      <c r="R20" s="1276"/>
      <c r="S20" s="1276"/>
      <c r="T20" s="1276"/>
      <c r="U20" s="1276"/>
      <c r="V20" s="1276"/>
      <c r="W20" s="1276"/>
      <c r="X20" s="1276"/>
      <c r="Y20" s="1276"/>
      <c r="Z20" s="1276"/>
      <c r="AA20" s="1276"/>
      <c r="AB20" s="1276"/>
      <c r="AC20" s="1276"/>
      <c r="AD20" s="1276"/>
      <c r="AE20" s="1276"/>
      <c r="AF20" s="1276"/>
      <c r="AG20" s="1276"/>
      <c r="AH20" s="1276"/>
      <c r="AI20" s="1276"/>
      <c r="AJ20" s="1276"/>
      <c r="AK20" s="1276"/>
      <c r="AL20" s="204"/>
    </row>
    <row r="21" spans="1:38" ht="13">
      <c r="A21" s="204"/>
      <c r="B21" s="204"/>
      <c r="C21" s="205"/>
      <c r="D21" s="1276"/>
      <c r="E21" s="1276"/>
      <c r="F21" s="1276"/>
      <c r="G21" s="1276"/>
      <c r="H21" s="1276"/>
      <c r="I21" s="1276"/>
      <c r="J21" s="1276"/>
      <c r="K21" s="1276"/>
      <c r="L21" s="1276"/>
      <c r="M21" s="1276"/>
      <c r="N21" s="1276"/>
      <c r="O21" s="1276"/>
      <c r="P21" s="1276"/>
      <c r="Q21" s="1276"/>
      <c r="R21" s="1276"/>
      <c r="S21" s="1276"/>
      <c r="T21" s="1276"/>
      <c r="U21" s="1276"/>
      <c r="V21" s="1276"/>
      <c r="W21" s="1276"/>
      <c r="X21" s="1276"/>
      <c r="Y21" s="1276"/>
      <c r="Z21" s="1276"/>
      <c r="AA21" s="1276"/>
      <c r="AB21" s="1276"/>
      <c r="AC21" s="1276"/>
      <c r="AD21" s="1276"/>
      <c r="AE21" s="1276"/>
      <c r="AF21" s="1276"/>
      <c r="AG21" s="1276"/>
      <c r="AH21" s="1276"/>
      <c r="AI21" s="1276"/>
      <c r="AJ21" s="1276"/>
      <c r="AK21" s="1276"/>
      <c r="AL21" s="204"/>
    </row>
    <row r="22" spans="1:38" ht="13">
      <c r="A22" s="204"/>
      <c r="B22" s="204"/>
      <c r="C22" s="205"/>
      <c r="D22" s="1276"/>
      <c r="E22" s="1276"/>
      <c r="F22" s="1276"/>
      <c r="G22" s="1276"/>
      <c r="H22" s="1276"/>
      <c r="I22" s="1276"/>
      <c r="J22" s="1276"/>
      <c r="K22" s="1276"/>
      <c r="L22" s="1276"/>
      <c r="M22" s="1276"/>
      <c r="N22" s="1276"/>
      <c r="O22" s="1276"/>
      <c r="P22" s="1276"/>
      <c r="Q22" s="1276"/>
      <c r="R22" s="1276"/>
      <c r="S22" s="1276"/>
      <c r="T22" s="1276"/>
      <c r="U22" s="1276"/>
      <c r="V22" s="1276"/>
      <c r="W22" s="1276"/>
      <c r="X22" s="1276"/>
      <c r="Y22" s="1276"/>
      <c r="Z22" s="1276"/>
      <c r="AA22" s="1276"/>
      <c r="AB22" s="1276"/>
      <c r="AC22" s="1276"/>
      <c r="AD22" s="1276"/>
      <c r="AE22" s="1276"/>
      <c r="AF22" s="1276"/>
      <c r="AG22" s="1276"/>
      <c r="AH22" s="1276"/>
      <c r="AI22" s="1276"/>
      <c r="AJ22" s="1276"/>
      <c r="AK22" s="1276"/>
      <c r="AL22" s="204"/>
    </row>
    <row r="23" spans="1:38" ht="13.15" customHeight="1">
      <c r="A23" s="204"/>
      <c r="B23" s="204"/>
      <c r="C23" s="205"/>
      <c r="D23" s="1276"/>
      <c r="E23" s="1276"/>
      <c r="F23" s="1276"/>
      <c r="G23" s="1276"/>
      <c r="H23" s="1276"/>
      <c r="I23" s="1276"/>
      <c r="J23" s="1276"/>
      <c r="K23" s="1276"/>
      <c r="L23" s="1276"/>
      <c r="M23" s="1276"/>
      <c r="N23" s="1276"/>
      <c r="O23" s="1276"/>
      <c r="P23" s="1276"/>
      <c r="Q23" s="1276"/>
      <c r="R23" s="1276"/>
      <c r="S23" s="1276"/>
      <c r="T23" s="1276"/>
      <c r="U23" s="1276"/>
      <c r="V23" s="1276"/>
      <c r="W23" s="1276"/>
      <c r="X23" s="1276"/>
      <c r="Y23" s="1276"/>
      <c r="Z23" s="1276"/>
      <c r="AA23" s="1276"/>
      <c r="AB23" s="1276"/>
      <c r="AC23" s="1276"/>
      <c r="AD23" s="1276"/>
      <c r="AE23" s="1276"/>
      <c r="AF23" s="1276"/>
      <c r="AG23" s="1276"/>
      <c r="AH23" s="1276"/>
      <c r="AI23" s="1276"/>
      <c r="AJ23" s="1276"/>
      <c r="AK23" s="1276"/>
      <c r="AL23" s="204"/>
    </row>
    <row r="24" spans="1:38" ht="13">
      <c r="A24" s="204"/>
      <c r="B24" s="204"/>
      <c r="C24" s="205"/>
      <c r="D24" s="1276"/>
      <c r="E24" s="1276"/>
      <c r="F24" s="1276"/>
      <c r="G24" s="1276"/>
      <c r="H24" s="1276"/>
      <c r="I24" s="1276"/>
      <c r="J24" s="1276"/>
      <c r="K24" s="1276"/>
      <c r="L24" s="1276"/>
      <c r="M24" s="1276"/>
      <c r="N24" s="1276"/>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204"/>
    </row>
    <row r="25" spans="1:38" ht="13">
      <c r="A25" s="204"/>
      <c r="B25" s="204"/>
      <c r="C25" s="205"/>
      <c r="D25" s="1276"/>
      <c r="E25" s="1276"/>
      <c r="F25" s="1276"/>
      <c r="G25" s="1276"/>
      <c r="H25" s="1276"/>
      <c r="I25" s="1276"/>
      <c r="J25" s="1276"/>
      <c r="K25" s="1276"/>
      <c r="L25" s="1276"/>
      <c r="M25" s="1276"/>
      <c r="N25" s="1276"/>
      <c r="O25" s="1276"/>
      <c r="P25" s="1276"/>
      <c r="Q25" s="1276"/>
      <c r="R25" s="1276"/>
      <c r="S25" s="1276"/>
      <c r="T25" s="1276"/>
      <c r="U25" s="1276"/>
      <c r="V25" s="1276"/>
      <c r="W25" s="1276"/>
      <c r="X25" s="1276"/>
      <c r="Y25" s="1276"/>
      <c r="Z25" s="1276"/>
      <c r="AA25" s="1276"/>
      <c r="AB25" s="1276"/>
      <c r="AC25" s="1276"/>
      <c r="AD25" s="1276"/>
      <c r="AE25" s="1276"/>
      <c r="AF25" s="1276"/>
      <c r="AG25" s="1276"/>
      <c r="AH25" s="1276"/>
      <c r="AI25" s="1276"/>
      <c r="AJ25" s="1276"/>
      <c r="AK25" s="1276"/>
      <c r="AL25" s="204"/>
    </row>
    <row r="26" spans="1:38" ht="13">
      <c r="A26" s="204"/>
      <c r="B26" s="204"/>
      <c r="C26" s="205"/>
      <c r="D26" s="1276"/>
      <c r="E26" s="1276"/>
      <c r="F26" s="1276"/>
      <c r="G26" s="1276"/>
      <c r="H26" s="1276"/>
      <c r="I26" s="1276"/>
      <c r="J26" s="1276"/>
      <c r="K26" s="1276"/>
      <c r="L26" s="127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204"/>
    </row>
    <row r="27" spans="1:38" ht="13">
      <c r="A27" s="204"/>
      <c r="B27" s="204"/>
      <c r="C27" s="205"/>
      <c r="D27" s="1276"/>
      <c r="E27" s="1276"/>
      <c r="F27" s="1276"/>
      <c r="G27" s="1276"/>
      <c r="H27" s="1276"/>
      <c r="I27" s="1276"/>
      <c r="J27" s="1276"/>
      <c r="K27" s="1276"/>
      <c r="L27" s="1276"/>
      <c r="M27" s="1276"/>
      <c r="N27" s="1276"/>
      <c r="O27" s="1276"/>
      <c r="P27" s="1276"/>
      <c r="Q27" s="1276"/>
      <c r="R27" s="1276"/>
      <c r="S27" s="1276"/>
      <c r="T27" s="1276"/>
      <c r="U27" s="1276"/>
      <c r="V27" s="1276"/>
      <c r="W27" s="1276"/>
      <c r="X27" s="1276"/>
      <c r="Y27" s="1276"/>
      <c r="Z27" s="1276"/>
      <c r="AA27" s="1276"/>
      <c r="AB27" s="1276"/>
      <c r="AC27" s="1276"/>
      <c r="AD27" s="1276"/>
      <c r="AE27" s="1276"/>
      <c r="AF27" s="1276"/>
      <c r="AG27" s="1276"/>
      <c r="AH27" s="1276"/>
      <c r="AI27" s="1276"/>
      <c r="AJ27" s="1276"/>
      <c r="AK27" s="1276"/>
      <c r="AL27" s="204"/>
    </row>
    <row r="28" spans="1:38" ht="13">
      <c r="A28" s="204"/>
      <c r="B28" s="204"/>
      <c r="C28" s="205"/>
      <c r="D28" s="1276"/>
      <c r="E28" s="1276"/>
      <c r="F28" s="1276"/>
      <c r="G28" s="1276"/>
      <c r="H28" s="1276"/>
      <c r="I28" s="1276"/>
      <c r="J28" s="1276"/>
      <c r="K28" s="1276"/>
      <c r="L28" s="1276"/>
      <c r="M28" s="1276"/>
      <c r="N28" s="1276"/>
      <c r="O28" s="1276"/>
      <c r="P28" s="1276"/>
      <c r="Q28" s="1276"/>
      <c r="R28" s="1276"/>
      <c r="S28" s="1276"/>
      <c r="T28" s="1276"/>
      <c r="U28" s="1276"/>
      <c r="V28" s="1276"/>
      <c r="W28" s="1276"/>
      <c r="X28" s="1276"/>
      <c r="Y28" s="1276"/>
      <c r="Z28" s="1276"/>
      <c r="AA28" s="1276"/>
      <c r="AB28" s="1276"/>
      <c r="AC28" s="1276"/>
      <c r="AD28" s="1276"/>
      <c r="AE28" s="1276"/>
      <c r="AF28" s="1276"/>
      <c r="AG28" s="1276"/>
      <c r="AH28" s="1276"/>
      <c r="AI28" s="1276"/>
      <c r="AJ28" s="1276"/>
      <c r="AK28" s="1276"/>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6" t="s">
        <v>1995</v>
      </c>
      <c r="E30" s="1276"/>
      <c r="F30" s="1276"/>
      <c r="G30" s="1276"/>
      <c r="H30" s="1276"/>
      <c r="I30" s="1276"/>
      <c r="J30" s="1276"/>
      <c r="K30" s="1276"/>
      <c r="L30" s="1276"/>
      <c r="M30" s="1276"/>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204"/>
    </row>
    <row r="31" spans="1:38" ht="13">
      <c r="A31" s="204"/>
      <c r="B31" s="204"/>
      <c r="C31" s="205"/>
      <c r="D31" s="455"/>
      <c r="E31" s="1334" t="s">
        <v>2601</v>
      </c>
      <c r="F31" s="1335"/>
      <c r="G31" s="1335"/>
      <c r="H31" s="1335"/>
      <c r="I31" s="1335"/>
      <c r="J31" s="1335"/>
      <c r="K31" s="1335"/>
      <c r="L31" s="1335"/>
      <c r="M31" s="1335"/>
      <c r="N31" s="1335"/>
      <c r="O31" s="1335"/>
      <c r="P31" s="1335"/>
      <c r="Q31" s="1335"/>
      <c r="R31" s="1335"/>
      <c r="S31" s="1335"/>
      <c r="T31" s="1335"/>
      <c r="U31" s="1335"/>
      <c r="V31" s="1335"/>
      <c r="W31" s="1335"/>
      <c r="X31" s="1335"/>
      <c r="Y31" s="1335"/>
      <c r="Z31" s="1335"/>
      <c r="AA31" s="1335"/>
      <c r="AB31" s="1335"/>
      <c r="AC31" s="1335"/>
      <c r="AD31" s="1335"/>
      <c r="AE31" s="1335"/>
      <c r="AF31" s="1335"/>
      <c r="AG31" s="1335"/>
      <c r="AH31" s="1335"/>
      <c r="AI31" s="1335"/>
      <c r="AJ31" s="1335"/>
      <c r="AK31" s="1335"/>
      <c r="AL31" s="204"/>
    </row>
    <row r="32" spans="1:38" ht="13">
      <c r="A32" s="4"/>
      <c r="C32" s="2"/>
    </row>
    <row r="33" spans="1:38">
      <c r="A33" s="4"/>
      <c r="D33" s="1328" t="s">
        <v>2095</v>
      </c>
      <c r="E33" s="1328"/>
      <c r="F33" s="1328"/>
      <c r="G33" s="1328"/>
      <c r="H33" s="1328"/>
      <c r="I33" s="1328"/>
      <c r="J33" s="1328"/>
      <c r="K33" s="1328"/>
      <c r="L33" s="1328"/>
      <c r="M33" s="1328"/>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8"/>
    </row>
    <row r="34" spans="1:38">
      <c r="A34" s="4"/>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8"/>
    </row>
    <row r="35" spans="1:38" ht="13">
      <c r="A35" s="4"/>
      <c r="D35" s="120"/>
      <c r="E35" s="1333" t="s">
        <v>2602</v>
      </c>
      <c r="F35" s="1333"/>
      <c r="G35" s="1333"/>
      <c r="H35" s="1333"/>
      <c r="I35" s="1333"/>
      <c r="J35" s="1333"/>
      <c r="K35" s="1333"/>
      <c r="L35" s="1333"/>
      <c r="M35" s="1333"/>
      <c r="N35" s="1333"/>
      <c r="O35" s="1333"/>
      <c r="P35" s="1333"/>
      <c r="Q35" s="1333"/>
      <c r="R35" s="1333"/>
      <c r="S35" s="1333"/>
      <c r="T35" s="1333"/>
      <c r="U35" s="1333"/>
      <c r="V35" s="1333"/>
      <c r="W35" s="1333"/>
      <c r="X35" s="1333"/>
      <c r="Y35" s="1333"/>
      <c r="Z35" s="1333"/>
      <c r="AA35" s="1333"/>
      <c r="AB35" s="1333"/>
      <c r="AC35" s="1333"/>
      <c r="AD35" s="1333"/>
      <c r="AE35" s="1333"/>
      <c r="AF35" s="1333"/>
      <c r="AG35" s="1333"/>
      <c r="AH35" s="1333"/>
      <c r="AI35" s="1333"/>
      <c r="AJ35" s="1333"/>
      <c r="AK35" s="1333"/>
    </row>
    <row r="36" spans="1:38" ht="13">
      <c r="A36" s="4"/>
      <c r="D36" s="120"/>
      <c r="E36" s="1333" t="s">
        <v>2603</v>
      </c>
      <c r="F36" s="1333"/>
      <c r="G36" s="1333"/>
      <c r="H36" s="1333"/>
      <c r="I36" s="1333"/>
      <c r="J36" s="1333"/>
      <c r="K36" s="1333"/>
      <c r="L36" s="1333"/>
      <c r="M36" s="1333"/>
      <c r="N36" s="1333"/>
      <c r="O36" s="1333"/>
      <c r="P36" s="1333"/>
      <c r="Q36" s="1333"/>
      <c r="R36" s="1333"/>
      <c r="S36" s="1333"/>
      <c r="T36" s="1333"/>
      <c r="U36" s="1333"/>
      <c r="V36" s="1333"/>
      <c r="W36" s="1333"/>
      <c r="X36" s="1333"/>
      <c r="Y36" s="1333"/>
      <c r="Z36" s="1333"/>
      <c r="AA36" s="1333"/>
      <c r="AB36" s="1333"/>
      <c r="AC36" s="1333"/>
      <c r="AD36" s="1333"/>
      <c r="AE36" s="1333"/>
      <c r="AF36" s="1333"/>
      <c r="AG36" s="1333"/>
      <c r="AH36" s="1333"/>
      <c r="AI36" s="1333"/>
      <c r="AJ36" s="1333"/>
      <c r="AK36" s="1333"/>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76" customFormat="1" ht="13.15" customHeight="1">
      <c r="A40" s="4"/>
      <c r="B40"/>
      <c r="C40" s="2"/>
      <c r="D40" s="4"/>
      <c r="E40" s="4" t="s">
        <v>652</v>
      </c>
      <c r="F40" s="1276" t="s">
        <v>1163</v>
      </c>
    </row>
    <row r="41" spans="1:38" s="1276" customFormat="1" ht="13.15" customHeight="1">
      <c r="A41" s="4"/>
      <c r="B41"/>
      <c r="C41" s="2"/>
      <c r="D41" s="4"/>
      <c r="E41" s="4"/>
    </row>
    <row r="42" spans="1:38" ht="13">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76" t="s">
        <v>1997</v>
      </c>
      <c r="G48" s="1276"/>
      <c r="H48" s="1276"/>
      <c r="I48" s="1276"/>
      <c r="J48" s="1276"/>
      <c r="K48" s="1276"/>
      <c r="L48" s="1276"/>
      <c r="M48" s="1276"/>
      <c r="N48" s="1276"/>
      <c r="O48" s="1276"/>
      <c r="P48" s="1276"/>
      <c r="Q48" s="1276"/>
      <c r="R48" s="1276"/>
      <c r="S48" s="1276"/>
      <c r="T48" s="1276"/>
      <c r="U48" s="1276"/>
      <c r="V48" s="1276"/>
      <c r="W48" s="1276"/>
      <c r="X48" s="1276"/>
      <c r="Y48" s="1276"/>
      <c r="Z48" s="1276"/>
      <c r="AA48" s="1276"/>
      <c r="AB48" s="1276"/>
      <c r="AC48" s="1276"/>
      <c r="AD48" s="1276"/>
      <c r="AE48" s="1276"/>
      <c r="AF48" s="1276"/>
      <c r="AG48" s="1276"/>
      <c r="AH48" s="1276"/>
      <c r="AI48" s="1276"/>
      <c r="AJ48" s="1276"/>
      <c r="AK48" s="1276"/>
    </row>
    <row r="49" spans="1:38" ht="13">
      <c r="A49" s="4"/>
      <c r="C49" s="2"/>
      <c r="D49" s="4"/>
      <c r="E49" s="4"/>
      <c r="F49" s="1276"/>
      <c r="G49" s="1276"/>
      <c r="H49" s="1276"/>
      <c r="I49" s="1276"/>
      <c r="J49" s="1276"/>
      <c r="K49" s="1276"/>
      <c r="L49" s="1276"/>
      <c r="M49" s="1276"/>
      <c r="N49" s="1276"/>
      <c r="O49" s="1276"/>
      <c r="P49" s="1276"/>
      <c r="Q49" s="1276"/>
      <c r="R49" s="1276"/>
      <c r="S49" s="1276"/>
      <c r="T49" s="1276"/>
      <c r="U49" s="1276"/>
      <c r="V49" s="1276"/>
      <c r="W49" s="1276"/>
      <c r="X49" s="1276"/>
      <c r="Y49" s="1276"/>
      <c r="Z49" s="1276"/>
      <c r="AA49" s="1276"/>
      <c r="AB49" s="1276"/>
      <c r="AC49" s="1276"/>
      <c r="AD49" s="1276"/>
      <c r="AE49" s="1276"/>
      <c r="AF49" s="1276"/>
      <c r="AG49" s="1276"/>
      <c r="AH49" s="1276"/>
      <c r="AI49" s="1276"/>
      <c r="AJ49" s="1276"/>
      <c r="AK49" s="1276"/>
    </row>
    <row r="50" spans="1:38" ht="13">
      <c r="A50" s="4"/>
      <c r="C50" s="2"/>
      <c r="D50" s="4"/>
      <c r="F50" s="1276"/>
      <c r="G50" s="1276"/>
      <c r="H50" s="1276"/>
      <c r="I50" s="1276"/>
      <c r="J50" s="1276"/>
      <c r="K50" s="1276"/>
      <c r="L50" s="1276"/>
      <c r="M50" s="1276"/>
      <c r="N50" s="1276"/>
      <c r="O50" s="1276"/>
      <c r="P50" s="1276"/>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330" t="s">
        <v>1190</v>
      </c>
      <c r="H54" s="1330"/>
      <c r="I54" s="1330"/>
      <c r="J54" s="1330"/>
      <c r="K54" s="1330"/>
      <c r="L54" s="1330"/>
      <c r="M54" s="1330"/>
      <c r="N54" s="1330"/>
      <c r="O54" s="1330"/>
      <c r="P54" s="1330"/>
      <c r="Q54" s="1330"/>
      <c r="R54" s="1330"/>
      <c r="S54" s="1330"/>
      <c r="T54" s="1330"/>
      <c r="U54" s="1330"/>
      <c r="V54" s="1330"/>
      <c r="W54" s="1330"/>
      <c r="X54" s="1330"/>
      <c r="Y54" s="1330"/>
      <c r="Z54" s="1330"/>
      <c r="AA54" s="1330"/>
      <c r="AB54" s="1330"/>
      <c r="AC54" s="1330"/>
      <c r="AD54" s="1330"/>
      <c r="AE54" s="1330"/>
      <c r="AF54" s="1330"/>
      <c r="AG54" s="1330"/>
      <c r="AH54" s="1330"/>
      <c r="AI54" s="1330"/>
      <c r="AJ54" s="1330"/>
      <c r="AK54" s="1330"/>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330" t="s">
        <v>575</v>
      </c>
      <c r="H56" s="1330"/>
      <c r="I56" s="133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330" t="s">
        <v>1998</v>
      </c>
      <c r="H57" s="1330"/>
      <c r="I57" s="1330"/>
      <c r="J57" s="1330"/>
      <c r="K57" s="1330"/>
      <c r="L57" s="1330"/>
      <c r="M57" s="1330"/>
      <c r="N57" s="1330"/>
      <c r="O57" s="1330"/>
      <c r="P57" s="1330"/>
      <c r="Q57" s="1330"/>
      <c r="R57" s="1330"/>
      <c r="S57" s="1330"/>
      <c r="T57" s="1330"/>
      <c r="U57" s="1330"/>
      <c r="V57" s="1330"/>
      <c r="W57" s="1330"/>
      <c r="X57" s="1330"/>
      <c r="Y57" s="1330"/>
      <c r="Z57" s="1330"/>
      <c r="AA57" s="1330"/>
      <c r="AB57" s="1330"/>
      <c r="AC57" s="1330"/>
      <c r="AD57" s="1330"/>
      <c r="AE57" s="1330"/>
      <c r="AF57" s="1330"/>
      <c r="AG57" s="1330"/>
      <c r="AH57" s="1330"/>
      <c r="AI57" s="1330"/>
      <c r="AJ57" s="1330"/>
      <c r="AK57" s="1330"/>
      <c r="AL57" s="1330"/>
    </row>
    <row r="58" spans="1:38" ht="13">
      <c r="A58" s="204"/>
      <c r="B58" s="204"/>
      <c r="C58" s="205"/>
      <c r="D58" s="205"/>
      <c r="E58" s="204"/>
      <c r="F58" s="206"/>
      <c r="G58" s="1330"/>
      <c r="H58" s="1330"/>
      <c r="I58" s="1330"/>
      <c r="J58" s="1330"/>
      <c r="K58" s="1330"/>
      <c r="L58" s="1330"/>
      <c r="M58" s="1330"/>
      <c r="N58" s="1330"/>
      <c r="O58" s="1330"/>
      <c r="P58" s="1330"/>
      <c r="Q58" s="1330"/>
      <c r="R58" s="1330"/>
      <c r="S58" s="1330"/>
      <c r="T58" s="1330"/>
      <c r="U58" s="1330"/>
      <c r="V58" s="1330"/>
      <c r="W58" s="1330"/>
      <c r="X58" s="1330"/>
      <c r="Y58" s="1330"/>
      <c r="Z58" s="1330"/>
      <c r="AA58" s="1330"/>
      <c r="AB58" s="1330"/>
      <c r="AC58" s="1330"/>
      <c r="AD58" s="1330"/>
      <c r="AE58" s="1330"/>
      <c r="AF58" s="1330"/>
      <c r="AG58" s="1330"/>
      <c r="AH58" s="1330"/>
      <c r="AI58" s="1330"/>
      <c r="AJ58" s="1330"/>
      <c r="AK58" s="1330"/>
      <c r="AL58" s="1330"/>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76" t="s">
        <v>1165</v>
      </c>
      <c r="H64" s="1276"/>
      <c r="I64" s="1276"/>
      <c r="J64" s="1276"/>
      <c r="K64" s="1276"/>
      <c r="L64" s="1276"/>
      <c r="M64" s="1276"/>
      <c r="N64" s="1276"/>
      <c r="O64" s="1276"/>
      <c r="P64" s="1276"/>
      <c r="Q64" s="1276"/>
      <c r="R64" s="1276"/>
      <c r="S64" s="1276"/>
      <c r="T64" s="1276"/>
      <c r="U64" s="1276"/>
      <c r="V64" s="1276"/>
      <c r="W64" s="1276"/>
      <c r="X64" s="1276"/>
      <c r="Y64" s="1276"/>
      <c r="Z64" s="1276"/>
      <c r="AA64" s="1276"/>
      <c r="AB64" s="1276"/>
      <c r="AC64" s="1276"/>
      <c r="AD64" s="1276"/>
      <c r="AE64" s="1276"/>
      <c r="AF64" s="1276"/>
      <c r="AG64" s="1276"/>
      <c r="AH64" s="1276"/>
      <c r="AI64" s="1276"/>
      <c r="AJ64" s="1276"/>
      <c r="AK64" s="1276"/>
    </row>
    <row r="65" spans="1:37" ht="13">
      <c r="A65" s="4"/>
      <c r="C65" s="2"/>
      <c r="D65" s="4"/>
      <c r="E65" s="4"/>
      <c r="G65" s="1276"/>
      <c r="H65" s="1276"/>
      <c r="I65" s="1276"/>
      <c r="J65" s="1276"/>
      <c r="K65" s="1276"/>
      <c r="L65" s="1276"/>
      <c r="M65" s="1276"/>
      <c r="N65" s="1276"/>
      <c r="O65" s="1276"/>
      <c r="P65" s="1276"/>
      <c r="Q65" s="1276"/>
      <c r="R65" s="1276"/>
      <c r="S65" s="1276"/>
      <c r="T65" s="1276"/>
      <c r="U65" s="1276"/>
      <c r="V65" s="1276"/>
      <c r="W65" s="1276"/>
      <c r="X65" s="1276"/>
      <c r="Y65" s="1276"/>
      <c r="Z65" s="1276"/>
      <c r="AA65" s="1276"/>
      <c r="AB65" s="1276"/>
      <c r="AC65" s="1276"/>
      <c r="AD65" s="1276"/>
      <c r="AE65" s="1276"/>
      <c r="AF65" s="1276"/>
      <c r="AG65" s="1276"/>
      <c r="AH65" s="1276"/>
      <c r="AI65" s="1276"/>
      <c r="AJ65" s="1276"/>
      <c r="AK65" s="1276"/>
    </row>
    <row r="66" spans="1:37" ht="13">
      <c r="A66" s="4"/>
      <c r="C66" s="2"/>
      <c r="D66" s="4"/>
      <c r="E66" s="4"/>
      <c r="G66" s="1276"/>
      <c r="H66" s="1276"/>
      <c r="I66" s="1276"/>
      <c r="J66" s="1276"/>
      <c r="K66" s="1276"/>
      <c r="L66" s="1276"/>
      <c r="M66" s="1276"/>
      <c r="N66" s="1276"/>
      <c r="O66" s="1276"/>
      <c r="P66" s="1276"/>
      <c r="Q66" s="1276"/>
      <c r="R66" s="1276"/>
      <c r="S66" s="1276"/>
      <c r="T66" s="1276"/>
      <c r="U66" s="1276"/>
      <c r="V66" s="1276"/>
      <c r="W66" s="1276"/>
      <c r="X66" s="1276"/>
      <c r="Y66" s="1276"/>
      <c r="Z66" s="1276"/>
      <c r="AA66" s="1276"/>
      <c r="AB66" s="1276"/>
      <c r="AC66" s="1276"/>
      <c r="AD66" s="1276"/>
      <c r="AE66" s="1276"/>
      <c r="AF66" s="1276"/>
      <c r="AG66" s="1276"/>
      <c r="AH66" s="1276"/>
      <c r="AI66" s="1276"/>
      <c r="AJ66" s="1276"/>
      <c r="AK66" s="1276"/>
    </row>
    <row r="67" spans="1:37" ht="13.15" customHeight="1">
      <c r="A67" s="4"/>
      <c r="C67" s="2"/>
      <c r="D67" s="4"/>
      <c r="E67" s="4"/>
      <c r="F67" t="s">
        <v>509</v>
      </c>
      <c r="G67" s="1276" t="s">
        <v>1166</v>
      </c>
      <c r="H67" s="1276"/>
      <c r="I67" s="1276"/>
      <c r="J67" s="1276"/>
      <c r="K67" s="1276"/>
      <c r="L67" s="1276"/>
      <c r="M67" s="1276"/>
      <c r="N67" s="1276"/>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row>
    <row r="68" spans="1:37" ht="13">
      <c r="A68" s="4"/>
      <c r="C68" s="2"/>
      <c r="D68" s="4"/>
      <c r="E68" s="4"/>
      <c r="F68" s="27"/>
      <c r="G68" s="1276"/>
      <c r="H68" s="1276"/>
      <c r="I68" s="1276"/>
      <c r="J68" s="1276"/>
      <c r="K68" s="1276"/>
      <c r="L68" s="1276"/>
      <c r="M68" s="1276"/>
      <c r="N68" s="1276"/>
      <c r="O68" s="1276"/>
      <c r="P68" s="1276"/>
      <c r="Q68" s="1276"/>
      <c r="R68" s="1276"/>
      <c r="S68" s="1276"/>
      <c r="T68" s="1276"/>
      <c r="U68" s="1276"/>
      <c r="V68" s="1276"/>
      <c r="W68" s="1276"/>
      <c r="X68" s="1276"/>
      <c r="Y68" s="1276"/>
      <c r="Z68" s="1276"/>
      <c r="AA68" s="1276"/>
      <c r="AB68" s="1276"/>
      <c r="AC68" s="1276"/>
      <c r="AD68" s="1276"/>
      <c r="AE68" s="1276"/>
      <c r="AF68" s="1276"/>
      <c r="AG68" s="1276"/>
      <c r="AH68" s="1276"/>
      <c r="AI68" s="1276"/>
      <c r="AJ68" s="1276"/>
      <c r="AK68" s="1276"/>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76" t="s">
        <v>1167</v>
      </c>
      <c r="H70" s="1276"/>
      <c r="I70" s="1276"/>
      <c r="J70" s="1276"/>
      <c r="K70" s="1276"/>
      <c r="L70" s="1276"/>
      <c r="M70" s="1276"/>
      <c r="N70" s="1276"/>
      <c r="O70" s="1276"/>
      <c r="P70" s="1276"/>
      <c r="Q70" s="1276"/>
      <c r="R70" s="1276"/>
      <c r="S70" s="1276"/>
      <c r="T70" s="1276"/>
      <c r="U70" s="1276"/>
      <c r="V70" s="1276"/>
      <c r="W70" s="1276"/>
      <c r="X70" s="1276"/>
      <c r="Y70" s="1276"/>
      <c r="Z70" s="1276"/>
      <c r="AA70" s="1276"/>
      <c r="AB70" s="1276"/>
      <c r="AC70" s="1276"/>
      <c r="AD70" s="1276"/>
      <c r="AE70" s="1276"/>
      <c r="AF70" s="1276"/>
      <c r="AG70" s="1276"/>
      <c r="AH70" s="1276"/>
      <c r="AI70" s="1276"/>
      <c r="AJ70" s="1276"/>
      <c r="AK70" s="1276"/>
    </row>
    <row r="71" spans="1:37" ht="13">
      <c r="A71" s="4"/>
      <c r="C71" s="2"/>
      <c r="D71" s="4"/>
      <c r="E71" s="4"/>
      <c r="F71" s="8"/>
      <c r="G71" s="1276"/>
      <c r="H71" s="1276"/>
      <c r="I71" s="1276"/>
      <c r="J71" s="1276"/>
      <c r="K71" s="1276"/>
      <c r="L71" s="1276"/>
      <c r="M71" s="1276"/>
      <c r="N71" s="1276"/>
      <c r="O71" s="1276"/>
      <c r="P71" s="1276"/>
      <c r="Q71" s="1276"/>
      <c r="R71" s="1276"/>
      <c r="S71" s="1276"/>
      <c r="T71" s="1276"/>
      <c r="U71" s="1276"/>
      <c r="V71" s="1276"/>
      <c r="W71" s="1276"/>
      <c r="X71" s="1276"/>
      <c r="Y71" s="1276"/>
      <c r="Z71" s="1276"/>
      <c r="AA71" s="1276"/>
      <c r="AB71" s="1276"/>
      <c r="AC71" s="1276"/>
      <c r="AD71" s="1276"/>
      <c r="AE71" s="1276"/>
      <c r="AF71" s="1276"/>
      <c r="AG71" s="1276"/>
      <c r="AH71" s="1276"/>
      <c r="AI71" s="1276"/>
      <c r="AJ71" s="1276"/>
      <c r="AK71" s="1276"/>
    </row>
    <row r="72" spans="1:37" ht="13">
      <c r="A72" s="4"/>
      <c r="C72" s="2"/>
      <c r="D72" s="4"/>
      <c r="E72" s="4"/>
      <c r="F72" s="8" t="s">
        <v>509</v>
      </c>
      <c r="G72" s="1276" t="s">
        <v>1168</v>
      </c>
      <c r="H72" s="1276"/>
      <c r="I72" s="1276"/>
      <c r="J72" s="1276"/>
      <c r="K72" s="1276"/>
      <c r="L72" s="1276"/>
      <c r="M72" s="1276"/>
      <c r="N72" s="1276"/>
      <c r="O72" s="1276"/>
      <c r="P72" s="1276"/>
      <c r="Q72" s="1276"/>
      <c r="R72" s="1276"/>
      <c r="S72" s="1276"/>
      <c r="T72" s="1276"/>
      <c r="U72" s="1276"/>
      <c r="V72" s="1276"/>
      <c r="W72" s="1276"/>
      <c r="X72" s="1276"/>
      <c r="Y72" s="1276"/>
      <c r="Z72" s="1276"/>
      <c r="AA72" s="1276"/>
      <c r="AB72" s="1276"/>
      <c r="AC72" s="1276"/>
      <c r="AD72" s="1276"/>
      <c r="AE72" s="1276"/>
      <c r="AF72" s="1276"/>
      <c r="AG72" s="1276"/>
      <c r="AH72" s="1276"/>
      <c r="AI72" s="1276"/>
      <c r="AJ72" s="1276"/>
      <c r="AK72" s="1276"/>
    </row>
    <row r="73" spans="1:37" ht="13">
      <c r="A73" s="4"/>
      <c r="C73" s="2"/>
      <c r="D73" s="4"/>
      <c r="E73" s="4"/>
      <c r="F73" s="8"/>
      <c r="G73" s="1276"/>
      <c r="H73" s="1276"/>
      <c r="I73" s="1276"/>
      <c r="J73" s="1276"/>
      <c r="K73" s="1276"/>
      <c r="L73" s="1276"/>
      <c r="M73" s="1276"/>
      <c r="N73" s="1276"/>
      <c r="O73" s="1276"/>
      <c r="P73" s="1276"/>
      <c r="Q73" s="1276"/>
      <c r="R73" s="1276"/>
      <c r="S73" s="1276"/>
      <c r="T73" s="1276"/>
      <c r="U73" s="1276"/>
      <c r="V73" s="1276"/>
      <c r="W73" s="1276"/>
      <c r="X73" s="1276"/>
      <c r="Y73" s="1276"/>
      <c r="Z73" s="1276"/>
      <c r="AA73" s="1276"/>
      <c r="AB73" s="1276"/>
      <c r="AC73" s="1276"/>
      <c r="AD73" s="1276"/>
      <c r="AE73" s="1276"/>
      <c r="AF73" s="1276"/>
      <c r="AG73" s="1276"/>
      <c r="AH73" s="1276"/>
      <c r="AI73" s="1276"/>
      <c r="AJ73" s="1276"/>
      <c r="AK73" s="1276"/>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76" t="s">
        <v>1169</v>
      </c>
      <c r="H80" s="1276"/>
      <c r="I80" s="1276"/>
      <c r="J80" s="1276"/>
      <c r="K80" s="1276"/>
      <c r="L80" s="1276"/>
      <c r="M80" s="1276"/>
      <c r="N80" s="1276"/>
      <c r="O80" s="1276"/>
      <c r="P80" s="1276"/>
      <c r="Q80" s="1276"/>
      <c r="R80" s="1276"/>
      <c r="S80" s="1276"/>
      <c r="T80" s="1276"/>
      <c r="U80" s="1276"/>
      <c r="V80" s="1276"/>
      <c r="W80" s="1276"/>
      <c r="X80" s="1276"/>
      <c r="Y80" s="1276"/>
      <c r="Z80" s="1276"/>
      <c r="AA80" s="1276"/>
      <c r="AB80" s="1276"/>
      <c r="AC80" s="1276"/>
      <c r="AD80" s="1276"/>
      <c r="AE80" s="1276"/>
      <c r="AF80" s="1276"/>
      <c r="AG80" s="1276"/>
      <c r="AH80" s="1276"/>
      <c r="AI80" s="1276"/>
      <c r="AJ80" s="1276"/>
      <c r="AK80" s="1276"/>
    </row>
    <row r="81" spans="1:37" ht="13">
      <c r="A81" s="4"/>
      <c r="C81" s="2"/>
      <c r="D81" s="4"/>
      <c r="E81" s="4"/>
      <c r="F81" s="4"/>
      <c r="G81" s="1276"/>
      <c r="H81" s="1276"/>
      <c r="I81" s="1276"/>
      <c r="J81" s="1276"/>
      <c r="K81" s="1276"/>
      <c r="L81" s="1276"/>
      <c r="M81" s="1276"/>
      <c r="N81" s="1276"/>
      <c r="O81" s="1276"/>
      <c r="P81" s="1276"/>
      <c r="Q81" s="1276"/>
      <c r="R81" s="1276"/>
      <c r="S81" s="1276"/>
      <c r="T81" s="1276"/>
      <c r="U81" s="1276"/>
      <c r="V81" s="1276"/>
      <c r="W81" s="1276"/>
      <c r="X81" s="1276"/>
      <c r="Y81" s="1276"/>
      <c r="Z81" s="1276"/>
      <c r="AA81" s="1276"/>
      <c r="AB81" s="1276"/>
      <c r="AC81" s="1276"/>
      <c r="AD81" s="1276"/>
      <c r="AE81" s="1276"/>
      <c r="AF81" s="1276"/>
      <c r="AG81" s="1276"/>
      <c r="AH81" s="1276"/>
      <c r="AI81" s="1276"/>
      <c r="AJ81" s="1276"/>
      <c r="AK81" s="1276"/>
    </row>
    <row r="82" spans="1:37" ht="13">
      <c r="A82" s="4"/>
      <c r="C82" s="2"/>
      <c r="D82" s="4"/>
      <c r="E82" s="4"/>
      <c r="F82" s="4"/>
      <c r="G82" s="1276"/>
      <c r="H82" s="1276"/>
      <c r="I82" s="1276"/>
      <c r="J82" s="1276"/>
      <c r="K82" s="1276"/>
      <c r="L82" s="1276"/>
      <c r="M82" s="1276"/>
      <c r="N82" s="1276"/>
      <c r="O82" s="1276"/>
      <c r="P82" s="1276"/>
      <c r="Q82" s="1276"/>
      <c r="R82" s="1276"/>
      <c r="S82" s="1276"/>
      <c r="T82" s="1276"/>
      <c r="U82" s="1276"/>
      <c r="V82" s="1276"/>
      <c r="W82" s="1276"/>
      <c r="X82" s="1276"/>
      <c r="Y82" s="1276"/>
      <c r="Z82" s="1276"/>
      <c r="AA82" s="1276"/>
      <c r="AB82" s="1276"/>
      <c r="AC82" s="1276"/>
      <c r="AD82" s="1276"/>
      <c r="AE82" s="1276"/>
      <c r="AF82" s="1276"/>
      <c r="AG82" s="1276"/>
      <c r="AH82" s="1276"/>
      <c r="AI82" s="1276"/>
      <c r="AJ82" s="1276"/>
      <c r="AK82" s="1276"/>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76" t="s">
        <v>1170</v>
      </c>
      <c r="H84" s="1276"/>
      <c r="I84" s="1276"/>
      <c r="J84" s="1276"/>
      <c r="K84" s="1276"/>
      <c r="L84" s="1276"/>
      <c r="M84" s="1276"/>
      <c r="N84" s="1276"/>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row>
    <row r="85" spans="1:37" ht="13">
      <c r="A85" s="4"/>
      <c r="C85" s="2"/>
      <c r="D85" s="4"/>
      <c r="E85" s="4"/>
      <c r="F85" s="4"/>
      <c r="G85" s="1276"/>
      <c r="H85" s="1276"/>
      <c r="I85" s="1276"/>
      <c r="J85" s="1276"/>
      <c r="K85" s="1276"/>
      <c r="L85" s="1276"/>
      <c r="M85" s="1276"/>
      <c r="N85" s="1276"/>
      <c r="O85" s="1276"/>
      <c r="P85" s="1276"/>
      <c r="Q85" s="1276"/>
      <c r="R85" s="1276"/>
      <c r="S85" s="1276"/>
      <c r="T85" s="1276"/>
      <c r="U85" s="1276"/>
      <c r="V85" s="1276"/>
      <c r="W85" s="1276"/>
      <c r="X85" s="1276"/>
      <c r="Y85" s="1276"/>
      <c r="Z85" s="1276"/>
      <c r="AA85" s="1276"/>
      <c r="AB85" s="1276"/>
      <c r="AC85" s="1276"/>
      <c r="AD85" s="1276"/>
      <c r="AE85" s="1276"/>
      <c r="AF85" s="1276"/>
      <c r="AG85" s="1276"/>
      <c r="AH85" s="1276"/>
      <c r="AI85" s="1276"/>
      <c r="AJ85" s="1276"/>
      <c r="AK85" s="1276"/>
    </row>
    <row r="86" spans="1:37" ht="13">
      <c r="A86" s="4"/>
      <c r="C86" s="2"/>
      <c r="D86" s="4"/>
      <c r="E86" s="4"/>
      <c r="G86" s="1276"/>
      <c r="H86" s="1276"/>
      <c r="I86" s="1276"/>
      <c r="J86" s="1276"/>
      <c r="K86" s="1276"/>
      <c r="L86" s="1276"/>
      <c r="M86" s="1276"/>
      <c r="N86" s="1276"/>
      <c r="O86" s="1276"/>
      <c r="P86" s="1276"/>
      <c r="Q86" s="1276"/>
      <c r="R86" s="1276"/>
      <c r="S86" s="1276"/>
      <c r="T86" s="1276"/>
      <c r="U86" s="1276"/>
      <c r="V86" s="1276"/>
      <c r="W86" s="1276"/>
      <c r="X86" s="1276"/>
      <c r="Y86" s="1276"/>
      <c r="Z86" s="1276"/>
      <c r="AA86" s="1276"/>
      <c r="AB86" s="1276"/>
      <c r="AC86" s="1276"/>
      <c r="AD86" s="1276"/>
      <c r="AE86" s="1276"/>
      <c r="AF86" s="1276"/>
      <c r="AG86" s="1276"/>
      <c r="AH86" s="1276"/>
      <c r="AI86" s="1276"/>
      <c r="AJ86" s="1276"/>
      <c r="AK86" s="1276"/>
    </row>
    <row r="87" spans="1:37" ht="13">
      <c r="A87" s="4"/>
      <c r="C87" s="2"/>
      <c r="D87" s="4"/>
      <c r="E87" s="4" t="s">
        <v>262</v>
      </c>
      <c r="F87" t="s">
        <v>865</v>
      </c>
      <c r="G87" s="4"/>
      <c r="L87" s="4"/>
      <c r="M87" s="4"/>
      <c r="P87" s="4"/>
      <c r="Q87" s="4"/>
      <c r="R87" s="4"/>
      <c r="S87" s="4"/>
      <c r="T87" s="4"/>
      <c r="U87" s="4"/>
      <c r="V87" s="4"/>
      <c r="W87" s="4"/>
      <c r="X87" s="4"/>
      <c r="Y87" s="4"/>
      <c r="Z87" s="4"/>
      <c r="AA87" s="4"/>
      <c r="AB87" s="4"/>
    </row>
    <row r="88" spans="1:37" ht="13">
      <c r="A88" s="4"/>
      <c r="C88" s="2"/>
      <c r="D88" s="4"/>
      <c r="E88" s="4"/>
      <c r="G88" s="1288" t="s">
        <v>1171</v>
      </c>
      <c r="H88" s="1288"/>
      <c r="I88" s="1288"/>
      <c r="J88" s="1288"/>
      <c r="K88" s="1288"/>
      <c r="L88" s="1288"/>
      <c r="M88" s="1288"/>
      <c r="N88" s="1288"/>
      <c r="O88" s="1288"/>
      <c r="P88" s="1288"/>
      <c r="Q88" s="1288"/>
      <c r="R88" s="1288"/>
      <c r="S88" s="1288"/>
      <c r="T88" s="1288"/>
      <c r="U88" s="1288"/>
      <c r="V88" s="1288"/>
      <c r="W88" s="1288"/>
      <c r="X88" s="1288"/>
      <c r="Y88" s="1288"/>
      <c r="Z88" s="1288"/>
      <c r="AA88" s="1288"/>
      <c r="AB88" s="1288"/>
      <c r="AC88" s="1288"/>
      <c r="AD88" s="1288"/>
      <c r="AE88" s="1288"/>
      <c r="AF88" s="1288"/>
      <c r="AG88" s="1288"/>
      <c r="AH88" s="1288"/>
      <c r="AI88" s="1288"/>
      <c r="AJ88" s="1288"/>
      <c r="AK88" s="1288"/>
    </row>
    <row r="89" spans="1:37" ht="13">
      <c r="A89" s="4"/>
      <c r="C89" s="2"/>
      <c r="D89" s="4"/>
      <c r="E89" s="4"/>
      <c r="G89" s="1288"/>
      <c r="H89" s="1288"/>
      <c r="I89" s="1288"/>
      <c r="J89" s="1288"/>
      <c r="K89" s="1288"/>
      <c r="L89" s="1288"/>
      <c r="M89" s="1288"/>
      <c r="N89" s="1288"/>
      <c r="O89" s="1288"/>
      <c r="P89" s="1288"/>
      <c r="Q89" s="1288"/>
      <c r="R89" s="1288"/>
      <c r="S89" s="1288"/>
      <c r="T89" s="1288"/>
      <c r="U89" s="1288"/>
      <c r="V89" s="1288"/>
      <c r="W89" s="1288"/>
      <c r="X89" s="1288"/>
      <c r="Y89" s="1288"/>
      <c r="Z89" s="1288"/>
      <c r="AA89" s="1288"/>
      <c r="AB89" s="1288"/>
      <c r="AC89" s="1288"/>
      <c r="AD89" s="1288"/>
      <c r="AE89" s="1288"/>
      <c r="AF89" s="1288"/>
      <c r="AG89" s="1288"/>
      <c r="AH89" s="1288"/>
      <c r="AI89" s="1288"/>
      <c r="AJ89" s="1288"/>
      <c r="AK89" s="1288"/>
    </row>
    <row r="90" spans="1:37" ht="13">
      <c r="A90" s="4"/>
      <c r="C90" s="2"/>
      <c r="D90" s="4"/>
      <c r="E90" s="4"/>
      <c r="G90" s="1288"/>
      <c r="H90" s="1288"/>
      <c r="I90" s="1288"/>
      <c r="J90" s="1288"/>
      <c r="K90" s="1288"/>
      <c r="L90" s="1288"/>
      <c r="M90" s="1288"/>
      <c r="N90" s="1288"/>
      <c r="O90" s="1288"/>
      <c r="P90" s="1288"/>
      <c r="Q90" s="1288"/>
      <c r="R90" s="1288"/>
      <c r="S90" s="1288"/>
      <c r="T90" s="1288"/>
      <c r="U90" s="1288"/>
      <c r="V90" s="1288"/>
      <c r="W90" s="1288"/>
      <c r="X90" s="1288"/>
      <c r="Y90" s="1288"/>
      <c r="Z90" s="1288"/>
      <c r="AA90" s="1288"/>
      <c r="AB90" s="1288"/>
      <c r="AC90" s="1288"/>
      <c r="AD90" s="1288"/>
      <c r="AE90" s="1288"/>
      <c r="AF90" s="1288"/>
      <c r="AG90" s="1288"/>
      <c r="AH90" s="1288"/>
      <c r="AI90" s="1288"/>
      <c r="AJ90" s="1288"/>
      <c r="AK90" s="1288"/>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76" t="s">
        <v>1172</v>
      </c>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ht="13">
      <c r="A93" s="4"/>
      <c r="C93" s="2"/>
      <c r="D93" s="4"/>
      <c r="E93" s="4"/>
      <c r="G93" s="1276"/>
      <c r="H93" s="1276"/>
      <c r="I93" s="1276"/>
      <c r="J93" s="1276"/>
      <c r="K93" s="1276"/>
      <c r="L93" s="1276"/>
      <c r="M93" s="1276"/>
      <c r="N93" s="1276"/>
      <c r="O93" s="1276"/>
      <c r="P93" s="1276"/>
      <c r="Q93" s="1276"/>
      <c r="R93" s="1276"/>
      <c r="S93" s="1276"/>
      <c r="T93" s="1276"/>
      <c r="U93" s="1276"/>
      <c r="V93" s="1276"/>
      <c r="W93" s="1276"/>
      <c r="X93" s="1276"/>
      <c r="Y93" s="1276"/>
      <c r="Z93" s="1276"/>
      <c r="AA93" s="1276"/>
      <c r="AB93" s="1276"/>
      <c r="AC93" s="1276"/>
      <c r="AD93" s="1276"/>
      <c r="AE93" s="1276"/>
      <c r="AF93" s="1276"/>
      <c r="AG93" s="1276"/>
      <c r="AH93" s="1276"/>
      <c r="AI93" s="1276"/>
      <c r="AJ93" s="1276"/>
      <c r="AK93" s="1276"/>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76" t="s">
        <v>1173</v>
      </c>
      <c r="H95" s="1276"/>
      <c r="I95" s="1276"/>
      <c r="J95" s="1276"/>
      <c r="K95" s="1276"/>
      <c r="L95" s="1276"/>
      <c r="M95" s="1276"/>
      <c r="N95" s="1276"/>
      <c r="O95" s="1276"/>
      <c r="P95" s="1276"/>
      <c r="Q95" s="1276"/>
      <c r="R95" s="1276"/>
      <c r="S95" s="1276"/>
      <c r="T95" s="1276"/>
      <c r="U95" s="1276"/>
      <c r="V95" s="1276"/>
      <c r="W95" s="1276"/>
      <c r="X95" s="1276"/>
      <c r="Y95" s="1276"/>
      <c r="Z95" s="1276"/>
      <c r="AA95" s="1276"/>
      <c r="AB95" s="1276"/>
      <c r="AC95" s="1276"/>
      <c r="AD95" s="1276"/>
      <c r="AE95" s="1276"/>
      <c r="AF95" s="1276"/>
      <c r="AG95" s="1276"/>
      <c r="AH95" s="1276"/>
      <c r="AI95" s="1276"/>
      <c r="AJ95" s="1276"/>
      <c r="AK95" s="1276"/>
    </row>
    <row r="96" spans="1:37" ht="13">
      <c r="A96" s="4"/>
      <c r="C96" s="2"/>
      <c r="D96" s="4"/>
      <c r="E96" s="4"/>
      <c r="G96" s="1276"/>
      <c r="H96" s="1276"/>
      <c r="I96" s="1276"/>
      <c r="J96" s="1276"/>
      <c r="K96" s="1276"/>
      <c r="L96" s="1276"/>
      <c r="M96" s="1276"/>
      <c r="N96" s="1276"/>
      <c r="O96" s="1276"/>
      <c r="P96" s="1276"/>
      <c r="Q96" s="1276"/>
      <c r="R96" s="1276"/>
      <c r="S96" s="1276"/>
      <c r="T96" s="1276"/>
      <c r="U96" s="1276"/>
      <c r="V96" s="1276"/>
      <c r="W96" s="1276"/>
      <c r="X96" s="1276"/>
      <c r="Y96" s="1276"/>
      <c r="Z96" s="1276"/>
      <c r="AA96" s="1276"/>
      <c r="AB96" s="1276"/>
      <c r="AC96" s="1276"/>
      <c r="AD96" s="1276"/>
      <c r="AE96" s="1276"/>
      <c r="AF96" s="1276"/>
      <c r="AG96" s="1276"/>
      <c r="AH96" s="1276"/>
      <c r="AI96" s="1276"/>
      <c r="AJ96" s="1276"/>
      <c r="AK96" s="1276"/>
    </row>
    <row r="97" spans="1:38" ht="13">
      <c r="A97" s="4"/>
      <c r="C97" s="2"/>
      <c r="D97" s="4"/>
      <c r="E97" s="4"/>
      <c r="G97" s="1276"/>
      <c r="H97" s="1276"/>
      <c r="I97" s="1276"/>
      <c r="J97" s="1276"/>
      <c r="K97" s="1276"/>
      <c r="L97" s="1276"/>
      <c r="M97" s="1276"/>
      <c r="N97" s="1276"/>
      <c r="O97" s="1276"/>
      <c r="P97" s="1276"/>
      <c r="Q97" s="1276"/>
      <c r="R97" s="1276"/>
      <c r="S97" s="1276"/>
      <c r="T97" s="1276"/>
      <c r="U97" s="1276"/>
      <c r="V97" s="1276"/>
      <c r="W97" s="1276"/>
      <c r="X97" s="1276"/>
      <c r="Y97" s="1276"/>
      <c r="Z97" s="1276"/>
      <c r="AA97" s="1276"/>
      <c r="AB97" s="1276"/>
      <c r="AC97" s="1276"/>
      <c r="AD97" s="1276"/>
      <c r="AE97" s="1276"/>
      <c r="AF97" s="1276"/>
      <c r="AG97" s="1276"/>
      <c r="AH97" s="1276"/>
      <c r="AI97" s="1276"/>
      <c r="AJ97" s="1276"/>
      <c r="AK97" s="1276"/>
    </row>
    <row r="98" spans="1:38" ht="13">
      <c r="A98" s="4"/>
      <c r="D98" s="99"/>
      <c r="E98" s="1275" t="s">
        <v>1174</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ht="13">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1014</v>
      </c>
      <c r="G117" s="4"/>
    </row>
    <row r="118" spans="2:10" ht="13">
      <c r="F118" s="99" t="s">
        <v>1186</v>
      </c>
      <c r="G118" s="99"/>
    </row>
    <row r="119" spans="2:10" ht="13">
      <c r="G119" s="99"/>
    </row>
    <row r="120" spans="2:10">
      <c r="E120" s="4" t="s">
        <v>762</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922</v>
      </c>
      <c r="F125" s="4"/>
    </row>
    <row r="126" spans="2:10"/>
    <row r="127" spans="2:10" ht="13">
      <c r="D127" s="2" t="s">
        <v>341</v>
      </c>
      <c r="E127" s="2" t="s">
        <v>577</v>
      </c>
    </row>
    <row r="128" spans="2:10">
      <c r="E128" s="4" t="s">
        <v>922</v>
      </c>
      <c r="F128" s="4"/>
    </row>
    <row r="129" spans="4:37"/>
    <row r="130" spans="4:37" ht="13">
      <c r="D130" s="2" t="s">
        <v>574</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303</v>
      </c>
      <c r="E138" s="2" t="s">
        <v>1999</v>
      </c>
      <c r="F138" s="2"/>
      <c r="G138" s="2"/>
      <c r="H138" s="2"/>
    </row>
    <row r="139" spans="4:37">
      <c r="E139" t="s">
        <v>112</v>
      </c>
      <c r="F139" t="s">
        <v>52</v>
      </c>
    </row>
    <row r="140" spans="4:37">
      <c r="E140" t="s">
        <v>113</v>
      </c>
      <c r="F140" t="s">
        <v>466</v>
      </c>
    </row>
    <row r="141" spans="4:37"/>
    <row r="142" spans="4:37" ht="13">
      <c r="D142" s="2" t="s">
        <v>429</v>
      </c>
      <c r="E142" s="2" t="s">
        <v>2000</v>
      </c>
    </row>
    <row r="143" spans="4:37">
      <c r="E143" s="204" t="s">
        <v>2001</v>
      </c>
      <c r="F143" s="204"/>
    </row>
    <row r="144" spans="4:37"/>
    <row r="145" spans="3:7" ht="13">
      <c r="C145" s="2" t="s">
        <v>6</v>
      </c>
      <c r="G145" s="2" t="s">
        <v>380</v>
      </c>
    </row>
    <row r="146" spans="3:7" ht="13">
      <c r="D146" s="2" t="s">
        <v>207</v>
      </c>
      <c r="E146" s="2" t="s">
        <v>135</v>
      </c>
    </row>
    <row r="147" spans="3:7">
      <c r="E147" t="s">
        <v>796</v>
      </c>
    </row>
    <row r="148" spans="3:7"/>
    <row r="149" spans="3:7" ht="13">
      <c r="D149" s="2" t="s">
        <v>341</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724</v>
      </c>
    </row>
    <row r="160" spans="3:7"/>
    <row r="161" spans="3:20" ht="13">
      <c r="D161" s="2" t="s">
        <v>303</v>
      </c>
      <c r="E161" s="2" t="s">
        <v>381</v>
      </c>
    </row>
    <row r="162" spans="3:20">
      <c r="E162" s="4" t="s">
        <v>928</v>
      </c>
      <c r="F162" s="4"/>
    </row>
    <row r="163" spans="3:20"/>
    <row r="164" spans="3:20" ht="13">
      <c r="D164" s="2" t="s">
        <v>429</v>
      </c>
      <c r="E164" s="2" t="s">
        <v>172</v>
      </c>
    </row>
    <row r="165" spans="3:20">
      <c r="E165" s="4" t="s">
        <v>930</v>
      </c>
    </row>
    <row r="166" spans="3:20">
      <c r="E166" s="4" t="s">
        <v>929</v>
      </c>
    </row>
    <row r="167" spans="3:20"/>
    <row r="168" spans="3:20" ht="13">
      <c r="D168" s="2" t="s">
        <v>557</v>
      </c>
      <c r="E168" s="2" t="s">
        <v>622</v>
      </c>
    </row>
    <row r="169" spans="3:20">
      <c r="E169" t="s">
        <v>112</v>
      </c>
      <c r="F169" t="s">
        <v>725</v>
      </c>
    </row>
    <row r="170" spans="3:20">
      <c r="E170" t="s">
        <v>113</v>
      </c>
      <c r="F170" t="s">
        <v>297</v>
      </c>
    </row>
    <row r="171" spans="3:20">
      <c r="F171" s="4"/>
    </row>
    <row r="172" spans="3:20" ht="13">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652</v>
      </c>
      <c r="G205" s="1276" t="s">
        <v>1175</v>
      </c>
      <c r="H205" s="1276"/>
      <c r="I205" s="1276"/>
      <c r="J205" s="1276"/>
      <c r="K205" s="1276"/>
      <c r="L205" s="1276"/>
      <c r="M205" s="1276"/>
      <c r="N205" s="1276"/>
      <c r="O205" s="1276"/>
      <c r="P205" s="1276"/>
      <c r="Q205" s="1276"/>
      <c r="R205" s="1276"/>
      <c r="S205" s="1276"/>
      <c r="T205" s="1276"/>
      <c r="U205" s="1276"/>
      <c r="V205" s="1276"/>
      <c r="W205" s="1276"/>
      <c r="X205" s="1276"/>
      <c r="Y205" s="1276"/>
      <c r="Z205" s="1276"/>
      <c r="AA205" s="1276"/>
      <c r="AB205" s="1276"/>
      <c r="AC205" s="1276"/>
      <c r="AD205" s="1276"/>
      <c r="AE205" s="1276"/>
      <c r="AF205" s="1276"/>
      <c r="AG205" s="1276"/>
      <c r="AH205" s="1276"/>
      <c r="AI205" s="1276"/>
      <c r="AJ205" s="1276"/>
      <c r="AK205" s="1276"/>
    </row>
    <row r="206" spans="2:37" ht="13">
      <c r="B206" s="4"/>
      <c r="C206" s="4"/>
      <c r="D206" s="2"/>
      <c r="G206" s="1276"/>
      <c r="H206" s="1276"/>
      <c r="I206" s="1276"/>
      <c r="J206" s="1276"/>
      <c r="K206" s="1276"/>
      <c r="L206" s="1276"/>
      <c r="M206" s="1276"/>
      <c r="N206" s="1276"/>
      <c r="O206" s="1276"/>
      <c r="P206" s="1276"/>
      <c r="Q206" s="1276"/>
      <c r="R206" s="1276"/>
      <c r="S206" s="1276"/>
      <c r="T206" s="1276"/>
      <c r="U206" s="1276"/>
      <c r="V206" s="1276"/>
      <c r="W206" s="1276"/>
      <c r="X206" s="1276"/>
      <c r="Y206" s="1276"/>
      <c r="Z206" s="1276"/>
      <c r="AA206" s="1276"/>
      <c r="AB206" s="1276"/>
      <c r="AC206" s="1276"/>
      <c r="AD206" s="1276"/>
      <c r="AE206" s="1276"/>
      <c r="AF206" s="1276"/>
      <c r="AG206" s="1276"/>
      <c r="AH206" s="1276"/>
      <c r="AI206" s="1276"/>
      <c r="AJ206" s="1276"/>
      <c r="AK206" s="1276"/>
    </row>
    <row r="207" spans="2:37" ht="13">
      <c r="B207" s="4"/>
      <c r="C207" s="4"/>
      <c r="D207" s="2"/>
      <c r="M207" s="4"/>
      <c r="N207" s="4"/>
      <c r="O207" s="4"/>
      <c r="P207" s="4"/>
      <c r="Q207" s="4"/>
      <c r="R207" s="4"/>
      <c r="S207" s="4"/>
    </row>
    <row r="208" spans="2:37" ht="13">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652</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348</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581</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652</v>
      </c>
      <c r="G291" s="4" t="s">
        <v>260</v>
      </c>
      <c r="K291" s="4"/>
      <c r="L291" s="4"/>
      <c r="M291" s="4"/>
      <c r="N291" s="4"/>
      <c r="O291" s="4"/>
      <c r="P291" s="4"/>
      <c r="Q291" s="4"/>
      <c r="R291" s="4"/>
      <c r="S291" s="4"/>
      <c r="T291" s="4"/>
      <c r="U291" s="4"/>
      <c r="V291" s="4"/>
      <c r="W291" s="4"/>
    </row>
    <row r="292" spans="2:23" ht="13">
      <c r="B292" s="2"/>
      <c r="D292" s="4"/>
      <c r="E292" s="4"/>
      <c r="F292" s="4" t="s">
        <v>348</v>
      </c>
      <c r="G292" s="4" t="s">
        <v>939</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341</v>
      </c>
      <c r="E314" s="2" t="s">
        <v>750</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76" t="s">
        <v>1154</v>
      </c>
      <c r="G336" s="1276"/>
      <c r="H336" s="1276"/>
      <c r="I336" s="1276"/>
      <c r="J336" s="1276"/>
      <c r="K336" s="1276"/>
      <c r="L336" s="1276"/>
      <c r="M336" s="1276"/>
      <c r="N336" s="1276"/>
      <c r="O336" s="1276"/>
      <c r="P336" s="1276"/>
      <c r="Q336" s="1276"/>
      <c r="R336" s="1276"/>
      <c r="S336" s="1276"/>
      <c r="T336" s="1276"/>
      <c r="U336" s="1276"/>
      <c r="V336" s="1276"/>
      <c r="W336" s="1276"/>
      <c r="X336" s="1276"/>
      <c r="Y336" s="1276"/>
      <c r="Z336" s="1276"/>
      <c r="AA336" s="1276"/>
      <c r="AB336" s="1276"/>
      <c r="AC336" s="1276"/>
      <c r="AD336" s="1276"/>
      <c r="AE336" s="1276"/>
      <c r="AF336" s="1276"/>
      <c r="AG336" s="1276"/>
      <c r="AH336" s="1276"/>
      <c r="AI336" s="1276"/>
      <c r="AJ336" s="1276"/>
      <c r="AK336" s="1276"/>
    </row>
    <row r="337" spans="2:37" ht="13">
      <c r="B337" s="2"/>
      <c r="E337" s="4"/>
      <c r="F337" s="1276"/>
      <c r="G337" s="1276"/>
      <c r="H337" s="1276"/>
      <c r="I337" s="1276"/>
      <c r="J337" s="1276"/>
      <c r="K337" s="1276"/>
      <c r="L337" s="1276"/>
      <c r="M337" s="1276"/>
      <c r="N337" s="1276"/>
      <c r="O337" s="1276"/>
      <c r="P337" s="1276"/>
      <c r="Q337" s="1276"/>
      <c r="R337" s="1276"/>
      <c r="S337" s="1276"/>
      <c r="T337" s="1276"/>
      <c r="U337" s="1276"/>
      <c r="V337" s="1276"/>
      <c r="W337" s="1276"/>
      <c r="X337" s="1276"/>
      <c r="Y337" s="1276"/>
      <c r="Z337" s="1276"/>
      <c r="AA337" s="1276"/>
      <c r="AB337" s="1276"/>
      <c r="AC337" s="1276"/>
      <c r="AD337" s="1276"/>
      <c r="AE337" s="1276"/>
      <c r="AF337" s="1276"/>
      <c r="AG337" s="1276"/>
      <c r="AH337" s="1276"/>
      <c r="AI337" s="1276"/>
      <c r="AJ337" s="1276"/>
      <c r="AK337" s="1276"/>
    </row>
    <row r="338" spans="2:37" ht="13">
      <c r="B338" s="2"/>
      <c r="E338" s="4"/>
      <c r="F338" s="1276"/>
      <c r="G338" s="1276"/>
      <c r="H338" s="1276"/>
      <c r="I338" s="1276"/>
      <c r="J338" s="1276"/>
      <c r="K338" s="1276"/>
      <c r="L338" s="1276"/>
      <c r="M338" s="1276"/>
      <c r="N338" s="1276"/>
      <c r="O338" s="1276"/>
      <c r="P338" s="1276"/>
      <c r="Q338" s="1276"/>
      <c r="R338" s="1276"/>
      <c r="S338" s="1276"/>
      <c r="T338" s="1276"/>
      <c r="U338" s="1276"/>
      <c r="V338" s="1276"/>
      <c r="W338" s="1276"/>
      <c r="X338" s="1276"/>
      <c r="Y338" s="1276"/>
      <c r="Z338" s="1276"/>
      <c r="AA338" s="1276"/>
      <c r="AB338" s="1276"/>
      <c r="AC338" s="1276"/>
      <c r="AD338" s="1276"/>
      <c r="AE338" s="1276"/>
      <c r="AF338" s="1276"/>
      <c r="AG338" s="1276"/>
      <c r="AH338" s="1276"/>
      <c r="AI338" s="1276"/>
      <c r="AJ338" s="1276"/>
      <c r="AK338" s="1276"/>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15" customHeight="1">
      <c r="B341" s="2"/>
      <c r="E341" s="1330" t="s">
        <v>1234</v>
      </c>
      <c r="F341" s="1330"/>
      <c r="G341" s="1330"/>
      <c r="H341" s="1330"/>
      <c r="I341" s="1330"/>
      <c r="J341" s="1330"/>
      <c r="K341" s="1330"/>
      <c r="L341" s="1330"/>
      <c r="M341" s="1330"/>
      <c r="N341" s="1330"/>
      <c r="O341" s="1330"/>
      <c r="P341" s="1330"/>
      <c r="Q341" s="1330"/>
      <c r="R341" s="1330"/>
      <c r="S341" s="1330"/>
      <c r="T341" s="1330"/>
      <c r="U341" s="1330"/>
      <c r="V341" s="1330"/>
      <c r="W341" s="1330"/>
      <c r="X341" s="1330"/>
      <c r="Y341" s="1330"/>
      <c r="Z341" s="1330"/>
      <c r="AA341" s="1330"/>
      <c r="AB341" s="1330"/>
      <c r="AC341" s="1330"/>
      <c r="AD341" s="1330"/>
      <c r="AE341" s="1330"/>
      <c r="AF341" s="1330"/>
      <c r="AG341" s="1330"/>
      <c r="AH341" s="1330"/>
      <c r="AI341" s="1330"/>
      <c r="AJ341" s="1330"/>
      <c r="AK341" s="1330"/>
    </row>
    <row r="342" spans="2:37" ht="13">
      <c r="B342" s="2"/>
      <c r="E342" s="1330"/>
      <c r="F342" s="1330"/>
      <c r="G342" s="1330"/>
      <c r="H342" s="1330"/>
      <c r="I342" s="1330"/>
      <c r="J342" s="1330"/>
      <c r="K342" s="1330"/>
      <c r="L342" s="1330"/>
      <c r="M342" s="1330"/>
      <c r="N342" s="1330"/>
      <c r="O342" s="1330"/>
      <c r="P342" s="1330"/>
      <c r="Q342" s="1330"/>
      <c r="R342" s="1330"/>
      <c r="S342" s="1330"/>
      <c r="T342" s="1330"/>
      <c r="U342" s="1330"/>
      <c r="V342" s="1330"/>
      <c r="W342" s="1330"/>
      <c r="X342" s="1330"/>
      <c r="Y342" s="1330"/>
      <c r="Z342" s="1330"/>
      <c r="AA342" s="1330"/>
      <c r="AB342" s="1330"/>
      <c r="AC342" s="1330"/>
      <c r="AD342" s="1330"/>
      <c r="AE342" s="1330"/>
      <c r="AF342" s="1330"/>
      <c r="AG342" s="1330"/>
      <c r="AH342" s="1330"/>
      <c r="AI342" s="1330"/>
      <c r="AJ342" s="1330"/>
      <c r="AK342" s="1330"/>
    </row>
    <row r="343" spans="2:37" ht="13">
      <c r="B343" s="2"/>
      <c r="E343" s="1330"/>
      <c r="F343" s="1330"/>
      <c r="G343" s="1330"/>
      <c r="H343" s="1330"/>
      <c r="I343" s="1330"/>
      <c r="J343" s="1330"/>
      <c r="K343" s="1330"/>
      <c r="L343" s="1330"/>
      <c r="M343" s="1330"/>
      <c r="N343" s="1330"/>
      <c r="O343" s="1330"/>
      <c r="P343" s="1330"/>
      <c r="Q343" s="1330"/>
      <c r="R343" s="1330"/>
      <c r="S343" s="1330"/>
      <c r="T343" s="1330"/>
      <c r="U343" s="1330"/>
      <c r="V343" s="1330"/>
      <c r="W343" s="1330"/>
      <c r="X343" s="1330"/>
      <c r="Y343" s="1330"/>
      <c r="Z343" s="1330"/>
      <c r="AA343" s="1330"/>
      <c r="AB343" s="1330"/>
      <c r="AC343" s="1330"/>
      <c r="AD343" s="1330"/>
      <c r="AE343" s="1330"/>
      <c r="AF343" s="1330"/>
      <c r="AG343" s="1330"/>
      <c r="AH343" s="1330"/>
      <c r="AI343" s="1330"/>
      <c r="AJ343" s="1330"/>
      <c r="AK343" s="1330"/>
    </row>
    <row r="344" spans="2:37" ht="13">
      <c r="B344" s="2"/>
      <c r="E344" s="1330"/>
      <c r="F344" s="1330"/>
      <c r="G344" s="1330"/>
      <c r="H344" s="1330"/>
      <c r="I344" s="1330"/>
      <c r="J344" s="1330"/>
      <c r="K344" s="1330"/>
      <c r="L344" s="1330"/>
      <c r="M344" s="1330"/>
      <c r="N344" s="1330"/>
      <c r="O344" s="1330"/>
      <c r="P344" s="1330"/>
      <c r="Q344" s="1330"/>
      <c r="R344" s="1330"/>
      <c r="S344" s="1330"/>
      <c r="T344" s="1330"/>
      <c r="U344" s="1330"/>
      <c r="V344" s="1330"/>
      <c r="W344" s="1330"/>
      <c r="X344" s="1330"/>
      <c r="Y344" s="1330"/>
      <c r="Z344" s="1330"/>
      <c r="AA344" s="1330"/>
      <c r="AB344" s="1330"/>
      <c r="AC344" s="1330"/>
      <c r="AD344" s="1330"/>
      <c r="AE344" s="1330"/>
      <c r="AF344" s="1330"/>
      <c r="AG344" s="1330"/>
      <c r="AH344" s="1330"/>
      <c r="AI344" s="1330"/>
      <c r="AJ344" s="1330"/>
      <c r="AK344" s="1330"/>
    </row>
    <row r="345" spans="2:37" ht="13">
      <c r="B345" s="2"/>
      <c r="E345" s="1330"/>
      <c r="F345" s="1330"/>
      <c r="G345" s="1330"/>
      <c r="H345" s="1330"/>
      <c r="I345" s="1330"/>
      <c r="J345" s="1330"/>
      <c r="K345" s="1330"/>
      <c r="L345" s="1330"/>
      <c r="M345" s="1330"/>
      <c r="N345" s="1330"/>
      <c r="O345" s="1330"/>
      <c r="P345" s="1330"/>
      <c r="Q345" s="1330"/>
      <c r="R345" s="1330"/>
      <c r="S345" s="1330"/>
      <c r="T345" s="1330"/>
      <c r="U345" s="1330"/>
      <c r="V345" s="1330"/>
      <c r="W345" s="1330"/>
      <c r="X345" s="1330"/>
      <c r="Y345" s="1330"/>
      <c r="Z345" s="1330"/>
      <c r="AA345" s="1330"/>
      <c r="AB345" s="1330"/>
      <c r="AC345" s="1330"/>
      <c r="AD345" s="1330"/>
      <c r="AE345" s="1330"/>
      <c r="AF345" s="1330"/>
      <c r="AG345" s="1330"/>
      <c r="AH345" s="1330"/>
      <c r="AI345" s="1330"/>
      <c r="AJ345" s="1330"/>
      <c r="AK345" s="1330"/>
    </row>
    <row r="346" spans="2:37" ht="13">
      <c r="B346" s="2"/>
      <c r="E346" s="3" t="s">
        <v>112</v>
      </c>
      <c r="F346" s="1276" t="s">
        <v>1236</v>
      </c>
      <c r="G346" s="1276"/>
      <c r="H346" s="1276"/>
      <c r="I346" s="1276"/>
      <c r="J346" s="1276"/>
      <c r="K346" s="1276"/>
      <c r="L346" s="1276"/>
      <c r="M346" s="1276"/>
      <c r="N346" s="1276"/>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row>
    <row r="347" spans="2:37" ht="13">
      <c r="B347" s="2"/>
      <c r="E347" s="3"/>
      <c r="F347" s="1276"/>
      <c r="G347" s="1276"/>
      <c r="H347" s="1276"/>
      <c r="I347" s="1276"/>
      <c r="J347" s="1276"/>
      <c r="K347" s="1276"/>
      <c r="L347" s="1276"/>
      <c r="M347" s="1276"/>
      <c r="N347" s="1276"/>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row>
    <row r="348" spans="2:37" ht="13">
      <c r="B348" s="2"/>
      <c r="E348" s="3"/>
      <c r="F348" s="1276"/>
      <c r="G348" s="1276"/>
      <c r="H348" s="1276"/>
      <c r="I348" s="1276"/>
      <c r="J348" s="1276"/>
      <c r="K348" s="1276"/>
      <c r="L348" s="1276"/>
      <c r="M348" s="1276"/>
      <c r="N348" s="1276"/>
      <c r="O348" s="1276"/>
      <c r="P348" s="1276"/>
      <c r="Q348" s="1276"/>
      <c r="R348" s="1276"/>
      <c r="S348" s="1276"/>
      <c r="T348" s="1276"/>
      <c r="U348" s="1276"/>
      <c r="V348" s="1276"/>
      <c r="W348" s="1276"/>
      <c r="X348" s="1276"/>
      <c r="Y348" s="1276"/>
      <c r="Z348" s="1276"/>
      <c r="AA348" s="1276"/>
      <c r="AB348" s="1276"/>
      <c r="AC348" s="1276"/>
      <c r="AD348" s="1276"/>
      <c r="AE348" s="1276"/>
      <c r="AF348" s="1276"/>
      <c r="AG348" s="1276"/>
      <c r="AH348" s="1276"/>
      <c r="AI348" s="1276"/>
      <c r="AJ348" s="1276"/>
      <c r="AK348" s="1276"/>
    </row>
    <row r="349" spans="2:37" ht="13">
      <c r="B349" s="2"/>
      <c r="E349" s="3"/>
      <c r="F349" s="1276"/>
      <c r="G349" s="1276"/>
      <c r="H349" s="1276"/>
      <c r="I349" s="1276"/>
      <c r="J349" s="1276"/>
      <c r="K349" s="1276"/>
      <c r="L349" s="1276"/>
      <c r="M349" s="1276"/>
      <c r="N349" s="1276"/>
      <c r="O349" s="1276"/>
      <c r="P349" s="1276"/>
      <c r="Q349" s="1276"/>
      <c r="R349" s="1276"/>
      <c r="S349" s="1276"/>
      <c r="T349" s="1276"/>
      <c r="U349" s="1276"/>
      <c r="V349" s="1276"/>
      <c r="W349" s="1276"/>
      <c r="X349" s="1276"/>
      <c r="Y349" s="1276"/>
      <c r="Z349" s="1276"/>
      <c r="AA349" s="1276"/>
      <c r="AB349" s="1276"/>
      <c r="AC349" s="1276"/>
      <c r="AD349" s="1276"/>
      <c r="AE349" s="1276"/>
      <c r="AF349" s="1276"/>
      <c r="AG349" s="1276"/>
      <c r="AH349" s="1276"/>
      <c r="AI349" s="1276"/>
      <c r="AJ349" s="1276"/>
      <c r="AK349" s="1276"/>
    </row>
    <row r="350" spans="2:37" ht="13">
      <c r="B350" s="2"/>
      <c r="E350" s="3" t="s">
        <v>113</v>
      </c>
      <c r="F350" s="1276" t="s">
        <v>1235</v>
      </c>
      <c r="G350" s="1276"/>
      <c r="H350" s="1276"/>
      <c r="I350" s="1276"/>
      <c r="J350" s="1276"/>
      <c r="K350" s="1276"/>
      <c r="L350" s="1276"/>
      <c r="M350" s="1276"/>
      <c r="N350" s="1276"/>
      <c r="O350" s="1276"/>
      <c r="P350" s="1276"/>
      <c r="Q350" s="1276"/>
      <c r="R350" s="1276"/>
      <c r="S350" s="1276"/>
      <c r="T350" s="1276"/>
      <c r="U350" s="1276"/>
      <c r="V350" s="1276"/>
      <c r="W350" s="1276"/>
      <c r="X350" s="1276"/>
      <c r="Y350" s="1276"/>
      <c r="Z350" s="1276"/>
      <c r="AA350" s="1276"/>
      <c r="AB350" s="1276"/>
      <c r="AC350" s="1276"/>
      <c r="AD350" s="1276"/>
      <c r="AE350" s="1276"/>
      <c r="AF350" s="1276"/>
      <c r="AG350" s="1276"/>
      <c r="AH350" s="1276"/>
      <c r="AI350" s="1276"/>
      <c r="AJ350" s="1276"/>
      <c r="AK350" s="1276"/>
    </row>
    <row r="351" spans="2:37" ht="13">
      <c r="B351" s="2"/>
      <c r="F351" s="1276"/>
      <c r="G351" s="1276"/>
      <c r="H351" s="1276"/>
      <c r="I351" s="1276"/>
      <c r="J351" s="1276"/>
      <c r="K351" s="1276"/>
      <c r="L351" s="1276"/>
      <c r="M351" s="1276"/>
      <c r="N351" s="1276"/>
      <c r="O351" s="1276"/>
      <c r="P351" s="1276"/>
      <c r="Q351" s="1276"/>
      <c r="R351" s="1276"/>
      <c r="S351" s="1276"/>
      <c r="T351" s="1276"/>
      <c r="U351" s="1276"/>
      <c r="V351" s="1276"/>
      <c r="W351" s="1276"/>
      <c r="X351" s="1276"/>
      <c r="Y351" s="1276"/>
      <c r="Z351" s="1276"/>
      <c r="AA351" s="1276"/>
      <c r="AB351" s="1276"/>
      <c r="AC351" s="1276"/>
      <c r="AD351" s="1276"/>
      <c r="AE351" s="1276"/>
      <c r="AF351" s="1276"/>
      <c r="AG351" s="1276"/>
      <c r="AH351" s="1276"/>
      <c r="AI351" s="1276"/>
      <c r="AJ351" s="1276"/>
      <c r="AK351" s="1276"/>
    </row>
    <row r="352" spans="2:37" ht="13">
      <c r="B352" s="2"/>
      <c r="F352" s="1276"/>
      <c r="G352" s="1276"/>
      <c r="H352" s="1276"/>
      <c r="I352" s="1276"/>
      <c r="J352" s="1276"/>
      <c r="K352" s="1276"/>
      <c r="L352" s="1276"/>
      <c r="M352" s="1276"/>
      <c r="N352" s="1276"/>
      <c r="O352" s="1276"/>
      <c r="P352" s="1276"/>
      <c r="Q352" s="1276"/>
      <c r="R352" s="1276"/>
      <c r="S352" s="1276"/>
      <c r="T352" s="1276"/>
      <c r="U352" s="1276"/>
      <c r="V352" s="1276"/>
      <c r="W352" s="1276"/>
      <c r="X352" s="1276"/>
      <c r="Y352" s="1276"/>
      <c r="Z352" s="1276"/>
      <c r="AA352" s="1276"/>
      <c r="AB352" s="1276"/>
      <c r="AC352" s="1276"/>
      <c r="AD352" s="1276"/>
      <c r="AE352" s="1276"/>
      <c r="AF352" s="1276"/>
      <c r="AG352" s="1276"/>
      <c r="AH352" s="1276"/>
      <c r="AI352" s="1276"/>
      <c r="AJ352" s="1276"/>
      <c r="AK352" s="1276"/>
    </row>
    <row r="353" spans="1:38" ht="13">
      <c r="B353" s="2"/>
      <c r="F353" s="4"/>
      <c r="H353" s="4"/>
      <c r="I353" s="4"/>
      <c r="J353" s="4"/>
      <c r="K353" s="4"/>
      <c r="L353" s="4"/>
      <c r="M353" s="4"/>
      <c r="N353" s="4"/>
      <c r="O353" s="4"/>
      <c r="P353" s="4"/>
      <c r="Q353" s="4"/>
      <c r="R353" s="4"/>
      <c r="S353" s="4"/>
    </row>
    <row r="354" spans="1:38" ht="13">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331" t="s">
        <v>1225</v>
      </c>
      <c r="F365" s="1331"/>
      <c r="G365" s="1331"/>
      <c r="H365" s="1331"/>
      <c r="I365" s="1331"/>
      <c r="J365" s="1331"/>
      <c r="K365" s="1331"/>
      <c r="L365" s="1331"/>
      <c r="M365" s="1331"/>
      <c r="N365" s="1331"/>
      <c r="O365" s="1331"/>
      <c r="P365" s="1331"/>
      <c r="Q365" s="1331"/>
      <c r="R365" s="1331"/>
      <c r="S365" s="1331"/>
      <c r="T365" s="1331"/>
      <c r="U365" s="1331"/>
      <c r="V365" s="1331"/>
      <c r="W365" s="1331"/>
      <c r="X365" s="1331"/>
      <c r="Y365" s="1331"/>
      <c r="Z365" s="1331"/>
      <c r="AA365" s="1331"/>
      <c r="AB365" s="1331"/>
      <c r="AC365" s="1331"/>
      <c r="AD365" s="1331"/>
      <c r="AE365" s="1331"/>
      <c r="AF365" s="1331"/>
      <c r="AG365" s="1331"/>
      <c r="AH365" s="1331"/>
      <c r="AI365" s="1331"/>
      <c r="AJ365" s="1331"/>
      <c r="AK365" s="1331"/>
      <c r="AL365" s="1331"/>
    </row>
    <row r="366" spans="1:38" ht="13">
      <c r="B366" s="2"/>
      <c r="E366" s="1331"/>
      <c r="F366" s="1331"/>
      <c r="G366" s="1331"/>
      <c r="H366" s="1331"/>
      <c r="I366" s="1331"/>
      <c r="J366" s="1331"/>
      <c r="K366" s="1331"/>
      <c r="L366" s="1331"/>
      <c r="M366" s="1331"/>
      <c r="N366" s="1331"/>
      <c r="O366" s="1331"/>
      <c r="P366" s="1331"/>
      <c r="Q366" s="1331"/>
      <c r="R366" s="1331"/>
      <c r="S366" s="1331"/>
      <c r="T366" s="1331"/>
      <c r="U366" s="1331"/>
      <c r="V366" s="1331"/>
      <c r="W366" s="1331"/>
      <c r="X366" s="1331"/>
      <c r="Y366" s="1331"/>
      <c r="Z366" s="1331"/>
      <c r="AA366" s="1331"/>
      <c r="AB366" s="1331"/>
      <c r="AC366" s="1331"/>
      <c r="AD366" s="1331"/>
      <c r="AE366" s="1331"/>
      <c r="AF366" s="1331"/>
      <c r="AG366" s="1331"/>
      <c r="AH366" s="1331"/>
      <c r="AI366" s="1331"/>
      <c r="AJ366" s="1331"/>
      <c r="AK366" s="1331"/>
      <c r="AL366" s="1331"/>
    </row>
    <row r="367" spans="1:38" s="1332" customFormat="1" ht="13">
      <c r="A367"/>
      <c r="B367" s="2"/>
      <c r="C367"/>
      <c r="D367"/>
      <c r="E367" s="1267" t="s">
        <v>1257</v>
      </c>
    </row>
    <row r="368" spans="1:38" s="1332"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76" t="s">
        <v>1268</v>
      </c>
      <c r="G386" s="1276"/>
      <c r="H386" s="1276"/>
      <c r="I386" s="1276"/>
      <c r="J386" s="1276"/>
      <c r="K386" s="1276"/>
      <c r="L386" s="1276"/>
      <c r="M386" s="1276"/>
      <c r="N386" s="1276"/>
      <c r="O386" s="1276"/>
      <c r="P386" s="1276"/>
      <c r="Q386" s="1276"/>
      <c r="R386" s="1276"/>
      <c r="S386" s="1276"/>
      <c r="T386" s="1276"/>
      <c r="U386" s="1276"/>
      <c r="V386" s="1276"/>
      <c r="W386" s="1276"/>
      <c r="X386" s="1276"/>
      <c r="Y386" s="1276"/>
      <c r="Z386" s="1276"/>
      <c r="AA386" s="1276"/>
      <c r="AB386" s="1276"/>
      <c r="AC386" s="1276"/>
      <c r="AD386" s="1276"/>
      <c r="AE386" s="1276"/>
      <c r="AF386" s="1276"/>
      <c r="AG386" s="1276"/>
      <c r="AH386" s="1276"/>
      <c r="AI386" s="1276"/>
      <c r="AJ386" s="1276"/>
      <c r="AK386" s="1276"/>
    </row>
    <row r="387" spans="1:38" ht="13">
      <c r="B387" s="2"/>
      <c r="E387" s="3"/>
      <c r="F387" s="1276"/>
      <c r="G387" s="1276"/>
      <c r="H387" s="1276"/>
      <c r="I387" s="1276"/>
      <c r="J387" s="1276"/>
      <c r="K387" s="1276"/>
      <c r="L387" s="1276"/>
      <c r="M387" s="1276"/>
      <c r="N387" s="1276"/>
      <c r="O387" s="1276"/>
      <c r="P387" s="1276"/>
      <c r="Q387" s="1276"/>
      <c r="R387" s="1276"/>
      <c r="S387" s="1276"/>
      <c r="T387" s="1276"/>
      <c r="U387" s="1276"/>
      <c r="V387" s="1276"/>
      <c r="W387" s="1276"/>
      <c r="X387" s="1276"/>
      <c r="Y387" s="1276"/>
      <c r="Z387" s="1276"/>
      <c r="AA387" s="1276"/>
      <c r="AB387" s="1276"/>
      <c r="AC387" s="1276"/>
      <c r="AD387" s="1276"/>
      <c r="AE387" s="1276"/>
      <c r="AF387" s="1276"/>
      <c r="AG387" s="1276"/>
      <c r="AH387" s="1276"/>
      <c r="AI387" s="1276"/>
      <c r="AJ387" s="1276"/>
      <c r="AK387" s="1276"/>
    </row>
    <row r="388" spans="1:38" ht="13">
      <c r="B388" s="2"/>
      <c r="E388" s="3"/>
      <c r="F388" s="1276"/>
      <c r="G388" s="1276"/>
      <c r="H388" s="1276"/>
      <c r="I388" s="1276"/>
      <c r="J388" s="1276"/>
      <c r="K388" s="1276"/>
      <c r="L388" s="1276"/>
      <c r="M388" s="1276"/>
      <c r="N388" s="1276"/>
      <c r="O388" s="1276"/>
      <c r="P388" s="1276"/>
      <c r="Q388" s="1276"/>
      <c r="R388" s="1276"/>
      <c r="S388" s="1276"/>
      <c r="T388" s="1276"/>
      <c r="U388" s="1276"/>
      <c r="V388" s="1276"/>
      <c r="W388" s="1276"/>
      <c r="X388" s="1276"/>
      <c r="Y388" s="1276"/>
      <c r="Z388" s="1276"/>
      <c r="AA388" s="1276"/>
      <c r="AB388" s="1276"/>
      <c r="AC388" s="1276"/>
      <c r="AD388" s="1276"/>
      <c r="AE388" s="1276"/>
      <c r="AF388" s="1276"/>
      <c r="AG388" s="1276"/>
      <c r="AH388" s="1276"/>
      <c r="AI388" s="1276"/>
      <c r="AJ388" s="1276"/>
      <c r="AK388" s="1276"/>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98" sqref="G98"/>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8" t="s">
        <v>1573</v>
      </c>
      <c r="B1" s="2658"/>
      <c r="C1" s="2658"/>
      <c r="D1" s="2658"/>
      <c r="E1" s="2658"/>
      <c r="F1" s="2658"/>
      <c r="G1" s="2658"/>
      <c r="H1" s="2658"/>
      <c r="I1" s="2658"/>
      <c r="J1" s="2658"/>
    </row>
    <row r="2" spans="1:13" ht="15" customHeight="1" thickBot="1">
      <c r="A2" s="1041"/>
      <c r="B2" s="1041"/>
      <c r="I2" s="1042"/>
      <c r="K2" s="1043"/>
    </row>
    <row r="3" spans="1:13" s="1046" customFormat="1" ht="20.149999999999999" customHeight="1">
      <c r="A3" s="1094"/>
      <c r="B3" s="1095"/>
      <c r="C3" s="1096"/>
      <c r="D3" s="1101"/>
      <c r="E3" s="1096"/>
      <c r="F3" s="1097" t="s">
        <v>1961</v>
      </c>
      <c r="G3" s="1096"/>
      <c r="H3" s="1098">
        <f>E18</f>
        <v>46453888.000000007</v>
      </c>
      <c r="I3" s="1099"/>
    </row>
    <row r="4" spans="1:13" s="1046" customFormat="1" ht="20.149999999999999" customHeight="1">
      <c r="B4" s="1088"/>
      <c r="D4" s="1102"/>
      <c r="F4" s="1087" t="s">
        <v>1963</v>
      </c>
      <c r="G4" s="1086" t="s">
        <v>1962</v>
      </c>
      <c r="H4" s="1201">
        <f>I18</f>
        <v>26185157.5</v>
      </c>
      <c r="I4" s="1089"/>
      <c r="K4" s="1050"/>
    </row>
    <row r="5" spans="1:13" s="1046" customFormat="1" ht="20.149999999999999" customHeight="1" thickBot="1">
      <c r="B5" s="1090"/>
      <c r="C5" s="1091"/>
      <c r="D5" s="1103"/>
      <c r="E5" s="1092"/>
      <c r="F5" s="1103" t="s">
        <v>1913</v>
      </c>
      <c r="G5" s="1104"/>
      <c r="H5" s="1100">
        <f>IFERROR(H3/H4,0)</f>
        <v>1.7740541755381845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1911</v>
      </c>
      <c r="C8" s="2662"/>
      <c r="D8" s="2662"/>
      <c r="E8" s="2663"/>
      <c r="G8" s="2664" t="s">
        <v>1912</v>
      </c>
      <c r="H8" s="2665"/>
      <c r="I8" s="2666"/>
      <c r="K8" s="1052"/>
    </row>
    <row r="9" spans="1:13" ht="15" customHeight="1">
      <c r="A9" s="1041"/>
      <c r="B9" s="2659" t="s">
        <v>1945</v>
      </c>
      <c r="C9" s="2659"/>
      <c r="D9" s="2659"/>
      <c r="E9" s="1054">
        <f>G33</f>
        <v>6287500</v>
      </c>
      <c r="G9" s="2655" t="s">
        <v>1943</v>
      </c>
      <c r="H9" s="2655"/>
      <c r="I9" s="1055">
        <f>MAX(SUMIF(Application!M562:M573,"Loan, Tax-Exempt",Application!AM562:AM573),27.5%*SUM('Sources and Uses Budget'!C8,'Sources and Uses Budget'!S105,'Sources and Uses Budget'!T105))</f>
        <v>21287300</v>
      </c>
      <c r="K9" s="1056"/>
      <c r="M9" s="1057"/>
    </row>
    <row r="10" spans="1:13" ht="15" customHeight="1" thickBot="1">
      <c r="A10" s="1041"/>
      <c r="B10" s="2659" t="s">
        <v>1946</v>
      </c>
      <c r="C10" s="2659"/>
      <c r="D10" s="2659"/>
      <c r="E10" s="1055">
        <f>G47</f>
        <v>33407388.000000007</v>
      </c>
      <c r="G10" s="2657" t="s">
        <v>1914</v>
      </c>
      <c r="H10" s="2657"/>
      <c r="I10" s="1134">
        <f>IF(OR(Application!Z205="State Farmworker Credit",Application!Z205="$500M (Farmworker Housing)"),0,'Basis &amp; Credits'!AB78)</f>
        <v>12500000</v>
      </c>
      <c r="M10" s="1057"/>
    </row>
    <row r="11" spans="1:13" ht="15" customHeight="1">
      <c r="A11" s="1041"/>
      <c r="B11" s="2668" t="s">
        <v>2208</v>
      </c>
      <c r="C11" s="2669"/>
      <c r="D11" s="2670"/>
      <c r="E11" s="1055">
        <f>SUM(E13,E12)</f>
        <v>220000</v>
      </c>
      <c r="G11" s="2667" t="s">
        <v>1954</v>
      </c>
      <c r="H11" s="2667"/>
      <c r="I11" s="1133">
        <f>I9+I10</f>
        <v>33787300</v>
      </c>
      <c r="M11" s="1057"/>
    </row>
    <row r="12" spans="1:13" ht="15" customHeight="1">
      <c r="A12" s="1058"/>
      <c r="B12" s="2660" t="s">
        <v>2567</v>
      </c>
      <c r="C12" s="2660"/>
      <c r="D12" s="2660"/>
      <c r="E12" s="1158">
        <f>G56</f>
        <v>220000</v>
      </c>
      <c r="M12" s="1057"/>
    </row>
    <row r="13" spans="1:13" ht="15" customHeight="1">
      <c r="A13" s="1044"/>
      <c r="B13" s="2660" t="s">
        <v>2568</v>
      </c>
      <c r="C13" s="2660"/>
      <c r="D13" s="2660"/>
      <c r="E13" s="1158">
        <f>IF(G67,MAX(G65,G79),G65)</f>
        <v>0</v>
      </c>
      <c r="G13" s="2664" t="s">
        <v>1977</v>
      </c>
      <c r="H13" s="2665"/>
      <c r="I13" s="2666"/>
    </row>
    <row r="14" spans="1:13" ht="15" customHeight="1">
      <c r="A14" s="1044"/>
      <c r="B14" s="2668" t="s">
        <v>2209</v>
      </c>
      <c r="C14" s="2669"/>
      <c r="D14" s="2670"/>
      <c r="E14" s="1160">
        <f>MAX(E15,E16)+E17</f>
        <v>6539000</v>
      </c>
      <c r="G14" s="2655" t="s">
        <v>2584</v>
      </c>
      <c r="H14" s="2655"/>
      <c r="I14" s="1059">
        <f>IF(AND(G134="Yes",G136&lt;&gt;""),IF(OR(G141="Yes",G145="Yes"),18%,15%),0)</f>
        <v>0.15</v>
      </c>
      <c r="M14" s="1057"/>
    </row>
    <row r="15" spans="1:13" ht="15" customHeight="1">
      <c r="A15" s="1044"/>
      <c r="B15" s="2671" t="s">
        <v>2581</v>
      </c>
      <c r="C15" s="2672"/>
      <c r="D15" s="2673"/>
      <c r="E15" s="1158">
        <f>G94</f>
        <v>2515000</v>
      </c>
      <c r="G15" s="1131" t="s">
        <v>1955</v>
      </c>
      <c r="H15" s="1131"/>
      <c r="I15" s="1059">
        <f>IF(Application!AJ1041&gt;0,10%,IF(Application!AJ1045&gt;0,5%,0))</f>
        <v>0.05</v>
      </c>
      <c r="M15" s="1057"/>
    </row>
    <row r="16" spans="1:13" ht="15" customHeight="1">
      <c r="A16" s="1044"/>
      <c r="B16" s="2671" t="s">
        <v>2582</v>
      </c>
      <c r="C16" s="2672"/>
      <c r="D16" s="2673"/>
      <c r="E16" s="1158">
        <f>G104</f>
        <v>0</v>
      </c>
      <c r="G16" s="2655" t="s">
        <v>1956</v>
      </c>
      <c r="H16" s="2655"/>
      <c r="I16" s="1059">
        <f>G155</f>
        <v>2.5000000000000001E-2</v>
      </c>
    </row>
    <row r="17" spans="1:21" ht="15" customHeight="1" thickBot="1">
      <c r="A17" s="1044"/>
      <c r="B17" s="2671" t="s">
        <v>2583</v>
      </c>
      <c r="C17" s="2672"/>
      <c r="D17" s="2673"/>
      <c r="E17" s="1158">
        <f>G129</f>
        <v>4024000</v>
      </c>
      <c r="G17" s="2655" t="s">
        <v>2217</v>
      </c>
      <c r="H17" s="2655"/>
      <c r="I17" s="1059">
        <f>IF(AND(G161="Yes",G159),IF(G165&gt;15%,15%,G165),0)</f>
        <v>0</v>
      </c>
    </row>
    <row r="18" spans="1:21" ht="15" customHeight="1">
      <c r="A18" s="1041"/>
      <c r="B18" s="2656" t="s">
        <v>1910</v>
      </c>
      <c r="C18" s="2656"/>
      <c r="D18" s="2656"/>
      <c r="E18" s="1105">
        <f>SUM(E9:E11,E14)</f>
        <v>46453888.000000007</v>
      </c>
      <c r="G18" s="1132" t="s">
        <v>1944</v>
      </c>
      <c r="H18" s="1132"/>
      <c r="I18" s="1106">
        <f>I11-((I11*I14)+(I11*I15)+(I11*I16)+(I11*I17))</f>
        <v>26185157.5</v>
      </c>
      <c r="M18" s="1060">
        <f>SUM(Cdlac[Quantity])</f>
        <v>95</v>
      </c>
      <c r="O18" s="1079" t="s">
        <v>582</v>
      </c>
      <c r="P18" s="1039">
        <f>MATCH(Application!T189,Application!CB160:CB217,0)</f>
        <v>44</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1335</v>
      </c>
      <c r="Q20" s="1157"/>
      <c r="R20" s="1060" cm="1">
        <f t="array" ref="R20">IF(Cdlac[[#This Row],[Quantity]]&gt;0,INDEX(HudFmrs,$P$18,Cdlac[[#This Row],[Bedrooms]]+1),"")</f>
        <v>4223</v>
      </c>
      <c r="S20" s="1060">
        <f>IF(Cdlac[[#This Row],[Quantity]]&gt;0,MAX(0,Cdlac[[#This Row],[Fair Market Rent]]-IF(AND($G$37,$G$38,$G$38&lt;&gt;"",NOT(Cdlac[[#This Row],[Federal]]),Cdlac[[#This Row],[Preservation Rent]]&lt;&gt;""),Cdlac[[#This Row],[Preservation Rent]],Cdlac[[#This Row],[Restricted Rent]])),"")</f>
        <v>2888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4</v>
      </c>
      <c r="N21" s="1066">
        <f>Application!AC727</f>
        <v>0.5</v>
      </c>
      <c r="O21" s="1066">
        <f>IF(Cdlac[[#This Row],[Quantity]]&gt;0,IF(Cdlac[[#This Row],[Federal]],30%,IF(AND(OR(NOT($G$38),$G$38=""),$G$43),40%,Cdlac[[#This Row],[iAMI]])),"")</f>
        <v>0.5</v>
      </c>
      <c r="P21" s="1060" cm="1">
        <f t="array" ref="P21">IF(Cdlac[[#This Row],[Quantity]]&gt;0,INDEX(TcacRents,$P$18,Cdlac[[#This Row],[Bedrooms]]+1)*Cdlac[[#This Row],[AMI]],"")</f>
        <v>2225</v>
      </c>
      <c r="Q21" s="1157"/>
      <c r="R21" s="1060" cm="1">
        <f t="array" ref="R21">IF(Cdlac[[#This Row],[Quantity]]&gt;0,INDEX(HudFmrs,$P$18,Cdlac[[#This Row],[Bedrooms]]+1),"")</f>
        <v>4223</v>
      </c>
      <c r="S21" s="1060">
        <f>IF(Cdlac[[#This Row],[Quantity]]&gt;0,MAX(0,Cdlac[[#This Row],[Fair Market Rent]]-IF(AND($G$37,$G$38,$G$38&lt;&gt;"",NOT(Cdlac[[#This Row],[Federal]]),Cdlac[[#This Row],[Preservation Rent]]&lt;&gt;""),Cdlac[[#This Row],[Preservation Rent]],Cdlac[[#This Row],[Restricted Rent]])),"")</f>
        <v>1998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1958</v>
      </c>
      <c r="D22" s="2645" t="s">
        <v>1959</v>
      </c>
      <c r="E22" s="2645" t="s">
        <v>1960</v>
      </c>
      <c r="F22" s="2645" t="s">
        <v>2532</v>
      </c>
      <c r="G22" s="2645" t="s">
        <v>1957</v>
      </c>
      <c r="H22" s="1065"/>
      <c r="I22" s="1064"/>
      <c r="L22" s="1039">
        <f>IFERROR(MIN(4,MATCH(Application!B728,UnitSizes,0)-1),"")</f>
        <v>2</v>
      </c>
      <c r="M22" s="1060">
        <f>Application!G728</f>
        <v>12</v>
      </c>
      <c r="N22" s="1066">
        <f>Application!AC728</f>
        <v>0.6</v>
      </c>
      <c r="O22" s="1066">
        <f>IF(Cdlac[[#This Row],[Quantity]]&gt;0,IF(Cdlac[[#This Row],[Federal]],30%,IF(AND(OR(NOT($G$38),$G$38=""),$G$43),40%,Cdlac[[#This Row],[iAMI]])),"")</f>
        <v>0.6</v>
      </c>
      <c r="P22" s="1060" cm="1">
        <f t="array" ref="P22">IF(Cdlac[[#This Row],[Quantity]]&gt;0,INDEX(TcacRents,$P$18,Cdlac[[#This Row],[Bedrooms]]+1)*Cdlac[[#This Row],[AMI]],"")</f>
        <v>2670</v>
      </c>
      <c r="Q22" s="1157"/>
      <c r="R22" s="1060" cm="1">
        <f t="array" ref="R22">IF(Cdlac[[#This Row],[Quantity]]&gt;0,INDEX(HudFmrs,$P$18,Cdlac[[#This Row],[Bedrooms]]+1),"")</f>
        <v>4223</v>
      </c>
      <c r="S22" s="1060">
        <f>IF(Cdlac[[#This Row],[Quantity]]&gt;0,MAX(0,Cdlac[[#This Row],[Fair Market Rent]]-IF(AND($G$37,$G$38,$G$38&lt;&gt;"",NOT(Cdlac[[#This Row],[Federal]]),Cdlac[[#This Row],[Preservation Rent]]&lt;&gt;""),Cdlac[[#This Row],[Preservation Rent]],Cdlac[[#This Row],[Restricted Rent]])),"")</f>
        <v>1553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2</v>
      </c>
      <c r="M23" s="1060">
        <f>Application!G729</f>
        <v>14</v>
      </c>
      <c r="N23" s="1066">
        <f>Application!AC729</f>
        <v>0.7</v>
      </c>
      <c r="O23" s="1066">
        <f>IF(Cdlac[[#This Row],[Quantity]]&gt;0,IF(Cdlac[[#This Row],[Federal]],30%,IF(AND(OR(NOT($G$38),$G$38=""),$G$43),40%,Cdlac[[#This Row],[iAMI]])),"")</f>
        <v>0.7</v>
      </c>
      <c r="P23" s="1060" cm="1">
        <f t="array" ref="P23">IF(Cdlac[[#This Row],[Quantity]]&gt;0,INDEX(TcacRents,$P$18,Cdlac[[#This Row],[Bedrooms]]+1)*Cdlac[[#This Row],[AMI]],"")</f>
        <v>3115</v>
      </c>
      <c r="Q23" s="1157"/>
      <c r="R23" s="1060" cm="1">
        <f t="array" ref="R23">IF(Cdlac[[#This Row],[Quantity]]&gt;0,INDEX(HudFmrs,$P$18,Cdlac[[#This Row],[Bedrooms]]+1),"")</f>
        <v>4223</v>
      </c>
      <c r="S23" s="1060">
        <f>IF(Cdlac[[#This Row],[Quantity]]&gt;0,MAX(0,Cdlac[[#This Row],[Fair Market Rent]]-IF(AND($G$37,$G$38,$G$38&lt;&gt;"",NOT(Cdlac[[#This Row],[Federal]]),Cdlac[[#This Row],[Preservation Rent]]&lt;&gt;""),Cdlac[[#This Row],[Preservation Rent]],Cdlac[[#This Row],[Restricted Rent]])),"")</f>
        <v>1108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7</v>
      </c>
      <c r="N24" s="1066">
        <f>Application!AC730</f>
        <v>0.3</v>
      </c>
      <c r="O24" s="1066">
        <f>IF(Cdlac[[#This Row],[Quantity]]&gt;0,IF(Cdlac[[#This Row],[Federal]],30%,IF(AND(OR(NOT($G$38),$G$38=""),$G$43),40%,Cdlac[[#This Row],[iAMI]])),"")</f>
        <v>0.3</v>
      </c>
      <c r="P24" s="1060" cm="1">
        <f t="array" ref="P24">IF(Cdlac[[#This Row],[Quantity]]&gt;0,INDEX(TcacRents,$P$18,Cdlac[[#This Row],[Bedrooms]]+1)*Cdlac[[#This Row],[AMI]],"")</f>
        <v>1542.6</v>
      </c>
      <c r="Q24" s="1157"/>
      <c r="R24" s="1060" cm="1">
        <f t="array" ref="R24">IF(Cdlac[[#This Row],[Quantity]]&gt;0,INDEX(HudFmrs,$P$18,Cdlac[[#This Row],[Bedrooms]]+1),"")</f>
        <v>5256</v>
      </c>
      <c r="S24" s="1060">
        <f>IF(Cdlac[[#This Row],[Quantity]]&gt;0,MAX(0,Cdlac[[#This Row],[Fair Market Rent]]-IF(AND($G$37,$G$38,$G$38&lt;&gt;"",NOT(Cdlac[[#This Row],[Federal]]),Cdlac[[#This Row],[Preservation Rent]]&lt;&gt;""),Cdlac[[#This Row],[Preservation Rent]],Cdlac[[#This Row],[Restricted Rent]])),"")</f>
        <v>3713.4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3</v>
      </c>
      <c r="M25" s="1060">
        <f>Application!G731</f>
        <v>7</v>
      </c>
      <c r="N25" s="1066">
        <f>Application!AC731</f>
        <v>0.5</v>
      </c>
      <c r="O25" s="1066">
        <f>IF(Cdlac[[#This Row],[Quantity]]&gt;0,IF(Cdlac[[#This Row],[Federal]],30%,IF(AND(OR(NOT($G$38),$G$38=""),$G$43),40%,Cdlac[[#This Row],[iAMI]])),"")</f>
        <v>0.5</v>
      </c>
      <c r="P25" s="1060" cm="1">
        <f t="array" ref="P25">IF(Cdlac[[#This Row],[Quantity]]&gt;0,INDEX(TcacRents,$P$18,Cdlac[[#This Row],[Bedrooms]]+1)*Cdlac[[#This Row],[AMI]],"")</f>
        <v>2571</v>
      </c>
      <c r="Q25" s="1157"/>
      <c r="R25" s="1060" cm="1">
        <f t="array" ref="R25">IF(Cdlac[[#This Row],[Quantity]]&gt;0,INDEX(HudFmrs,$P$18,Cdlac[[#This Row],[Bedrooms]]+1),"")</f>
        <v>5256</v>
      </c>
      <c r="S25" s="1060">
        <f>IF(Cdlac[[#This Row],[Quantity]]&gt;0,MAX(0,Cdlac[[#This Row],[Fair Market Rent]]-IF(AND($G$37,$G$38,$G$38&lt;&gt;"",NOT(Cdlac[[#This Row],[Federal]]),Cdlac[[#This Row],[Preservation Rent]]&lt;&gt;""),Cdlac[[#This Row],[Preservation Rent]],Cdlac[[#This Row],[Restricted Rent]])),"")</f>
        <v>2685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34</v>
      </c>
      <c r="F26" s="1070">
        <f>SUM(E26:E28)-SUM(F27:F28)</f>
        <v>67</v>
      </c>
      <c r="G26" s="1067">
        <f>D26*F26</f>
        <v>83.75</v>
      </c>
      <c r="H26" s="1069"/>
      <c r="I26" s="1069"/>
      <c r="L26" s="1039">
        <f>IFERROR(MIN(4,MATCH(Application!B732,UnitSizes,0)-1),"")</f>
        <v>3</v>
      </c>
      <c r="M26" s="1060">
        <f>Application!G732</f>
        <v>18</v>
      </c>
      <c r="N26" s="1066">
        <f>Application!AC732</f>
        <v>0.6</v>
      </c>
      <c r="O26" s="1066">
        <f>IF(Cdlac[[#This Row],[Quantity]]&gt;0,IF(Cdlac[[#This Row],[Federal]],30%,IF(AND(OR(NOT($G$38),$G$38=""),$G$43),40%,Cdlac[[#This Row],[iAMI]])),"")</f>
        <v>0.6</v>
      </c>
      <c r="P26" s="1060" cm="1">
        <f t="array" ref="P26">IF(Cdlac[[#This Row],[Quantity]]&gt;0,INDEX(TcacRents,$P$18,Cdlac[[#This Row],[Bedrooms]]+1)*Cdlac[[#This Row],[AMI]],"")</f>
        <v>3085.2</v>
      </c>
      <c r="Q26" s="1157"/>
      <c r="R26" s="1060" cm="1">
        <f t="array" ref="R26">IF(Cdlac[[#This Row],[Quantity]]&gt;0,INDEX(HudFmrs,$P$18,Cdlac[[#This Row],[Bedrooms]]+1),"")</f>
        <v>5256</v>
      </c>
      <c r="S26" s="1060">
        <f>IF(Cdlac[[#This Row],[Quantity]]&gt;0,MAX(0,Cdlac[[#This Row],[Fair Market Rent]]-IF(AND($G$37,$G$38,$G$38&lt;&gt;"",NOT(Cdlac[[#This Row],[Federal]]),Cdlac[[#This Row],[Preservation Rent]]&lt;&gt;""),Cdlac[[#This Row],[Preservation Rent]],Cdlac[[#This Row],[Restricted Rent]])),"")</f>
        <v>2170.8000000000002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61</v>
      </c>
      <c r="F27" s="1070">
        <f>MIN(E27,ROUNDDOWN(E29*30%,0))</f>
        <v>28</v>
      </c>
      <c r="G27" s="1067">
        <f>D27*F27</f>
        <v>42</v>
      </c>
      <c r="H27" s="1069"/>
      <c r="I27" s="1069"/>
      <c r="L27" s="1039">
        <f>IFERROR(MIN(4,MATCH(Application!B733,UnitSizes,0)-1),"")</f>
        <v>3</v>
      </c>
      <c r="M27" s="1060">
        <f>Application!G733</f>
        <v>29</v>
      </c>
      <c r="N27" s="1066">
        <f>Application!AC733</f>
        <v>0.7</v>
      </c>
      <c r="O27" s="1066">
        <f>IF(Cdlac[[#This Row],[Quantity]]&gt;0,IF(Cdlac[[#This Row],[Federal]],30%,IF(AND(OR(NOT($G$38),$G$38=""),$G$43),40%,Cdlac[[#This Row],[iAMI]])),"")</f>
        <v>0.7</v>
      </c>
      <c r="P27" s="1060" cm="1">
        <f t="array" ref="P27">IF(Cdlac[[#This Row],[Quantity]]&gt;0,INDEX(TcacRents,$P$18,Cdlac[[#This Row],[Bedrooms]]+1)*Cdlac[[#This Row],[AMI]],"")</f>
        <v>3599.3999999999996</v>
      </c>
      <c r="Q27" s="1157"/>
      <c r="R27" s="1060" cm="1">
        <f t="array" ref="R27">IF(Cdlac[[#This Row],[Quantity]]&gt;0,INDEX(HudFmrs,$P$18,Cdlac[[#This Row],[Bedrooms]]+1),"")</f>
        <v>5256</v>
      </c>
      <c r="S27" s="1060">
        <f>IF(Cdlac[[#This Row],[Quantity]]&gt;0,MAX(0,Cdlac[[#This Row],[Fair Market Rent]]-IF(AND($G$37,$G$38,$G$38&lt;&gt;"",NOT(Cdlac[[#This Row],[Federal]]),Cdlac[[#This Row],[Preservation Rent]]&lt;&gt;""),Cdlac[[#This Row],[Preservation Rent]],Cdlac[[#This Row],[Restricted Rent]])),"")</f>
        <v>1656.6000000000004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5" t="s">
        <v>1574</v>
      </c>
      <c r="D29" s="2676"/>
      <c r="E29" s="1084">
        <f>SUM(E24:E28)</f>
        <v>95</v>
      </c>
      <c r="F29" s="1084">
        <f>SUM(F24:F28)</f>
        <v>95</v>
      </c>
      <c r="G29" s="1085">
        <f>SUMPRODUCT(D24:D28,F24:F28)</f>
        <v>125.75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125.75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6287500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8" t="str">
        <f>IF(AND(G37,G38,G38&lt;&gt;""),"Enter the average rent charged for each unit type over the last three years, as documented with rent rolls or property audits, in cells Q20:Q44","")</f>
        <v/>
      </c>
      <c r="D39" s="2678"/>
      <c r="E39" s="2678"/>
      <c r="F39" s="2678"/>
      <c r="G39" s="2678"/>
      <c r="H39" s="267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8"/>
      <c r="D40" s="2678"/>
      <c r="E40" s="2678"/>
      <c r="F40" s="2678"/>
      <c r="G40" s="2678"/>
      <c r="H40" s="267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8"/>
      <c r="D41" s="2678"/>
      <c r="E41" s="2678"/>
      <c r="F41" s="2678"/>
      <c r="G41" s="2678"/>
      <c r="H41" s="267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0.59894736842105256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185596.60000000003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33407388.000000007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220000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47</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545</v>
      </c>
      <c r="L83" s="2647" t="s">
        <v>1941</v>
      </c>
      <c r="M83" s="2648"/>
      <c r="N83" s="1125">
        <v>30000</v>
      </c>
    </row>
    <row r="84" spans="2:14" ht="15" customHeight="1">
      <c r="C84" s="1072" t="s">
        <v>1953</v>
      </c>
      <c r="G84" s="1076" t="str">
        <f>IF(Application!D211="Large Family","Yes","No")</f>
        <v>Yes</v>
      </c>
      <c r="L84" s="2651" t="s">
        <v>1909</v>
      </c>
      <c r="M84" s="2652"/>
      <c r="N84" s="1126">
        <v>20000</v>
      </c>
    </row>
    <row r="85" spans="2:14" ht="15" customHeight="1" thickBot="1">
      <c r="C85" s="1072" t="s">
        <v>1939</v>
      </c>
      <c r="G85" s="1038" t="s">
        <v>668</v>
      </c>
      <c r="L85" s="2653" t="s">
        <v>1942</v>
      </c>
      <c r="M85" s="2654"/>
      <c r="N85" s="1127">
        <v>10000</v>
      </c>
    </row>
    <row r="86" spans="2:14" ht="15" customHeight="1" thickBot="1">
      <c r="C86" s="1072" t="s">
        <v>1940</v>
      </c>
      <c r="G86" s="1039" t="str">
        <f>Application!T193</f>
        <v>High Resource</v>
      </c>
    </row>
    <row r="87" spans="2:14" ht="15" customHeight="1">
      <c r="C87" s="2681" t="s">
        <v>2207</v>
      </c>
      <c r="D87" s="2681"/>
      <c r="E87" s="2681"/>
      <c r="F87" s="2681"/>
      <c r="G87" s="1038" t="s">
        <v>668</v>
      </c>
      <c r="L87" s="1121" t="str">
        <f>'Points System'!H651</f>
        <v>(i)</v>
      </c>
      <c r="M87" s="2649" t="s">
        <v>1396</v>
      </c>
      <c r="N87" s="2650"/>
    </row>
    <row r="88" spans="2:14" ht="15" customHeight="1">
      <c r="C88" s="2681"/>
      <c r="D88" s="2681"/>
      <c r="E88" s="2681"/>
      <c r="F88" s="2681"/>
      <c r="L88" s="1122" t="str">
        <f>'Points System'!H663</f>
        <v>N/A</v>
      </c>
      <c r="M88" s="2641" t="s">
        <v>1928</v>
      </c>
      <c r="N88" s="2642"/>
    </row>
    <row r="89" spans="2:14" ht="15" customHeight="1">
      <c r="C89" s="1072"/>
      <c r="L89" s="1122" t="str">
        <f>'Points System'!H698</f>
        <v>(v)</v>
      </c>
      <c r="M89" s="2641" t="s">
        <v>1929</v>
      </c>
      <c r="N89" s="2642"/>
    </row>
    <row r="90" spans="2:14" ht="15" customHeight="1">
      <c r="E90" s="1079" t="s">
        <v>1971</v>
      </c>
      <c r="G90" s="1074" t="b">
        <f>OR(AND(COUNTIFS(G84:G85,"Yes")&gt;=1,G83="Yes"),G87="Yes")</f>
        <v>1</v>
      </c>
      <c r="L90" s="1122" t="str">
        <f>IF(OR('Points System'!H722="(ii)",'Points System'!H722="(i)"),"(i)","N/A")</f>
        <v>(i)</v>
      </c>
      <c r="M90" s="2641" t="s">
        <v>1930</v>
      </c>
      <c r="N90" s="2642"/>
    </row>
    <row r="91" spans="2:14" ht="15" customHeight="1">
      <c r="E91" s="1079"/>
      <c r="G91" s="1074"/>
      <c r="L91" s="1123" t="str">
        <f>'Points System'!H736</f>
        <v>N/A</v>
      </c>
      <c r="M91" s="2641" t="s">
        <v>1422</v>
      </c>
      <c r="N91" s="2642"/>
    </row>
    <row r="92" spans="2:14" ht="15" customHeight="1">
      <c r="E92" s="1079" t="s">
        <v>1916</v>
      </c>
      <c r="G92" s="1073">
        <f>IFERROR(IF($G$87="Yes",30000,INDEX(N83:N85,MATCH(LEFT(G86,17),L83:L85,0))),0)</f>
        <v>20000</v>
      </c>
      <c r="L92" s="1122" t="str">
        <f>'Points System'!H748</f>
        <v>N/A</v>
      </c>
      <c r="M92" s="2641" t="s">
        <v>1931</v>
      </c>
      <c r="N92" s="2642"/>
    </row>
    <row r="93" spans="2:14" ht="15" customHeight="1">
      <c r="E93" s="1079" t="str">
        <f>E110</f>
        <v>Bedroom-Adjusted Low-Income Units</v>
      </c>
      <c r="F93" s="1107" t="s">
        <v>1964</v>
      </c>
      <c r="G93" s="1108">
        <f>G29</f>
        <v>125.75</v>
      </c>
      <c r="L93" s="1122" t="str">
        <f>'Points System'!H764</f>
        <v>(i)</v>
      </c>
      <c r="M93" s="2641" t="s">
        <v>1932</v>
      </c>
      <c r="N93" s="2642"/>
    </row>
    <row r="94" spans="2:14" ht="15" customHeight="1" thickBot="1">
      <c r="D94" s="1041"/>
      <c r="E94" s="1112" t="s">
        <v>2210</v>
      </c>
      <c r="F94" s="1041"/>
      <c r="G94" s="1117">
        <f>G93*G92*G90</f>
        <v>2515000</v>
      </c>
      <c r="L94" s="1124" t="str">
        <f>'Points System'!H776</f>
        <v>(i)</v>
      </c>
      <c r="M94" s="2643" t="s">
        <v>1425</v>
      </c>
      <c r="N94" s="264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125.75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125.75</v>
      </c>
    </row>
    <row r="111" spans="2:9" ht="15" customHeight="1">
      <c r="E111" s="1112" t="s">
        <v>1933</v>
      </c>
      <c r="F111" s="1041"/>
      <c r="G111" s="1117">
        <f>G108*G109*G110</f>
        <v>2012000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2012000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4.5">
      <c r="E125" s="1079" t="s">
        <v>1968</v>
      </c>
      <c r="F125" s="1107" t="s">
        <v>1964</v>
      </c>
      <c r="G125" s="1108">
        <f>G29</f>
        <v>125.75</v>
      </c>
    </row>
    <row r="126" spans="2:7" ht="14.5">
      <c r="E126" s="1079" t="s">
        <v>1916</v>
      </c>
      <c r="F126" s="1107" t="s">
        <v>1964</v>
      </c>
      <c r="G126" s="1118">
        <v>25000</v>
      </c>
    </row>
    <row r="127" spans="2:7">
      <c r="E127" s="1112" t="s">
        <v>1935</v>
      </c>
      <c r="F127" s="1041"/>
      <c r="G127" s="1117">
        <f>G123*G126*G110</f>
        <v>0</v>
      </c>
    </row>
    <row r="128" spans="2:7">
      <c r="C128" s="1072"/>
      <c r="E128" s="1072"/>
    </row>
    <row r="129" spans="2:9">
      <c r="E129" s="1112" t="s">
        <v>2212</v>
      </c>
      <c r="G129" s="1117">
        <f>G127+G115+G111</f>
        <v>4024000</v>
      </c>
    </row>
    <row r="131" spans="2:9">
      <c r="B131" s="1061" t="s">
        <v>139</v>
      </c>
      <c r="C131" s="1062"/>
      <c r="D131" s="1062"/>
      <c r="E131" s="1062"/>
      <c r="F131" s="1062"/>
      <c r="G131" s="1062"/>
      <c r="H131" s="1062"/>
      <c r="I131" s="1063"/>
    </row>
    <row r="133" spans="2:9">
      <c r="C133" s="2677" t="s">
        <v>2179</v>
      </c>
      <c r="D133" s="2677"/>
      <c r="E133" s="2677"/>
      <c r="F133" s="2677"/>
    </row>
    <row r="134" spans="2:9">
      <c r="C134" s="2677"/>
      <c r="D134" s="2677"/>
      <c r="E134" s="2677"/>
      <c r="F134" s="2677"/>
      <c r="G134" s="1038" t="s">
        <v>545</v>
      </c>
    </row>
    <row r="135" spans="2:9" ht="14.25" customHeight="1"/>
    <row r="136" spans="2:9">
      <c r="C136" s="1039" t="s">
        <v>2181</v>
      </c>
      <c r="G136" s="2679" t="s">
        <v>2725</v>
      </c>
      <c r="H136" s="2679"/>
    </row>
    <row r="137" spans="2:9">
      <c r="G137" s="2679"/>
      <c r="H137" s="2679"/>
    </row>
    <row r="138" spans="2:9">
      <c r="G138" s="2680"/>
      <c r="H138" s="2680"/>
    </row>
    <row r="140" spans="2:9">
      <c r="C140" s="2677" t="s">
        <v>2586</v>
      </c>
      <c r="D140" s="2677"/>
      <c r="E140" s="2677"/>
      <c r="F140" s="2677"/>
    </row>
    <row r="141" spans="2:9">
      <c r="C141" s="2677"/>
      <c r="D141" s="2677"/>
      <c r="E141" s="2677"/>
      <c r="F141" s="2677"/>
      <c r="G141" s="1038"/>
    </row>
    <row r="142" spans="2:9">
      <c r="C142" s="2677"/>
      <c r="D142" s="2677"/>
      <c r="E142" s="2677"/>
      <c r="F142" s="2677"/>
    </row>
    <row r="144" spans="2:9">
      <c r="C144" s="2677" t="s">
        <v>2585</v>
      </c>
      <c r="D144" s="2677"/>
      <c r="E144" s="2677"/>
      <c r="F144" s="2677"/>
    </row>
    <row r="145" spans="2:9">
      <c r="C145" s="2677"/>
      <c r="D145" s="2677"/>
      <c r="E145" s="2677"/>
      <c r="F145" s="2677"/>
      <c r="G145" s="1038"/>
    </row>
    <row r="146" spans="2:9">
      <c r="C146" s="2677"/>
      <c r="D146" s="2677"/>
      <c r="E146" s="2677"/>
      <c r="F146" s="2677"/>
    </row>
    <row r="147" spans="2:9">
      <c r="C147" s="2677"/>
      <c r="D147" s="2677"/>
      <c r="E147" s="2677"/>
      <c r="F147" s="2677"/>
    </row>
    <row r="149" spans="2:9">
      <c r="B149" s="1061" t="s">
        <v>1973</v>
      </c>
      <c r="C149" s="1062"/>
      <c r="D149" s="1062"/>
      <c r="E149" s="1062"/>
      <c r="F149" s="1062"/>
      <c r="G149" s="1062"/>
      <c r="H149" s="1062"/>
      <c r="I149" s="1063"/>
    </row>
    <row r="151" spans="2:9">
      <c r="E151" s="1079" t="s">
        <v>582</v>
      </c>
      <c r="G151" s="1039" t="str">
        <f>IF(Application!T189="","",Application!T189)</f>
        <v>Santa Cruz</v>
      </c>
    </row>
    <row r="152" spans="2:9">
      <c r="E152" s="1079"/>
      <c r="G152" s="1073"/>
    </row>
    <row r="153" spans="2:9">
      <c r="E153" s="1079" t="str">
        <f>"2-Bedroom "&amp;G151&amp;" County Basis Limit"</f>
        <v>2-Bedroom Santa Cruz County Basis Limit</v>
      </c>
      <c r="G153" s="1073">
        <f>Application!R997</f>
        <v>616000</v>
      </c>
    </row>
    <row r="154" spans="2:9">
      <c r="E154" s="1079" t="s">
        <v>1972</v>
      </c>
      <c r="G154" s="1073">
        <f>MEDIAN((Application!CU160:CU217))</f>
        <v>560000</v>
      </c>
    </row>
    <row r="155" spans="2:9">
      <c r="D155" s="1041"/>
      <c r="E155" s="1112" t="s">
        <v>1974</v>
      </c>
      <c r="F155" s="1128"/>
      <c r="G155" s="1129">
        <f>((G153-G154)/G154)*0.25</f>
        <v>2.5000000000000001E-2</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74" t="s">
        <v>2214</v>
      </c>
      <c r="D160" s="2674"/>
      <c r="E160" s="2674"/>
      <c r="F160" s="2674"/>
    </row>
    <row r="161" spans="2:7">
      <c r="B161" s="1040"/>
      <c r="C161" s="2674"/>
      <c r="D161" s="2674"/>
      <c r="E161" s="2674"/>
      <c r="F161" s="2674"/>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3193095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2" t="s">
        <v>908</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4.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2 Bedrooms</v>
      </c>
      <c r="B4" s="1077">
        <f>Application!G726</f>
        <v>4</v>
      </c>
      <c r="C4" s="1155"/>
      <c r="D4" s="428">
        <f>Application!O726</f>
        <v>1153</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4</v>
      </c>
      <c r="C5" s="1155"/>
      <c r="D5" s="428">
        <f>Application!O727</f>
        <v>2043</v>
      </c>
      <c r="E5" s="429"/>
      <c r="F5" s="1078"/>
      <c r="G5" s="428">
        <f t="shared" ref="G5:G38" si="2">F5*B5</f>
        <v>0</v>
      </c>
      <c r="H5" s="429"/>
      <c r="I5" s="428" t="str">
        <f t="shared" si="0"/>
        <v/>
      </c>
      <c r="J5" s="428" t="str">
        <f t="shared" si="1"/>
        <v/>
      </c>
      <c r="K5" s="204"/>
      <c r="L5" s="305"/>
    </row>
    <row r="6" spans="1:12">
      <c r="A6" s="428" t="str">
        <f>Application!B728</f>
        <v>2 Bedrooms</v>
      </c>
      <c r="B6" s="1077">
        <f>Application!G728</f>
        <v>12</v>
      </c>
      <c r="C6" s="1155"/>
      <c r="D6" s="428">
        <f>Application!O728</f>
        <v>2488</v>
      </c>
      <c r="E6" s="429"/>
      <c r="F6" s="1078"/>
      <c r="G6" s="428">
        <f t="shared" si="2"/>
        <v>0</v>
      </c>
      <c r="H6" s="429"/>
      <c r="I6" s="428" t="str">
        <f t="shared" si="0"/>
        <v/>
      </c>
      <c r="J6" s="428" t="str">
        <f t="shared" si="1"/>
        <v/>
      </c>
      <c r="K6" s="204"/>
      <c r="L6" s="305"/>
    </row>
    <row r="7" spans="1:12">
      <c r="A7" s="428" t="str">
        <f>Application!B729</f>
        <v>2 Bedrooms</v>
      </c>
      <c r="B7" s="1077">
        <f>Application!G729</f>
        <v>14</v>
      </c>
      <c r="C7" s="1155"/>
      <c r="D7" s="428">
        <f>Application!O729</f>
        <v>2933</v>
      </c>
      <c r="E7" s="429"/>
      <c r="F7" s="1078"/>
      <c r="G7" s="428">
        <f t="shared" si="2"/>
        <v>0</v>
      </c>
      <c r="H7" s="429"/>
      <c r="I7" s="428" t="str">
        <f t="shared" si="0"/>
        <v/>
      </c>
      <c r="J7" s="428" t="str">
        <f t="shared" si="1"/>
        <v/>
      </c>
      <c r="K7" s="204"/>
      <c r="L7" s="305"/>
    </row>
    <row r="8" spans="1:12">
      <c r="A8" s="428" t="str">
        <f>Application!B730</f>
        <v>3 Bedrooms</v>
      </c>
      <c r="B8" s="1077">
        <f>Application!G730</f>
        <v>7</v>
      </c>
      <c r="C8" s="1155"/>
      <c r="D8" s="428">
        <f>Application!O730</f>
        <v>1306</v>
      </c>
      <c r="E8" s="429"/>
      <c r="F8" s="1078"/>
      <c r="G8" s="428">
        <f t="shared" si="2"/>
        <v>0</v>
      </c>
      <c r="H8" s="429"/>
      <c r="I8" s="428" t="str">
        <f t="shared" si="0"/>
        <v/>
      </c>
      <c r="J8" s="428" t="str">
        <f t="shared" si="1"/>
        <v/>
      </c>
      <c r="K8" s="204"/>
      <c r="L8" s="305"/>
    </row>
    <row r="9" spans="1:12">
      <c r="A9" s="428" t="str">
        <f>Application!B731</f>
        <v>3 Bedrooms</v>
      </c>
      <c r="B9" s="1077">
        <f>Application!G731</f>
        <v>7</v>
      </c>
      <c r="C9" s="1155"/>
      <c r="D9" s="428">
        <f>Application!O731</f>
        <v>2335</v>
      </c>
      <c r="E9" s="429"/>
      <c r="F9" s="1078"/>
      <c r="G9" s="428">
        <f t="shared" si="2"/>
        <v>0</v>
      </c>
      <c r="H9" s="429"/>
      <c r="I9" s="428" t="str">
        <f t="shared" si="0"/>
        <v/>
      </c>
      <c r="J9" s="428" t="str">
        <f t="shared" si="1"/>
        <v/>
      </c>
      <c r="K9" s="204"/>
      <c r="L9" s="305"/>
    </row>
    <row r="10" spans="1:12">
      <c r="A10" s="428" t="str">
        <f>Application!B732</f>
        <v>3 Bedrooms</v>
      </c>
      <c r="B10" s="1077">
        <f>Application!G732</f>
        <v>18</v>
      </c>
      <c r="C10" s="1155"/>
      <c r="D10" s="428">
        <f>Application!O732</f>
        <v>2849</v>
      </c>
      <c r="E10" s="429"/>
      <c r="F10" s="1078"/>
      <c r="G10" s="428">
        <f t="shared" si="2"/>
        <v>0</v>
      </c>
      <c r="H10" s="429"/>
      <c r="I10" s="428" t="str">
        <f t="shared" si="0"/>
        <v/>
      </c>
      <c r="J10" s="428" t="str">
        <f t="shared" si="1"/>
        <v/>
      </c>
      <c r="K10" s="204"/>
      <c r="L10" s="305"/>
    </row>
    <row r="11" spans="1:12">
      <c r="A11" s="428" t="str">
        <f>Application!B733</f>
        <v>3 Bedrooms</v>
      </c>
      <c r="B11" s="1077">
        <f>Application!G733</f>
        <v>29</v>
      </c>
      <c r="C11" s="1155"/>
      <c r="D11" s="428">
        <f>Application!O733</f>
        <v>3363</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257998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83" t="s">
        <v>2424</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2204</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workbookViewId="0">
      <selection activeCell="C55" sqref="C55"/>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2047</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3095976</v>
      </c>
      <c r="G4" s="219">
        <f>E4*$C$4</f>
        <v>3173375.4</v>
      </c>
      <c r="I4" s="219">
        <f>G4*$C$4</f>
        <v>3252709.7849999997</v>
      </c>
      <c r="K4" s="219">
        <f>I4*$C$4</f>
        <v>3334027.5296249995</v>
      </c>
      <c r="M4" s="219">
        <f>K4*$C$4</f>
        <v>3417378.217865624</v>
      </c>
      <c r="O4" s="219">
        <f>M4*$C$4</f>
        <v>3502812.6733122645</v>
      </c>
      <c r="Q4" s="219">
        <f>O4*$C$4</f>
        <v>3590382.9901450709</v>
      </c>
      <c r="S4" s="219">
        <f>Q4*$C$4</f>
        <v>3680142.5648986972</v>
      </c>
      <c r="U4" s="219">
        <f>S4*$C$4</f>
        <v>3772146.1290211645</v>
      </c>
      <c r="W4" s="219">
        <f>U4*$C$4</f>
        <v>3866449.7822466935</v>
      </c>
      <c r="Y4" s="219">
        <f>W4*$C$4</f>
        <v>3963111.0268028607</v>
      </c>
      <c r="AA4" s="219">
        <f>Y4*$C$4</f>
        <v>4062188.8024729318</v>
      </c>
      <c r="AC4" s="219">
        <f>AA4*$C$4</f>
        <v>4163743.5225347546</v>
      </c>
      <c r="AE4" s="219">
        <f>AC4*$C$4</f>
        <v>4267837.1105981227</v>
      </c>
      <c r="AG4" s="219">
        <f>AE4*$C$4</f>
        <v>4374533.0383630758</v>
      </c>
    </row>
    <row r="5" spans="1:34" s="210" customFormat="1" ht="14">
      <c r="B5" s="210" t="s">
        <v>837</v>
      </c>
      <c r="C5" s="238">
        <f>IF(Application!$D$211="Special Needs",(((0.1*Application!$T$212)+(0.05*(1-Application!$T$212)))),0.05)</f>
        <v>0.05</v>
      </c>
      <c r="E5" s="221">
        <f>-E4*$C$5</f>
        <v>-154798.80000000002</v>
      </c>
      <c r="F5" s="221"/>
      <c r="G5" s="221">
        <f>-G4*$C$5</f>
        <v>-158668.77000000002</v>
      </c>
      <c r="H5" s="221"/>
      <c r="I5" s="221">
        <f>-I4*$C$5</f>
        <v>-162635.48924999998</v>
      </c>
      <c r="J5" s="221"/>
      <c r="K5" s="221">
        <f>-K4*$C$5</f>
        <v>-166701.37648124999</v>
      </c>
      <c r="L5" s="221"/>
      <c r="M5" s="221">
        <f>-M4*$C$5</f>
        <v>-170868.91089328122</v>
      </c>
      <c r="N5" s="221"/>
      <c r="O5" s="221">
        <f>-O4*$C$5</f>
        <v>-175140.63366561325</v>
      </c>
      <c r="P5" s="221"/>
      <c r="Q5" s="221">
        <f>-Q4*$C$5</f>
        <v>-179519.14950725355</v>
      </c>
      <c r="R5" s="221"/>
      <c r="S5" s="221">
        <f>-S4*$C$5</f>
        <v>-184007.12824493487</v>
      </c>
      <c r="T5" s="221"/>
      <c r="U5" s="221">
        <f>-U4*$C$5</f>
        <v>-188607.30645105825</v>
      </c>
      <c r="V5" s="221"/>
      <c r="W5" s="221">
        <f>-W4*$C$5</f>
        <v>-193322.48911233468</v>
      </c>
      <c r="X5" s="221"/>
      <c r="Y5" s="221">
        <f>-Y4*$C$5</f>
        <v>-198155.55134014305</v>
      </c>
      <c r="Z5" s="221"/>
      <c r="AA5" s="221">
        <f>-AA4*$C$5</f>
        <v>-203109.44012364661</v>
      </c>
      <c r="AB5" s="221"/>
      <c r="AC5" s="221">
        <f>-AC4*$C$5</f>
        <v>-208187.17612673773</v>
      </c>
      <c r="AD5" s="221"/>
      <c r="AE5" s="221">
        <f>-AE4*$C$5</f>
        <v>-213391.85552990614</v>
      </c>
      <c r="AF5" s="221"/>
      <c r="AG5" s="221">
        <f>-AG4*$C$5</f>
        <v>-218726.6519181538</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13824</v>
      </c>
      <c r="F8" s="222"/>
      <c r="G8" s="222">
        <f>E8*$C$8</f>
        <v>14169.599999999999</v>
      </c>
      <c r="H8" s="222"/>
      <c r="I8" s="222">
        <f>G8*$C$8</f>
        <v>14523.839999999997</v>
      </c>
      <c r="J8" s="222"/>
      <c r="K8" s="222">
        <f>I8*$C$8</f>
        <v>14886.935999999994</v>
      </c>
      <c r="L8" s="222"/>
      <c r="M8" s="222">
        <f>K8*$C$8</f>
        <v>15259.109399999992</v>
      </c>
      <c r="N8" s="222"/>
      <c r="O8" s="222">
        <f>M8*$C$8</f>
        <v>15640.587134999991</v>
      </c>
      <c r="P8" s="222"/>
      <c r="Q8" s="222">
        <f>O8*$C$8</f>
        <v>16031.601813374989</v>
      </c>
      <c r="R8" s="222"/>
      <c r="S8" s="222">
        <f>Q8*$C$8</f>
        <v>16432.391858709361</v>
      </c>
      <c r="T8" s="222"/>
      <c r="U8" s="222">
        <f>S8*$C$8</f>
        <v>16843.201655177094</v>
      </c>
      <c r="V8" s="222"/>
      <c r="W8" s="222">
        <f>U8*$C$8</f>
        <v>17264.281696556518</v>
      </c>
      <c r="X8" s="222"/>
      <c r="Y8" s="222">
        <f>W8*$C$8</f>
        <v>17695.888738970429</v>
      </c>
      <c r="Z8" s="222"/>
      <c r="AA8" s="222">
        <f>Y8*$C$8</f>
        <v>18138.285957444688</v>
      </c>
      <c r="AB8" s="222"/>
      <c r="AC8" s="222">
        <f>AA8*$C$8</f>
        <v>18591.743106380804</v>
      </c>
      <c r="AD8" s="222"/>
      <c r="AE8" s="222">
        <f>AC8*$C$8</f>
        <v>19056.536684040322</v>
      </c>
      <c r="AF8" s="222"/>
      <c r="AG8" s="222">
        <f>AE8*$C$8</f>
        <v>19532.950101141327</v>
      </c>
    </row>
    <row r="9" spans="1:34" s="210" customFormat="1" ht="14">
      <c r="B9" s="210" t="s">
        <v>837</v>
      </c>
      <c r="C9" s="238">
        <f>IF(Application!$D$211="Special Needs",(((0.1*Application!$T$212)+(0.05*(1-Application!$T$212)))),0.05)</f>
        <v>0.05</v>
      </c>
      <c r="E9" s="221">
        <f>-E8*$C$9</f>
        <v>-691.2</v>
      </c>
      <c r="F9" s="221"/>
      <c r="G9" s="221">
        <f>-G8*$C$9</f>
        <v>-708.48</v>
      </c>
      <c r="H9" s="221"/>
      <c r="I9" s="221">
        <f>-I8*$C$9</f>
        <v>-726.19199999999989</v>
      </c>
      <c r="J9" s="221"/>
      <c r="K9" s="221">
        <f>-K8*$C$9</f>
        <v>-744.3467999999998</v>
      </c>
      <c r="L9" s="221"/>
      <c r="M9" s="221">
        <f>-M8*$C$9</f>
        <v>-762.95546999999965</v>
      </c>
      <c r="N9" s="221"/>
      <c r="O9" s="221">
        <f>-O8*$C$9</f>
        <v>-782.02935674999958</v>
      </c>
      <c r="P9" s="221"/>
      <c r="Q9" s="221">
        <f>-Q8*$C$9</f>
        <v>-801.58009066874956</v>
      </c>
      <c r="R9" s="221"/>
      <c r="S9" s="221">
        <f>-S8*$C$9</f>
        <v>-821.61959293546806</v>
      </c>
      <c r="T9" s="221"/>
      <c r="U9" s="221">
        <f>-U8*$C$9</f>
        <v>-842.16008275885474</v>
      </c>
      <c r="V9" s="221"/>
      <c r="W9" s="221">
        <f>-W8*$C$9</f>
        <v>-863.2140848278259</v>
      </c>
      <c r="X9" s="221"/>
      <c r="Y9" s="221">
        <f>-Y8*$C$9</f>
        <v>-884.79443694852148</v>
      </c>
      <c r="Z9" s="221"/>
      <c r="AA9" s="221">
        <f>-AA8*$C$9</f>
        <v>-906.91429787223444</v>
      </c>
      <c r="AB9" s="221"/>
      <c r="AC9" s="221">
        <f>-AC8*$C$9</f>
        <v>-929.58715531904022</v>
      </c>
      <c r="AD9" s="221"/>
      <c r="AE9" s="221">
        <f>-AE8*$C$9</f>
        <v>-952.82683420201613</v>
      </c>
      <c r="AF9" s="221"/>
      <c r="AG9" s="221">
        <f>-AG8*$C$9</f>
        <v>-976.64750505706638</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2954310</v>
      </c>
      <c r="G11" s="223">
        <f>SUM(G4:G10)</f>
        <v>3028167.75</v>
      </c>
      <c r="I11" s="223">
        <f>SUM(I4:I10)</f>
        <v>3103871.9437499996</v>
      </c>
      <c r="K11" s="223">
        <f>SUM(K4:K10)</f>
        <v>3181468.7423437499</v>
      </c>
      <c r="M11" s="223">
        <f>SUM(M4:M10)</f>
        <v>3261005.4609023426</v>
      </c>
      <c r="O11" s="223">
        <f>SUM(O4:O10)</f>
        <v>3342530.5974249011</v>
      </c>
      <c r="Q11" s="223">
        <f>SUM(Q4:Q10)</f>
        <v>3426093.862360524</v>
      </c>
      <c r="S11" s="223">
        <f>SUM(S4:S10)</f>
        <v>3511746.2089195363</v>
      </c>
      <c r="U11" s="223">
        <f>SUM(U4:U10)</f>
        <v>3599539.8641425241</v>
      </c>
      <c r="W11" s="223">
        <f>SUM(W4:W10)</f>
        <v>3689528.3607460875</v>
      </c>
      <c r="Y11" s="223">
        <f>SUM(Y4:Y10)</f>
        <v>3781766.5697647394</v>
      </c>
      <c r="AA11" s="223">
        <f>SUM(AA4:AA10)</f>
        <v>3876310.7340088575</v>
      </c>
      <c r="AC11" s="223">
        <f>SUM(AC4:AC10)</f>
        <v>3973218.5023590792</v>
      </c>
      <c r="AE11" s="223">
        <f>SUM(AE4:AE10)</f>
        <v>4072548.9649180551</v>
      </c>
      <c r="AG11" s="223">
        <f>SUM(AG4:AG10)</f>
        <v>4174362.6890410064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51632</v>
      </c>
      <c r="G15" s="219">
        <f>E15*$C$14</f>
        <v>53439.119999999995</v>
      </c>
      <c r="I15" s="219">
        <f>G15*$C$14</f>
        <v>55309.489199999989</v>
      </c>
      <c r="K15" s="219">
        <f>I15*$C$14</f>
        <v>57245.321321999982</v>
      </c>
      <c r="M15" s="219">
        <f>K15*$C$14</f>
        <v>59248.907568269977</v>
      </c>
      <c r="O15" s="219">
        <f>M15*$C$14</f>
        <v>61322.619333159419</v>
      </c>
      <c r="Q15" s="219">
        <f>O15*$C$14</f>
        <v>63468.911009819996</v>
      </c>
      <c r="S15" s="219">
        <f>Q15*$C$14</f>
        <v>65690.322895163685</v>
      </c>
      <c r="U15" s="219">
        <f>S15*$C$14</f>
        <v>67989.484196494406</v>
      </c>
      <c r="W15" s="219">
        <f>U15*$C$14</f>
        <v>70369.116143371706</v>
      </c>
      <c r="Y15" s="219">
        <f>W15*$C$14</f>
        <v>72832.035208389716</v>
      </c>
      <c r="AA15" s="219">
        <f>Y15*$C$14</f>
        <v>75381.15644068335</v>
      </c>
      <c r="AC15" s="219">
        <f>AA15*$C$14</f>
        <v>78019.496916107266</v>
      </c>
      <c r="AE15" s="219">
        <f>AC15*$C$14</f>
        <v>80750.17930817102</v>
      </c>
      <c r="AG15" s="219">
        <f>AE15*$C$14</f>
        <v>83576.435583957005</v>
      </c>
    </row>
    <row r="16" spans="1:34" s="210" customFormat="1" ht="14">
      <c r="A16" s="210" t="s">
        <v>344</v>
      </c>
      <c r="C16" s="233"/>
      <c r="E16" s="222">
        <f>Application!W857</f>
        <v>120960</v>
      </c>
      <c r="F16" s="222"/>
      <c r="G16" s="222">
        <f t="shared" ref="G16:AG21" si="0">E16*$C$14</f>
        <v>125193.59999999999</v>
      </c>
      <c r="H16" s="222"/>
      <c r="I16" s="222">
        <f t="shared" si="0"/>
        <v>129575.37599999997</v>
      </c>
      <c r="J16" s="222"/>
      <c r="K16" s="222">
        <f t="shared" si="0"/>
        <v>134110.51415999996</v>
      </c>
      <c r="L16" s="222"/>
      <c r="M16" s="222">
        <f t="shared" si="0"/>
        <v>138804.38215559995</v>
      </c>
      <c r="N16" s="222"/>
      <c r="O16" s="222">
        <f t="shared" si="0"/>
        <v>143662.53553104593</v>
      </c>
      <c r="P16" s="222"/>
      <c r="Q16" s="222">
        <f t="shared" si="0"/>
        <v>148690.72427463252</v>
      </c>
      <c r="R16" s="222"/>
      <c r="S16" s="222">
        <f t="shared" si="0"/>
        <v>153894.89962424466</v>
      </c>
      <c r="T16" s="222"/>
      <c r="U16" s="222">
        <f t="shared" si="0"/>
        <v>159281.22111109321</v>
      </c>
      <c r="V16" s="222"/>
      <c r="W16" s="222">
        <f t="shared" si="0"/>
        <v>164856.06384998147</v>
      </c>
      <c r="X16" s="222"/>
      <c r="Y16" s="222">
        <f t="shared" si="0"/>
        <v>170626.02608473081</v>
      </c>
      <c r="Z16" s="222"/>
      <c r="AA16" s="222">
        <f t="shared" si="0"/>
        <v>176597.93699769638</v>
      </c>
      <c r="AB16" s="222"/>
      <c r="AC16" s="222">
        <f t="shared" si="0"/>
        <v>182778.86479261573</v>
      </c>
      <c r="AD16" s="222"/>
      <c r="AE16" s="222">
        <f t="shared" si="0"/>
        <v>189176.12506035727</v>
      </c>
      <c r="AF16" s="222"/>
      <c r="AG16" s="222">
        <f t="shared" si="0"/>
        <v>195797.28943746976</v>
      </c>
    </row>
    <row r="17" spans="1:33" s="210" customFormat="1" ht="14">
      <c r="A17" s="210" t="s">
        <v>561</v>
      </c>
      <c r="C17" s="233"/>
      <c r="E17" s="222">
        <f>Application!W863</f>
        <v>120000</v>
      </c>
      <c r="F17" s="222"/>
      <c r="G17" s="222">
        <f t="shared" si="0"/>
        <v>124199.99999999999</v>
      </c>
      <c r="H17" s="222"/>
      <c r="I17" s="222">
        <f t="shared" si="0"/>
        <v>128546.99999999997</v>
      </c>
      <c r="J17" s="222"/>
      <c r="K17" s="222">
        <f t="shared" si="0"/>
        <v>133046.14499999996</v>
      </c>
      <c r="L17" s="222"/>
      <c r="M17" s="222">
        <f t="shared" si="0"/>
        <v>137702.76007499994</v>
      </c>
      <c r="N17" s="222"/>
      <c r="O17" s="222">
        <f t="shared" si="0"/>
        <v>142522.35667762492</v>
      </c>
      <c r="P17" s="222"/>
      <c r="Q17" s="222">
        <f t="shared" si="0"/>
        <v>147510.63916134179</v>
      </c>
      <c r="R17" s="222"/>
      <c r="S17" s="222">
        <f t="shared" si="0"/>
        <v>152673.51153198874</v>
      </c>
      <c r="T17" s="222"/>
      <c r="U17" s="222">
        <f t="shared" si="0"/>
        <v>158017.08443560833</v>
      </c>
      <c r="V17" s="222"/>
      <c r="W17" s="222">
        <f t="shared" si="0"/>
        <v>163547.68239085461</v>
      </c>
      <c r="X17" s="222"/>
      <c r="Y17" s="222">
        <f t="shared" si="0"/>
        <v>169271.85127453451</v>
      </c>
      <c r="Z17" s="222"/>
      <c r="AA17" s="222">
        <f t="shared" si="0"/>
        <v>175196.3660691432</v>
      </c>
      <c r="AB17" s="222"/>
      <c r="AC17" s="222">
        <f t="shared" si="0"/>
        <v>181328.23888156319</v>
      </c>
      <c r="AD17" s="222"/>
      <c r="AE17" s="222">
        <f t="shared" si="0"/>
        <v>187674.7272424179</v>
      </c>
      <c r="AF17" s="222"/>
      <c r="AG17" s="222">
        <f t="shared" si="0"/>
        <v>194243.34269590251</v>
      </c>
    </row>
    <row r="18" spans="1:33" s="210" customFormat="1" ht="14">
      <c r="A18" s="210" t="s">
        <v>841</v>
      </c>
      <c r="C18" s="233"/>
      <c r="E18" s="222">
        <f>Application!W870</f>
        <v>162888</v>
      </c>
      <c r="F18" s="222"/>
      <c r="G18" s="222">
        <f t="shared" si="0"/>
        <v>168589.08</v>
      </c>
      <c r="H18" s="222"/>
      <c r="I18" s="222">
        <f t="shared" si="0"/>
        <v>174489.69779999997</v>
      </c>
      <c r="J18" s="222"/>
      <c r="K18" s="222">
        <f t="shared" si="0"/>
        <v>180596.83722299995</v>
      </c>
      <c r="L18" s="222"/>
      <c r="M18" s="222">
        <f t="shared" si="0"/>
        <v>186917.72652580493</v>
      </c>
      <c r="N18" s="222"/>
      <c r="O18" s="222">
        <f t="shared" si="0"/>
        <v>193459.8469542081</v>
      </c>
      <c r="P18" s="222"/>
      <c r="Q18" s="222">
        <f t="shared" si="0"/>
        <v>200230.94159760536</v>
      </c>
      <c r="R18" s="222"/>
      <c r="S18" s="222">
        <f t="shared" si="0"/>
        <v>207239.02455352154</v>
      </c>
      <c r="T18" s="222"/>
      <c r="U18" s="222">
        <f t="shared" si="0"/>
        <v>214492.39041289478</v>
      </c>
      <c r="V18" s="222"/>
      <c r="W18" s="222">
        <f t="shared" si="0"/>
        <v>221999.62407734609</v>
      </c>
      <c r="X18" s="222"/>
      <c r="Y18" s="222">
        <f t="shared" si="0"/>
        <v>229769.61092005318</v>
      </c>
      <c r="Z18" s="222"/>
      <c r="AA18" s="222">
        <f t="shared" si="0"/>
        <v>237811.54730225503</v>
      </c>
      <c r="AB18" s="222"/>
      <c r="AC18" s="222">
        <f t="shared" si="0"/>
        <v>246134.95145783393</v>
      </c>
      <c r="AD18" s="222"/>
      <c r="AE18" s="222">
        <f t="shared" si="0"/>
        <v>254749.67475885811</v>
      </c>
      <c r="AF18" s="222"/>
      <c r="AG18" s="222">
        <f t="shared" si="0"/>
        <v>263665.91337541811</v>
      </c>
    </row>
    <row r="19" spans="1:33" s="210" customFormat="1" ht="14">
      <c r="A19" s="210" t="s">
        <v>155</v>
      </c>
      <c r="C19" s="233"/>
      <c r="E19" s="222">
        <f>Application!W872</f>
        <v>80000</v>
      </c>
      <c r="F19" s="222"/>
      <c r="G19" s="222">
        <f t="shared" si="0"/>
        <v>82800</v>
      </c>
      <c r="H19" s="222"/>
      <c r="I19" s="222">
        <f t="shared" si="0"/>
        <v>85698</v>
      </c>
      <c r="J19" s="222"/>
      <c r="K19" s="222">
        <f t="shared" si="0"/>
        <v>88697.43</v>
      </c>
      <c r="L19" s="222"/>
      <c r="M19" s="222">
        <f t="shared" si="0"/>
        <v>91801.840049999984</v>
      </c>
      <c r="N19" s="222"/>
      <c r="O19" s="222">
        <f t="shared" si="0"/>
        <v>95014.904451749971</v>
      </c>
      <c r="P19" s="222"/>
      <c r="Q19" s="222">
        <f t="shared" si="0"/>
        <v>98340.426107561216</v>
      </c>
      <c r="R19" s="222"/>
      <c r="S19" s="222">
        <f t="shared" si="0"/>
        <v>101782.34102132585</v>
      </c>
      <c r="T19" s="222"/>
      <c r="U19" s="222">
        <f t="shared" si="0"/>
        <v>105344.72295707224</v>
      </c>
      <c r="V19" s="222"/>
      <c r="W19" s="222">
        <f t="shared" si="0"/>
        <v>109031.78826056977</v>
      </c>
      <c r="X19" s="222"/>
      <c r="Y19" s="222">
        <f t="shared" si="0"/>
        <v>112847.9008496897</v>
      </c>
      <c r="Z19" s="222"/>
      <c r="AA19" s="222">
        <f t="shared" si="0"/>
        <v>116797.57737942883</v>
      </c>
      <c r="AB19" s="222"/>
      <c r="AC19" s="222">
        <f t="shared" si="0"/>
        <v>120885.49258770882</v>
      </c>
      <c r="AD19" s="222"/>
      <c r="AE19" s="222">
        <f t="shared" si="0"/>
        <v>125116.48482827863</v>
      </c>
      <c r="AF19" s="222"/>
      <c r="AG19" s="222">
        <f t="shared" si="0"/>
        <v>129495.56179726837</v>
      </c>
    </row>
    <row r="20" spans="1:33" s="210" customFormat="1" ht="14">
      <c r="A20" s="210" t="s">
        <v>390</v>
      </c>
      <c r="C20" s="233"/>
      <c r="E20" s="222">
        <f>Application!W881</f>
        <v>59720</v>
      </c>
      <c r="F20" s="222"/>
      <c r="G20" s="222">
        <f t="shared" si="0"/>
        <v>61810.2</v>
      </c>
      <c r="H20" s="222"/>
      <c r="I20" s="222">
        <f t="shared" si="0"/>
        <v>63973.556999999993</v>
      </c>
      <c r="J20" s="222"/>
      <c r="K20" s="222">
        <f t="shared" si="0"/>
        <v>66212.631494999994</v>
      </c>
      <c r="L20" s="222"/>
      <c r="M20" s="222">
        <f t="shared" si="0"/>
        <v>68530.073597324983</v>
      </c>
      <c r="N20" s="222"/>
      <c r="O20" s="222">
        <f t="shared" si="0"/>
        <v>70928.626173231358</v>
      </c>
      <c r="P20" s="222"/>
      <c r="Q20" s="222">
        <f t="shared" si="0"/>
        <v>73411.128089294449</v>
      </c>
      <c r="R20" s="222"/>
      <c r="S20" s="222">
        <f t="shared" si="0"/>
        <v>75980.517572419747</v>
      </c>
      <c r="T20" s="222"/>
      <c r="U20" s="222">
        <f t="shared" si="0"/>
        <v>78639.835687454426</v>
      </c>
      <c r="V20" s="222"/>
      <c r="W20" s="222">
        <f t="shared" si="0"/>
        <v>81392.22993651533</v>
      </c>
      <c r="X20" s="222"/>
      <c r="Y20" s="222">
        <f t="shared" si="0"/>
        <v>84240.95798429336</v>
      </c>
      <c r="Z20" s="222"/>
      <c r="AA20" s="222">
        <f t="shared" si="0"/>
        <v>87189.391513743627</v>
      </c>
      <c r="AB20" s="222"/>
      <c r="AC20" s="222">
        <f t="shared" si="0"/>
        <v>90241.020216724646</v>
      </c>
      <c r="AD20" s="222"/>
      <c r="AE20" s="222">
        <f t="shared" si="0"/>
        <v>93399.455924310008</v>
      </c>
      <c r="AF20" s="222"/>
      <c r="AG20" s="222">
        <f t="shared" si="0"/>
        <v>96668.436881660848</v>
      </c>
    </row>
    <row r="21" spans="1:33" s="210" customFormat="1" ht="1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595200</v>
      </c>
      <c r="G22" s="223">
        <f>SUM(G15:G21)</f>
        <v>616031.99999999988</v>
      </c>
      <c r="I22" s="223">
        <f>SUM(I15:I21)</f>
        <v>637593.11999999988</v>
      </c>
      <c r="K22" s="223">
        <f>SUM(K15:K21)</f>
        <v>659908.87919999985</v>
      </c>
      <c r="M22" s="223">
        <f>SUM(M15:M21)</f>
        <v>683005.68997199985</v>
      </c>
      <c r="O22" s="223">
        <f>SUM(O15:O21)</f>
        <v>706910.88912101975</v>
      </c>
      <c r="Q22" s="223">
        <f>SUM(Q15:Q21)</f>
        <v>731652.77024025528</v>
      </c>
      <c r="S22" s="223">
        <f>SUM(S15:S21)</f>
        <v>757260.61719866423</v>
      </c>
      <c r="U22" s="223">
        <f>SUM(U15:U21)</f>
        <v>783764.7388006174</v>
      </c>
      <c r="W22" s="223">
        <f>SUM(W15:W21)</f>
        <v>811196.50465863897</v>
      </c>
      <c r="Y22" s="223">
        <f>SUM(Y15:Y21)</f>
        <v>839588.38232169126</v>
      </c>
      <c r="AA22" s="223">
        <f>SUM(AA15:AA21)</f>
        <v>868973.97570295038</v>
      </c>
      <c r="AC22" s="223">
        <f>SUM(AC15:AC21)</f>
        <v>899388.06485255365</v>
      </c>
      <c r="AE22" s="223">
        <f>SUM(AE15:AE21)</f>
        <v>930866.6471223929</v>
      </c>
      <c r="AG22" s="223">
        <f>SUM(AG15:AG21)</f>
        <v>963446.97977167659</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
      <c r="A28" s="210" t="s">
        <v>845</v>
      </c>
      <c r="C28" s="237"/>
      <c r="E28" s="222">
        <f>Application!AC898</f>
        <v>24000</v>
      </c>
      <c r="F28" s="222"/>
      <c r="G28" s="222">
        <f>$E$28</f>
        <v>24000</v>
      </c>
      <c r="H28" s="222"/>
      <c r="I28" s="222">
        <f>$E$28</f>
        <v>24000</v>
      </c>
      <c r="J28" s="222"/>
      <c r="K28" s="222">
        <f>$E$28</f>
        <v>24000</v>
      </c>
      <c r="L28" s="222"/>
      <c r="M28" s="222">
        <f>$E$28</f>
        <v>24000</v>
      </c>
      <c r="N28" s="222"/>
      <c r="O28" s="222">
        <f>$E$28</f>
        <v>24000</v>
      </c>
      <c r="P28" s="222"/>
      <c r="Q28" s="222">
        <f>$E$28</f>
        <v>24000</v>
      </c>
      <c r="R28" s="222"/>
      <c r="S28" s="222">
        <f>$E$28</f>
        <v>24000</v>
      </c>
      <c r="T28" s="222"/>
      <c r="U28" s="222">
        <f>$E$28</f>
        <v>24000</v>
      </c>
      <c r="V28" s="222"/>
      <c r="W28" s="222">
        <f>$E$28</f>
        <v>24000</v>
      </c>
      <c r="X28" s="222"/>
      <c r="Y28" s="222">
        <f>$E$28</f>
        <v>24000</v>
      </c>
      <c r="Z28" s="222"/>
      <c r="AA28" s="222">
        <f>$E$28</f>
        <v>24000</v>
      </c>
      <c r="AB28" s="222"/>
      <c r="AC28" s="222">
        <f>$E$28</f>
        <v>24000</v>
      </c>
      <c r="AD28" s="222"/>
      <c r="AE28" s="222">
        <f>$E$28</f>
        <v>24000</v>
      </c>
      <c r="AF28" s="222"/>
      <c r="AG28" s="222">
        <f>$E$28</f>
        <v>24000</v>
      </c>
    </row>
    <row r="29" spans="1:33" s="210" customFormat="1" ht="14">
      <c r="A29" s="210" t="s">
        <v>1668</v>
      </c>
      <c r="C29" s="237"/>
      <c r="E29" s="222">
        <f>Application!AC899</f>
        <v>14495</v>
      </c>
      <c r="F29" s="222"/>
      <c r="G29" s="222">
        <f>$E$29</f>
        <v>14495</v>
      </c>
      <c r="H29" s="222"/>
      <c r="I29" s="222">
        <f>$E$29</f>
        <v>14495</v>
      </c>
      <c r="J29" s="222"/>
      <c r="K29" s="222">
        <f>$E$29</f>
        <v>14495</v>
      </c>
      <c r="L29" s="222"/>
      <c r="M29" s="222">
        <f>$E$29</f>
        <v>14495</v>
      </c>
      <c r="N29" s="222"/>
      <c r="O29" s="222">
        <f>$E$29</f>
        <v>14495</v>
      </c>
      <c r="P29" s="222"/>
      <c r="Q29" s="222">
        <f>$E$29</f>
        <v>14495</v>
      </c>
      <c r="R29" s="222"/>
      <c r="S29" s="222">
        <f>$E$29</f>
        <v>14495</v>
      </c>
      <c r="T29" s="222"/>
      <c r="U29" s="222">
        <f>$E$29</f>
        <v>14495</v>
      </c>
      <c r="V29" s="222"/>
      <c r="W29" s="222">
        <f>$E$29</f>
        <v>14495</v>
      </c>
      <c r="X29" s="222"/>
      <c r="Y29" s="222">
        <f>$E$29</f>
        <v>14495</v>
      </c>
      <c r="Z29" s="222"/>
      <c r="AA29" s="222">
        <f>$E$29</f>
        <v>14495</v>
      </c>
      <c r="AB29" s="222"/>
      <c r="AC29" s="222">
        <f>$E$29</f>
        <v>14495</v>
      </c>
      <c r="AD29" s="222"/>
      <c r="AE29" s="222">
        <f>$E$29</f>
        <v>14495</v>
      </c>
      <c r="AF29" s="222"/>
      <c r="AG29" s="222">
        <f>$E$29</f>
        <v>14495</v>
      </c>
    </row>
    <row r="30" spans="1:33" s="210" customFormat="1" ht="14">
      <c r="A30" s="210" t="s">
        <v>843</v>
      </c>
      <c r="C30" s="237">
        <v>1.02</v>
      </c>
      <c r="E30" s="222">
        <f>Application!AC900</f>
        <v>19675</v>
      </c>
      <c r="F30" s="222"/>
      <c r="G30" s="222">
        <f>E30*$C$30</f>
        <v>20068.5</v>
      </c>
      <c r="H30" s="222"/>
      <c r="I30" s="222">
        <f>G30*$C$30</f>
        <v>20469.87</v>
      </c>
      <c r="J30" s="222"/>
      <c r="K30" s="222">
        <f>I30*$C$30</f>
        <v>20879.267400000001</v>
      </c>
      <c r="L30" s="222"/>
      <c r="M30" s="222">
        <f>K30*$C$30</f>
        <v>21296.852748000001</v>
      </c>
      <c r="N30" s="222"/>
      <c r="O30" s="222">
        <f>M30*$C$30</f>
        <v>21722.78980296</v>
      </c>
      <c r="P30" s="222"/>
      <c r="Q30" s="222">
        <f>O30*$C$30</f>
        <v>22157.245599019199</v>
      </c>
      <c r="R30" s="222"/>
      <c r="S30" s="222">
        <f>Q30*$C$30</f>
        <v>22600.390510999583</v>
      </c>
      <c r="T30" s="222"/>
      <c r="U30" s="222">
        <f>S30*$C$30</f>
        <v>23052.398321219574</v>
      </c>
      <c r="V30" s="222"/>
      <c r="W30" s="222">
        <f>U30*$C$30</f>
        <v>23513.446287643965</v>
      </c>
      <c r="X30" s="222"/>
      <c r="Y30" s="222">
        <f>W30*$C$30</f>
        <v>23983.715213396845</v>
      </c>
      <c r="Z30" s="222"/>
      <c r="AA30" s="222">
        <f>Y30*$C$30</f>
        <v>24463.389517664782</v>
      </c>
      <c r="AB30" s="222"/>
      <c r="AC30" s="222">
        <f>AA30*$C$30</f>
        <v>24952.657308018079</v>
      </c>
      <c r="AD30" s="222"/>
      <c r="AE30" s="222">
        <f>AC30*$C$30</f>
        <v>25451.710454178439</v>
      </c>
      <c r="AF30" s="222"/>
      <c r="AG30" s="222">
        <f>AE30*$C$30</f>
        <v>25960.744663262009</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683370</v>
      </c>
      <c r="G35" s="223">
        <f>SUM(G22:G33)</f>
        <v>705645.49999999988</v>
      </c>
      <c r="I35" s="223">
        <f>SUM(I22:I33)</f>
        <v>728694.73999999987</v>
      </c>
      <c r="K35" s="223">
        <f>SUM(K22:K33)</f>
        <v>752544.68284999987</v>
      </c>
      <c r="M35" s="223">
        <f>SUM(M22:M33)</f>
        <v>777223.23273874982</v>
      </c>
      <c r="O35" s="223">
        <f>SUM(O22:O33)</f>
        <v>802759.26809338597</v>
      </c>
      <c r="Q35" s="223">
        <f>SUM(Q22:Q33)</f>
        <v>829182.67562960996</v>
      </c>
      <c r="S35" s="223">
        <f>SUM(S22:S33)</f>
        <v>856524.38559266098</v>
      </c>
      <c r="U35" s="223">
        <f>SUM(U22:U33)</f>
        <v>884816.40823073906</v>
      </c>
      <c r="W35" s="223">
        <f>SUM(W22:W33)</f>
        <v>914091.87154399662</v>
      </c>
      <c r="Y35" s="223">
        <f>SUM(Y22:Y33)</f>
        <v>944385.06035372172</v>
      </c>
      <c r="AA35" s="223">
        <f>SUM(AA22:AA33)</f>
        <v>975731.45673790097</v>
      </c>
      <c r="AC35" s="223">
        <f>SUM(AC22:AC33)</f>
        <v>1008167.7818809625</v>
      </c>
      <c r="AE35" s="223">
        <f>SUM(AE22:AE33)</f>
        <v>1041732.0393871758</v>
      </c>
      <c r="AG35" s="223">
        <f>SUM(AG22:AG33)</f>
        <v>1076463.5601089143</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2270940</v>
      </c>
      <c r="G37" s="223">
        <f>G11-G35</f>
        <v>2322522.25</v>
      </c>
      <c r="I37" s="223">
        <f>I11-I35</f>
        <v>2375177.2037499999</v>
      </c>
      <c r="K37" s="223">
        <f>K11-K35</f>
        <v>2428924.0594937499</v>
      </c>
      <c r="M37" s="223">
        <f>M11-M35</f>
        <v>2483782.2281635925</v>
      </c>
      <c r="O37" s="223">
        <f>O11-O35</f>
        <v>2539771.3293315154</v>
      </c>
      <c r="Q37" s="223">
        <f>Q11-Q35</f>
        <v>2596911.1867309138</v>
      </c>
      <c r="S37" s="223">
        <f>S11-S35</f>
        <v>2655221.8233268755</v>
      </c>
      <c r="U37" s="223">
        <f>U11-U35</f>
        <v>2714723.4559117849</v>
      </c>
      <c r="W37" s="223">
        <f>W11-W35</f>
        <v>2775436.489202091</v>
      </c>
      <c r="Y37" s="223">
        <f>Y11-Y35</f>
        <v>2837381.5094110174</v>
      </c>
      <c r="AA37" s="223">
        <f>AA11-AA35</f>
        <v>2900579.2772709564</v>
      </c>
      <c r="AC37" s="223">
        <f>AC11-AC35</f>
        <v>2965050.7204781165</v>
      </c>
      <c r="AE37" s="223">
        <f>AE11-AE35</f>
        <v>3030816.9255308793</v>
      </c>
      <c r="AG37" s="223">
        <f>AG11-AG35</f>
        <v>3097899.1289320923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Permanent Loan</v>
      </c>
      <c r="B40" s="226"/>
      <c r="C40" s="220"/>
      <c r="E40" s="222">
        <f>Application!AF635</f>
        <v>1975052.4275828556</v>
      </c>
      <c r="F40" s="222"/>
      <c r="G40" s="222">
        <f>$E$40</f>
        <v>1975052.4275828556</v>
      </c>
      <c r="H40" s="222"/>
      <c r="I40" s="222">
        <f>$E$40</f>
        <v>1975052.4275828556</v>
      </c>
      <c r="J40" s="222"/>
      <c r="K40" s="222">
        <f>$E$40</f>
        <v>1975052.4275828556</v>
      </c>
      <c r="L40" s="222"/>
      <c r="M40" s="222">
        <f>$E$40</f>
        <v>1975052.4275828556</v>
      </c>
      <c r="N40" s="222"/>
      <c r="O40" s="222">
        <f>$E$40</f>
        <v>1975052.4275828556</v>
      </c>
      <c r="P40" s="222"/>
      <c r="Q40" s="222">
        <f>$E$40</f>
        <v>1975052.4275828556</v>
      </c>
      <c r="R40" s="222"/>
      <c r="S40" s="222">
        <f>$E$40</f>
        <v>1975052.4275828556</v>
      </c>
      <c r="T40" s="222"/>
      <c r="U40" s="222">
        <f>$E$40</f>
        <v>1975052.4275828556</v>
      </c>
      <c r="V40" s="222"/>
      <c r="W40" s="222">
        <f>$E$40</f>
        <v>1975052.4275828556</v>
      </c>
      <c r="X40" s="222"/>
      <c r="Y40" s="222">
        <f>$E$40</f>
        <v>1975052.4275828556</v>
      </c>
      <c r="Z40" s="222"/>
      <c r="AA40" s="222">
        <f>$E$40</f>
        <v>1975052.4275828556</v>
      </c>
      <c r="AB40" s="222"/>
      <c r="AC40" s="222">
        <f>$E$40</f>
        <v>1975052.4275828556</v>
      </c>
      <c r="AD40" s="222"/>
      <c r="AE40" s="222">
        <f>$E$40</f>
        <v>1975052.4275828556</v>
      </c>
      <c r="AF40" s="222"/>
      <c r="AG40" s="222">
        <f>$E$40</f>
        <v>1975052.4275828556</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1975052.4275828556</v>
      </c>
      <c r="G43" s="223">
        <f>SUM(G40:G42)</f>
        <v>1975052.4275828556</v>
      </c>
      <c r="I43" s="223">
        <f>SUM(I40:I42)</f>
        <v>1975052.4275828556</v>
      </c>
      <c r="K43" s="223">
        <f>SUM(K40:K42)</f>
        <v>1975052.4275828556</v>
      </c>
      <c r="M43" s="223">
        <f>SUM(M40:M42)</f>
        <v>1975052.4275828556</v>
      </c>
      <c r="O43" s="223">
        <f>SUM(O40:O42)</f>
        <v>1975052.4275828556</v>
      </c>
      <c r="Q43" s="223">
        <f>SUM(Q40:Q42)</f>
        <v>1975052.4275828556</v>
      </c>
      <c r="S43" s="223">
        <f>SUM(S40:S42)</f>
        <v>1975052.4275828556</v>
      </c>
      <c r="U43" s="223">
        <f>SUM(U40:U42)</f>
        <v>1975052.4275828556</v>
      </c>
      <c r="W43" s="223">
        <f>SUM(W40:W42)</f>
        <v>1975052.4275828556</v>
      </c>
      <c r="Y43" s="223">
        <f>SUM(Y40:Y42)</f>
        <v>1975052.4275828556</v>
      </c>
      <c r="AA43" s="223">
        <f>SUM(AA40:AA42)</f>
        <v>1975052.4275828556</v>
      </c>
      <c r="AC43" s="223">
        <f>SUM(AC40:AC42)</f>
        <v>1975052.4275828556</v>
      </c>
      <c r="AE43" s="223">
        <f>SUM(AE40:AE42)</f>
        <v>1975052.4275828556</v>
      </c>
      <c r="AG43" s="223">
        <f>SUM(AG40:AG42)</f>
        <v>1975052.4275828556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295887.57241714443</v>
      </c>
      <c r="G45" s="223">
        <f>G37-G43</f>
        <v>347469.82241714443</v>
      </c>
      <c r="I45" s="223">
        <f>I37-I43</f>
        <v>400124.7761671443</v>
      </c>
      <c r="K45" s="223">
        <f>K37-K43</f>
        <v>453871.6319108943</v>
      </c>
      <c r="M45" s="223">
        <f>M37-M43</f>
        <v>508729.80058073695</v>
      </c>
      <c r="O45" s="223">
        <f>O37-O43</f>
        <v>564718.90174865979</v>
      </c>
      <c r="Q45" s="223">
        <f>Q37-Q43</f>
        <v>621858.75914805825</v>
      </c>
      <c r="S45" s="223">
        <f>S37-S43</f>
        <v>680169.39574401989</v>
      </c>
      <c r="U45" s="223">
        <f>U37-U43</f>
        <v>739671.02832892933</v>
      </c>
      <c r="W45" s="223">
        <f>W37-W43</f>
        <v>800384.06161923544</v>
      </c>
      <c r="Y45" s="223">
        <f>Y37-Y43</f>
        <v>862329.08182816184</v>
      </c>
      <c r="AA45" s="223">
        <f>AA37-AA43</f>
        <v>925526.84968810086</v>
      </c>
      <c r="AC45" s="223">
        <f>AC37-AC43</f>
        <v>989998.29289526097</v>
      </c>
      <c r="AE45" s="223">
        <f>AE37-AE43</f>
        <v>1055764.4979480237</v>
      </c>
      <c r="AG45" s="223">
        <f>AG37-AG43</f>
        <v>1122846.7013492368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9.5146817292798391E-2</v>
      </c>
      <c r="G47" s="227">
        <f>G45/(G4+G6+G8)</f>
        <v>0.10900860142120172</v>
      </c>
      <c r="I47" s="227">
        <f>I45/(I4+I6+I8)</f>
        <v>0.1224659213548417</v>
      </c>
      <c r="K47" s="227">
        <f>K45/(K4+K6+K8)</f>
        <v>0.13552798573079988</v>
      </c>
      <c r="M47" s="227">
        <f>M45/(M4+M6+M8)</f>
        <v>0.14820377222489212</v>
      </c>
      <c r="O47" s="227">
        <f>O45/(O4+O6+O8)</f>
        <v>0.16050203312260936</v>
      </c>
      <c r="Q47" s="227">
        <f>Q45/(Q4+Q6+Q8)</f>
        <v>0.17243130075357221</v>
      </c>
      <c r="S47" s="227">
        <f>S45/(S4+S6+S8)</f>
        <v>0.18399989279282916</v>
      </c>
      <c r="U47" s="227">
        <f>U45/(U4+U6+U8)</f>
        <v>0.19521591743223429</v>
      </c>
      <c r="W47" s="227">
        <f>W45/(W4+W6+W8)</f>
        <v>0.20608727842507071</v>
      </c>
      <c r="Y47" s="227">
        <f>Y45/(Y4+Y6+Y8)</f>
        <v>0.21662168000700169</v>
      </c>
      <c r="AA47" s="227">
        <f>AA45/(AA4+AA6+AA8)</f>
        <v>0.22682663169636563</v>
      </c>
      <c r="AC47" s="227">
        <f>AC45/(AC4+AC6+AC8)</f>
        <v>0.23670945297674462</v>
      </c>
      <c r="AE47" s="227">
        <f>AE45/(AE4+AE6+AE8)</f>
        <v>0.24627727786467604</v>
      </c>
      <c r="AG47" s="227">
        <f>AG45/(AG4+AG6+AG8)</f>
        <v>0.25553705936530241</v>
      </c>
    </row>
    <row r="48" spans="1:33" s="227" customFormat="1" ht="14">
      <c r="A48" s="227" t="s">
        <v>851</v>
      </c>
      <c r="C48" s="220"/>
      <c r="E48" s="227">
        <f>E45/E43</f>
        <v>0.14981251549826599</v>
      </c>
      <c r="G48" s="227">
        <f>G45/G43</f>
        <v>0.17592941714584825</v>
      </c>
      <c r="I48" s="227">
        <f>I45/I43</f>
        <v>0.20258944551503993</v>
      </c>
      <c r="K48" s="227">
        <f>K45/K43</f>
        <v>0.22980232097755485</v>
      </c>
      <c r="M48" s="227">
        <f>M45/M43</f>
        <v>0.25757787159267459</v>
      </c>
      <c r="O48" s="227">
        <f>O45/O43</f>
        <v>0.28592603105720305</v>
      </c>
      <c r="Q48" s="227">
        <f>Q45/Q43</f>
        <v>0.31485683643806495</v>
      </c>
      <c r="S48" s="227">
        <f>S45/S43</f>
        <v>0.34438042567631338</v>
      </c>
      <c r="U48" s="227">
        <f>U45/U43</f>
        <v>0.37450703485079984</v>
      </c>
      <c r="W48" s="227">
        <f>W45/W43</f>
        <v>0.40524699518927504</v>
      </c>
      <c r="Y48" s="227">
        <f>Y45/Y43</f>
        <v>0.43661072981415133</v>
      </c>
      <c r="AA48" s="227">
        <f>AA45/AA43</f>
        <v>0.46860875020963161</v>
      </c>
      <c r="AC48" s="227">
        <f>AC45/AC43</f>
        <v>0.50125165239631564</v>
      </c>
      <c r="AE48" s="227">
        <f>AE45/AE43</f>
        <v>0.53455011279883269</v>
      </c>
      <c r="AG48" s="227">
        <f>AG45/AG43</f>
        <v>0.5685148837914239</v>
      </c>
    </row>
    <row r="49" spans="1:34" s="228" customFormat="1" ht="14">
      <c r="A49" s="228" t="s">
        <v>849</v>
      </c>
      <c r="C49" s="229"/>
      <c r="E49" s="228">
        <f>E37/E43</f>
        <v>1.1498125154982659</v>
      </c>
      <c r="G49" s="228">
        <f>G37/G43</f>
        <v>1.1759294171458483</v>
      </c>
      <c r="I49" s="228">
        <f>I37/I43</f>
        <v>1.2025894455150399</v>
      </c>
      <c r="K49" s="228">
        <f>K37/K43</f>
        <v>1.2298023209775548</v>
      </c>
      <c r="M49" s="228">
        <f>M37/M43</f>
        <v>1.2575778715926746</v>
      </c>
      <c r="O49" s="228">
        <f>O37/O43</f>
        <v>1.2859260310572029</v>
      </c>
      <c r="Q49" s="228">
        <f>Q37/Q43</f>
        <v>1.3148568364380648</v>
      </c>
      <c r="S49" s="228">
        <f>S37/S43</f>
        <v>1.3443804256763134</v>
      </c>
      <c r="U49" s="228">
        <f>U37/U43</f>
        <v>1.3745070348507999</v>
      </c>
      <c r="W49" s="228">
        <f>W37/W43</f>
        <v>1.405246995189275</v>
      </c>
      <c r="Y49" s="228">
        <f>Y37/Y43</f>
        <v>1.4366107298141513</v>
      </c>
      <c r="AA49" s="228">
        <f>AA37/AA43</f>
        <v>1.4686087502096317</v>
      </c>
      <c r="AC49" s="228">
        <f>AC37/AC43</f>
        <v>1.5012516523963157</v>
      </c>
      <c r="AE49" s="228">
        <f>AE37/AE43</f>
        <v>1.5345501127988326</v>
      </c>
      <c r="AG49" s="228">
        <f>AG37/AG43</f>
        <v>1.5685148837914238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1183</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1.0349999999999999</v>
      </c>
      <c r="E53" s="960">
        <v>10000</v>
      </c>
      <c r="G53" s="956">
        <f>E53*$C$53</f>
        <v>10350</v>
      </c>
      <c r="I53" s="956">
        <f>G53*$C$53</f>
        <v>10712.25</v>
      </c>
      <c r="K53" s="956">
        <f>I53*$C$53</f>
        <v>11087.178749999999</v>
      </c>
      <c r="M53" s="956">
        <f>K53*$C$53</f>
        <v>11475.230006249998</v>
      </c>
      <c r="O53" s="956">
        <f>M53*$C$53</f>
        <v>11876.863056468746</v>
      </c>
      <c r="Q53" s="956">
        <f>O53*$C$53</f>
        <v>12292.553263445152</v>
      </c>
      <c r="S53" s="956">
        <f>Q53*$C$53</f>
        <v>12722.792627665731</v>
      </c>
      <c r="U53" s="956">
        <f>S53*$C$53</f>
        <v>13168.09036963403</v>
      </c>
      <c r="W53" s="956">
        <f>U53*$C$53</f>
        <v>13628.973532571221</v>
      </c>
      <c r="Y53" s="956">
        <f>W53*$C$53</f>
        <v>14105.987606211213</v>
      </c>
      <c r="AA53" s="956">
        <f>Y53*$C$53</f>
        <v>14599.697172428603</v>
      </c>
      <c r="AC53" s="956">
        <f>AA53*$C$53</f>
        <v>15110.686573463603</v>
      </c>
      <c r="AE53" s="956">
        <f>AC53*$C$53</f>
        <v>15639.560603534828</v>
      </c>
      <c r="AG53" s="956">
        <f>AE53*$C$53</f>
        <v>16186.945224658546</v>
      </c>
    </row>
    <row r="54" spans="1:34" s="3" customFormat="1">
      <c r="A54" s="3" t="s">
        <v>854</v>
      </c>
      <c r="C54" s="954"/>
      <c r="E54" s="961">
        <v>7500</v>
      </c>
      <c r="F54" s="956"/>
      <c r="G54" s="956">
        <f t="shared" ref="G54:AG57" si="1">E54*$C$53</f>
        <v>7762.4999999999991</v>
      </c>
      <c r="H54" s="956"/>
      <c r="I54" s="956">
        <f t="shared" si="1"/>
        <v>8034.1874999999982</v>
      </c>
      <c r="J54" s="956"/>
      <c r="K54" s="956">
        <f t="shared" si="1"/>
        <v>8315.3840624999975</v>
      </c>
      <c r="L54" s="956"/>
      <c r="M54" s="956">
        <f t="shared" si="1"/>
        <v>8606.4225046874963</v>
      </c>
      <c r="N54" s="956"/>
      <c r="O54" s="956">
        <f t="shared" si="1"/>
        <v>8907.6472923515576</v>
      </c>
      <c r="P54" s="956"/>
      <c r="Q54" s="956">
        <f t="shared" si="1"/>
        <v>9219.4149475838622</v>
      </c>
      <c r="R54" s="956"/>
      <c r="S54" s="956">
        <f t="shared" si="1"/>
        <v>9542.0944707492963</v>
      </c>
      <c r="T54" s="956"/>
      <c r="U54" s="956">
        <f t="shared" si="1"/>
        <v>9876.0677772255203</v>
      </c>
      <c r="V54" s="956"/>
      <c r="W54" s="956">
        <f t="shared" si="1"/>
        <v>10221.730149428413</v>
      </c>
      <c r="X54" s="956"/>
      <c r="Y54" s="956">
        <f t="shared" si="1"/>
        <v>10579.490704658407</v>
      </c>
      <c r="Z54" s="956"/>
      <c r="AA54" s="956">
        <f t="shared" si="1"/>
        <v>10949.77287932145</v>
      </c>
      <c r="AB54" s="956"/>
      <c r="AC54" s="956">
        <f t="shared" si="1"/>
        <v>11333.014930097699</v>
      </c>
      <c r="AD54" s="956"/>
      <c r="AE54" s="956">
        <f t="shared" si="1"/>
        <v>11729.670452651118</v>
      </c>
      <c r="AF54" s="956"/>
      <c r="AG54" s="956">
        <f t="shared" si="1"/>
        <v>12140.208918493907</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17500</v>
      </c>
      <c r="F58" s="956"/>
      <c r="G58" s="956">
        <f>SUM(G53:G57)</f>
        <v>18112.5</v>
      </c>
      <c r="H58" s="956"/>
      <c r="I58" s="956">
        <f>SUM(I53:I57)</f>
        <v>18746.4375</v>
      </c>
      <c r="J58" s="956"/>
      <c r="K58" s="956">
        <f>SUM(K53:K57)</f>
        <v>19402.562812499997</v>
      </c>
      <c r="L58" s="956"/>
      <c r="M58" s="956">
        <f>SUM(M53:M57)</f>
        <v>20081.652510937492</v>
      </c>
      <c r="N58" s="956"/>
      <c r="O58" s="956">
        <f>SUM(O53:O57)</f>
        <v>20784.510348820302</v>
      </c>
      <c r="P58" s="956"/>
      <c r="Q58" s="956">
        <f>SUM(Q53:Q57)</f>
        <v>21511.968211029016</v>
      </c>
      <c r="R58" s="956"/>
      <c r="S58" s="956">
        <f>SUM(S53:S57)</f>
        <v>22264.887098415027</v>
      </c>
      <c r="T58" s="956"/>
      <c r="U58" s="956">
        <f>SUM(U53:U57)</f>
        <v>23044.15814685955</v>
      </c>
      <c r="V58" s="956"/>
      <c r="W58" s="956">
        <f>SUM(W53:W57)</f>
        <v>23850.703681999636</v>
      </c>
      <c r="X58" s="956"/>
      <c r="Y58" s="956">
        <f>SUM(Y53:Y57)</f>
        <v>24685.478310869621</v>
      </c>
      <c r="Z58" s="956"/>
      <c r="AA58" s="956">
        <f>SUM(AA53:AA57)</f>
        <v>25549.470051750053</v>
      </c>
      <c r="AB58" s="956"/>
      <c r="AC58" s="956">
        <f>SUM(AC53:AC57)</f>
        <v>26443.7015035613</v>
      </c>
      <c r="AD58" s="956"/>
      <c r="AE58" s="956">
        <f>SUM(AE53:AE57)</f>
        <v>27369.231056185949</v>
      </c>
      <c r="AF58" s="956"/>
      <c r="AG58" s="956">
        <f>SUM(AG53:AG57)</f>
        <v>28327.154143152453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278387.57241714443</v>
      </c>
      <c r="G60" s="958">
        <f>G45-G58</f>
        <v>329357.32241714443</v>
      </c>
      <c r="I60" s="958">
        <f>I45-I58</f>
        <v>381378.3386671443</v>
      </c>
      <c r="K60" s="958">
        <f>K45-K58</f>
        <v>434469.06909839431</v>
      </c>
      <c r="M60" s="958">
        <f>M45-M58</f>
        <v>488648.14806979947</v>
      </c>
      <c r="O60" s="958">
        <f>O45-O58</f>
        <v>543934.39139983943</v>
      </c>
      <c r="Q60" s="958">
        <f>Q45-Q58</f>
        <v>600346.79093702929</v>
      </c>
      <c r="S60" s="958">
        <f>S45-S58</f>
        <v>657904.50864560483</v>
      </c>
      <c r="U60" s="958">
        <f>U45-U58</f>
        <v>716626.87018206983</v>
      </c>
      <c r="W60" s="958">
        <f>W45-W58</f>
        <v>776533.35793723585</v>
      </c>
      <c r="Y60" s="958">
        <f>Y45-Y58</f>
        <v>837643.60351729218</v>
      </c>
      <c r="AA60" s="958">
        <f>AA45-AA58</f>
        <v>899977.37963635079</v>
      </c>
      <c r="AC60" s="958">
        <f>AC45-AC58</f>
        <v>963554.59139169962</v>
      </c>
      <c r="AE60" s="958">
        <f>AE45-AE58</f>
        <v>1028395.2668918378</v>
      </c>
      <c r="AG60" s="958">
        <f>AG45-AG58</f>
        <v>1094519.5472060842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278387.57241714443</v>
      </c>
      <c r="G62" s="958">
        <f>G60*$C$62</f>
        <v>329357.32241714443</v>
      </c>
      <c r="I62" s="958">
        <f>I60*$C$62</f>
        <v>381378.3386671443</v>
      </c>
      <c r="K62" s="958">
        <f>K60*$C$62</f>
        <v>434469.06909839431</v>
      </c>
      <c r="M62" s="958">
        <f>M60*$C$62</f>
        <v>488648.14806979947</v>
      </c>
      <c r="O62" s="958">
        <f>O60*$C$62</f>
        <v>543934.39139983943</v>
      </c>
      <c r="Q62" s="958">
        <f>Q60*$C$62</f>
        <v>600346.79093702929</v>
      </c>
      <c r="S62" s="958">
        <f>S60*$C$62</f>
        <v>657904.50864560483</v>
      </c>
      <c r="U62" s="958">
        <f>U60*$C$62</f>
        <v>716626.87018206983</v>
      </c>
      <c r="W62" s="958">
        <f>W60*$C$62</f>
        <v>776533.35793723585</v>
      </c>
      <c r="Y62" s="958">
        <f>Y60*$C$62</f>
        <v>837643.60351729218</v>
      </c>
      <c r="AA62" s="958">
        <f>AA60*$C$62</f>
        <v>899977.37963635079</v>
      </c>
      <c r="AC62" s="958">
        <f>AC60*$C$62</f>
        <v>963554.59139169962</v>
      </c>
      <c r="AE62" s="958">
        <f>AE60*$C$62</f>
        <v>1028395.2668918378</v>
      </c>
      <c r="AG62" s="958">
        <f>AG60*$C$62</f>
        <v>1094519.5472060842</v>
      </c>
    </row>
    <row r="63" spans="1:34" s="958" customFormat="1">
      <c r="A63" s="2686" t="s">
        <v>1183</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84" t="s">
        <v>1709</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5500000</v>
      </c>
      <c r="C5" s="266">
        <f>'Sources and Uses Budget'!$C4</f>
        <v>5500000</v>
      </c>
      <c r="D5" s="270">
        <f>C5-B5</f>
        <v>0</v>
      </c>
      <c r="E5" s="268"/>
      <c r="F5" s="267"/>
    </row>
    <row r="6" spans="1:6" s="352" customFormat="1">
      <c r="A6" s="364" t="s">
        <v>28</v>
      </c>
      <c r="B6" s="266">
        <f>'Sources and Uses Budget'!$C5</f>
        <v>350000</v>
      </c>
      <c r="C6" s="266">
        <f>'Sources and Uses Budget'!$C5</f>
        <v>350000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5850000</v>
      </c>
      <c r="C9" s="270">
        <f>SUM(C5:C8)</f>
        <v>5850000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6350000</v>
      </c>
      <c r="C13" s="270">
        <f>SUM(C9+C12)</f>
        <v>6350000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30061999</v>
      </c>
      <c r="C31" s="266">
        <f>'Sources and Uses Budget'!$C30</f>
        <v>30061999</v>
      </c>
      <c r="D31" s="270">
        <f t="shared" si="0"/>
        <v>0</v>
      </c>
      <c r="E31" s="268"/>
      <c r="F31" s="267"/>
    </row>
    <row r="32" spans="1:6" s="352" customFormat="1">
      <c r="A32" s="145" t="s">
        <v>600</v>
      </c>
      <c r="B32" s="266">
        <f>'Sources and Uses Budget'!$C31</f>
        <v>2400000</v>
      </c>
      <c r="C32" s="266">
        <f>'Sources and Uses Budget'!$C31</f>
        <v>2400000</v>
      </c>
      <c r="D32" s="270">
        <f t="shared" si="0"/>
        <v>0</v>
      </c>
      <c r="E32" s="268"/>
      <c r="F32" s="267"/>
    </row>
    <row r="33" spans="1:6" s="352" customFormat="1">
      <c r="A33" s="145" t="s">
        <v>137</v>
      </c>
      <c r="B33" s="266">
        <f>'Sources and Uses Budget'!$C32</f>
        <v>1541116</v>
      </c>
      <c r="C33" s="266">
        <f>'Sources and Uses Budget'!$C32</f>
        <v>1541116</v>
      </c>
      <c r="D33" s="270">
        <f t="shared" si="0"/>
        <v>0</v>
      </c>
      <c r="E33" s="268"/>
      <c r="F33" s="267"/>
    </row>
    <row r="34" spans="1:6" s="352" customFormat="1">
      <c r="A34" s="145" t="s">
        <v>138</v>
      </c>
      <c r="B34" s="266">
        <f>'Sources and Uses Budget'!$C33</f>
        <v>1541116</v>
      </c>
      <c r="C34" s="266">
        <f>'Sources and Uses Budget'!$C33</f>
        <v>1541116</v>
      </c>
      <c r="D34" s="270">
        <f t="shared" si="0"/>
        <v>0</v>
      </c>
      <c r="E34" s="268"/>
      <c r="F34" s="267"/>
    </row>
    <row r="35" spans="1:6" s="352" customFormat="1">
      <c r="A35" s="145" t="s">
        <v>139</v>
      </c>
      <c r="B35" s="266">
        <f>'Sources and Uses Budget'!$C34</f>
        <v>7246800</v>
      </c>
      <c r="C35" s="266">
        <f>'Sources and Uses Budget'!$C34</f>
        <v>7246800</v>
      </c>
      <c r="D35" s="270">
        <f t="shared" si="0"/>
        <v>0</v>
      </c>
      <c r="E35" s="268"/>
      <c r="F35" s="267"/>
    </row>
    <row r="36" spans="1:6" s="352" customFormat="1">
      <c r="A36" s="145" t="s">
        <v>140</v>
      </c>
      <c r="B36" s="266">
        <f>'Sources and Uses Budget'!$C35</f>
        <v>411167</v>
      </c>
      <c r="C36" s="266">
        <f>'Sources and Uses Budget'!$C35</f>
        <v>411167</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(GC Bonds)</v>
      </c>
      <c r="B38" s="266">
        <f>'Sources and Uses Budget'!$C37</f>
        <v>450326</v>
      </c>
      <c r="C38" s="266">
        <f>'Sources and Uses Budget'!$C37</f>
        <v>450326</v>
      </c>
      <c r="D38" s="270">
        <f t="shared" si="0"/>
        <v>0</v>
      </c>
      <c r="E38" s="268"/>
      <c r="F38" s="267"/>
    </row>
    <row r="39" spans="1:6" s="352" customFormat="1" ht="13">
      <c r="A39" s="271" t="s">
        <v>143</v>
      </c>
      <c r="B39" s="270">
        <f>SUM(B30:B38)</f>
        <v>44652524</v>
      </c>
      <c r="C39" s="270">
        <f>SUM(C30:C38)</f>
        <v>44652524</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1600000</v>
      </c>
      <c r="C41" s="266">
        <f>'Sources and Uses Budget'!$C40</f>
        <v>1600000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1600000</v>
      </c>
      <c r="C43" s="270">
        <f>SUM(C41:C42)</f>
        <v>1600000</v>
      </c>
      <c r="D43" s="270">
        <f t="shared" si="0"/>
        <v>0</v>
      </c>
      <c r="E43" s="268"/>
      <c r="F43" s="267"/>
    </row>
    <row r="44" spans="1:6" s="352" customFormat="1" ht="13">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5742292</v>
      </c>
      <c r="C46" s="266">
        <f>'Sources and Uses Budget'!$C45</f>
        <v>5742292</v>
      </c>
      <c r="D46" s="270">
        <f t="shared" si="0"/>
        <v>0</v>
      </c>
      <c r="E46" s="268"/>
      <c r="F46" s="267"/>
    </row>
    <row r="47" spans="1:6" s="352" customFormat="1">
      <c r="A47" s="145" t="s">
        <v>151</v>
      </c>
      <c r="B47" s="266">
        <f>'Sources and Uses Budget'!$C46</f>
        <v>582163</v>
      </c>
      <c r="C47" s="266">
        <f>'Sources and Uses Budget'!$C46</f>
        <v>582163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117190</v>
      </c>
      <c r="C50" s="266">
        <f>'Sources and Uses Budget'!$C49</f>
        <v>117190</v>
      </c>
      <c r="D50" s="270">
        <f t="shared" si="0"/>
        <v>0</v>
      </c>
      <c r="E50" s="268"/>
      <c r="F50" s="267"/>
    </row>
    <row r="51" spans="1:6" s="352" customFormat="1">
      <c r="A51" s="145" t="s">
        <v>156</v>
      </c>
      <c r="B51" s="266">
        <f>'Sources and Uses Budget'!$C50</f>
        <v>46000</v>
      </c>
      <c r="C51" s="266">
        <f>'Sources and Uses Budget'!$C50</f>
        <v>46000</v>
      </c>
      <c r="D51" s="270">
        <f t="shared" si="0"/>
        <v>0</v>
      </c>
      <c r="E51" s="268"/>
      <c r="F51" s="267"/>
    </row>
    <row r="52" spans="1:6" s="352" customFormat="1">
      <c r="A52" s="283" t="s">
        <v>154</v>
      </c>
      <c r="B52" s="266">
        <f>'Sources and Uses Budget'!$C51</f>
        <v>114300</v>
      </c>
      <c r="C52" s="266">
        <f>'Sources and Uses Budget'!$C51</f>
        <v>114300</v>
      </c>
      <c r="D52" s="270">
        <f t="shared" si="0"/>
        <v>0</v>
      </c>
      <c r="E52" s="268"/>
      <c r="F52" s="267"/>
    </row>
    <row r="53" spans="1:6" s="352" customFormat="1">
      <c r="A53" s="145" t="s">
        <v>155</v>
      </c>
      <c r="B53" s="266">
        <f>'Sources and Uses Budget'!$C52</f>
        <v>697000</v>
      </c>
      <c r="C53" s="266">
        <f>'Sources and Uses Budget'!$C52</f>
        <v>697000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7298945</v>
      </c>
      <c r="C55" s="273">
        <f>SUM(C46:C54)</f>
        <v>7298945</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25000</v>
      </c>
      <c r="C63" s="270">
        <f>SUM(C57:C62)</f>
        <v>25000</v>
      </c>
      <c r="D63" s="270">
        <f t="shared" si="0"/>
        <v>0</v>
      </c>
      <c r="E63" s="268"/>
      <c r="F63" s="267"/>
    </row>
    <row r="64" spans="1:6" s="352" customFormat="1" ht="13">
      <c r="A64" s="274" t="s">
        <v>302</v>
      </c>
      <c r="B64" s="270">
        <f>SUM(B9+B12+B14+B15+B17+B26+B28+B39+B43+B44+B55+B63)</f>
        <v>60576469</v>
      </c>
      <c r="C64" s="270">
        <f>SUM(C9+C12+C14+C15+C17+C26+C28+C39+C43+C44+C55+C63)</f>
        <v>60576469</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3">
      <c r="A67" s="283" t="s">
        <v>1629</v>
      </c>
      <c r="B67" s="266">
        <f>'Sources and Uses Budget'!$C66</f>
        <v>0</v>
      </c>
      <c r="C67" s="266">
        <f>'Sources and Uses Budget'!$C66</f>
        <v>0</v>
      </c>
      <c r="D67" s="270"/>
      <c r="E67" s="268"/>
      <c r="F67" s="267"/>
    </row>
    <row r="68" spans="1:6" s="352" customFormat="1">
      <c r="A68" s="283" t="s">
        <v>1630</v>
      </c>
      <c r="B68" s="266">
        <f>'Sources and Uses Budget'!$C67</f>
        <v>0</v>
      </c>
      <c r="C68" s="266">
        <f>'Sources and Uses Budget'!$C67</f>
        <v>0</v>
      </c>
      <c r="D68" s="270"/>
      <c r="E68" s="268"/>
      <c r="F68" s="267"/>
    </row>
    <row r="69" spans="1:6" s="352" customFormat="1">
      <c r="A69" s="283" t="s">
        <v>1636</v>
      </c>
      <c r="B69" s="266">
        <f>'Sources and Uses Budget'!$C68</f>
        <v>20000</v>
      </c>
      <c r="C69" s="266">
        <f>'Sources and Uses Budget'!$C68</f>
        <v>20000</v>
      </c>
      <c r="D69" s="270"/>
      <c r="E69" s="268"/>
      <c r="F69" s="267"/>
    </row>
    <row r="70" spans="1:6" s="352" customFormat="1">
      <c r="A70" s="155" t="str">
        <f>'Sources and Uses Budget'!A69</f>
        <v>Other: (Other Legal)</v>
      </c>
      <c r="B70" s="266">
        <f>'Sources and Uses Budget'!$C69</f>
        <v>187700</v>
      </c>
      <c r="C70" s="266">
        <f>'Sources and Uses Budget'!$C69</f>
        <v>187700</v>
      </c>
      <c r="D70" s="270">
        <f t="shared" si="0"/>
        <v>0</v>
      </c>
      <c r="E70" s="268"/>
      <c r="F70" s="267"/>
    </row>
    <row r="71" spans="1:6" s="352" customFormat="1">
      <c r="A71" s="149" t="s">
        <v>1633</v>
      </c>
      <c r="B71" s="270">
        <f>SUM(B66:B70)</f>
        <v>332700</v>
      </c>
      <c r="C71" s="270">
        <f>SUM(C66:C70)</f>
        <v>332700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1321964</v>
      </c>
      <c r="C76" s="266">
        <f>'Sources and Uses Budget'!$C75</f>
        <v>1321964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1321964</v>
      </c>
      <c r="C78" s="270">
        <f>SUM(C73:C77)</f>
        <v>1321964</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2275126</v>
      </c>
      <c r="C80" s="266">
        <f>'Sources and Uses Budget'!$C79</f>
        <v>2275126</v>
      </c>
      <c r="D80" s="270">
        <f t="shared" si="1"/>
        <v>0</v>
      </c>
      <c r="E80" s="268"/>
      <c r="F80" s="267"/>
    </row>
    <row r="81" spans="1:6" s="352" customFormat="1">
      <c r="A81" s="510" t="s">
        <v>58</v>
      </c>
      <c r="B81" s="266">
        <f>'Sources and Uses Budget'!$C80</f>
        <v>448870</v>
      </c>
      <c r="C81" s="266">
        <f>'Sources and Uses Budget'!$C80</f>
        <v>448870</v>
      </c>
      <c r="D81" s="270">
        <f>C81-B81</f>
        <v>0</v>
      </c>
      <c r="E81" s="268"/>
      <c r="F81" s="267"/>
    </row>
    <row r="82" spans="1:6" s="352" customFormat="1" ht="13">
      <c r="A82" s="271" t="s">
        <v>1208</v>
      </c>
      <c r="B82" s="270">
        <f>SUM(B80:B81)</f>
        <v>2723996</v>
      </c>
      <c r="C82" s="270">
        <f>SUM(C80:C81)</f>
        <v>2723996</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103304</v>
      </c>
      <c r="C84" s="266">
        <f>'Sources and Uses Budget'!$C83</f>
        <v>103304</v>
      </c>
      <c r="D84" s="270">
        <f t="shared" si="1"/>
        <v>0</v>
      </c>
      <c r="E84" s="268"/>
      <c r="F84" s="267"/>
    </row>
    <row r="85" spans="1:6" s="352" customFormat="1">
      <c r="A85" s="269" t="s">
        <v>766</v>
      </c>
      <c r="B85" s="266">
        <f>'Sources and Uses Budget'!$C84</f>
        <v>20000</v>
      </c>
      <c r="C85" s="266">
        <f>'Sources and Uses Budget'!$C84</f>
        <v>20000</v>
      </c>
      <c r="D85" s="270">
        <f t="shared" si="1"/>
        <v>0</v>
      </c>
      <c r="E85" s="268"/>
      <c r="F85" s="267"/>
    </row>
    <row r="86" spans="1:6" s="352" customFormat="1">
      <c r="A86" s="269" t="s">
        <v>767</v>
      </c>
      <c r="B86" s="266">
        <f>'Sources and Uses Budget'!$C85</f>
        <v>2239299</v>
      </c>
      <c r="C86" s="266">
        <f>'Sources and Uses Budget'!$C85</f>
        <v>2239299</v>
      </c>
      <c r="D86" s="270">
        <f t="shared" si="1"/>
        <v>0</v>
      </c>
      <c r="E86" s="268"/>
      <c r="F86" s="267"/>
    </row>
    <row r="87" spans="1:6" s="352" customFormat="1">
      <c r="A87" s="269" t="s">
        <v>768</v>
      </c>
      <c r="B87" s="266">
        <f>'Sources and Uses Budget'!$C86</f>
        <v>1260701</v>
      </c>
      <c r="C87" s="266">
        <f>'Sources and Uses Budget'!$C86</f>
        <v>1260701</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53400</v>
      </c>
      <c r="C89" s="266">
        <f>'Sources and Uses Budget'!$C88</f>
        <v>53400</v>
      </c>
      <c r="D89" s="270">
        <f t="shared"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372</v>
      </c>
      <c r="B92" s="266">
        <f>'Sources and Uses Budget'!$C91</f>
        <v>35000</v>
      </c>
      <c r="C92" s="266">
        <f>'Sources and Uses Budget'!$C91</f>
        <v>35000</v>
      </c>
      <c r="D92" s="270">
        <f t="shared" si="1"/>
        <v>0</v>
      </c>
      <c r="E92" s="268"/>
      <c r="F92" s="267"/>
    </row>
    <row r="93" spans="1:6" s="352" customFormat="1">
      <c r="A93" s="510" t="s">
        <v>1210</v>
      </c>
      <c r="B93" s="266">
        <f>'Sources and Uses Budget'!$C92</f>
        <v>12000</v>
      </c>
      <c r="C93" s="266">
        <f>'Sources and Uses Budget'!$C92</f>
        <v>12000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3733704</v>
      </c>
      <c r="C97" s="270">
        <f>SUM(C84:C96)</f>
        <v>3733704</v>
      </c>
      <c r="D97" s="270">
        <f t="shared" si="1"/>
        <v>0</v>
      </c>
      <c r="E97" s="268"/>
      <c r="F97" s="267"/>
    </row>
    <row r="98" spans="1:6" s="352" customFormat="1" ht="13">
      <c r="A98" s="271" t="s">
        <v>774</v>
      </c>
      <c r="B98" s="270">
        <f>SUM(B64+B71+B78+B82+B97)</f>
        <v>68688833</v>
      </c>
      <c r="C98" s="270">
        <f>SUM(C64+C71+C78+C82+C97)</f>
        <v>68688833</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8855617</v>
      </c>
      <c r="C100" s="266">
        <f>'Sources and Uses Budget'!$C99</f>
        <v>8855617</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8855617</v>
      </c>
      <c r="C105" s="270">
        <f>SUM(C100:C104)</f>
        <v>8855617</v>
      </c>
      <c r="D105" s="270">
        <f t="shared" si="1"/>
        <v>0</v>
      </c>
      <c r="E105" s="268"/>
      <c r="F105" s="267"/>
    </row>
    <row r="106" spans="1:6" s="352" customFormat="1" ht="13">
      <c r="A106" s="271" t="s">
        <v>779</v>
      </c>
      <c r="B106" s="273">
        <f>SUM(B98+B105)</f>
        <v>77544450</v>
      </c>
      <c r="C106" s="273">
        <f>SUM(C98+C105)</f>
        <v>77544450</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336" t="s">
        <v>1841</v>
      </c>
      <c r="B1" s="1337"/>
      <c r="C1" s="1337"/>
      <c r="D1" s="1337"/>
      <c r="E1" s="1337"/>
      <c r="F1" s="1337"/>
      <c r="G1" s="1337"/>
      <c r="H1" s="1337"/>
      <c r="I1" s="1337"/>
      <c r="J1" s="1337"/>
    </row>
    <row r="2" spans="1:10" ht="15.5">
      <c r="A2" s="1339" t="s">
        <v>1267</v>
      </c>
      <c r="B2" s="1314"/>
      <c r="C2" s="1314"/>
      <c r="D2" s="1314"/>
      <c r="E2" s="1314"/>
      <c r="F2" s="1314"/>
      <c r="G2" s="1314"/>
      <c r="H2" s="1314"/>
      <c r="I2" s="1314"/>
      <c r="J2" s="1314"/>
    </row>
    <row r="3" spans="1:10" ht="12.5"/>
    <row r="4" spans="1:10" ht="12.75" customHeight="1">
      <c r="A4" s="1286" t="s">
        <v>2004</v>
      </c>
      <c r="B4" s="1286"/>
      <c r="C4" s="1286"/>
      <c r="D4" s="1286"/>
      <c r="E4" s="1286"/>
      <c r="F4" s="1286"/>
      <c r="G4" s="1286"/>
      <c r="H4" s="1286"/>
      <c r="I4" s="1286"/>
      <c r="J4" s="1286"/>
    </row>
    <row r="5" spans="1:10" ht="12.5">
      <c r="A5" s="1286"/>
      <c r="B5" s="1286"/>
      <c r="C5" s="1286"/>
      <c r="D5" s="1286"/>
      <c r="E5" s="1286"/>
      <c r="F5" s="1286"/>
      <c r="G5" s="1286"/>
      <c r="H5" s="1286"/>
      <c r="I5" s="1286"/>
      <c r="J5" s="1286"/>
    </row>
    <row r="6" spans="1:10" ht="30" customHeight="1">
      <c r="A6" s="1286"/>
      <c r="B6" s="1286"/>
      <c r="C6" s="1286"/>
      <c r="D6" s="1286"/>
      <c r="E6" s="1286"/>
      <c r="F6" s="1286"/>
      <c r="G6" s="1286"/>
      <c r="H6" s="1286"/>
      <c r="I6" s="1286"/>
      <c r="J6" s="1286"/>
    </row>
    <row r="7" spans="1:10" ht="12.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5"/>
    <row r="10" spans="1:10" ht="12.75" customHeight="1">
      <c r="A10" s="1323" t="s">
        <v>1846</v>
      </c>
      <c r="B10" s="1323"/>
      <c r="C10" s="1323"/>
      <c r="D10" s="1323"/>
      <c r="E10" s="1323"/>
      <c r="F10" s="1323"/>
      <c r="G10" s="1323"/>
      <c r="H10" s="1323"/>
      <c r="I10" s="1323"/>
      <c r="J10" s="1323"/>
    </row>
    <row r="11" spans="1:10" ht="12.5">
      <c r="A11" s="1323"/>
      <c r="B11" s="1323"/>
      <c r="C11" s="1323"/>
      <c r="D11" s="1323"/>
      <c r="E11" s="1323"/>
      <c r="F11" s="1323"/>
      <c r="G11" s="1323"/>
      <c r="H11" s="1323"/>
      <c r="I11" s="1323"/>
      <c r="J11" s="1323"/>
    </row>
    <row r="12" spans="1:10" ht="12.5">
      <c r="A12" s="1323"/>
      <c r="B12" s="1323"/>
      <c r="C12" s="1323"/>
      <c r="D12" s="1323"/>
      <c r="E12" s="1323"/>
      <c r="F12" s="1323"/>
      <c r="G12" s="1323"/>
      <c r="H12" s="1323"/>
      <c r="I12" s="1323"/>
      <c r="J12" s="1323"/>
    </row>
    <row r="13" spans="1:10" ht="12.5">
      <c r="A13" s="1323"/>
      <c r="B13" s="1323"/>
      <c r="C13" s="1323"/>
      <c r="D13" s="1323"/>
      <c r="E13" s="1323"/>
      <c r="F13" s="1323"/>
      <c r="G13" s="1323"/>
      <c r="H13" s="1323"/>
      <c r="I13" s="1323"/>
      <c r="J13" s="1323"/>
    </row>
    <row r="14" spans="1:10" ht="12.5">
      <c r="A14" s="1323"/>
      <c r="B14" s="1323"/>
      <c r="C14" s="1323"/>
      <c r="D14" s="1323"/>
      <c r="E14" s="1323"/>
      <c r="F14" s="1323"/>
      <c r="G14" s="1323"/>
      <c r="H14" s="1323"/>
      <c r="I14" s="1323"/>
      <c r="J14" s="1323"/>
    </row>
    <row r="15" spans="1:10" ht="12.5">
      <c r="A15" s="1323"/>
      <c r="B15" s="1323"/>
      <c r="C15" s="1323"/>
      <c r="D15" s="1323"/>
      <c r="E15" s="1323"/>
      <c r="F15" s="1323"/>
      <c r="G15" s="1323"/>
      <c r="H15" s="1323"/>
      <c r="I15" s="1323"/>
      <c r="J15" s="1323"/>
    </row>
    <row r="16" spans="1:10" ht="12.5">
      <c r="A16" s="524"/>
      <c r="B16" s="524"/>
      <c r="C16" s="524"/>
      <c r="D16" s="524"/>
      <c r="E16" s="524"/>
      <c r="F16" s="524"/>
      <c r="G16" s="524"/>
      <c r="H16" s="524"/>
      <c r="I16" s="524"/>
      <c r="J16" s="524"/>
    </row>
    <row r="17" spans="1:10" ht="12.5">
      <c r="A17" s="476" t="s">
        <v>1845</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314" t="s">
        <v>1188</v>
      </c>
      <c r="B19" s="1314"/>
      <c r="C19" s="1314"/>
      <c r="D19" s="1314"/>
      <c r="E19" s="1314"/>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6" t="s">
        <v>1189</v>
      </c>
      <c r="B76" s="1286"/>
      <c r="C76" s="1286"/>
      <c r="D76" s="1286"/>
      <c r="E76" s="1286"/>
      <c r="F76" s="1286"/>
      <c r="G76" s="1286"/>
      <c r="H76" s="1286"/>
      <c r="I76" s="1286"/>
      <c r="J76" s="1286"/>
    </row>
    <row r="77" spans="1:10" ht="12.5">
      <c r="A77" s="1286"/>
      <c r="B77" s="1286"/>
      <c r="C77" s="1286"/>
      <c r="D77" s="1286"/>
      <c r="E77" s="1286"/>
      <c r="F77" s="1286"/>
      <c r="G77" s="1286"/>
      <c r="H77" s="1286"/>
      <c r="I77" s="1286"/>
      <c r="J77" s="1286"/>
    </row>
    <row r="78" spans="1:10" ht="12.5">
      <c r="A78" s="1286"/>
      <c r="B78" s="1286"/>
      <c r="C78" s="1286"/>
      <c r="D78" s="1286"/>
      <c r="E78" s="1286"/>
      <c r="F78" s="1286"/>
      <c r="G78" s="1286"/>
      <c r="H78" s="1286"/>
      <c r="I78" s="1286"/>
      <c r="J78" s="1286"/>
    </row>
    <row r="79" spans="1:10" ht="12.5"/>
    <row r="80" spans="1:10" ht="12.5">
      <c r="A80" s="402" t="s">
        <v>1188</v>
      </c>
    </row>
    <row r="81" spans="1:9" ht="12.5"/>
    <row r="82" spans="1:9" ht="12.5"/>
    <row r="83" spans="1:9" ht="12.5"/>
    <row r="84" spans="1:9" ht="12.5"/>
    <row r="85" spans="1:9" ht="12.5"/>
    <row r="86" spans="1:9" ht="12.5"/>
    <row r="87" spans="1:9" ht="12.5"/>
    <row r="88" spans="1:9" ht="12.5"/>
    <row r="89" spans="1:9" ht="13">
      <c r="A89" s="1338" t="s">
        <v>1842</v>
      </c>
      <c r="B89" s="1338"/>
      <c r="C89" s="1338"/>
      <c r="D89" s="1338"/>
      <c r="E89" s="1338"/>
      <c r="F89" s="1338"/>
      <c r="G89" s="1338"/>
      <c r="H89" s="1338"/>
      <c r="I89" s="1338"/>
    </row>
    <row r="90" spans="1:9" ht="12.5">
      <c r="A90" s="1333" t="s">
        <v>2002</v>
      </c>
      <c r="B90" s="1333"/>
      <c r="C90" s="1333"/>
      <c r="D90" s="1333"/>
      <c r="E90" s="1333"/>
    </row>
    <row r="91" spans="1:9" ht="12.5">
      <c r="A91" s="1333" t="s">
        <v>2003</v>
      </c>
      <c r="B91" s="1333"/>
      <c r="C91" s="1333"/>
      <c r="D91" s="1333"/>
      <c r="E91" s="1333"/>
    </row>
    <row r="92" spans="1:9" ht="12.5">
      <c r="A92" s="1333" t="s">
        <v>1843</v>
      </c>
      <c r="B92" s="1333"/>
      <c r="C92" s="1333"/>
      <c r="D92" s="1333"/>
      <c r="E92" s="1333"/>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60" zoomScaleNormal="160" workbookViewId="0">
      <selection activeCell="B1078" sqref="B1078"/>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325" t="s">
        <v>2599</v>
      </c>
      <c r="B2" s="1325"/>
      <c r="C2" s="1325"/>
      <c r="D2" s="1325"/>
      <c r="E2" s="1325"/>
      <c r="F2" s="1325"/>
      <c r="G2" s="1325"/>
      <c r="H2" s="1325"/>
      <c r="I2" s="1325"/>
    </row>
    <row r="3" spans="1:13">
      <c r="A3" s="1313" t="s">
        <v>2171</v>
      </c>
      <c r="B3" s="1313"/>
      <c r="C3" s="1313"/>
      <c r="D3" s="1313"/>
      <c r="E3" s="1313"/>
      <c r="F3" s="1313"/>
      <c r="G3" s="1313"/>
      <c r="H3" s="1313"/>
      <c r="I3" s="1313"/>
    </row>
    <row r="4" spans="1:13">
      <c r="A4" s="1313"/>
      <c r="B4" s="1313"/>
      <c r="C4" s="1314"/>
      <c r="D4" s="1314"/>
      <c r="E4" s="1314"/>
      <c r="F4" s="1314"/>
      <c r="G4" s="1314"/>
    </row>
    <row r="5" spans="1:13">
      <c r="A5" s="1313"/>
      <c r="B5" s="1313"/>
      <c r="C5" s="1314"/>
      <c r="D5" s="1314"/>
      <c r="E5" s="1314"/>
      <c r="F5" s="1314"/>
      <c r="G5" s="1314"/>
    </row>
    <row r="6" spans="1:13" ht="12.75" customHeight="1">
      <c r="A6" s="1317" t="s">
        <v>2170</v>
      </c>
      <c r="B6" s="1317"/>
      <c r="C6" s="1317"/>
      <c r="D6" s="1317"/>
      <c r="E6" s="1317"/>
      <c r="F6" s="1317"/>
      <c r="G6" s="1317"/>
      <c r="I6" s="490"/>
    </row>
    <row r="7" spans="1:13">
      <c r="A7" s="1317"/>
      <c r="B7" s="1317"/>
      <c r="C7" s="1317"/>
      <c r="D7" s="1317"/>
      <c r="E7" s="1317"/>
      <c r="F7" s="1317"/>
      <c r="G7" s="1317"/>
      <c r="I7" s="490"/>
    </row>
    <row r="8" spans="1:13">
      <c r="A8" s="481"/>
      <c r="B8" s="481"/>
      <c r="C8" s="482"/>
      <c r="D8" s="482"/>
      <c r="E8" s="482"/>
      <c r="F8" s="482"/>
    </row>
    <row r="9" spans="1:13">
      <c r="A9" s="1292" t="s">
        <v>1100</v>
      </c>
      <c r="B9" s="1292"/>
      <c r="C9" s="1292"/>
      <c r="D9" s="1292"/>
      <c r="E9" s="1292"/>
      <c r="F9" s="1292"/>
      <c r="G9" s="1292"/>
      <c r="H9" s="1023"/>
      <c r="I9" s="1024"/>
    </row>
    <row r="10" spans="1:13">
      <c r="A10" s="482"/>
      <c r="B10" s="482"/>
      <c r="E10" s="404"/>
    </row>
    <row r="11" spans="1:13" ht="13.75" customHeight="1">
      <c r="C11" s="482"/>
      <c r="D11" s="1316" t="s">
        <v>1099</v>
      </c>
      <c r="E11" s="1316"/>
      <c r="F11" s="1316"/>
    </row>
    <row r="12" spans="1:13">
      <c r="C12" s="482"/>
      <c r="D12" s="1316"/>
      <c r="E12" s="1316"/>
      <c r="F12" s="1316"/>
    </row>
    <row r="13" spans="1:13">
      <c r="A13" s="483"/>
      <c r="B13" s="483"/>
      <c r="C13" s="483"/>
      <c r="D13" s="1293" t="s">
        <v>1089</v>
      </c>
      <c r="E13" s="1293"/>
      <c r="F13" s="1293"/>
      <c r="M13" s="96"/>
    </row>
    <row r="14" spans="1:13">
      <c r="A14" s="483"/>
      <c r="B14" s="483"/>
      <c r="C14" s="483"/>
      <c r="D14" s="476"/>
      <c r="L14" s="312"/>
    </row>
    <row r="15" spans="1:13">
      <c r="A15" s="484"/>
      <c r="B15" s="485" t="s">
        <v>2752</v>
      </c>
      <c r="C15" s="483"/>
      <c r="D15" s="1291" t="s">
        <v>1893</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1891</v>
      </c>
      <c r="F18" s="445"/>
      <c r="I18" s="490"/>
    </row>
    <row r="19" spans="1:9">
      <c r="A19" s="483"/>
      <c r="B19" s="483"/>
      <c r="C19" s="483"/>
      <c r="I19" s="490"/>
    </row>
    <row r="20" spans="1:9">
      <c r="A20" s="484"/>
      <c r="B20" s="485" t="s">
        <v>2752</v>
      </c>
      <c r="D20" s="1291" t="s">
        <v>1894</v>
      </c>
      <c r="E20" s="1291"/>
      <c r="F20" s="1291"/>
      <c r="I20" s="490"/>
    </row>
    <row r="21" spans="1:9">
      <c r="A21" s="484"/>
      <c r="D21" s="1291"/>
      <c r="E21" s="1291"/>
      <c r="F21" s="1291"/>
      <c r="I21" s="490"/>
    </row>
    <row r="22" spans="1:9">
      <c r="A22" s="484"/>
      <c r="D22" s="392"/>
      <c r="E22" s="96" t="s">
        <v>1890</v>
      </c>
      <c r="F22" s="392"/>
      <c r="I22" s="490"/>
    </row>
    <row r="23" spans="1:9">
      <c r="A23" s="484"/>
      <c r="B23" s="484"/>
      <c r="D23" s="446"/>
      <c r="I23" s="490"/>
    </row>
    <row r="24" spans="1:9">
      <c r="A24" s="484"/>
      <c r="B24" s="485" t="s">
        <v>2754</v>
      </c>
      <c r="D24" s="1291" t="s">
        <v>1090</v>
      </c>
      <c r="E24" s="1291"/>
      <c r="F24" s="1291"/>
      <c r="I24" s="490"/>
    </row>
    <row r="25" spans="1:9">
      <c r="A25" s="484"/>
      <c r="B25" s="484"/>
      <c r="D25" s="1291"/>
      <c r="E25" s="1291"/>
      <c r="F25" s="1291"/>
      <c r="I25" s="490"/>
    </row>
    <row r="26" spans="1:9">
      <c r="I26" s="490"/>
    </row>
    <row r="27" spans="1:9">
      <c r="A27" s="484"/>
      <c r="B27" s="485" t="s">
        <v>2752</v>
      </c>
      <c r="D27" s="1291" t="s">
        <v>2005</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2754</v>
      </c>
      <c r="D33" s="1291" t="s">
        <v>2006</v>
      </c>
      <c r="E33" s="1291"/>
      <c r="F33" s="1291"/>
      <c r="I33" s="490"/>
    </row>
    <row r="34" spans="1:9">
      <c r="D34" s="1291"/>
      <c r="E34" s="1291"/>
      <c r="F34" s="1291"/>
      <c r="I34" s="490"/>
    </row>
    <row r="35" spans="1:9">
      <c r="A35" s="484"/>
      <c r="B35" s="484"/>
      <c r="D35" s="447"/>
      <c r="I35" s="490"/>
    </row>
    <row r="36" spans="1:9" ht="14.5" customHeight="1">
      <c r="A36" s="484"/>
      <c r="B36" s="485" t="s">
        <v>2754</v>
      </c>
      <c r="D36" s="1291" t="s">
        <v>1213</v>
      </c>
      <c r="E36" s="1291"/>
      <c r="F36" s="1291"/>
      <c r="I36" s="490"/>
    </row>
    <row r="37" spans="1:9">
      <c r="A37" s="484"/>
      <c r="B37" s="484"/>
      <c r="D37" s="1291"/>
      <c r="E37" s="1291"/>
      <c r="F37" s="1291"/>
      <c r="I37" s="490"/>
    </row>
    <row r="38" spans="1:9">
      <c r="A38" s="484"/>
      <c r="B38" s="484"/>
      <c r="D38" s="1291"/>
      <c r="E38" s="1291"/>
      <c r="F38" s="1291"/>
      <c r="I38" s="490"/>
    </row>
    <row r="39" spans="1:9">
      <c r="A39" s="484"/>
      <c r="B39" s="484"/>
      <c r="D39" s="1291"/>
      <c r="E39" s="1291"/>
      <c r="F39" s="1291"/>
      <c r="I39" s="490"/>
    </row>
    <row r="40" spans="1:9">
      <c r="A40" s="484"/>
      <c r="B40" s="484"/>
      <c r="I40" s="490"/>
    </row>
    <row r="41" spans="1:9">
      <c r="A41" s="484"/>
      <c r="B41" s="485" t="s">
        <v>2754</v>
      </c>
      <c r="D41" s="1291" t="s">
        <v>1091</v>
      </c>
      <c r="E41" s="1291"/>
      <c r="F41" s="1291"/>
      <c r="I41" s="490"/>
    </row>
    <row r="42" spans="1:9">
      <c r="A42" s="484"/>
      <c r="B42" s="484"/>
      <c r="D42" s="1291"/>
      <c r="E42" s="1291"/>
      <c r="F42" s="1291"/>
      <c r="I42" s="490"/>
    </row>
    <row r="43" spans="1:9">
      <c r="A43" s="484"/>
      <c r="B43" s="484"/>
      <c r="D43" s="1291"/>
      <c r="E43" s="1291"/>
      <c r="F43" s="1291"/>
      <c r="I43" s="490"/>
    </row>
    <row r="44" spans="1:9">
      <c r="A44" s="484"/>
      <c r="B44" s="484"/>
      <c r="D44" s="1291"/>
      <c r="E44" s="1291"/>
      <c r="F44" s="1291"/>
      <c r="I44" s="490"/>
    </row>
    <row r="45" spans="1:9">
      <c r="A45" s="484"/>
      <c r="B45" s="484"/>
      <c r="D45" s="1291"/>
      <c r="E45" s="1291"/>
      <c r="F45" s="1291"/>
      <c r="I45" s="490"/>
    </row>
    <row r="46" spans="1:9">
      <c r="A46" s="484"/>
      <c r="B46" s="484"/>
      <c r="D46" s="445"/>
      <c r="E46" s="445"/>
      <c r="F46" s="445"/>
      <c r="I46" s="490"/>
    </row>
    <row r="47" spans="1:9">
      <c r="A47" s="484"/>
      <c r="B47" s="485" t="s">
        <v>2754</v>
      </c>
      <c r="D47" s="1291" t="s">
        <v>1092</v>
      </c>
      <c r="E47" s="1291"/>
      <c r="F47" s="1291"/>
      <c r="I47" s="490"/>
    </row>
    <row r="48" spans="1:9">
      <c r="A48" s="484"/>
      <c r="B48" s="484"/>
      <c r="D48" s="1291"/>
      <c r="E48" s="1291"/>
      <c r="F48" s="1291"/>
      <c r="I48" s="490"/>
    </row>
    <row r="49" spans="1:9">
      <c r="A49" s="484"/>
      <c r="B49" s="484"/>
      <c r="D49" s="1291"/>
      <c r="E49" s="1291"/>
      <c r="F49" s="1291"/>
      <c r="I49" s="490"/>
    </row>
    <row r="50" spans="1:9" ht="23.25" customHeight="1">
      <c r="A50" s="484"/>
      <c r="B50" s="484"/>
      <c r="D50" s="1291"/>
      <c r="E50" s="1291"/>
      <c r="F50" s="1291"/>
      <c r="I50" s="490"/>
    </row>
    <row r="51" spans="1:9">
      <c r="A51" s="484"/>
      <c r="B51" s="484"/>
      <c r="D51" s="446"/>
      <c r="I51" s="490"/>
    </row>
    <row r="52" spans="1:9" ht="14.5" customHeight="1">
      <c r="A52" s="484"/>
      <c r="B52" s="485" t="s">
        <v>2754</v>
      </c>
      <c r="D52" s="1291" t="s">
        <v>1093</v>
      </c>
      <c r="E52" s="1291"/>
      <c r="F52" s="1291"/>
      <c r="I52" s="490"/>
    </row>
    <row r="53" spans="1:9">
      <c r="A53" s="484"/>
      <c r="B53" s="484"/>
      <c r="D53" s="1291"/>
      <c r="E53" s="1291"/>
      <c r="F53" s="1291"/>
      <c r="I53" s="490"/>
    </row>
    <row r="54" spans="1:9">
      <c r="A54" s="484"/>
      <c r="B54" s="484"/>
      <c r="D54" s="1291"/>
      <c r="E54" s="1291"/>
      <c r="F54" s="1291"/>
      <c r="I54" s="490"/>
    </row>
    <row r="55" spans="1:9">
      <c r="A55" s="484"/>
      <c r="B55" s="484"/>
      <c r="I55" s="490"/>
    </row>
    <row r="56" spans="1:9">
      <c r="A56" s="484"/>
      <c r="B56" s="485" t="s">
        <v>2752</v>
      </c>
      <c r="D56" s="1319" t="s">
        <v>1094</v>
      </c>
      <c r="E56" s="1319"/>
      <c r="F56" s="1319"/>
      <c r="I56" s="490"/>
    </row>
    <row r="57" spans="1:9">
      <c r="A57" s="484"/>
      <c r="B57" s="484"/>
      <c r="D57" s="1319"/>
      <c r="E57" s="1319"/>
      <c r="F57" s="1319"/>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2754</v>
      </c>
      <c r="D61" s="1291" t="s">
        <v>1095</v>
      </c>
      <c r="E61" s="1291"/>
      <c r="F61" s="1291"/>
      <c r="I61" s="490"/>
    </row>
    <row r="62" spans="1:9">
      <c r="D62" s="1291"/>
      <c r="E62" s="1291"/>
      <c r="F62" s="1291"/>
      <c r="I62" s="490"/>
    </row>
    <row r="63" spans="1:9">
      <c r="D63" s="1291"/>
      <c r="E63" s="1291"/>
      <c r="F63" s="1291"/>
      <c r="I63" s="490"/>
    </row>
    <row r="64" spans="1:9">
      <c r="I64" s="490"/>
    </row>
    <row r="65" spans="1:9">
      <c r="A65" s="484"/>
      <c r="B65" s="485" t="s">
        <v>2754</v>
      </c>
      <c r="D65" s="1291" t="s">
        <v>1096</v>
      </c>
      <c r="E65" s="1291"/>
      <c r="F65" s="1291"/>
      <c r="I65" s="490"/>
    </row>
    <row r="66" spans="1:9">
      <c r="D66" s="1291"/>
      <c r="E66" s="1291"/>
      <c r="F66" s="1291"/>
      <c r="I66" s="490"/>
    </row>
    <row r="67" spans="1:9">
      <c r="I67" s="490"/>
    </row>
    <row r="68" spans="1:9">
      <c r="A68" s="484"/>
      <c r="B68" s="485" t="s">
        <v>2752</v>
      </c>
      <c r="D68" s="1291" t="s">
        <v>1097</v>
      </c>
      <c r="E68" s="1291"/>
      <c r="F68" s="1291"/>
      <c r="I68" s="490"/>
    </row>
    <row r="69" spans="1:9">
      <c r="D69" s="1291"/>
      <c r="E69" s="1291"/>
      <c r="F69" s="1291"/>
      <c r="I69" s="490"/>
    </row>
    <row r="70" spans="1:9">
      <c r="D70" s="1291"/>
      <c r="E70" s="1291"/>
      <c r="F70" s="1291"/>
      <c r="I70" s="490"/>
    </row>
    <row r="71" spans="1:9">
      <c r="I71" s="490"/>
    </row>
    <row r="72" spans="1:9">
      <c r="A72" s="484"/>
      <c r="B72" s="485" t="s">
        <v>2752</v>
      </c>
      <c r="D72" s="1291" t="s">
        <v>1098</v>
      </c>
      <c r="E72" s="1291"/>
      <c r="F72" s="1291"/>
      <c r="I72" s="490"/>
    </row>
    <row r="73" spans="1:9">
      <c r="D73" s="1291"/>
      <c r="E73" s="1291"/>
      <c r="F73" s="1291"/>
      <c r="I73" s="490"/>
    </row>
    <row r="74" spans="1:9">
      <c r="A74" s="484"/>
      <c r="B74" s="484"/>
      <c r="D74" s="446"/>
      <c r="I74" s="490"/>
    </row>
    <row r="75" spans="1:9">
      <c r="A75" s="1292" t="s">
        <v>1043</v>
      </c>
      <c r="B75" s="1292"/>
      <c r="C75" s="1292"/>
      <c r="D75" s="1292"/>
      <c r="E75" s="1292"/>
      <c r="F75" s="1292"/>
      <c r="G75" s="1292"/>
      <c r="H75" s="1023"/>
      <c r="I75" s="1147"/>
    </row>
    <row r="76" spans="1:9">
      <c r="I76" s="490"/>
    </row>
    <row r="77" spans="1:9">
      <c r="C77" s="486"/>
      <c r="D77" s="1311" t="s">
        <v>1101</v>
      </c>
      <c r="E77" s="1311"/>
      <c r="F77" s="1311"/>
      <c r="I77" s="490"/>
    </row>
    <row r="78" spans="1:9">
      <c r="A78" s="446"/>
      <c r="B78" s="446"/>
      <c r="D78" s="1291" t="s">
        <v>1116</v>
      </c>
      <c r="E78" s="1291"/>
      <c r="F78" s="1291"/>
      <c r="I78" s="490"/>
    </row>
    <row r="79" spans="1:9">
      <c r="A79" s="446"/>
      <c r="B79" s="446"/>
      <c r="I79" s="490"/>
    </row>
    <row r="80" spans="1:9" ht="13.75" customHeight="1">
      <c r="A80" s="484"/>
      <c r="B80" s="485" t="s">
        <v>2752</v>
      </c>
      <c r="D80" s="1291" t="s">
        <v>1244</v>
      </c>
      <c r="E80" s="1291"/>
      <c r="F80" s="1291"/>
      <c r="I80" s="490"/>
    </row>
    <row r="81" spans="1:9">
      <c r="A81" s="484"/>
      <c r="B81" s="484"/>
      <c r="D81" s="1291"/>
      <c r="E81" s="1291"/>
      <c r="F81" s="1291"/>
      <c r="I81" s="490"/>
    </row>
    <row r="82" spans="1:9">
      <c r="A82" s="484"/>
      <c r="B82" s="484"/>
      <c r="D82" s="1291"/>
      <c r="E82" s="1291"/>
      <c r="F82" s="1291"/>
      <c r="I82" s="490"/>
    </row>
    <row r="83" spans="1:9">
      <c r="A83" s="484"/>
      <c r="B83" s="484"/>
      <c r="D83" s="1291"/>
      <c r="E83" s="1291"/>
      <c r="F83" s="1291"/>
      <c r="I83" s="490"/>
    </row>
    <row r="84" spans="1:9">
      <c r="A84" s="484"/>
      <c r="B84" s="484"/>
      <c r="D84" s="1291"/>
      <c r="E84" s="1291"/>
      <c r="F84" s="1291"/>
      <c r="I84" s="490"/>
    </row>
    <row r="85" spans="1:9">
      <c r="A85" s="484"/>
      <c r="B85" s="484"/>
      <c r="D85" s="1291"/>
      <c r="E85" s="1291"/>
      <c r="F85" s="1291"/>
      <c r="I85" s="490"/>
    </row>
    <row r="86" spans="1:9">
      <c r="A86" s="484"/>
      <c r="B86" s="484"/>
      <c r="D86" s="1291"/>
      <c r="E86" s="1291"/>
      <c r="F86" s="1291"/>
      <c r="I86" s="490"/>
    </row>
    <row r="87" spans="1:9">
      <c r="A87" s="484"/>
      <c r="B87" s="484"/>
      <c r="D87" s="1291"/>
      <c r="E87" s="1291"/>
      <c r="F87" s="1291"/>
      <c r="I87" s="490"/>
    </row>
    <row r="88" spans="1:9">
      <c r="A88" s="484"/>
      <c r="B88" s="484"/>
      <c r="D88" s="385"/>
      <c r="E88" s="385"/>
      <c r="F88" s="385"/>
      <c r="I88" s="490"/>
    </row>
    <row r="89" spans="1:9" ht="15" customHeight="1">
      <c r="A89" s="484"/>
      <c r="B89" s="485" t="s">
        <v>2752</v>
      </c>
      <c r="D89" s="1291" t="s">
        <v>1729</v>
      </c>
      <c r="E89" s="1291"/>
      <c r="F89" s="1291"/>
      <c r="I89" s="490"/>
    </row>
    <row r="90" spans="1:9">
      <c r="A90" s="484"/>
      <c r="B90" s="484"/>
      <c r="D90" s="1291"/>
      <c r="E90" s="1291"/>
      <c r="F90" s="1291"/>
      <c r="I90" s="490"/>
    </row>
    <row r="91" spans="1:9">
      <c r="A91" s="484"/>
      <c r="B91" s="484"/>
      <c r="D91" s="445"/>
      <c r="E91" s="445"/>
      <c r="F91" s="445"/>
      <c r="I91" s="490"/>
    </row>
    <row r="92" spans="1:9">
      <c r="A92" s="484"/>
      <c r="B92" s="485" t="s">
        <v>2752</v>
      </c>
      <c r="D92" s="1291" t="s">
        <v>1732</v>
      </c>
      <c r="E92" s="1291"/>
      <c r="F92" s="1291"/>
      <c r="I92" s="490"/>
    </row>
    <row r="93" spans="1:9">
      <c r="A93" s="484"/>
      <c r="B93" s="484"/>
      <c r="D93" s="1291"/>
      <c r="E93" s="1291"/>
      <c r="F93" s="1291"/>
      <c r="I93" s="490"/>
    </row>
    <row r="94" spans="1:9">
      <c r="A94" s="484"/>
      <c r="B94" s="484"/>
      <c r="D94" s="1291"/>
      <c r="E94" s="1291"/>
      <c r="F94" s="1291"/>
      <c r="I94" s="490"/>
    </row>
    <row r="95" spans="1:9">
      <c r="A95" s="484"/>
      <c r="B95" s="484"/>
      <c r="D95" s="445"/>
      <c r="E95" s="445"/>
      <c r="F95" s="445"/>
      <c r="I95" s="490"/>
    </row>
    <row r="96" spans="1:9">
      <c r="A96" s="484"/>
      <c r="B96" s="485" t="s">
        <v>2752</v>
      </c>
      <c r="D96" s="1291" t="s">
        <v>1731</v>
      </c>
      <c r="E96" s="1291"/>
      <c r="F96" s="1291"/>
      <c r="I96" s="490"/>
    </row>
    <row r="97" spans="1:9" s="982" customFormat="1">
      <c r="A97" s="980"/>
      <c r="B97" s="980"/>
      <c r="C97" s="981"/>
      <c r="D97" s="1291"/>
      <c r="E97" s="1291"/>
      <c r="F97" s="1291"/>
      <c r="I97" s="1148"/>
    </row>
    <row r="98" spans="1:9">
      <c r="A98" s="484"/>
      <c r="B98" s="484"/>
      <c r="D98" s="392"/>
      <c r="E98" s="312" t="s">
        <v>1895</v>
      </c>
      <c r="F98" s="445"/>
      <c r="I98" s="490"/>
    </row>
    <row r="99" spans="1:9">
      <c r="A99" s="484"/>
      <c r="B99" s="484"/>
      <c r="D99" s="385"/>
      <c r="E99" s="385"/>
      <c r="F99" s="385"/>
      <c r="I99" s="490"/>
    </row>
    <row r="100" spans="1:9">
      <c r="A100" s="484"/>
      <c r="B100" s="485" t="s">
        <v>2754</v>
      </c>
      <c r="D100" s="1291" t="s">
        <v>1730</v>
      </c>
      <c r="E100" s="1291"/>
      <c r="F100" s="1291"/>
      <c r="I100" s="490"/>
    </row>
    <row r="101" spans="1:9">
      <c r="A101" s="484"/>
      <c r="B101" s="484"/>
      <c r="D101" s="1291"/>
      <c r="E101" s="1291"/>
      <c r="F101" s="1291"/>
      <c r="I101" s="490"/>
    </row>
    <row r="102" spans="1:9">
      <c r="A102" s="484"/>
      <c r="B102" s="484"/>
      <c r="D102" s="445"/>
      <c r="E102" s="445"/>
      <c r="F102" s="445"/>
      <c r="I102" s="490"/>
    </row>
    <row r="103" spans="1:9" ht="14.5" customHeight="1">
      <c r="A103" s="484"/>
      <c r="B103" s="485" t="s">
        <v>2754</v>
      </c>
      <c r="D103" s="1291" t="s">
        <v>1193</v>
      </c>
      <c r="E103" s="1291"/>
      <c r="F103" s="1291"/>
      <c r="I103" s="490"/>
    </row>
    <row r="104" spans="1:9">
      <c r="A104" s="484"/>
      <c r="B104" s="484"/>
      <c r="D104" s="1291"/>
      <c r="E104" s="1291"/>
      <c r="F104" s="1291"/>
      <c r="I104" s="490"/>
    </row>
    <row r="105" spans="1:9">
      <c r="A105" s="484"/>
      <c r="B105" s="484"/>
      <c r="D105" s="1291"/>
      <c r="E105" s="1291"/>
      <c r="F105" s="1291"/>
      <c r="I105" s="490"/>
    </row>
    <row r="106" spans="1:9">
      <c r="A106" s="484"/>
      <c r="B106" s="484"/>
      <c r="D106" s="1291"/>
      <c r="E106" s="1291"/>
      <c r="F106" s="1291"/>
      <c r="I106" s="490"/>
    </row>
    <row r="107" spans="1:9">
      <c r="A107" s="484"/>
      <c r="B107" s="484"/>
      <c r="D107" s="1291"/>
      <c r="E107" s="1291"/>
      <c r="F107" s="1291"/>
      <c r="I107" s="490"/>
    </row>
    <row r="108" spans="1:9">
      <c r="A108" s="484"/>
      <c r="B108" s="484"/>
      <c r="D108" s="1291"/>
      <c r="E108" s="1291"/>
      <c r="F108" s="1291"/>
      <c r="I108" s="490"/>
    </row>
    <row r="109" spans="1:9">
      <c r="A109" s="484"/>
      <c r="B109" s="484"/>
      <c r="D109" s="1291"/>
      <c r="E109" s="1291"/>
      <c r="F109" s="1291"/>
      <c r="I109" s="490"/>
    </row>
    <row r="110" spans="1:9">
      <c r="A110" s="484"/>
      <c r="B110" s="484"/>
      <c r="D110" s="1291"/>
      <c r="E110" s="1291"/>
      <c r="F110" s="1291"/>
      <c r="I110" s="490"/>
    </row>
    <row r="111" spans="1:9">
      <c r="A111" s="484"/>
      <c r="B111" s="484"/>
      <c r="D111" s="1291"/>
      <c r="E111" s="1291"/>
      <c r="F111" s="1291"/>
      <c r="I111" s="490"/>
    </row>
    <row r="112" spans="1:9">
      <c r="A112" s="484"/>
      <c r="B112" s="484"/>
      <c r="D112" s="1291"/>
      <c r="E112" s="1291"/>
      <c r="F112" s="1291"/>
      <c r="I112" s="490"/>
    </row>
    <row r="113" spans="1:9">
      <c r="A113" s="484"/>
      <c r="B113" s="484"/>
      <c r="D113" s="1291"/>
      <c r="E113" s="1291"/>
      <c r="F113" s="1291"/>
      <c r="I113" s="490"/>
    </row>
    <row r="114" spans="1:9">
      <c r="A114" s="484"/>
      <c r="B114" s="484"/>
      <c r="D114" s="1291"/>
      <c r="E114" s="1291"/>
      <c r="F114" s="1291"/>
      <c r="I114" s="490"/>
    </row>
    <row r="115" spans="1:9">
      <c r="A115" s="484"/>
      <c r="B115" s="484"/>
      <c r="D115" s="1291"/>
      <c r="E115" s="1291"/>
      <c r="F115" s="1291"/>
      <c r="I115" s="490"/>
    </row>
    <row r="116" spans="1:9">
      <c r="A116" s="484"/>
      <c r="B116" s="484"/>
      <c r="D116" s="1291"/>
      <c r="E116" s="1291"/>
      <c r="F116" s="1291"/>
      <c r="I116" s="490"/>
    </row>
    <row r="117" spans="1:9">
      <c r="A117" s="484"/>
      <c r="B117" s="484"/>
      <c r="D117" s="1291"/>
      <c r="E117" s="1291"/>
      <c r="F117" s="1291"/>
      <c r="I117" s="490"/>
    </row>
    <row r="118" spans="1:9">
      <c r="A118" s="484"/>
      <c r="B118" s="484"/>
      <c r="D118" s="524"/>
      <c r="E118" s="524"/>
      <c r="F118" s="524"/>
      <c r="I118" s="490"/>
    </row>
    <row r="119" spans="1:9" ht="14.25" customHeight="1">
      <c r="A119" s="484"/>
      <c r="B119" s="485" t="s">
        <v>2754</v>
      </c>
      <c r="D119" s="1318" t="s">
        <v>1102</v>
      </c>
      <c r="E119" s="1318"/>
      <c r="F119" s="1318"/>
      <c r="I119" s="490"/>
    </row>
    <row r="120" spans="1:9">
      <c r="A120" s="484"/>
      <c r="B120" s="484"/>
      <c r="D120" s="1318"/>
      <c r="E120" s="1318"/>
      <c r="F120" s="1318"/>
      <c r="I120" s="490"/>
    </row>
    <row r="121" spans="1:9">
      <c r="A121" s="484"/>
      <c r="B121" s="484"/>
      <c r="D121" s="1318"/>
      <c r="E121" s="1318"/>
      <c r="F121" s="1318"/>
      <c r="I121" s="490"/>
    </row>
    <row r="122" spans="1:9">
      <c r="A122" s="484"/>
      <c r="B122" s="484"/>
      <c r="D122" s="1318"/>
      <c r="E122" s="1318"/>
      <c r="F122" s="1318"/>
      <c r="I122" s="490"/>
    </row>
    <row r="123" spans="1:9">
      <c r="A123" s="484"/>
      <c r="B123" s="484"/>
      <c r="D123" s="1318"/>
      <c r="E123" s="1318"/>
      <c r="F123" s="1318"/>
      <c r="I123" s="490"/>
    </row>
    <row r="124" spans="1:9">
      <c r="A124" s="484"/>
      <c r="B124" s="484"/>
      <c r="D124" s="1318"/>
      <c r="E124" s="1318"/>
      <c r="F124" s="1318"/>
      <c r="I124" s="490"/>
    </row>
    <row r="125" spans="1:9">
      <c r="A125" s="484"/>
      <c r="B125" s="484"/>
      <c r="D125" s="1318"/>
      <c r="E125" s="1318"/>
      <c r="F125" s="1318"/>
      <c r="I125" s="490"/>
    </row>
    <row r="126" spans="1:9">
      <c r="A126" s="484"/>
      <c r="B126" s="484"/>
      <c r="D126" s="1318"/>
      <c r="E126" s="1318"/>
      <c r="F126" s="1318"/>
      <c r="I126" s="490"/>
    </row>
    <row r="127" spans="1:9">
      <c r="C127" s="402"/>
      <c r="D127" s="525"/>
      <c r="E127" s="525"/>
      <c r="F127" s="525"/>
      <c r="I127" s="490"/>
    </row>
    <row r="128" spans="1:9">
      <c r="A128" s="484"/>
      <c r="B128" s="485" t="s">
        <v>2752</v>
      </c>
      <c r="C128" s="402"/>
      <c r="D128" s="1318" t="s">
        <v>2007</v>
      </c>
      <c r="E128" s="1318"/>
      <c r="F128" s="1318"/>
      <c r="I128" s="490"/>
    </row>
    <row r="129" spans="1:9">
      <c r="A129" s="484"/>
      <c r="B129" s="484"/>
      <c r="C129" s="402"/>
      <c r="D129" s="1318"/>
      <c r="E129" s="1318"/>
      <c r="F129" s="1318"/>
      <c r="I129" s="490"/>
    </row>
    <row r="130" spans="1:9">
      <c r="I130" s="490"/>
    </row>
    <row r="131" spans="1:9">
      <c r="A131" s="484"/>
      <c r="B131" s="485" t="s">
        <v>2752</v>
      </c>
      <c r="D131" s="1291" t="s">
        <v>1103</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c r="A137" s="484"/>
      <c r="B137" s="485" t="s">
        <v>2752</v>
      </c>
      <c r="D137" s="1291" t="s">
        <v>1104</v>
      </c>
      <c r="E137" s="1291"/>
      <c r="F137" s="1291"/>
      <c r="I137" s="490"/>
    </row>
    <row r="138" spans="1:9" s="417" customFormat="1" ht="13.75" customHeight="1">
      <c r="A138" s="488"/>
      <c r="B138" s="488"/>
      <c r="C138" s="488"/>
      <c r="D138" s="1291"/>
      <c r="E138" s="1291"/>
      <c r="F138" s="1291"/>
      <c r="I138" s="1149"/>
    </row>
    <row r="139" spans="1:9" ht="13.75" customHeight="1">
      <c r="D139" s="1291"/>
      <c r="E139" s="1291"/>
      <c r="F139" s="1291"/>
      <c r="I139" s="490"/>
    </row>
    <row r="140" spans="1:9" ht="13.75" customHeight="1">
      <c r="D140" s="1291"/>
      <c r="E140" s="1291"/>
      <c r="F140" s="1291"/>
      <c r="I140" s="490"/>
    </row>
    <row r="141" spans="1:9" ht="13.75" customHeight="1">
      <c r="D141" s="1291"/>
      <c r="E141" s="1291"/>
      <c r="F141" s="1291"/>
      <c r="I141" s="490"/>
    </row>
    <row r="142" spans="1:9" ht="13.75" customHeight="1">
      <c r="A142" s="489"/>
      <c r="B142" s="489"/>
      <c r="D142" s="1291"/>
      <c r="E142" s="1291"/>
      <c r="F142" s="1291"/>
      <c r="I142" s="490"/>
    </row>
    <row r="143" spans="1:9" ht="13.75" customHeight="1">
      <c r="D143" s="1291"/>
      <c r="E143" s="1291"/>
      <c r="F143" s="1291"/>
      <c r="I143" s="490"/>
    </row>
    <row r="144" spans="1:9" ht="13.75" customHeight="1">
      <c r="D144" s="1291"/>
      <c r="E144" s="1291"/>
      <c r="F144" s="1291"/>
      <c r="I144" s="490"/>
    </row>
    <row r="145" spans="2:9" ht="13.75" customHeight="1">
      <c r="D145" s="1291"/>
      <c r="E145" s="1291"/>
      <c r="F145" s="1291"/>
      <c r="I145" s="490"/>
    </row>
    <row r="146" spans="2:9" ht="13.75" customHeight="1">
      <c r="D146" s="1291"/>
      <c r="E146" s="1291"/>
      <c r="F146" s="1291"/>
      <c r="I146" s="490"/>
    </row>
    <row r="147" spans="2:9" ht="13.75" customHeight="1">
      <c r="D147" s="1291"/>
      <c r="E147" s="1291"/>
      <c r="F147" s="1291"/>
      <c r="I147" s="490"/>
    </row>
    <row r="148" spans="2:9" ht="13.75" customHeight="1">
      <c r="D148" s="1291"/>
      <c r="E148" s="1291"/>
      <c r="F148" s="1291"/>
      <c r="I148" s="490"/>
    </row>
    <row r="149" spans="2:9" ht="13.75" customHeight="1">
      <c r="D149" s="1291"/>
      <c r="E149" s="1291"/>
      <c r="F149" s="1291"/>
      <c r="I149" s="490"/>
    </row>
    <row r="150" spans="2:9" ht="13.75" customHeight="1">
      <c r="D150" s="476"/>
      <c r="E150" s="446"/>
      <c r="F150" s="446"/>
      <c r="I150" s="490"/>
    </row>
    <row r="151" spans="2:9" ht="13.75" customHeight="1">
      <c r="B151" s="485" t="s">
        <v>2754</v>
      </c>
      <c r="D151" s="1291" t="s">
        <v>1176</v>
      </c>
      <c r="E151" s="1291"/>
      <c r="F151" s="1291"/>
      <c r="I151" s="490"/>
    </row>
    <row r="152" spans="2:9" ht="13.75" customHeight="1">
      <c r="D152" s="1291"/>
      <c r="E152" s="1291"/>
      <c r="F152" s="1291"/>
      <c r="I152" s="490"/>
    </row>
    <row r="153" spans="2:9" ht="13.75" customHeight="1">
      <c r="D153" s="1291"/>
      <c r="E153" s="1291"/>
      <c r="F153" s="1291"/>
      <c r="I153" s="490"/>
    </row>
    <row r="154" spans="2:9" ht="13.75" customHeight="1">
      <c r="D154" s="1291"/>
      <c r="E154" s="1291"/>
      <c r="F154" s="1291"/>
      <c r="I154" s="490"/>
    </row>
    <row r="155" spans="2:9" ht="13.75" customHeight="1">
      <c r="D155" s="1291"/>
      <c r="E155" s="1291"/>
      <c r="F155" s="1291"/>
      <c r="I155" s="490"/>
    </row>
    <row r="156" spans="2:9" ht="13.75" customHeight="1">
      <c r="D156" s="1291"/>
      <c r="E156" s="1291"/>
      <c r="F156" s="1291"/>
      <c r="I156" s="490"/>
    </row>
    <row r="157" spans="2:9" ht="13.75" customHeight="1">
      <c r="D157" s="1291"/>
      <c r="E157" s="1291"/>
      <c r="F157" s="1291"/>
      <c r="I157" s="490"/>
    </row>
    <row r="158" spans="2:9" ht="13.75" customHeight="1">
      <c r="D158" s="1291"/>
      <c r="E158" s="1291"/>
      <c r="F158" s="1291"/>
      <c r="I158" s="490"/>
    </row>
    <row r="159" spans="2:9" ht="13.75" customHeight="1">
      <c r="D159" s="1291"/>
      <c r="E159" s="1291"/>
      <c r="F159" s="1291"/>
      <c r="I159" s="490"/>
    </row>
    <row r="160" spans="2:9" ht="13.75" customHeight="1">
      <c r="D160" s="1291"/>
      <c r="E160" s="1291"/>
      <c r="F160" s="1291"/>
      <c r="I160" s="490"/>
    </row>
    <row r="161" spans="1:9" ht="13.75" customHeight="1">
      <c r="D161" s="1291"/>
      <c r="E161" s="1291"/>
      <c r="F161" s="1291"/>
      <c r="I161" s="490"/>
    </row>
    <row r="162" spans="1:9" ht="13.75" customHeight="1">
      <c r="D162" s="1291"/>
      <c r="E162" s="1291"/>
      <c r="F162" s="1291"/>
      <c r="I162" s="490"/>
    </row>
    <row r="163" spans="1:9" ht="13.75" customHeight="1">
      <c r="D163" s="1291"/>
      <c r="E163" s="1291"/>
      <c r="F163" s="1291"/>
      <c r="I163" s="490"/>
    </row>
    <row r="164" spans="1:9" ht="13.75" customHeight="1">
      <c r="D164" s="1291"/>
      <c r="E164" s="1291"/>
      <c r="F164" s="1291"/>
      <c r="I164" s="490"/>
    </row>
    <row r="165" spans="1:9" ht="13.75" customHeight="1">
      <c r="D165" s="1291"/>
      <c r="E165" s="1291"/>
      <c r="F165" s="1291"/>
      <c r="I165" s="490"/>
    </row>
    <row r="166" spans="1:9" ht="13.75" customHeight="1">
      <c r="D166" s="1291"/>
      <c r="E166" s="1291"/>
      <c r="F166" s="1291"/>
      <c r="I166" s="490"/>
    </row>
    <row r="167" spans="1:9" ht="13.75" customHeight="1">
      <c r="D167" s="1291"/>
      <c r="E167" s="1291"/>
      <c r="F167" s="1291"/>
      <c r="I167" s="490"/>
    </row>
    <row r="168" spans="1:9" ht="13.75" customHeight="1">
      <c r="D168" s="1291"/>
      <c r="E168" s="1291"/>
      <c r="F168" s="1291"/>
      <c r="I168" s="490"/>
    </row>
    <row r="169" spans="1:9" ht="13.75" customHeight="1">
      <c r="D169" s="1315" t="s">
        <v>2029</v>
      </c>
      <c r="E169" s="1315"/>
      <c r="F169" s="1315"/>
      <c r="G169" s="507"/>
      <c r="I169" s="490"/>
    </row>
    <row r="170" spans="1:9" ht="13.75" customHeight="1">
      <c r="D170" s="1301"/>
      <c r="E170" s="1301"/>
      <c r="F170" s="1301"/>
      <c r="G170" s="1301"/>
      <c r="I170" s="490"/>
    </row>
    <row r="171" spans="1:9" ht="14.5" customHeight="1">
      <c r="A171" s="489"/>
      <c r="B171" s="485" t="s">
        <v>2754</v>
      </c>
      <c r="C171" s="476"/>
      <c r="D171" s="1288" t="s">
        <v>2165</v>
      </c>
      <c r="E171" s="1288"/>
      <c r="F171" s="1288"/>
      <c r="G171" s="476"/>
      <c r="I171" s="490"/>
    </row>
    <row r="172" spans="1:9" ht="14.5" customHeight="1">
      <c r="A172" s="489"/>
      <c r="B172" s="489"/>
      <c r="C172" s="476"/>
      <c r="D172" s="1288"/>
      <c r="E172" s="1288"/>
      <c r="F172" s="1288"/>
      <c r="G172" s="476"/>
      <c r="I172" s="490"/>
    </row>
    <row r="173" spans="1:9" ht="14.5" customHeight="1">
      <c r="A173" s="489"/>
      <c r="B173" s="489"/>
      <c r="C173" s="476"/>
      <c r="D173" s="1288"/>
      <c r="E173" s="1288"/>
      <c r="F173" s="1288"/>
      <c r="G173" s="476"/>
      <c r="I173" s="490"/>
    </row>
    <row r="174" spans="1:9" ht="14.5" customHeight="1">
      <c r="A174" s="489"/>
      <c r="B174" s="489"/>
      <c r="C174" s="476"/>
      <c r="D174" s="1288"/>
      <c r="E174" s="1288"/>
      <c r="F174" s="1288"/>
      <c r="G174" s="476"/>
      <c r="I174" s="490"/>
    </row>
    <row r="175" spans="1:9" ht="13.75" customHeight="1">
      <c r="A175" s="489"/>
      <c r="B175" s="489"/>
      <c r="C175" s="476"/>
      <c r="D175" s="1288"/>
      <c r="E175" s="1288"/>
      <c r="F175" s="1288"/>
      <c r="G175" s="476"/>
      <c r="I175" s="490"/>
    </row>
    <row r="176" spans="1:9" ht="13.75" customHeight="1">
      <c r="A176" s="489"/>
      <c r="B176" s="489"/>
      <c r="C176" s="476"/>
      <c r="D176" s="476"/>
      <c r="E176" s="476"/>
      <c r="F176" s="476"/>
      <c r="G176" s="476"/>
      <c r="I176" s="490"/>
    </row>
    <row r="177" spans="1:9" ht="13.75" customHeight="1">
      <c r="A177" s="489"/>
      <c r="B177" s="485" t="s">
        <v>2754</v>
      </c>
      <c r="C177" s="476"/>
      <c r="D177" s="1288" t="s">
        <v>1105</v>
      </c>
      <c r="E177" s="1288"/>
      <c r="F177" s="1288"/>
      <c r="G177" s="476"/>
      <c r="I177" s="490"/>
    </row>
    <row r="178" spans="1:9" ht="13.75" customHeight="1">
      <c r="A178" s="489"/>
      <c r="B178" s="489"/>
      <c r="C178" s="476"/>
      <c r="D178" s="1288"/>
      <c r="E178" s="1288"/>
      <c r="F178" s="1288"/>
      <c r="G178" s="476"/>
      <c r="I178" s="490"/>
    </row>
    <row r="179" spans="1:9" ht="13.75" customHeight="1">
      <c r="A179" s="489"/>
      <c r="B179" s="489"/>
      <c r="C179" s="476"/>
      <c r="D179" s="1288"/>
      <c r="E179" s="1288"/>
      <c r="F179" s="1288"/>
      <c r="G179" s="476"/>
      <c r="I179" s="490"/>
    </row>
    <row r="180" spans="1:9" ht="13.75" customHeight="1">
      <c r="A180" s="489"/>
      <c r="B180" s="489"/>
      <c r="C180" s="476"/>
      <c r="D180" s="1288"/>
      <c r="E180" s="1288"/>
      <c r="F180" s="1288"/>
      <c r="G180" s="476"/>
      <c r="I180" s="490"/>
    </row>
    <row r="181" spans="1:9" ht="13.75" customHeight="1">
      <c r="D181" s="446"/>
      <c r="E181" s="446"/>
      <c r="F181" s="446"/>
      <c r="I181" s="490"/>
    </row>
    <row r="182" spans="1:9" ht="13.75" hidden="1" customHeight="1">
      <c r="B182" s="485" t="s">
        <v>307</v>
      </c>
      <c r="D182" s="1307" t="s">
        <v>2008</v>
      </c>
      <c r="E182" s="1307"/>
      <c r="F182" s="1307"/>
      <c r="I182" s="490"/>
    </row>
    <row r="183" spans="1:9" ht="13.75" hidden="1" customHeight="1">
      <c r="D183" s="1307"/>
      <c r="E183" s="1307"/>
      <c r="F183" s="1307"/>
      <c r="I183" s="490"/>
    </row>
    <row r="184" spans="1:9" ht="13.75" hidden="1" customHeight="1">
      <c r="D184" s="1307"/>
      <c r="E184" s="1307"/>
      <c r="F184" s="1307"/>
      <c r="I184" s="490"/>
    </row>
    <row r="185" spans="1:9" ht="13.75" customHeight="1">
      <c r="A185" s="490"/>
      <c r="B185" s="490"/>
      <c r="E185" s="446"/>
      <c r="F185" s="446"/>
      <c r="I185" s="490"/>
    </row>
    <row r="186" spans="1:9">
      <c r="A186" s="1292" t="s">
        <v>2009</v>
      </c>
      <c r="B186" s="1292"/>
      <c r="C186" s="1292"/>
      <c r="D186" s="1292"/>
      <c r="E186" s="1292"/>
      <c r="F186" s="1292"/>
      <c r="G186" s="1292"/>
      <c r="H186" s="1023"/>
      <c r="I186" s="1147"/>
    </row>
    <row r="187" spans="1:9" ht="12" customHeight="1">
      <c r="D187" s="446"/>
      <c r="E187" s="446"/>
      <c r="F187" s="446"/>
      <c r="I187" s="490"/>
    </row>
    <row r="188" spans="1:9">
      <c r="B188" s="1297" t="s">
        <v>446</v>
      </c>
      <c r="C188" s="1297"/>
      <c r="D188" s="1297"/>
      <c r="E188" s="1297"/>
      <c r="F188" s="1297"/>
      <c r="I188" s="490"/>
    </row>
    <row r="189" spans="1:9">
      <c r="B189" s="392" t="s">
        <v>1847</v>
      </c>
      <c r="C189" s="392"/>
      <c r="D189" s="392"/>
      <c r="E189" s="392"/>
      <c r="F189" s="392"/>
      <c r="I189" s="490"/>
    </row>
    <row r="190" spans="1:9" ht="12" customHeight="1">
      <c r="A190" s="482"/>
      <c r="B190" s="482"/>
      <c r="C190" s="482"/>
      <c r="I190" s="490"/>
    </row>
    <row r="191" spans="1:9">
      <c r="A191" s="1292" t="s">
        <v>1044</v>
      </c>
      <c r="B191" s="1292"/>
      <c r="C191" s="1292"/>
      <c r="D191" s="1292"/>
      <c r="E191" s="1292"/>
      <c r="F191" s="1292"/>
      <c r="G191" s="1292"/>
      <c r="H191" s="1023"/>
      <c r="I191" s="1147"/>
    </row>
    <row r="192" spans="1:9" ht="12" customHeight="1">
      <c r="A192" s="404"/>
      <c r="B192" s="404"/>
      <c r="E192" s="404"/>
      <c r="I192" s="490"/>
    </row>
    <row r="193" spans="1:9" ht="13.75" customHeight="1">
      <c r="A193" s="404"/>
      <c r="B193" s="404"/>
      <c r="D193" s="1311" t="s">
        <v>1733</v>
      </c>
      <c r="E193" s="1311"/>
      <c r="F193" s="1311"/>
      <c r="I193" s="490"/>
    </row>
    <row r="194" spans="1:9">
      <c r="A194" s="404"/>
      <c r="B194" s="404"/>
      <c r="D194" s="1311"/>
      <c r="E194" s="1311"/>
      <c r="F194" s="1311"/>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2752</v>
      </c>
      <c r="D197" s="1279" t="s">
        <v>1734</v>
      </c>
      <c r="E197" s="1279"/>
      <c r="F197" s="1279"/>
      <c r="I197" s="490"/>
    </row>
    <row r="198" spans="1:9">
      <c r="A198" s="404"/>
      <c r="B198" s="404"/>
      <c r="D198" s="1268" t="s">
        <v>1873</v>
      </c>
      <c r="E198" s="1268"/>
      <c r="F198" s="1268"/>
      <c r="I198" s="490"/>
    </row>
    <row r="199" spans="1:9">
      <c r="A199" s="404"/>
      <c r="B199" s="404"/>
      <c r="D199" s="96" t="s">
        <v>1735</v>
      </c>
      <c r="E199" s="1320" t="s">
        <v>1896</v>
      </c>
      <c r="F199" s="1320"/>
      <c r="I199" s="490"/>
    </row>
    <row r="200" spans="1:9">
      <c r="A200" s="404"/>
      <c r="B200" s="404"/>
      <c r="D200" s="3"/>
      <c r="E200" s="3"/>
      <c r="F200" s="3"/>
      <c r="I200" s="490"/>
    </row>
    <row r="201" spans="1:9">
      <c r="A201" s="404"/>
      <c r="B201" s="485" t="s">
        <v>2754</v>
      </c>
      <c r="D201" s="1268" t="s">
        <v>1736</v>
      </c>
      <c r="E201" s="1268"/>
      <c r="F201" s="1268"/>
      <c r="I201" s="490"/>
    </row>
    <row r="202" spans="1:9">
      <c r="A202" s="404"/>
      <c r="B202" s="404"/>
      <c r="D202" s="1279" t="s">
        <v>1873</v>
      </c>
      <c r="E202" s="1279"/>
      <c r="F202" s="1279"/>
      <c r="I202" s="490"/>
    </row>
    <row r="203" spans="1:9">
      <c r="A203" s="404"/>
      <c r="B203" s="404"/>
      <c r="D203" s="57" t="s">
        <v>1737</v>
      </c>
      <c r="E203" s="1320" t="s">
        <v>1897</v>
      </c>
      <c r="F203" s="1320"/>
      <c r="I203" s="490"/>
    </row>
    <row r="204" spans="1:9">
      <c r="A204" s="404"/>
      <c r="B204" s="404"/>
      <c r="D204" s="3"/>
      <c r="E204" s="3"/>
      <c r="F204" s="3"/>
      <c r="I204" s="490"/>
    </row>
    <row r="205" spans="1:9">
      <c r="A205" s="404"/>
      <c r="B205" s="485" t="s">
        <v>2754</v>
      </c>
      <c r="D205" s="1268" t="s">
        <v>1738</v>
      </c>
      <c r="E205" s="1268"/>
      <c r="F205" s="1268"/>
      <c r="I205" s="490"/>
    </row>
    <row r="206" spans="1:9">
      <c r="A206" s="404"/>
      <c r="B206" s="404"/>
      <c r="D206" s="1279" t="s">
        <v>1873</v>
      </c>
      <c r="E206" s="1279"/>
      <c r="F206" s="1279"/>
      <c r="I206" s="490"/>
    </row>
    <row r="207" spans="1:9">
      <c r="A207" s="404"/>
      <c r="B207" s="404"/>
      <c r="D207" s="57" t="s">
        <v>1735</v>
      </c>
      <c r="E207" s="1320" t="s">
        <v>1898</v>
      </c>
      <c r="F207" s="1320"/>
      <c r="I207" s="490"/>
    </row>
    <row r="208" spans="1:9">
      <c r="A208" s="404"/>
      <c r="B208" s="404"/>
      <c r="D208" s="392"/>
      <c r="E208" s="392"/>
      <c r="F208" s="392"/>
      <c r="I208" s="490"/>
    </row>
    <row r="209" spans="1:9" ht="14.25" customHeight="1">
      <c r="A209" s="484"/>
      <c r="B209" s="485" t="s">
        <v>2754</v>
      </c>
      <c r="D209" s="386" t="s">
        <v>1866</v>
      </c>
      <c r="E209" s="385"/>
      <c r="F209" s="385"/>
      <c r="I209" s="490"/>
    </row>
    <row r="210" spans="1:9">
      <c r="A210" s="484"/>
      <c r="B210" s="484"/>
      <c r="D210" s="1279" t="s">
        <v>1873</v>
      </c>
      <c r="E210" s="1279"/>
      <c r="F210" s="1279"/>
      <c r="I210" s="490"/>
    </row>
    <row r="211" spans="1:9">
      <c r="D211" s="385"/>
      <c r="E211" s="1320" t="s">
        <v>1899</v>
      </c>
      <c r="F211" s="1320"/>
      <c r="I211" s="490"/>
    </row>
    <row r="212" spans="1:9">
      <c r="D212" s="447"/>
      <c r="I212" s="490"/>
    </row>
    <row r="213" spans="1:9">
      <c r="B213" s="485" t="s">
        <v>2754</v>
      </c>
      <c r="D213" s="1268" t="s">
        <v>1739</v>
      </c>
      <c r="E213" s="1268"/>
      <c r="F213" s="1268"/>
      <c r="I213" s="490"/>
    </row>
    <row r="214" spans="1:9">
      <c r="D214" s="1279" t="s">
        <v>1873</v>
      </c>
      <c r="E214" s="1279"/>
      <c r="F214" s="1279"/>
      <c r="I214" s="490"/>
    </row>
    <row r="215" spans="1:9">
      <c r="D215" s="57" t="s">
        <v>1735</v>
      </c>
      <c r="E215" s="1320" t="s">
        <v>1900</v>
      </c>
      <c r="F215" s="1320"/>
      <c r="I215" s="490"/>
    </row>
    <row r="216" spans="1:9">
      <c r="D216" s="451"/>
      <c r="E216" s="451"/>
      <c r="F216" s="451"/>
      <c r="I216" s="490"/>
    </row>
    <row r="217" spans="1:9">
      <c r="A217" s="484"/>
      <c r="B217" s="485" t="s">
        <v>2754</v>
      </c>
      <c r="D217" s="1291" t="s">
        <v>1215</v>
      </c>
      <c r="E217" s="1291"/>
      <c r="F217" s="1291"/>
      <c r="I217" s="490"/>
    </row>
    <row r="218" spans="1:9" ht="14.5" customHeight="1">
      <c r="A218" s="484"/>
      <c r="B218" s="402"/>
      <c r="D218" s="1291"/>
      <c r="E218" s="1291"/>
      <c r="F218" s="1291"/>
      <c r="I218" s="490"/>
    </row>
    <row r="219" spans="1:9">
      <c r="A219" s="484"/>
      <c r="D219" s="1291"/>
      <c r="E219" s="1291"/>
      <c r="F219" s="1291"/>
      <c r="I219" s="490"/>
    </row>
    <row r="220" spans="1:9">
      <c r="A220" s="484"/>
      <c r="D220" s="1291"/>
      <c r="E220" s="1291"/>
      <c r="F220" s="1291"/>
      <c r="I220" s="490"/>
    </row>
    <row r="221" spans="1:9">
      <c r="D221" s="451"/>
      <c r="E221" s="451"/>
      <c r="F221" s="451"/>
      <c r="I221" s="490"/>
    </row>
    <row r="222" spans="1:9">
      <c r="A222" s="1292" t="s">
        <v>1045</v>
      </c>
      <c r="B222" s="1292"/>
      <c r="C222" s="1292"/>
      <c r="D222" s="1292"/>
      <c r="E222" s="1292"/>
      <c r="F222" s="1292"/>
      <c r="G222" s="1292"/>
      <c r="H222" s="1023"/>
      <c r="I222" s="1147"/>
    </row>
    <row r="223" spans="1:9" ht="12" customHeight="1">
      <c r="D223" s="446"/>
      <c r="E223" s="446"/>
      <c r="F223" s="446"/>
      <c r="I223" s="490"/>
    </row>
    <row r="224" spans="1:9">
      <c r="C224" s="486"/>
      <c r="D224" s="1294" t="s">
        <v>208</v>
      </c>
      <c r="E224" s="1294"/>
      <c r="F224" s="1294"/>
      <c r="I224" s="490"/>
    </row>
    <row r="225" spans="1:9">
      <c r="A225" s="482"/>
      <c r="B225" s="482"/>
      <c r="C225" s="482"/>
      <c r="D225" s="1293" t="s">
        <v>1119</v>
      </c>
      <c r="E225" s="1293"/>
      <c r="F225" s="1293"/>
      <c r="I225" s="490"/>
    </row>
    <row r="226" spans="1:9" ht="12" customHeight="1">
      <c r="A226" s="490"/>
      <c r="B226" s="490"/>
      <c r="C226" s="490"/>
      <c r="I226" s="490"/>
    </row>
    <row r="227" spans="1:9" ht="13.75" customHeight="1">
      <c r="A227" s="490"/>
      <c r="C227" s="490"/>
      <c r="D227" s="1294" t="s">
        <v>546</v>
      </c>
      <c r="E227" s="1294"/>
      <c r="F227" s="1294"/>
      <c r="I227" s="490"/>
    </row>
    <row r="228" spans="1:9">
      <c r="A228" s="484"/>
      <c r="B228" s="485" t="s">
        <v>2752</v>
      </c>
      <c r="D228" s="1291" t="s">
        <v>1740</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c r="A231" s="484"/>
      <c r="B231" s="484"/>
      <c r="D231" s="1291"/>
      <c r="E231" s="1291"/>
      <c r="F231" s="1291"/>
      <c r="I231" s="490"/>
    </row>
    <row r="232" spans="1:9">
      <c r="A232" s="484"/>
      <c r="B232" s="484"/>
      <c r="D232" s="445"/>
      <c r="E232" s="445"/>
      <c r="F232" s="445"/>
      <c r="I232" s="490"/>
    </row>
    <row r="233" spans="1:9">
      <c r="A233" s="484"/>
      <c r="B233" s="485" t="s">
        <v>2752</v>
      </c>
      <c r="D233" s="1291" t="s">
        <v>1741</v>
      </c>
      <c r="E233" s="1291"/>
      <c r="F233" s="1291"/>
      <c r="I233" s="490"/>
    </row>
    <row r="234" spans="1:9">
      <c r="A234" s="484"/>
      <c r="B234" s="484"/>
      <c r="D234" s="1291"/>
      <c r="E234" s="1291"/>
      <c r="F234" s="1291"/>
      <c r="I234" s="490"/>
    </row>
    <row r="235" spans="1:9">
      <c r="A235" s="484"/>
      <c r="B235" s="484"/>
      <c r="D235" s="1291"/>
      <c r="E235" s="1291"/>
      <c r="F235" s="1291"/>
      <c r="I235" s="490"/>
    </row>
    <row r="236" spans="1:9">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c r="A239" s="484"/>
      <c r="B239" s="484"/>
      <c r="D239" s="1291" t="s">
        <v>1117</v>
      </c>
      <c r="E239" s="1291"/>
      <c r="F239" s="1291"/>
      <c r="I239" s="490"/>
    </row>
    <row r="240" spans="1:9">
      <c r="A240" s="484"/>
      <c r="B240" s="484"/>
      <c r="D240" s="1291"/>
      <c r="E240" s="1291"/>
      <c r="F240" s="1291"/>
      <c r="I240" s="490"/>
    </row>
    <row r="241" spans="1:9">
      <c r="A241" s="484"/>
      <c r="B241" s="484"/>
      <c r="D241" s="1291"/>
      <c r="E241" s="1291"/>
      <c r="F241" s="1291"/>
      <c r="I241" s="490"/>
    </row>
    <row r="242" spans="1:9">
      <c r="A242" s="484"/>
      <c r="B242" s="484"/>
      <c r="D242" s="1291"/>
      <c r="E242" s="1291"/>
      <c r="F242" s="1291"/>
      <c r="I242" s="490"/>
    </row>
    <row r="243" spans="1:9">
      <c r="A243" s="484"/>
      <c r="B243" s="484"/>
      <c r="D243" s="1291"/>
      <c r="E243" s="1291"/>
      <c r="F243" s="1291"/>
      <c r="I243" s="490"/>
    </row>
    <row r="244" spans="1:9">
      <c r="A244" s="484"/>
      <c r="B244" s="484"/>
      <c r="D244" s="446"/>
      <c r="E244" s="446"/>
      <c r="F244" s="446"/>
      <c r="I244" s="490"/>
    </row>
    <row r="245" spans="1:9">
      <c r="A245" s="484"/>
      <c r="B245" s="485" t="s">
        <v>2754</v>
      </c>
      <c r="D245" s="1291" t="s">
        <v>2010</v>
      </c>
      <c r="E245" s="1291"/>
      <c r="F245" s="1291"/>
      <c r="I245" s="490"/>
    </row>
    <row r="246" spans="1:9">
      <c r="A246" s="484"/>
      <c r="B246" s="484"/>
      <c r="D246" s="1291"/>
      <c r="E246" s="1291"/>
      <c r="F246" s="1291"/>
      <c r="I246" s="490"/>
    </row>
    <row r="247" spans="1:9">
      <c r="A247" s="484"/>
      <c r="B247" s="484"/>
      <c r="D247" s="1291"/>
      <c r="E247" s="1291"/>
      <c r="F247" s="1291"/>
      <c r="I247" s="490"/>
    </row>
    <row r="248" spans="1:9">
      <c r="A248" s="484"/>
      <c r="B248" s="484"/>
      <c r="E248" s="1031" t="s">
        <v>1867</v>
      </c>
      <c r="I248" s="490"/>
    </row>
    <row r="249" spans="1:9">
      <c r="A249" s="484"/>
      <c r="B249" s="484"/>
      <c r="D249" s="446"/>
      <c r="E249" s="446"/>
      <c r="F249" s="446"/>
      <c r="I249" s="490"/>
    </row>
    <row r="250" spans="1:9" ht="14.5" customHeight="1">
      <c r="A250" s="484"/>
      <c r="B250" s="485" t="s">
        <v>2754</v>
      </c>
      <c r="D250" s="1291" t="s">
        <v>2011</v>
      </c>
      <c r="E250" s="1291"/>
      <c r="F250" s="1291"/>
      <c r="I250" s="490"/>
    </row>
    <row r="251" spans="1:9">
      <c r="A251" s="484"/>
      <c r="B251" s="484"/>
      <c r="D251" s="1291"/>
      <c r="E251" s="1291"/>
      <c r="F251" s="1291"/>
      <c r="I251" s="490"/>
    </row>
    <row r="252" spans="1:9">
      <c r="A252" s="484"/>
      <c r="B252" s="484"/>
      <c r="D252" s="1291"/>
      <c r="E252" s="1291"/>
      <c r="F252" s="1291"/>
      <c r="I252" s="490"/>
    </row>
    <row r="253" spans="1:9">
      <c r="A253" s="484"/>
      <c r="B253" s="484"/>
      <c r="D253" s="1291"/>
      <c r="E253" s="1291"/>
      <c r="F253" s="1291"/>
      <c r="I253" s="490"/>
    </row>
    <row r="254" spans="1:9">
      <c r="A254" s="484"/>
      <c r="B254" s="484"/>
      <c r="D254" s="1291"/>
      <c r="E254" s="1291"/>
      <c r="F254" s="1291"/>
      <c r="I254" s="490"/>
    </row>
    <row r="255" spans="1:9">
      <c r="A255" s="484"/>
      <c r="B255" s="484"/>
      <c r="D255" s="445"/>
      <c r="E255" s="445"/>
      <c r="F255" s="445"/>
      <c r="I255" s="490"/>
    </row>
    <row r="256" spans="1:9">
      <c r="A256" s="484"/>
      <c r="B256" s="485" t="s">
        <v>2752</v>
      </c>
      <c r="D256" s="392" t="s">
        <v>2012</v>
      </c>
      <c r="E256" s="445"/>
      <c r="F256" s="445"/>
      <c r="I256" s="490"/>
    </row>
    <row r="257" spans="1:9">
      <c r="A257" s="484"/>
      <c r="B257" s="484"/>
      <c r="E257" s="1031" t="s">
        <v>1868</v>
      </c>
      <c r="I257" s="490"/>
    </row>
    <row r="258" spans="1:9">
      <c r="D258" s="446"/>
      <c r="E258" s="446"/>
      <c r="F258" s="446"/>
      <c r="I258" s="490"/>
    </row>
    <row r="259" spans="1:9">
      <c r="A259" s="484"/>
      <c r="B259" s="485" t="s">
        <v>2752</v>
      </c>
      <c r="D259" s="1291" t="s">
        <v>1118</v>
      </c>
      <c r="E259" s="1291"/>
      <c r="F259" s="1291"/>
      <c r="I259" s="490"/>
    </row>
    <row r="260" spans="1:9">
      <c r="A260" s="484"/>
      <c r="B260" s="484"/>
      <c r="D260" s="1291"/>
      <c r="E260" s="1291"/>
      <c r="F260" s="1291"/>
      <c r="I260" s="490"/>
    </row>
    <row r="261" spans="1:9">
      <c r="D261" s="491"/>
      <c r="I261" s="490"/>
    </row>
    <row r="262" spans="1:9">
      <c r="A262" s="1292" t="s">
        <v>1046</v>
      </c>
      <c r="B262" s="1292"/>
      <c r="C262" s="1292"/>
      <c r="D262" s="1292"/>
      <c r="E262" s="1292"/>
      <c r="F262" s="1292"/>
      <c r="G262" s="1292"/>
      <c r="H262" s="1023"/>
      <c r="I262" s="1147"/>
    </row>
    <row r="263" spans="1:9">
      <c r="D263" s="491"/>
      <c r="I263" s="490"/>
    </row>
    <row r="264" spans="1:9">
      <c r="C264" s="486"/>
      <c r="D264" s="1294" t="s">
        <v>1120</v>
      </c>
      <c r="E264" s="1294"/>
      <c r="F264" s="1294"/>
      <c r="I264" s="490"/>
    </row>
    <row r="265" spans="1:9">
      <c r="A265" s="482"/>
      <c r="B265" s="482"/>
      <c r="C265" s="482"/>
      <c r="D265" s="446"/>
      <c r="E265" s="446"/>
      <c r="F265" s="446"/>
      <c r="I265" s="490"/>
    </row>
    <row r="266" spans="1:9">
      <c r="A266" s="483"/>
      <c r="B266" s="483"/>
      <c r="C266" s="483"/>
      <c r="D266" s="1294" t="s">
        <v>269</v>
      </c>
      <c r="E266" s="1294"/>
      <c r="F266" s="1294"/>
      <c r="I266" s="490"/>
    </row>
    <row r="267" spans="1:9" ht="14.5" customHeight="1">
      <c r="A267" s="484"/>
      <c r="B267" s="485" t="s">
        <v>2752</v>
      </c>
      <c r="D267" s="1291" t="s">
        <v>1195</v>
      </c>
      <c r="E267" s="1291"/>
      <c r="F267" s="1291"/>
      <c r="I267" s="490"/>
    </row>
    <row r="268" spans="1:9">
      <c r="D268" s="1291"/>
      <c r="E268" s="1291"/>
      <c r="F268" s="1291"/>
      <c r="I268" s="490"/>
    </row>
    <row r="269" spans="1:9">
      <c r="E269" s="1031" t="s">
        <v>1869</v>
      </c>
      <c r="I269" s="490"/>
    </row>
    <row r="270" spans="1:9">
      <c r="D270" s="446"/>
      <c r="E270" s="446"/>
      <c r="F270" s="446"/>
      <c r="I270" s="490"/>
    </row>
    <row r="271" spans="1:9" ht="14.5" customHeight="1">
      <c r="A271" s="484"/>
      <c r="B271" s="485" t="s">
        <v>2754</v>
      </c>
      <c r="D271" s="1291" t="s">
        <v>2013</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c r="A278" s="484"/>
      <c r="B278" s="485" t="s">
        <v>2754</v>
      </c>
      <c r="D278" s="1291" t="s">
        <v>1121</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2" t="s">
        <v>1047</v>
      </c>
      <c r="B282" s="1292"/>
      <c r="C282" s="1292"/>
      <c r="D282" s="1292"/>
      <c r="E282" s="1292"/>
      <c r="F282" s="1292"/>
      <c r="G282" s="1292"/>
      <c r="H282" s="1023"/>
      <c r="I282" s="1147"/>
    </row>
    <row r="283" spans="1:9">
      <c r="D283" s="492"/>
      <c r="E283" s="446"/>
      <c r="F283" s="446"/>
      <c r="I283" s="490"/>
    </row>
    <row r="284" spans="1:9">
      <c r="C284" s="482"/>
      <c r="D284" s="1311" t="s">
        <v>1122</v>
      </c>
      <c r="E284" s="1311"/>
      <c r="F284" s="1311"/>
      <c r="I284" s="490"/>
    </row>
    <row r="285" spans="1:9">
      <c r="C285" s="482"/>
      <c r="D285" s="1311"/>
      <c r="E285" s="1311"/>
      <c r="F285" s="1311"/>
      <c r="I285" s="490"/>
    </row>
    <row r="286" spans="1:9">
      <c r="A286" s="483"/>
      <c r="B286" s="483"/>
      <c r="C286" s="483"/>
      <c r="D286" s="404"/>
      <c r="I286" s="490"/>
    </row>
    <row r="287" spans="1:9">
      <c r="C287" s="483"/>
      <c r="D287" s="1294" t="s">
        <v>209</v>
      </c>
      <c r="E287" s="1294"/>
      <c r="F287" s="1294"/>
      <c r="I287" s="490"/>
    </row>
    <row r="288" spans="1:9" ht="15.75" customHeight="1">
      <c r="A288" s="484"/>
      <c r="B288" s="484"/>
      <c r="D288" s="1321" t="s">
        <v>1123</v>
      </c>
      <c r="E288" s="1321"/>
      <c r="F288" s="1321"/>
      <c r="I288" s="490"/>
    </row>
    <row r="289" spans="1:9">
      <c r="E289" s="446"/>
      <c r="F289" s="446"/>
      <c r="I289" s="490"/>
    </row>
    <row r="290" spans="1:9">
      <c r="A290" s="484"/>
      <c r="B290" s="485" t="s">
        <v>2754</v>
      </c>
      <c r="D290" s="1291" t="s">
        <v>1124</v>
      </c>
      <c r="E290" s="1291"/>
      <c r="F290" s="1291"/>
      <c r="I290" s="490"/>
    </row>
    <row r="291" spans="1:9">
      <c r="A291" s="484"/>
      <c r="B291" s="484"/>
      <c r="D291" s="1291"/>
      <c r="E291" s="1291"/>
      <c r="F291" s="1291"/>
      <c r="I291" s="490"/>
    </row>
    <row r="292" spans="1:9">
      <c r="D292" s="446"/>
      <c r="E292" s="446"/>
      <c r="F292" s="446"/>
      <c r="I292" s="490"/>
    </row>
    <row r="293" spans="1:9">
      <c r="A293" s="484"/>
      <c r="B293" s="485" t="s">
        <v>2754</v>
      </c>
      <c r="D293" s="1291" t="s">
        <v>1125</v>
      </c>
      <c r="E293" s="1291"/>
      <c r="F293" s="1291"/>
      <c r="I293" s="490"/>
    </row>
    <row r="294" spans="1:9">
      <c r="A294" s="484"/>
      <c r="B294" s="484"/>
      <c r="D294" s="1291"/>
      <c r="E294" s="1291"/>
      <c r="F294" s="1291"/>
      <c r="I294" s="490"/>
    </row>
    <row r="295" spans="1:9">
      <c r="A295" s="484"/>
      <c r="B295" s="484"/>
      <c r="D295" s="1291"/>
      <c r="E295" s="1291"/>
      <c r="F295" s="1291"/>
      <c r="I295" s="490"/>
    </row>
    <row r="296" spans="1:9">
      <c r="D296" s="446"/>
      <c r="E296" s="446"/>
      <c r="F296" s="446"/>
      <c r="I296" s="490"/>
    </row>
    <row r="297" spans="1:9">
      <c r="A297" s="484"/>
      <c r="B297" s="485" t="s">
        <v>2754</v>
      </c>
      <c r="D297" s="1291" t="s">
        <v>1126</v>
      </c>
      <c r="E297" s="1291"/>
      <c r="F297" s="1291"/>
      <c r="I297" s="490"/>
    </row>
    <row r="298" spans="1:9">
      <c r="A298" s="484"/>
      <c r="B298" s="484"/>
      <c r="D298" s="1291"/>
      <c r="E298" s="1291"/>
      <c r="F298" s="1291"/>
      <c r="I298" s="490"/>
    </row>
    <row r="299" spans="1:9">
      <c r="A299" s="490"/>
      <c r="B299" s="490"/>
      <c r="E299" s="446"/>
      <c r="F299" s="446"/>
      <c r="I299" s="490"/>
    </row>
    <row r="300" spans="1:9">
      <c r="A300" s="1292" t="s">
        <v>1048</v>
      </c>
      <c r="B300" s="1292"/>
      <c r="C300" s="1292"/>
      <c r="D300" s="1292"/>
      <c r="E300" s="1292"/>
      <c r="F300" s="1292"/>
      <c r="G300" s="1292"/>
      <c r="H300" s="1023"/>
      <c r="I300" s="1147"/>
    </row>
    <row r="301" spans="1:9">
      <c r="A301" s="490"/>
      <c r="B301" s="490"/>
      <c r="D301" s="446"/>
      <c r="E301" s="446"/>
      <c r="F301" s="446"/>
      <c r="I301" s="490"/>
    </row>
    <row r="302" spans="1:9">
      <c r="C302" s="490"/>
      <c r="D302" s="1294" t="s">
        <v>681</v>
      </c>
      <c r="E302" s="1294"/>
      <c r="F302" s="1294"/>
      <c r="I302" s="490"/>
    </row>
    <row r="303" spans="1:9">
      <c r="C303" s="490"/>
      <c r="D303" s="1293" t="s">
        <v>1127</v>
      </c>
      <c r="E303" s="1293"/>
      <c r="F303" s="1293"/>
      <c r="I303" s="490"/>
    </row>
    <row r="304" spans="1:9">
      <c r="C304" s="490"/>
      <c r="D304" s="493"/>
      <c r="I304" s="490"/>
    </row>
    <row r="305" spans="1:9">
      <c r="B305" s="485" t="s">
        <v>2754</v>
      </c>
      <c r="D305" s="1293" t="s">
        <v>1128</v>
      </c>
      <c r="E305" s="1293"/>
      <c r="F305" s="1293"/>
      <c r="I305" s="490"/>
    </row>
    <row r="306" spans="1:9">
      <c r="A306" s="484"/>
      <c r="B306" s="484"/>
      <c r="D306" s="494"/>
      <c r="E306" s="495"/>
      <c r="F306" s="495"/>
      <c r="I306" s="490"/>
    </row>
    <row r="307" spans="1:9" ht="13.75" customHeight="1">
      <c r="B307" s="485" t="s">
        <v>2754</v>
      </c>
      <c r="D307" s="1304" t="s">
        <v>1218</v>
      </c>
      <c r="E307" s="1304"/>
      <c r="F307" s="1304"/>
      <c r="I307" s="490"/>
    </row>
    <row r="308" spans="1:9">
      <c r="A308" s="484"/>
      <c r="B308" s="484"/>
      <c r="D308" s="1304"/>
      <c r="E308" s="1304"/>
      <c r="F308" s="1304"/>
      <c r="I308" s="490"/>
    </row>
    <row r="309" spans="1:9">
      <c r="A309" s="484"/>
      <c r="B309" s="484"/>
      <c r="D309" s="1304"/>
      <c r="E309" s="1304"/>
      <c r="F309" s="1304"/>
      <c r="I309" s="490"/>
    </row>
    <row r="310" spans="1:9">
      <c r="A310" s="484"/>
      <c r="B310" s="484"/>
      <c r="D310" s="1304"/>
      <c r="E310" s="1304"/>
      <c r="F310" s="1304"/>
      <c r="I310" s="490"/>
    </row>
    <row r="311" spans="1:9">
      <c r="A311" s="484"/>
      <c r="B311" s="484"/>
      <c r="D311" s="1304"/>
      <c r="E311" s="1304"/>
      <c r="F311" s="1304"/>
      <c r="I311" s="490"/>
    </row>
    <row r="312" spans="1:9">
      <c r="A312" s="484"/>
      <c r="B312" s="484"/>
      <c r="D312" s="494"/>
      <c r="E312" s="495"/>
      <c r="F312" s="495"/>
      <c r="I312" s="490"/>
    </row>
    <row r="313" spans="1:9" ht="13.75" customHeight="1">
      <c r="B313" s="485" t="s">
        <v>2754</v>
      </c>
      <c r="D313" s="1304" t="s">
        <v>1129</v>
      </c>
      <c r="E313" s="1304"/>
      <c r="F313" s="1304"/>
      <c r="I313" s="490"/>
    </row>
    <row r="314" spans="1:9">
      <c r="D314" s="1304"/>
      <c r="E314" s="1304"/>
      <c r="F314" s="1304"/>
      <c r="I314" s="490"/>
    </row>
    <row r="315" spans="1:9">
      <c r="A315" s="484"/>
      <c r="B315" s="484"/>
      <c r="D315" s="494"/>
      <c r="E315" s="495"/>
      <c r="F315" s="495"/>
      <c r="I315" s="490"/>
    </row>
    <row r="316" spans="1:9">
      <c r="B316" s="485" t="s">
        <v>2754</v>
      </c>
      <c r="D316" s="1293" t="s">
        <v>1130</v>
      </c>
      <c r="E316" s="1293"/>
      <c r="F316" s="1293"/>
      <c r="I316" s="490"/>
    </row>
    <row r="317" spans="1:9">
      <c r="E317" s="446"/>
      <c r="F317" s="446"/>
      <c r="I317" s="490"/>
    </row>
    <row r="318" spans="1:9">
      <c r="A318" s="484"/>
      <c r="B318" s="485" t="s">
        <v>2754</v>
      </c>
      <c r="D318" s="1291" t="s">
        <v>2196</v>
      </c>
      <c r="E318" s="1291"/>
      <c r="F318" s="1291"/>
      <c r="I318" s="490"/>
    </row>
    <row r="319" spans="1:9">
      <c r="A319" s="484"/>
      <c r="B319" s="484"/>
      <c r="D319" s="1291"/>
      <c r="E319" s="1291"/>
      <c r="F319" s="1291"/>
      <c r="I319" s="490"/>
    </row>
    <row r="320" spans="1:9">
      <c r="A320" s="484"/>
      <c r="B320" s="484"/>
      <c r="D320" s="1291"/>
      <c r="E320" s="1291"/>
      <c r="F320" s="1291"/>
      <c r="I320" s="490"/>
    </row>
    <row r="321" spans="1:9">
      <c r="A321" s="484"/>
      <c r="B321" s="484"/>
      <c r="D321" s="1291"/>
      <c r="E321" s="1291"/>
      <c r="F321" s="1291"/>
      <c r="I321" s="490"/>
    </row>
    <row r="322" spans="1:9">
      <c r="A322" s="484"/>
      <c r="B322" s="484"/>
      <c r="D322" s="1291"/>
      <c r="E322" s="1291"/>
      <c r="F322" s="1291"/>
      <c r="I322" s="490"/>
    </row>
    <row r="323" spans="1:9">
      <c r="A323" s="484"/>
      <c r="B323" s="484"/>
      <c r="D323" s="1291"/>
      <c r="E323" s="1291"/>
      <c r="F323" s="1291"/>
      <c r="I323" s="490"/>
    </row>
    <row r="324" spans="1:9">
      <c r="A324" s="484"/>
      <c r="B324" s="484"/>
      <c r="D324" s="1291"/>
      <c r="E324" s="1291"/>
      <c r="F324" s="1291"/>
      <c r="I324" s="490"/>
    </row>
    <row r="325" spans="1:9">
      <c r="A325" s="484"/>
      <c r="B325" s="484"/>
      <c r="D325" s="1291"/>
      <c r="E325" s="1291"/>
      <c r="F325" s="1291"/>
      <c r="I325" s="490"/>
    </row>
    <row r="326" spans="1:9">
      <c r="A326" s="484"/>
      <c r="B326" s="484"/>
      <c r="D326" s="1291"/>
      <c r="E326" s="1291"/>
      <c r="F326" s="1291"/>
      <c r="I326" s="490"/>
    </row>
    <row r="327" spans="1:9">
      <c r="A327" s="484"/>
      <c r="B327" s="484"/>
      <c r="D327" s="1291"/>
      <c r="E327" s="1291"/>
      <c r="F327" s="1291"/>
      <c r="I327" s="490"/>
    </row>
    <row r="328" spans="1:9">
      <c r="A328" s="484"/>
      <c r="B328" s="484"/>
      <c r="D328" s="1291"/>
      <c r="E328" s="1291"/>
      <c r="F328" s="1291"/>
      <c r="I328" s="490"/>
    </row>
    <row r="329" spans="1:9">
      <c r="A329" s="484"/>
      <c r="B329" s="484"/>
      <c r="D329" s="1291"/>
      <c r="E329" s="1291"/>
      <c r="F329" s="1291"/>
      <c r="I329" s="490"/>
    </row>
    <row r="330" spans="1:9">
      <c r="A330" s="484"/>
      <c r="B330" s="484"/>
      <c r="D330" s="1291"/>
      <c r="E330" s="1291"/>
      <c r="F330" s="1291"/>
      <c r="I330" s="490"/>
    </row>
    <row r="331" spans="1:9">
      <c r="A331" s="484"/>
      <c r="B331" s="484"/>
      <c r="D331" s="1291"/>
      <c r="E331" s="1291"/>
      <c r="F331" s="1291"/>
      <c r="I331" s="490"/>
    </row>
    <row r="332" spans="1:9">
      <c r="A332" s="484"/>
      <c r="B332" s="484"/>
      <c r="D332" s="1291"/>
      <c r="E332" s="1291"/>
      <c r="F332" s="1291"/>
      <c r="I332" s="490"/>
    </row>
    <row r="333" spans="1:9">
      <c r="D333" s="446"/>
      <c r="E333" s="446"/>
      <c r="F333" s="446"/>
      <c r="I333" s="490"/>
    </row>
    <row r="334" spans="1:9">
      <c r="A334" s="484"/>
      <c r="B334" s="485" t="s">
        <v>2754</v>
      </c>
      <c r="D334" s="1291" t="s">
        <v>1131</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2754</v>
      </c>
      <c r="D344" s="1291" t="s">
        <v>1874</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02" t="s">
        <v>978</v>
      </c>
      <c r="E351" s="1302"/>
      <c r="F351" s="1302"/>
      <c r="G351" s="1022"/>
      <c r="H351" s="1022"/>
      <c r="I351" s="1150"/>
    </row>
    <row r="352" spans="1:9" ht="13.5" thickTop="1">
      <c r="D352" s="1312" t="s">
        <v>2197</v>
      </c>
      <c r="E352" s="1312"/>
      <c r="F352" s="1312"/>
      <c r="I352" s="490"/>
    </row>
    <row r="353" spans="1:9">
      <c r="D353" s="446"/>
      <c r="E353" s="446"/>
      <c r="F353" s="446"/>
      <c r="I353" s="490"/>
    </row>
    <row r="354" spans="1:9">
      <c r="A354" s="476"/>
      <c r="B354" s="476"/>
      <c r="C354" s="476"/>
      <c r="D354" s="447"/>
      <c r="E354" s="447"/>
      <c r="F354" s="446"/>
      <c r="I354" s="490"/>
    </row>
    <row r="355" spans="1:9">
      <c r="A355" s="484"/>
      <c r="B355" s="485" t="s">
        <v>2754</v>
      </c>
      <c r="C355" s="487"/>
      <c r="D355" s="1293" t="s">
        <v>1872</v>
      </c>
      <c r="E355" s="1293"/>
      <c r="F355" s="1293"/>
      <c r="I355" s="490"/>
    </row>
    <row r="356" spans="1:9" ht="12.75" customHeight="1">
      <c r="D356" s="1032"/>
      <c r="E356" s="96" t="s">
        <v>1871</v>
      </c>
      <c r="F356" s="1032"/>
      <c r="I356" s="490"/>
    </row>
    <row r="357" spans="1:9">
      <c r="D357" s="1291" t="s">
        <v>1238</v>
      </c>
      <c r="E357" s="1291"/>
      <c r="F357" s="1291"/>
      <c r="I357" s="490"/>
    </row>
    <row r="358" spans="1:9">
      <c r="D358" s="1291"/>
      <c r="E358" s="1291"/>
      <c r="F358" s="1291"/>
      <c r="I358" s="490"/>
    </row>
    <row r="359" spans="1:9">
      <c r="D359" s="1291"/>
      <c r="E359" s="1291"/>
      <c r="F359" s="1291"/>
      <c r="I359" s="490"/>
    </row>
    <row r="360" spans="1:9">
      <c r="A360" s="484"/>
      <c r="B360" s="485" t="s">
        <v>2754</v>
      </c>
      <c r="C360" s="476"/>
      <c r="D360" s="1301" t="s">
        <v>2014</v>
      </c>
      <c r="E360" s="1301"/>
      <c r="F360" s="1301"/>
      <c r="I360" s="480"/>
    </row>
    <row r="361" spans="1:9">
      <c r="A361" s="476"/>
      <c r="B361" s="476"/>
      <c r="C361" s="476"/>
      <c r="D361" s="447"/>
      <c r="E361" s="447"/>
      <c r="F361" s="446"/>
      <c r="I361" s="490"/>
    </row>
    <row r="362" spans="1:9">
      <c r="A362" s="476"/>
      <c r="B362" s="485" t="s">
        <v>2754</v>
      </c>
      <c r="C362" s="476"/>
      <c r="D362" s="1288" t="s">
        <v>2015</v>
      </c>
      <c r="E362" s="1288"/>
      <c r="F362" s="1288"/>
      <c r="I362" s="490"/>
    </row>
    <row r="363" spans="1:9">
      <c r="A363" s="476"/>
      <c r="B363" s="476"/>
      <c r="C363" s="476"/>
      <c r="D363" s="1288"/>
      <c r="E363" s="1288"/>
      <c r="F363" s="1288"/>
      <c r="I363" s="490"/>
    </row>
    <row r="364" spans="1:9">
      <c r="A364" s="476"/>
      <c r="B364" s="476"/>
      <c r="C364" s="476"/>
      <c r="D364" s="1288"/>
      <c r="E364" s="1288"/>
      <c r="F364" s="1288"/>
      <c r="I364" s="490"/>
    </row>
    <row r="365" spans="1:9">
      <c r="A365" s="476"/>
      <c r="B365" s="476"/>
      <c r="C365" s="476"/>
      <c r="D365" s="1288"/>
      <c r="E365" s="1288"/>
      <c r="F365" s="1288"/>
      <c r="I365" s="490"/>
    </row>
    <row r="366" spans="1:9">
      <c r="A366" s="476"/>
      <c r="B366" s="476"/>
      <c r="C366" s="476"/>
      <c r="D366" s="1288"/>
      <c r="E366" s="1288"/>
      <c r="F366" s="1288"/>
      <c r="I366" s="490"/>
    </row>
    <row r="367" spans="1:9">
      <c r="A367" s="476"/>
      <c r="B367" s="476"/>
      <c r="C367" s="476"/>
      <c r="D367" s="1288"/>
      <c r="E367" s="1288"/>
      <c r="F367" s="1288"/>
      <c r="I367" s="490"/>
    </row>
    <row r="368" spans="1:9">
      <c r="A368" s="476"/>
      <c r="B368" s="476"/>
      <c r="C368" s="476"/>
      <c r="D368" s="1288"/>
      <c r="E368" s="1288"/>
      <c r="F368" s="1288"/>
      <c r="I368" s="490"/>
    </row>
    <row r="369" spans="1:9">
      <c r="A369" s="476"/>
      <c r="B369" s="476"/>
      <c r="C369" s="476"/>
      <c r="D369" s="1288"/>
      <c r="E369" s="1288"/>
      <c r="F369" s="1288"/>
      <c r="I369" s="490"/>
    </row>
    <row r="370" spans="1:9">
      <c r="A370" s="476"/>
      <c r="B370" s="476"/>
      <c r="C370" s="476"/>
      <c r="D370" s="1288"/>
      <c r="E370" s="1288"/>
      <c r="F370" s="1288"/>
      <c r="I370" s="490"/>
    </row>
    <row r="371" spans="1:9">
      <c r="A371" s="476"/>
      <c r="B371" s="476"/>
      <c r="C371" s="476"/>
      <c r="D371" s="1288"/>
      <c r="E371" s="1288"/>
      <c r="F371" s="1288"/>
      <c r="I371" s="490"/>
    </row>
    <row r="372" spans="1:9">
      <c r="A372" s="476"/>
      <c r="B372" s="476"/>
      <c r="C372" s="476"/>
      <c r="D372" s="1288"/>
      <c r="E372" s="1288"/>
      <c r="F372" s="1288"/>
      <c r="I372" s="490"/>
    </row>
    <row r="373" spans="1:9">
      <c r="A373" s="476"/>
      <c r="B373" s="476"/>
      <c r="C373" s="476"/>
      <c r="D373" s="1288"/>
      <c r="E373" s="1288"/>
      <c r="F373" s="1288"/>
      <c r="I373" s="490"/>
    </row>
    <row r="374" spans="1:9">
      <c r="A374" s="476"/>
      <c r="B374" s="476"/>
      <c r="C374" s="476"/>
      <c r="D374" s="451"/>
      <c r="E374" s="451"/>
      <c r="F374" s="451"/>
      <c r="I374" s="490"/>
    </row>
    <row r="375" spans="1:9" ht="12.4" customHeight="1">
      <c r="A375" s="476"/>
      <c r="B375" s="485" t="s">
        <v>2754</v>
      </c>
      <c r="C375" s="476"/>
      <c r="D375" s="1323" t="s">
        <v>1220</v>
      </c>
      <c r="E375" s="1323"/>
      <c r="F375" s="1323"/>
      <c r="I375" s="490"/>
    </row>
    <row r="376" spans="1:9">
      <c r="A376" s="476"/>
      <c r="B376" s="476"/>
      <c r="C376" s="476"/>
      <c r="D376" s="1323"/>
      <c r="E376" s="1323"/>
      <c r="F376" s="1323"/>
      <c r="I376" s="490"/>
    </row>
    <row r="377" spans="1:9">
      <c r="A377" s="476"/>
      <c r="B377" s="476"/>
      <c r="C377" s="476"/>
      <c r="D377" s="1323"/>
      <c r="E377" s="1323"/>
      <c r="F377" s="1323"/>
      <c r="I377" s="490"/>
    </row>
    <row r="378" spans="1:9">
      <c r="A378" s="476"/>
      <c r="B378" s="476"/>
      <c r="C378" s="476"/>
      <c r="D378" s="1323"/>
      <c r="E378" s="1323"/>
      <c r="F378" s="1323"/>
      <c r="I378" s="490"/>
    </row>
    <row r="379" spans="1:9">
      <c r="A379" s="476"/>
      <c r="B379" s="476"/>
      <c r="C379" s="476"/>
      <c r="D379" s="524"/>
      <c r="E379" s="524"/>
      <c r="F379" s="524"/>
      <c r="I379" s="490"/>
    </row>
    <row r="380" spans="1:9">
      <c r="A380" s="476"/>
      <c r="B380" s="485" t="s">
        <v>2754</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2754</v>
      </c>
      <c r="C387" s="476"/>
      <c r="D387" s="1288" t="s">
        <v>1132</v>
      </c>
      <c r="E387" s="1288"/>
      <c r="F387" s="1288"/>
      <c r="I387" s="490"/>
    </row>
    <row r="388" spans="1:9">
      <c r="A388" s="476"/>
      <c r="B388" s="476"/>
      <c r="C388" s="476"/>
      <c r="D388" s="1288"/>
      <c r="E388" s="1288"/>
      <c r="F388" s="1288"/>
      <c r="I388" s="490"/>
    </row>
    <row r="389" spans="1:9">
      <c r="A389" s="476"/>
      <c r="B389" s="476"/>
      <c r="C389" s="476"/>
      <c r="D389" s="1288"/>
      <c r="E389" s="1288"/>
      <c r="F389" s="1288"/>
      <c r="I389" s="490"/>
    </row>
    <row r="390" spans="1:9">
      <c r="A390" s="476"/>
      <c r="B390" s="476"/>
      <c r="C390" s="476"/>
      <c r="D390" s="1288"/>
      <c r="E390" s="1288"/>
      <c r="F390" s="1288"/>
      <c r="I390" s="490"/>
    </row>
    <row r="391" spans="1:9">
      <c r="A391" s="476"/>
      <c r="B391" s="476"/>
      <c r="C391" s="476"/>
      <c r="D391" s="447"/>
      <c r="E391" s="447"/>
      <c r="F391" s="446"/>
      <c r="I391" s="490"/>
    </row>
    <row r="392" spans="1:9">
      <c r="A392" s="476"/>
      <c r="B392" s="476"/>
      <c r="C392" s="476"/>
      <c r="D392" s="1288" t="s">
        <v>1133</v>
      </c>
      <c r="E392" s="1288"/>
      <c r="F392" s="1288"/>
      <c r="I392" s="490"/>
    </row>
    <row r="393" spans="1:9">
      <c r="A393" s="476"/>
      <c r="B393" s="476"/>
      <c r="C393" s="476"/>
      <c r="D393" s="1288"/>
      <c r="E393" s="1288"/>
      <c r="F393" s="1288"/>
      <c r="I393" s="490"/>
    </row>
    <row r="394" spans="1:9">
      <c r="A394" s="476"/>
      <c r="B394" s="476"/>
      <c r="C394" s="476"/>
      <c r="D394" s="1288"/>
      <c r="E394" s="1288"/>
      <c r="F394" s="1288"/>
      <c r="I394" s="490"/>
    </row>
    <row r="395" spans="1:9">
      <c r="A395" s="476"/>
      <c r="B395" s="476"/>
      <c r="C395" s="476"/>
      <c r="D395" s="1288"/>
      <c r="E395" s="1288"/>
      <c r="F395" s="1288"/>
      <c r="I395" s="490"/>
    </row>
    <row r="396" spans="1:9" ht="18" customHeight="1">
      <c r="A396" s="476"/>
      <c r="B396" s="476"/>
      <c r="C396" s="476"/>
      <c r="D396" s="1288"/>
      <c r="E396" s="1288"/>
      <c r="F396" s="1288"/>
      <c r="I396" s="490"/>
    </row>
    <row r="397" spans="1:9">
      <c r="A397" s="476"/>
      <c r="B397" s="476"/>
      <c r="C397" s="476"/>
      <c r="D397" s="1288"/>
      <c r="E397" s="1288"/>
      <c r="F397" s="1288"/>
      <c r="I397" s="490"/>
    </row>
    <row r="398" spans="1:9">
      <c r="A398" s="476"/>
      <c r="B398" s="476"/>
      <c r="C398" s="476"/>
      <c r="D398" s="1288"/>
      <c r="E398" s="1288"/>
      <c r="F398" s="1288"/>
      <c r="I398" s="490"/>
    </row>
    <row r="399" spans="1:9">
      <c r="A399" s="476"/>
      <c r="B399" s="476"/>
      <c r="C399" s="476"/>
      <c r="D399" s="1288"/>
      <c r="E399" s="1288"/>
      <c r="F399" s="1288"/>
      <c r="I399" s="490"/>
    </row>
    <row r="400" spans="1:9" ht="8.25" customHeight="1">
      <c r="A400" s="476"/>
      <c r="B400" s="476"/>
      <c r="C400" s="476"/>
      <c r="D400" s="1288"/>
      <c r="E400" s="1288"/>
      <c r="F400" s="1288"/>
      <c r="I400" s="490"/>
    </row>
    <row r="401" spans="1:9" ht="13.75" customHeight="1">
      <c r="A401" s="476"/>
      <c r="B401" s="476"/>
      <c r="C401" s="476"/>
      <c r="D401" s="1288" t="s">
        <v>1134</v>
      </c>
      <c r="E401" s="1288"/>
      <c r="F401" s="1288"/>
      <c r="I401" s="490"/>
    </row>
    <row r="402" spans="1:9">
      <c r="A402" s="476"/>
      <c r="B402" s="476"/>
      <c r="C402" s="476"/>
      <c r="D402" s="1288"/>
      <c r="E402" s="1288"/>
      <c r="F402" s="1288"/>
      <c r="I402" s="490"/>
    </row>
    <row r="403" spans="1:9">
      <c r="A403" s="476"/>
      <c r="B403" s="476"/>
      <c r="C403" s="476"/>
      <c r="D403" s="1288"/>
      <c r="E403" s="1288"/>
      <c r="F403" s="1288"/>
      <c r="I403" s="490"/>
    </row>
    <row r="404" spans="1:9">
      <c r="A404" s="476"/>
      <c r="B404" s="476"/>
      <c r="C404" s="476"/>
      <c r="D404" s="1288"/>
      <c r="E404" s="1288"/>
      <c r="F404" s="1288"/>
      <c r="I404" s="490"/>
    </row>
    <row r="405" spans="1:9">
      <c r="A405" s="476"/>
      <c r="B405" s="476"/>
      <c r="C405" s="476"/>
      <c r="D405" s="1288"/>
      <c r="E405" s="1288"/>
      <c r="F405" s="1288"/>
      <c r="I405" s="490"/>
    </row>
    <row r="406" spans="1:9">
      <c r="A406" s="476"/>
      <c r="B406" s="476"/>
      <c r="C406" s="476"/>
      <c r="D406" s="1288"/>
      <c r="E406" s="1288"/>
      <c r="F406" s="1288"/>
      <c r="I406" s="490"/>
    </row>
    <row r="407" spans="1:9">
      <c r="A407" s="476"/>
      <c r="B407" s="476"/>
      <c r="C407" s="476"/>
      <c r="D407" s="1288"/>
      <c r="E407" s="1288"/>
      <c r="F407" s="1288"/>
      <c r="I407" s="490"/>
    </row>
    <row r="408" spans="1:9">
      <c r="A408" s="476"/>
      <c r="B408" s="476"/>
      <c r="C408" s="476"/>
      <c r="D408" s="1288"/>
      <c r="E408" s="1288"/>
      <c r="F408" s="1288"/>
      <c r="I408" s="490"/>
    </row>
    <row r="409" spans="1:9">
      <c r="A409" s="476"/>
      <c r="B409" s="476"/>
      <c r="C409" s="476"/>
      <c r="D409" s="1288"/>
      <c r="E409" s="1288"/>
      <c r="F409" s="1288"/>
      <c r="I409" s="490"/>
    </row>
    <row r="410" spans="1:9">
      <c r="A410" s="476"/>
      <c r="B410" s="476"/>
      <c r="C410" s="476"/>
      <c r="D410" s="1288"/>
      <c r="E410" s="1288"/>
      <c r="F410" s="1288"/>
      <c r="I410" s="490"/>
    </row>
    <row r="411" spans="1:9">
      <c r="A411" s="476"/>
      <c r="B411" s="476"/>
      <c r="C411" s="476"/>
      <c r="D411" s="1288"/>
      <c r="E411" s="1288"/>
      <c r="F411" s="1288"/>
      <c r="I411" s="490"/>
    </row>
    <row r="412" spans="1:9">
      <c r="A412" s="476"/>
      <c r="B412" s="476"/>
      <c r="C412" s="476"/>
      <c r="D412" s="1288"/>
      <c r="E412" s="1288"/>
      <c r="F412" s="1288"/>
      <c r="I412" s="490"/>
    </row>
    <row r="413" spans="1:9">
      <c r="A413" s="476"/>
      <c r="B413" s="476"/>
      <c r="C413" s="496"/>
      <c r="D413" s="1288"/>
      <c r="E413" s="1288"/>
      <c r="F413" s="1288"/>
      <c r="I413" s="490"/>
    </row>
    <row r="414" spans="1:9">
      <c r="A414" s="476"/>
      <c r="B414" s="476"/>
      <c r="C414" s="496"/>
      <c r="D414" s="1288"/>
      <c r="E414" s="1288"/>
      <c r="F414" s="1288"/>
      <c r="I414" s="490"/>
    </row>
    <row r="415" spans="1:9">
      <c r="A415" s="476"/>
      <c r="B415" s="476"/>
      <c r="C415" s="476"/>
      <c r="D415" s="1288"/>
      <c r="E415" s="1288"/>
      <c r="F415" s="1288"/>
      <c r="I415" s="490"/>
    </row>
    <row r="416" spans="1:9">
      <c r="A416" s="476"/>
      <c r="B416" s="476"/>
      <c r="C416" s="496"/>
      <c r="D416" s="1288"/>
      <c r="E416" s="1288"/>
      <c r="F416" s="1288"/>
      <c r="I416" s="490"/>
    </row>
    <row r="417" spans="1:9">
      <c r="A417" s="476"/>
      <c r="B417" s="476"/>
      <c r="C417" s="496"/>
      <c r="D417" s="1288"/>
      <c r="E417" s="1288"/>
      <c r="F417" s="1288"/>
      <c r="I417" s="490"/>
    </row>
    <row r="418" spans="1:9">
      <c r="A418" s="476"/>
      <c r="B418" s="476"/>
      <c r="C418" s="496"/>
      <c r="D418" s="1288"/>
      <c r="E418" s="1288"/>
      <c r="F418" s="1288"/>
      <c r="I418" s="490"/>
    </row>
    <row r="419" spans="1:9">
      <c r="A419" s="476"/>
      <c r="B419" s="476"/>
      <c r="C419" s="476"/>
      <c r="D419" s="447"/>
      <c r="E419" s="447"/>
      <c r="F419" s="446"/>
      <c r="I419" s="490"/>
    </row>
    <row r="420" spans="1:9">
      <c r="A420" s="476"/>
      <c r="B420" s="485" t="s">
        <v>2754</v>
      </c>
      <c r="C420" s="476"/>
      <c r="D420" s="1288" t="s">
        <v>1135</v>
      </c>
      <c r="E420" s="1288"/>
      <c r="F420" s="1288"/>
      <c r="I420" s="490"/>
    </row>
    <row r="421" spans="1:9">
      <c r="A421" s="476"/>
      <c r="B421" s="476"/>
      <c r="C421" s="476"/>
      <c r="D421" s="1288"/>
      <c r="E421" s="1288"/>
      <c r="F421" s="1288"/>
      <c r="I421" s="490"/>
    </row>
    <row r="422" spans="1:9">
      <c r="A422" s="476"/>
      <c r="B422" s="476"/>
      <c r="C422" s="476"/>
      <c r="D422" s="451"/>
      <c r="E422" s="451"/>
      <c r="F422" s="451"/>
      <c r="I422" s="490"/>
    </row>
    <row r="423" spans="1:9" ht="14.5" customHeight="1">
      <c r="A423" s="484"/>
      <c r="B423" s="485" t="s">
        <v>2754</v>
      </c>
      <c r="D423" s="1288" t="s">
        <v>1854</v>
      </c>
      <c r="E423" s="1288"/>
      <c r="F423" s="1288"/>
      <c r="I423" s="490"/>
    </row>
    <row r="424" spans="1:9" ht="14.5" customHeight="1">
      <c r="A424" s="484"/>
      <c r="D424" s="1288"/>
      <c r="E424" s="1288"/>
      <c r="F424" s="1288"/>
      <c r="I424" s="490"/>
    </row>
    <row r="425" spans="1:9" ht="14.5" customHeight="1">
      <c r="A425" s="484"/>
      <c r="D425" s="1288"/>
      <c r="E425" s="1288"/>
      <c r="F425" s="1288"/>
      <c r="I425" s="490"/>
    </row>
    <row r="426" spans="1:9" ht="14.5" customHeight="1">
      <c r="A426" s="484"/>
      <c r="D426" s="1288"/>
      <c r="E426" s="1288"/>
      <c r="F426" s="1288"/>
      <c r="I426" s="490"/>
    </row>
    <row r="427" spans="1:9" ht="14.5" customHeight="1">
      <c r="A427" s="484"/>
      <c r="D427" s="1288"/>
      <c r="E427" s="1288"/>
      <c r="F427" s="1288"/>
      <c r="I427" s="490"/>
    </row>
    <row r="428" spans="1:9" ht="14.5" customHeight="1">
      <c r="A428" s="484"/>
      <c r="D428" s="385"/>
      <c r="E428" s="385"/>
      <c r="F428" s="385"/>
      <c r="I428" s="490"/>
    </row>
    <row r="429" spans="1:9" ht="13.75" customHeight="1">
      <c r="A429" s="484"/>
      <c r="B429" s="485" t="s">
        <v>2754</v>
      </c>
      <c r="C429" s="476"/>
      <c r="D429" s="1288" t="s">
        <v>1239</v>
      </c>
      <c r="E429" s="1288"/>
      <c r="F429" s="1288"/>
      <c r="I429" s="490"/>
    </row>
    <row r="430" spans="1:9">
      <c r="A430" s="497"/>
      <c r="B430" s="497"/>
      <c r="C430" s="476"/>
      <c r="D430" s="1288"/>
      <c r="E430" s="1288"/>
      <c r="F430" s="1288"/>
      <c r="I430" s="490"/>
    </row>
    <row r="431" spans="1:9">
      <c r="A431" s="497"/>
      <c r="B431" s="497"/>
      <c r="C431" s="476"/>
      <c r="D431" s="1288"/>
      <c r="E431" s="1288"/>
      <c r="F431" s="1288"/>
      <c r="I431" s="490"/>
    </row>
    <row r="432" spans="1:9">
      <c r="A432" s="497"/>
      <c r="B432" s="497"/>
      <c r="C432" s="476"/>
      <c r="D432" s="1288"/>
      <c r="E432" s="1288"/>
      <c r="F432" s="1288"/>
      <c r="I432" s="490"/>
    </row>
    <row r="433" spans="1:9" ht="15.75" customHeight="1">
      <c r="A433" s="497"/>
      <c r="B433" s="497"/>
      <c r="C433" s="476"/>
      <c r="D433" s="1324" t="s">
        <v>2606</v>
      </c>
      <c r="E433" s="1288"/>
      <c r="F433" s="1288"/>
      <c r="I433" s="490"/>
    </row>
    <row r="434" spans="1:9">
      <c r="D434" s="446"/>
      <c r="E434" s="446"/>
      <c r="F434" s="446"/>
      <c r="I434" s="490"/>
    </row>
    <row r="435" spans="1:9">
      <c r="A435" s="484"/>
      <c r="B435" s="485" t="s">
        <v>2754</v>
      </c>
      <c r="C435" s="487"/>
      <c r="D435" s="1291" t="s">
        <v>2016</v>
      </c>
      <c r="E435" s="1291"/>
      <c r="F435" s="1291"/>
      <c r="I435" s="490"/>
    </row>
    <row r="436" spans="1:9">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5" customHeight="1">
      <c r="D465" s="1291"/>
      <c r="E465" s="1291"/>
      <c r="F465" s="1291"/>
      <c r="I465" s="490"/>
    </row>
    <row r="466" spans="1:9">
      <c r="D466" s="446"/>
      <c r="E466" s="446"/>
      <c r="F466" s="446"/>
      <c r="I466" s="490"/>
    </row>
    <row r="467" spans="1:9">
      <c r="A467" s="484"/>
      <c r="B467" s="485" t="s">
        <v>2754</v>
      </c>
      <c r="C467" s="487"/>
      <c r="D467" s="1291" t="s">
        <v>1136</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c r="B471" s="485" t="s">
        <v>2754</v>
      </c>
      <c r="C471" s="484"/>
      <c r="D471" s="1291" t="s">
        <v>1196</v>
      </c>
      <c r="E471" s="1291"/>
      <c r="F471" s="1291"/>
      <c r="I471" s="490"/>
    </row>
    <row r="472" spans="1:9">
      <c r="D472" s="1291"/>
      <c r="E472" s="1291"/>
      <c r="F472" s="1291"/>
      <c r="I472" s="490"/>
    </row>
    <row r="473" spans="1:9">
      <c r="D473" s="446"/>
      <c r="E473" s="446"/>
      <c r="F473" s="446"/>
      <c r="I473" s="490"/>
    </row>
    <row r="474" spans="1:9">
      <c r="B474" s="485" t="s">
        <v>2754</v>
      </c>
      <c r="C474" s="484"/>
      <c r="D474" s="1291" t="s">
        <v>1137</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2754</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2754</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2754</v>
      </c>
      <c r="C486" s="402"/>
      <c r="D486" s="1291"/>
      <c r="E486" s="1291"/>
      <c r="F486" s="1291"/>
      <c r="I486" s="490"/>
    </row>
    <row r="487" spans="1:9">
      <c r="A487" s="402"/>
      <c r="C487" s="402"/>
      <c r="D487" s="1291"/>
      <c r="E487" s="1291"/>
      <c r="F487" s="1291"/>
      <c r="I487" s="490"/>
    </row>
    <row r="488" spans="1:9">
      <c r="A488" s="402"/>
      <c r="B488" s="485" t="s">
        <v>2754</v>
      </c>
      <c r="C488" s="402"/>
      <c r="D488" s="1291" t="s">
        <v>1138</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2754</v>
      </c>
      <c r="D494" s="1293" t="s">
        <v>1139</v>
      </c>
      <c r="E494" s="1293"/>
      <c r="F494" s="1293"/>
      <c r="I494" s="490"/>
    </row>
    <row r="495" spans="1:9">
      <c r="A495" s="446"/>
      <c r="B495" s="446"/>
      <c r="I495" s="490"/>
    </row>
    <row r="496" spans="1:9">
      <c r="A496" s="1292" t="s">
        <v>1049</v>
      </c>
      <c r="B496" s="1292"/>
      <c r="C496" s="1292"/>
      <c r="D496" s="1292"/>
      <c r="E496" s="1292"/>
      <c r="F496" s="1292"/>
      <c r="G496" s="1292"/>
      <c r="H496" s="1023"/>
      <c r="I496" s="1147"/>
    </row>
    <row r="497" spans="1:9">
      <c r="A497" s="446"/>
      <c r="B497" s="446"/>
      <c r="I497" s="490"/>
    </row>
    <row r="498" spans="1:9">
      <c r="D498" s="1322" t="s">
        <v>882</v>
      </c>
      <c r="E498" s="1322"/>
      <c r="F498" s="1322"/>
      <c r="I498" s="490"/>
    </row>
    <row r="499" spans="1:9">
      <c r="A499" s="484"/>
      <c r="B499" s="484"/>
      <c r="D499" s="1301" t="s">
        <v>1140</v>
      </c>
      <c r="E499" s="1301"/>
      <c r="F499" s="1301"/>
      <c r="I499" s="490"/>
    </row>
    <row r="500" spans="1:9">
      <c r="A500" s="484"/>
      <c r="B500" s="484"/>
      <c r="D500" s="447"/>
      <c r="I500" s="490"/>
    </row>
    <row r="501" spans="1:9">
      <c r="A501" s="484"/>
      <c r="B501" s="485" t="s">
        <v>2754</v>
      </c>
      <c r="D501" s="1288" t="s">
        <v>1141</v>
      </c>
      <c r="E501" s="1288"/>
      <c r="F501" s="1288"/>
      <c r="I501" s="490"/>
    </row>
    <row r="502" spans="1:9">
      <c r="A502" s="484"/>
      <c r="B502" s="484"/>
      <c r="D502" s="1288"/>
      <c r="E502" s="1288"/>
      <c r="F502" s="1288"/>
      <c r="I502" s="490"/>
    </row>
    <row r="503" spans="1:9">
      <c r="A503" s="484"/>
      <c r="B503" s="484"/>
      <c r="D503" s="446"/>
      <c r="I503" s="490"/>
    </row>
    <row r="504" spans="1:9" ht="12.75" customHeight="1">
      <c r="B504" s="485" t="s">
        <v>2754</v>
      </c>
      <c r="D504" s="1307" t="s">
        <v>1272</v>
      </c>
      <c r="E504" s="1307"/>
      <c r="F504" s="1307"/>
      <c r="I504" s="490"/>
    </row>
    <row r="505" spans="1:9">
      <c r="A505" s="484"/>
      <c r="D505" s="1307"/>
      <c r="E505" s="1307"/>
      <c r="F505" s="1307"/>
      <c r="I505" s="490"/>
    </row>
    <row r="506" spans="1:9">
      <c r="A506" s="484"/>
      <c r="B506" s="484"/>
      <c r="D506" s="1307"/>
      <c r="E506" s="1307"/>
      <c r="F506" s="1307"/>
      <c r="I506" s="490"/>
    </row>
    <row r="507" spans="1:9">
      <c r="A507" s="484"/>
      <c r="B507" s="484"/>
      <c r="D507" s="1307"/>
      <c r="E507" s="1307"/>
      <c r="F507" s="1307"/>
      <c r="I507" s="490"/>
    </row>
    <row r="508" spans="1:9">
      <c r="A508" s="484"/>
      <c r="D508" s="520"/>
      <c r="E508" s="520"/>
      <c r="F508" s="520"/>
      <c r="I508" s="490"/>
    </row>
    <row r="509" spans="1:9">
      <c r="A509" s="484"/>
      <c r="B509" s="485" t="s">
        <v>2754</v>
      </c>
      <c r="D509" s="1293" t="s">
        <v>1142</v>
      </c>
      <c r="E509" s="1293"/>
      <c r="F509" s="1293"/>
      <c r="I509" s="490"/>
    </row>
    <row r="510" spans="1:9">
      <c r="A510" s="484"/>
      <c r="B510" s="484"/>
      <c r="D510" s="446"/>
      <c r="I510" s="490"/>
    </row>
    <row r="511" spans="1:9">
      <c r="A511" s="484"/>
      <c r="B511" s="485" t="s">
        <v>2754</v>
      </c>
      <c r="D511" s="1291" t="s">
        <v>1143</v>
      </c>
      <c r="E511" s="1291"/>
      <c r="F511" s="1291"/>
      <c r="I511" s="490"/>
    </row>
    <row r="512" spans="1:9">
      <c r="A512" s="484"/>
      <c r="D512" s="1291"/>
      <c r="E512" s="1291"/>
      <c r="F512" s="1291"/>
      <c r="I512" s="490"/>
    </row>
    <row r="513" spans="1:9">
      <c r="A513" s="490"/>
      <c r="B513" s="490"/>
      <c r="D513" s="447"/>
      <c r="I513" s="490"/>
    </row>
    <row r="514" spans="1:9">
      <c r="A514" s="490"/>
      <c r="B514" s="485" t="s">
        <v>2754</v>
      </c>
      <c r="D514" s="1293" t="s">
        <v>1144</v>
      </c>
      <c r="E514" s="1293"/>
      <c r="F514" s="1293"/>
      <c r="I514" s="490"/>
    </row>
    <row r="515" spans="1:9">
      <c r="D515" s="446"/>
      <c r="E515" s="446"/>
      <c r="F515" s="446"/>
      <c r="I515" s="490"/>
    </row>
    <row r="516" spans="1:9">
      <c r="B516" s="485" t="s">
        <v>2754</v>
      </c>
      <c r="D516" s="1291" t="s">
        <v>2219</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c r="A520" s="484"/>
      <c r="B520" s="484"/>
      <c r="D520" s="446"/>
      <c r="I520" s="490"/>
    </row>
    <row r="521" spans="1:9">
      <c r="A521" s="1292" t="s">
        <v>1050</v>
      </c>
      <c r="B521" s="1292"/>
      <c r="C521" s="1292"/>
      <c r="D521" s="1292"/>
      <c r="E521" s="1292"/>
      <c r="F521" s="1292"/>
      <c r="G521" s="1292"/>
      <c r="H521" s="1023"/>
      <c r="I521" s="1147"/>
    </row>
    <row r="522" spans="1:9" ht="12" customHeight="1">
      <c r="A522" s="484"/>
      <c r="B522" s="484"/>
      <c r="D522" s="446"/>
      <c r="I522" s="490"/>
    </row>
    <row r="523" spans="1:9">
      <c r="C523" s="482"/>
      <c r="D523" s="1294" t="s">
        <v>792</v>
      </c>
      <c r="E523" s="1294"/>
      <c r="F523" s="1294"/>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2752</v>
      </c>
      <c r="C527" s="483"/>
      <c r="D527" s="1288" t="s">
        <v>2017</v>
      </c>
      <c r="E527" s="1288"/>
      <c r="F527" s="1288"/>
      <c r="I527" s="490"/>
    </row>
    <row r="528" spans="1:9">
      <c r="A528" s="483"/>
      <c r="B528" s="483"/>
      <c r="C528" s="483"/>
      <c r="D528" s="1288"/>
      <c r="E528" s="1288"/>
      <c r="F528" s="1288"/>
      <c r="I528" s="490"/>
    </row>
    <row r="529" spans="1:9">
      <c r="A529" s="483"/>
      <c r="B529" s="483"/>
      <c r="C529" s="483"/>
      <c r="D529" s="451"/>
      <c r="E529" s="451"/>
      <c r="F529" s="451"/>
      <c r="I529" s="480"/>
    </row>
    <row r="530" spans="1:9" ht="12.75" customHeight="1">
      <c r="A530" s="483"/>
      <c r="B530" s="485" t="s">
        <v>2752</v>
      </c>
      <c r="D530" s="386" t="s">
        <v>1875</v>
      </c>
      <c r="E530" s="385"/>
      <c r="F530" s="385"/>
      <c r="I530" s="490"/>
    </row>
    <row r="531" spans="1:9">
      <c r="A531" s="483"/>
      <c r="B531" s="483"/>
      <c r="C531" s="483"/>
      <c r="D531" s="385"/>
      <c r="E531" s="96" t="s">
        <v>1876</v>
      </c>
      <c r="I531" s="490"/>
    </row>
    <row r="532" spans="1:9">
      <c r="A532" s="483"/>
      <c r="B532" s="483"/>
      <c r="D532" s="1323" t="s">
        <v>2018</v>
      </c>
      <c r="E532" s="1323"/>
      <c r="F532" s="1323"/>
      <c r="I532" s="490"/>
    </row>
    <row r="533" spans="1:9">
      <c r="A533" s="483"/>
      <c r="B533" s="483"/>
      <c r="D533" s="1323"/>
      <c r="E533" s="1323"/>
      <c r="F533" s="1323"/>
      <c r="I533" s="490"/>
    </row>
    <row r="534" spans="1:9">
      <c r="A534" s="483"/>
      <c r="B534" s="483"/>
      <c r="C534" s="483"/>
      <c r="D534" s="1323"/>
      <c r="E534" s="1323"/>
      <c r="F534" s="1323"/>
      <c r="I534" s="490"/>
    </row>
    <row r="535" spans="1:9">
      <c r="A535" s="483"/>
      <c r="B535" s="483"/>
      <c r="C535" s="483"/>
      <c r="D535" s="498"/>
      <c r="F535" s="446"/>
      <c r="I535" s="490"/>
    </row>
    <row r="536" spans="1:9" ht="13.15" customHeight="1">
      <c r="A536" s="483"/>
      <c r="B536" s="485" t="s">
        <v>2754</v>
      </c>
      <c r="C536" s="483"/>
      <c r="D536" s="1291" t="s">
        <v>2630</v>
      </c>
      <c r="E536" s="1291"/>
      <c r="F536" s="1291"/>
      <c r="I536" s="490"/>
    </row>
    <row r="537" spans="1:9" ht="13.1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2" t="s">
        <v>1051</v>
      </c>
      <c r="B540" s="1292"/>
      <c r="C540" s="1292"/>
      <c r="D540" s="1292"/>
      <c r="E540" s="1292"/>
      <c r="F540" s="1292"/>
      <c r="G540" s="1292"/>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5" t="s">
        <v>1052</v>
      </c>
      <c r="B544" s="1295"/>
      <c r="C544" s="1295"/>
      <c r="D544" s="1295"/>
      <c r="E544" s="1295"/>
      <c r="F544" s="1295"/>
      <c r="G544" s="1295"/>
      <c r="H544" s="1023"/>
      <c r="I544" s="1147"/>
    </row>
    <row r="545" spans="1:9">
      <c r="A545" s="446"/>
      <c r="B545" s="446"/>
      <c r="C545" s="487"/>
      <c r="D545" s="446"/>
      <c r="F545" s="446"/>
      <c r="I545" s="490"/>
    </row>
    <row r="546" spans="1:9">
      <c r="C546" s="487"/>
      <c r="D546" s="1294" t="s">
        <v>682</v>
      </c>
      <c r="E546" s="1294"/>
      <c r="F546" s="1294"/>
      <c r="I546" s="490"/>
    </row>
    <row r="547" spans="1:9">
      <c r="C547" s="487"/>
      <c r="D547" s="1293" t="s">
        <v>1080</v>
      </c>
      <c r="E547" s="1293"/>
      <c r="F547" s="1293"/>
      <c r="I547" s="490"/>
    </row>
    <row r="548" spans="1:9">
      <c r="C548" s="487"/>
      <c r="D548" s="446"/>
      <c r="E548" s="446"/>
      <c r="F548" s="446"/>
      <c r="I548" s="490"/>
    </row>
    <row r="549" spans="1:9" ht="13.75" customHeight="1">
      <c r="A549" s="484"/>
      <c r="B549" s="485" t="s">
        <v>2752</v>
      </c>
      <c r="C549" s="487"/>
      <c r="D549" s="1293" t="s">
        <v>883</v>
      </c>
      <c r="E549" s="1293"/>
      <c r="F549" s="1293"/>
      <c r="I549" s="490"/>
    </row>
    <row r="550" spans="1:9" ht="13.75" customHeight="1">
      <c r="A550" s="487"/>
      <c r="B550" s="487"/>
      <c r="C550" s="487"/>
      <c r="D550" s="446"/>
      <c r="I550" s="490"/>
    </row>
    <row r="551" spans="1:9">
      <c r="A551" s="484"/>
      <c r="B551" s="485" t="s">
        <v>2752</v>
      </c>
      <c r="C551" s="487"/>
      <c r="D551" s="1291" t="s">
        <v>1081</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c r="A554" s="484"/>
      <c r="B554" s="485" t="s">
        <v>2752</v>
      </c>
      <c r="C554" s="487"/>
      <c r="D554" s="1291" t="s">
        <v>1082</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c r="A557" s="484"/>
      <c r="B557" s="485" t="s">
        <v>2752</v>
      </c>
      <c r="C557" s="487"/>
      <c r="D557" s="1291" t="s">
        <v>1083</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c r="A560" s="484"/>
      <c r="B560" s="485" t="s">
        <v>2752</v>
      </c>
      <c r="C560" s="487"/>
      <c r="D560" s="1291" t="s">
        <v>1084</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c r="A564" s="484"/>
      <c r="B564" s="485" t="s">
        <v>2754</v>
      </c>
      <c r="C564" s="487"/>
      <c r="D564" s="1291" t="s">
        <v>2198</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c r="A567" s="484"/>
      <c r="B567" s="485" t="s">
        <v>2752</v>
      </c>
      <c r="C567" s="487"/>
      <c r="D567" s="1291" t="s">
        <v>1085</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c r="A570" s="484"/>
      <c r="B570" s="485" t="s">
        <v>2752</v>
      </c>
      <c r="C570" s="487"/>
      <c r="D570" s="1293" t="s">
        <v>1086</v>
      </c>
      <c r="E570" s="1293"/>
      <c r="F570" s="1293"/>
      <c r="I570" s="490"/>
    </row>
    <row r="571" spans="1:9">
      <c r="A571" s="490"/>
      <c r="B571" s="490"/>
      <c r="C571" s="487"/>
      <c r="D571" s="1293" t="s">
        <v>1878</v>
      </c>
      <c r="E571" s="1293"/>
      <c r="F571" s="1293"/>
      <c r="I571" s="490"/>
    </row>
    <row r="572" spans="1:9">
      <c r="A572" s="490"/>
      <c r="B572" s="490"/>
      <c r="C572" s="487"/>
      <c r="E572" s="96" t="s">
        <v>1877</v>
      </c>
      <c r="F572" s="404"/>
      <c r="I572" s="490"/>
    </row>
    <row r="573" spans="1:9">
      <c r="A573" s="484"/>
      <c r="B573" s="484"/>
      <c r="C573" s="487"/>
      <c r="E573" s="446"/>
      <c r="F573" s="446"/>
      <c r="I573" s="490"/>
    </row>
    <row r="574" spans="1:9">
      <c r="A574" s="484"/>
      <c r="B574" s="485" t="s">
        <v>2752</v>
      </c>
      <c r="C574" s="487"/>
      <c r="D574" s="1293" t="s">
        <v>1087</v>
      </c>
      <c r="E574" s="1293"/>
      <c r="F574" s="1293"/>
      <c r="I574" s="490"/>
    </row>
    <row r="575" spans="1:9">
      <c r="C575" s="487"/>
      <c r="D575" s="1291" t="s">
        <v>1088</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c r="A579" s="484"/>
      <c r="B579" s="485" t="s">
        <v>2752</v>
      </c>
      <c r="C579" s="487"/>
      <c r="D579" s="1291" t="s">
        <v>2019</v>
      </c>
      <c r="E579" s="1291"/>
      <c r="F579" s="1291"/>
      <c r="I579" s="490"/>
    </row>
    <row r="580" spans="1:9">
      <c r="A580" s="484"/>
      <c r="B580" s="484"/>
      <c r="C580" s="487"/>
      <c r="D580" s="1291"/>
      <c r="E580" s="1291"/>
      <c r="F580" s="1291"/>
      <c r="I580" s="490"/>
    </row>
    <row r="581" spans="1:9">
      <c r="A581" s="484"/>
      <c r="B581" s="484"/>
      <c r="C581" s="487"/>
      <c r="D581" s="1291"/>
      <c r="E581" s="1291"/>
      <c r="F581" s="1291"/>
      <c r="I581" s="490"/>
    </row>
    <row r="582" spans="1:9">
      <c r="A582" s="484"/>
      <c r="B582" s="484"/>
      <c r="C582" s="487"/>
      <c r="D582" s="1291"/>
      <c r="E582" s="1291"/>
      <c r="F582" s="1291"/>
      <c r="I582" s="490"/>
    </row>
    <row r="583" spans="1:9">
      <c r="A583" s="484"/>
      <c r="B583" s="484"/>
      <c r="C583" s="487"/>
      <c r="D583" s="446"/>
      <c r="E583" s="446"/>
      <c r="F583" s="446"/>
      <c r="I583" s="490"/>
    </row>
    <row r="584" spans="1:9">
      <c r="A584" s="1292" t="s">
        <v>1053</v>
      </c>
      <c r="B584" s="1292"/>
      <c r="C584" s="1292"/>
      <c r="D584" s="1292"/>
      <c r="E584" s="1292"/>
      <c r="F584" s="1292"/>
      <c r="G584" s="1292"/>
      <c r="H584" s="1023"/>
      <c r="I584" s="1147"/>
    </row>
    <row r="585" spans="1:9">
      <c r="A585" s="487"/>
      <c r="B585" s="487"/>
      <c r="C585" s="487"/>
      <c r="E585" s="446"/>
      <c r="F585" s="446"/>
      <c r="I585" s="490"/>
    </row>
    <row r="586" spans="1:9" ht="12.75" customHeight="1">
      <c r="C586" s="482"/>
      <c r="D586" s="1311" t="s">
        <v>210</v>
      </c>
      <c r="E586" s="1311"/>
      <c r="F586" s="1311"/>
      <c r="I586" s="490"/>
    </row>
    <row r="587" spans="1:9">
      <c r="A587" s="483"/>
      <c r="B587" s="483"/>
      <c r="C587" s="483"/>
      <c r="D587" s="1307" t="s">
        <v>1066</v>
      </c>
      <c r="E587" s="1307"/>
      <c r="F587" s="1307"/>
      <c r="I587" s="490"/>
    </row>
    <row r="588" spans="1:9">
      <c r="A588" s="402"/>
      <c r="B588" s="402"/>
      <c r="C588" s="483"/>
      <c r="D588" s="499"/>
      <c r="I588" s="490"/>
    </row>
    <row r="589" spans="1:9">
      <c r="A589" s="483"/>
      <c r="B589" s="485" t="s">
        <v>2752</v>
      </c>
      <c r="D589" s="1307" t="s">
        <v>887</v>
      </c>
      <c r="E589" s="1307"/>
      <c r="F589" s="1307"/>
      <c r="I589" s="490"/>
    </row>
    <row r="590" spans="1:9">
      <c r="A590" s="490"/>
      <c r="B590" s="490"/>
      <c r="D590" s="476"/>
      <c r="I590" s="490"/>
    </row>
    <row r="591" spans="1:9">
      <c r="A591" s="490"/>
      <c r="B591" s="485" t="s">
        <v>2752</v>
      </c>
      <c r="D591" s="1307" t="s">
        <v>2020</v>
      </c>
      <c r="E591" s="1307"/>
      <c r="F591" s="1307"/>
      <c r="I591" s="490"/>
    </row>
    <row r="592" spans="1:9">
      <c r="A592" s="490"/>
      <c r="B592" s="490"/>
      <c r="D592" s="1307"/>
      <c r="E592" s="1307"/>
      <c r="F592" s="1307"/>
      <c r="I592" s="490"/>
    </row>
    <row r="593" spans="1:9">
      <c r="A593" s="490"/>
      <c r="B593" s="490"/>
      <c r="D593" s="1307"/>
      <c r="E593" s="1307"/>
      <c r="F593" s="1307"/>
      <c r="I593" s="490"/>
    </row>
    <row r="594" spans="1:9">
      <c r="A594" s="490"/>
      <c r="B594" s="490"/>
      <c r="D594" s="1307"/>
      <c r="E594" s="1307"/>
      <c r="F594" s="1307"/>
      <c r="I594" s="490"/>
    </row>
    <row r="595" spans="1:9">
      <c r="A595" s="490"/>
      <c r="B595" s="485" t="s">
        <v>2754</v>
      </c>
      <c r="D595" s="1307" t="s">
        <v>1067</v>
      </c>
      <c r="E595" s="1307"/>
      <c r="F595" s="1307"/>
      <c r="I595" s="490"/>
    </row>
    <row r="596" spans="1:9">
      <c r="A596" s="490"/>
      <c r="B596" s="490"/>
      <c r="D596" s="1307"/>
      <c r="E596" s="1307"/>
      <c r="F596" s="1307"/>
      <c r="I596" s="490"/>
    </row>
    <row r="597" spans="1:9">
      <c r="A597" s="490"/>
      <c r="B597" s="490"/>
      <c r="D597" s="1307"/>
      <c r="E597" s="1307"/>
      <c r="F597" s="1307"/>
      <c r="I597" s="490"/>
    </row>
    <row r="598" spans="1:9">
      <c r="A598" s="490"/>
      <c r="B598" s="490"/>
      <c r="D598" s="1307"/>
      <c r="E598" s="1307"/>
      <c r="F598" s="1307"/>
      <c r="I598" s="490"/>
    </row>
    <row r="599" spans="1:9">
      <c r="A599" s="490"/>
      <c r="B599" s="490"/>
      <c r="D599" s="440"/>
      <c r="E599" s="440"/>
      <c r="F599" s="440"/>
      <c r="I599" s="490"/>
    </row>
    <row r="600" spans="1:9">
      <c r="A600" s="490"/>
      <c r="B600" s="485" t="s">
        <v>2752</v>
      </c>
      <c r="D600" s="1307" t="s">
        <v>2021</v>
      </c>
      <c r="E600" s="1307"/>
      <c r="F600" s="1307"/>
      <c r="I600" s="490"/>
    </row>
    <row r="601" spans="1:9">
      <c r="A601" s="490"/>
      <c r="B601" s="490"/>
      <c r="D601" s="1307"/>
      <c r="E601" s="1307"/>
      <c r="F601" s="1307"/>
      <c r="I601" s="490"/>
    </row>
    <row r="602" spans="1:9">
      <c r="A602" s="490"/>
      <c r="B602" s="490"/>
      <c r="D602" s="499"/>
      <c r="I602" s="490"/>
    </row>
    <row r="603" spans="1:9">
      <c r="A603" s="490"/>
      <c r="B603" s="485" t="s">
        <v>2754</v>
      </c>
      <c r="D603" s="1307" t="s">
        <v>1068</v>
      </c>
      <c r="E603" s="1307"/>
      <c r="F603" s="1307"/>
      <c r="I603" s="490"/>
    </row>
    <row r="604" spans="1:9">
      <c r="A604" s="490"/>
      <c r="B604" s="490"/>
      <c r="D604" s="1307"/>
      <c r="E604" s="1307"/>
      <c r="F604" s="1307"/>
      <c r="I604" s="490"/>
    </row>
    <row r="605" spans="1:9">
      <c r="A605" s="484"/>
      <c r="B605" s="484"/>
      <c r="D605" s="499"/>
      <c r="I605" s="490"/>
    </row>
    <row r="606" spans="1:9">
      <c r="A606" s="1292" t="s">
        <v>1054</v>
      </c>
      <c r="B606" s="1292"/>
      <c r="C606" s="1292"/>
      <c r="D606" s="1292"/>
      <c r="E606" s="1292"/>
      <c r="F606" s="1292"/>
      <c r="G606" s="1292"/>
      <c r="H606" s="1023"/>
      <c r="I606" s="1147"/>
    </row>
    <row r="607" spans="1:9">
      <c r="I607" s="490"/>
    </row>
    <row r="608" spans="1:9">
      <c r="D608" s="1294" t="s">
        <v>1106</v>
      </c>
      <c r="E608" s="1294"/>
      <c r="F608" s="1294"/>
      <c r="I608" s="490"/>
    </row>
    <row r="609" spans="1:9">
      <c r="D609" s="1269" t="s">
        <v>1107</v>
      </c>
      <c r="E609" s="1269"/>
      <c r="F609" s="1269"/>
      <c r="I609" s="490"/>
    </row>
    <row r="610" spans="1:9">
      <c r="D610" s="444"/>
      <c r="I610" s="490"/>
    </row>
    <row r="611" spans="1:9" ht="14.25" customHeight="1">
      <c r="A611" s="484"/>
      <c r="B611" s="485" t="s">
        <v>2752</v>
      </c>
      <c r="D611" s="1308" t="s">
        <v>1879</v>
      </c>
      <c r="E611" s="1308"/>
      <c r="F611" s="1308"/>
      <c r="I611" s="490"/>
    </row>
    <row r="612" spans="1:9">
      <c r="D612" s="1308"/>
      <c r="E612" s="1308"/>
      <c r="F612" s="1308"/>
      <c r="I612" s="490"/>
    </row>
    <row r="613" spans="1:9">
      <c r="D613" s="385"/>
      <c r="E613" s="1031" t="s">
        <v>1880</v>
      </c>
      <c r="F613" s="385"/>
      <c r="I613" s="490"/>
    </row>
    <row r="614" spans="1:9">
      <c r="I614" s="490"/>
    </row>
    <row r="615" spans="1:9">
      <c r="A615" s="1292" t="s">
        <v>1055</v>
      </c>
      <c r="B615" s="1292"/>
      <c r="C615" s="1292"/>
      <c r="D615" s="1292"/>
      <c r="E615" s="1292"/>
      <c r="F615" s="1292"/>
      <c r="G615" s="1292"/>
      <c r="H615" s="1023"/>
      <c r="I615" s="1147"/>
    </row>
    <row r="616" spans="1:9">
      <c r="A616" s="446"/>
      <c r="B616" s="446"/>
      <c r="I616" s="490"/>
    </row>
    <row r="617" spans="1:9">
      <c r="A617" s="482"/>
      <c r="B617" s="482"/>
      <c r="C617" s="482"/>
      <c r="D617" s="1303" t="s">
        <v>1108</v>
      </c>
      <c r="E617" s="1303"/>
      <c r="F617" s="1303"/>
      <c r="I617" s="490"/>
    </row>
    <row r="618" spans="1:9">
      <c r="A618" s="482"/>
      <c r="B618" s="482"/>
      <c r="C618" s="482"/>
      <c r="D618" s="1303"/>
      <c r="E618" s="1303"/>
      <c r="F618" s="1303"/>
      <c r="I618" s="490"/>
    </row>
    <row r="619" spans="1:9">
      <c r="C619" s="483"/>
      <c r="D619" s="1269" t="s">
        <v>1109</v>
      </c>
      <c r="E619" s="1269"/>
      <c r="F619" s="1269"/>
      <c r="I619" s="490"/>
    </row>
    <row r="620" spans="1:9">
      <c r="C620" s="483"/>
      <c r="D620" s="444"/>
      <c r="E620" s="444"/>
      <c r="F620" s="444"/>
      <c r="I620" s="490"/>
    </row>
    <row r="621" spans="1:9">
      <c r="B621" s="485" t="s">
        <v>2752</v>
      </c>
      <c r="C621" s="483"/>
      <c r="D621" s="1268" t="s">
        <v>2597</v>
      </c>
      <c r="E621" s="1268"/>
      <c r="F621" s="1268"/>
      <c r="I621" s="490"/>
    </row>
    <row r="622" spans="1:9">
      <c r="C622" s="483"/>
      <c r="D622" s="444"/>
      <c r="E622" s="444"/>
      <c r="F622" s="444"/>
      <c r="I622" s="490"/>
    </row>
    <row r="623" spans="1:9" ht="12.75" customHeight="1">
      <c r="A623" s="490"/>
      <c r="B623" s="485" t="s">
        <v>2752</v>
      </c>
      <c r="D623" s="1290" t="s">
        <v>1110</v>
      </c>
      <c r="E623" s="1290"/>
      <c r="F623" s="1290"/>
      <c r="I623" s="490"/>
    </row>
    <row r="624" spans="1:9">
      <c r="D624" s="1290"/>
      <c r="E624" s="1290"/>
      <c r="F624" s="1290"/>
      <c r="I624" s="490"/>
    </row>
    <row r="625" spans="1:9">
      <c r="I625" s="490"/>
    </row>
    <row r="626" spans="1:9">
      <c r="B626" s="485" t="s">
        <v>2752</v>
      </c>
      <c r="D626" s="1290" t="s">
        <v>1111</v>
      </c>
      <c r="E626" s="1290"/>
      <c r="F626" s="1290"/>
      <c r="I626" s="490"/>
    </row>
    <row r="627" spans="1:9">
      <c r="C627" s="500"/>
      <c r="D627" s="1290"/>
      <c r="E627" s="1290"/>
      <c r="F627" s="1290"/>
      <c r="I627" s="490"/>
    </row>
    <row r="628" spans="1:9">
      <c r="C628" s="500"/>
      <c r="I628" s="490"/>
    </row>
    <row r="629" spans="1:9">
      <c r="B629" s="485" t="s">
        <v>2754</v>
      </c>
      <c r="C629" s="500"/>
      <c r="D629" s="1290" t="s">
        <v>1112</v>
      </c>
      <c r="E629" s="1290"/>
      <c r="F629" s="1290"/>
      <c r="I629" s="490"/>
    </row>
    <row r="630" spans="1:9">
      <c r="C630" s="500"/>
      <c r="D630" s="1290"/>
      <c r="E630" s="1290"/>
      <c r="F630" s="1290"/>
      <c r="I630" s="500"/>
    </row>
    <row r="631" spans="1:9">
      <c r="C631" s="500"/>
      <c r="I631" s="490"/>
    </row>
    <row r="632" spans="1:9">
      <c r="B632" s="485" t="s">
        <v>2752</v>
      </c>
      <c r="C632" s="500"/>
      <c r="D632" s="1268" t="s">
        <v>2546</v>
      </c>
      <c r="E632" s="1268"/>
      <c r="F632" s="1268"/>
      <c r="I632" s="490"/>
    </row>
    <row r="633" spans="1:9">
      <c r="C633" s="500"/>
      <c r="I633" s="490"/>
    </row>
    <row r="634" spans="1:9">
      <c r="A634" s="1292" t="s">
        <v>1056</v>
      </c>
      <c r="B634" s="1292"/>
      <c r="C634" s="1292"/>
      <c r="D634" s="1292"/>
      <c r="E634" s="1292"/>
      <c r="F634" s="1292"/>
      <c r="G634" s="1292"/>
      <c r="H634" s="1023"/>
      <c r="I634" s="1147"/>
    </row>
    <row r="635" spans="1:9">
      <c r="A635" s="482"/>
      <c r="B635" s="482"/>
      <c r="C635" s="482"/>
      <c r="I635" s="490"/>
    </row>
    <row r="636" spans="1:9">
      <c r="C636" s="490"/>
      <c r="D636" s="1294" t="s">
        <v>1113</v>
      </c>
      <c r="E636" s="1294"/>
      <c r="F636" s="1294"/>
      <c r="I636" s="490"/>
    </row>
    <row r="637" spans="1:9">
      <c r="A637" s="490"/>
      <c r="B637" s="490"/>
      <c r="D637" s="404"/>
      <c r="I637" s="490"/>
    </row>
    <row r="638" spans="1:9" ht="14.25" customHeight="1">
      <c r="A638" s="484"/>
      <c r="B638" s="485" t="s">
        <v>2752</v>
      </c>
      <c r="D638" s="1308" t="s">
        <v>2022</v>
      </c>
      <c r="E638" s="1308"/>
      <c r="F638" s="1308"/>
      <c r="I638" s="490"/>
    </row>
    <row r="639" spans="1:9">
      <c r="D639" s="1308"/>
      <c r="E639" s="1308"/>
      <c r="F639" s="1308"/>
      <c r="I639" s="490"/>
    </row>
    <row r="640" spans="1:9">
      <c r="D640" s="385"/>
      <c r="E640" s="1031" t="s">
        <v>1882</v>
      </c>
      <c r="F640" s="385"/>
      <c r="I640" s="490"/>
    </row>
    <row r="641" spans="1:9">
      <c r="D641" s="1291" t="s">
        <v>1881</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c r="A645" s="484"/>
      <c r="B645" s="485" t="s">
        <v>2754</v>
      </c>
      <c r="D645" s="1291" t="s">
        <v>1114</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c r="A648" s="484"/>
      <c r="B648" s="485" t="s">
        <v>2754</v>
      </c>
      <c r="C648" s="487"/>
      <c r="D648" s="1291" t="s">
        <v>1224</v>
      </c>
      <c r="E648" s="1291"/>
      <c r="F648" s="1291"/>
      <c r="I648" s="490"/>
    </row>
    <row r="649" spans="1:9">
      <c r="A649" s="484"/>
      <c r="B649" s="484"/>
      <c r="C649" s="487"/>
      <c r="D649" s="1291"/>
      <c r="E649" s="1291"/>
      <c r="F649" s="1291"/>
      <c r="I649" s="490"/>
    </row>
    <row r="650" spans="1:9">
      <c r="A650" s="484"/>
      <c r="B650" s="484"/>
      <c r="C650" s="487"/>
      <c r="D650" s="1291"/>
      <c r="E650" s="1291"/>
      <c r="F650" s="1291"/>
      <c r="I650" s="490"/>
    </row>
    <row r="651" spans="1:9">
      <c r="A651" s="487"/>
      <c r="B651" s="485" t="s">
        <v>2754</v>
      </c>
      <c r="C651" s="487"/>
      <c r="D651" s="1293" t="s">
        <v>1115</v>
      </c>
      <c r="E651" s="1293"/>
      <c r="F651" s="1293"/>
      <c r="I651" s="490"/>
    </row>
    <row r="652" spans="1:9">
      <c r="A652" s="487"/>
      <c r="B652" s="487"/>
      <c r="C652" s="487"/>
      <c r="D652" s="446"/>
      <c r="E652" s="446"/>
      <c r="F652" s="446"/>
      <c r="I652" s="490"/>
    </row>
    <row r="653" spans="1:9">
      <c r="A653" s="1292" t="s">
        <v>1057</v>
      </c>
      <c r="B653" s="1292"/>
      <c r="C653" s="1292"/>
      <c r="D653" s="1292"/>
      <c r="E653" s="1292"/>
      <c r="F653" s="1292"/>
      <c r="G653" s="1292"/>
      <c r="H653" s="1023"/>
      <c r="I653" s="1147"/>
    </row>
    <row r="654" spans="1:9">
      <c r="A654" s="446"/>
      <c r="B654" s="446"/>
      <c r="C654" s="487"/>
      <c r="D654" s="446"/>
      <c r="E654" s="446"/>
      <c r="F654" s="446"/>
      <c r="I654" s="490"/>
    </row>
    <row r="655" spans="1:9">
      <c r="C655" s="482"/>
      <c r="D655" s="1294" t="s">
        <v>1145</v>
      </c>
      <c r="E655" s="1294"/>
      <c r="F655" s="1294"/>
      <c r="I655" s="490"/>
    </row>
    <row r="656" spans="1:9">
      <c r="A656" s="483"/>
      <c r="B656" s="483"/>
      <c r="C656" s="483"/>
      <c r="D656" s="1293" t="s">
        <v>1146</v>
      </c>
      <c r="E656" s="1293"/>
      <c r="F656" s="1293"/>
      <c r="I656" s="490"/>
    </row>
    <row r="657" spans="1:9">
      <c r="A657" s="483"/>
      <c r="B657" s="483"/>
      <c r="C657" s="483"/>
      <c r="D657" s="446"/>
      <c r="E657" s="446"/>
      <c r="F657" s="446"/>
      <c r="I657" s="490"/>
    </row>
    <row r="658" spans="1:9" ht="12.75" customHeight="1">
      <c r="B658" s="485" t="s">
        <v>2754</v>
      </c>
      <c r="C658" s="487"/>
      <c r="D658" s="1291" t="s">
        <v>1280</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5" customHeight="1">
      <c r="A662" s="484"/>
      <c r="B662" s="484"/>
      <c r="C662" s="487"/>
      <c r="D662" s="385"/>
      <c r="E662" s="385"/>
      <c r="F662" s="385"/>
      <c r="I662" s="490"/>
    </row>
    <row r="663" spans="1:9" ht="12.75" customHeight="1">
      <c r="A663" s="483"/>
      <c r="B663" s="485" t="s">
        <v>2754</v>
      </c>
      <c r="C663" s="487"/>
      <c r="D663" s="1291" t="s">
        <v>1282</v>
      </c>
      <c r="E663" s="1291"/>
      <c r="F663" s="1291"/>
      <c r="I663" s="490"/>
    </row>
    <row r="664" spans="1:9">
      <c r="A664" s="483"/>
      <c r="B664" s="484"/>
      <c r="C664" s="487"/>
      <c r="D664" s="1291"/>
      <c r="E664" s="1291"/>
      <c r="F664" s="1291"/>
      <c r="I664" s="490"/>
    </row>
    <row r="665" spans="1:9">
      <c r="A665" s="483"/>
      <c r="B665" s="484"/>
      <c r="C665" s="487"/>
      <c r="D665" s="1291"/>
      <c r="E665" s="1291"/>
      <c r="F665" s="1291"/>
      <c r="I665" s="490"/>
    </row>
    <row r="666" spans="1:9">
      <c r="A666" s="483"/>
      <c r="B666" s="484"/>
      <c r="C666" s="487"/>
      <c r="D666" s="1291"/>
      <c r="E666" s="1291"/>
      <c r="F666" s="1291"/>
      <c r="I666" s="490"/>
    </row>
    <row r="667" spans="1:9">
      <c r="A667" s="483"/>
      <c r="B667" s="484"/>
      <c r="C667" s="487"/>
      <c r="D667" s="1291"/>
      <c r="E667" s="1291"/>
      <c r="F667" s="1291"/>
      <c r="I667" s="490"/>
    </row>
    <row r="668" spans="1:9" ht="14.25" customHeight="1">
      <c r="A668" s="483"/>
      <c r="B668" s="484"/>
      <c r="C668" s="487"/>
      <c r="F668" s="386"/>
      <c r="I668" s="490"/>
    </row>
    <row r="669" spans="1:9" ht="12.75" customHeight="1">
      <c r="A669" s="483"/>
      <c r="B669" s="485" t="s">
        <v>2754</v>
      </c>
      <c r="C669" s="487"/>
      <c r="D669" s="1291" t="s">
        <v>1281</v>
      </c>
      <c r="E669" s="1291"/>
      <c r="F669" s="1291"/>
      <c r="I669" s="490"/>
    </row>
    <row r="670" spans="1:9">
      <c r="A670" s="483"/>
      <c r="B670" s="484"/>
      <c r="C670" s="487"/>
      <c r="D670" s="1291"/>
      <c r="E670" s="1291"/>
      <c r="F670" s="1291"/>
      <c r="I670" s="490"/>
    </row>
    <row r="671" spans="1:9">
      <c r="A671" s="484"/>
      <c r="B671" s="484"/>
      <c r="C671" s="487"/>
      <c r="D671" s="1291"/>
      <c r="E671" s="1291"/>
      <c r="F671" s="1291"/>
      <c r="I671" s="490"/>
    </row>
    <row r="672" spans="1:9">
      <c r="A672" s="484"/>
      <c r="B672" s="484"/>
      <c r="C672" s="487"/>
      <c r="D672" s="1291"/>
      <c r="E672" s="1291"/>
      <c r="F672" s="1291"/>
      <c r="I672" s="490"/>
    </row>
    <row r="673" spans="1:11">
      <c r="A673" s="484"/>
      <c r="B673" s="484"/>
      <c r="C673" s="487"/>
      <c r="D673" s="445"/>
      <c r="E673" s="445"/>
      <c r="F673" s="445"/>
      <c r="I673" s="490"/>
    </row>
    <row r="674" spans="1:11" ht="12.75" customHeight="1">
      <c r="A674" s="483"/>
      <c r="B674" s="485" t="s">
        <v>2754</v>
      </c>
      <c r="C674" s="487"/>
      <c r="D674" s="1291" t="s">
        <v>2023</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2" t="s">
        <v>1058</v>
      </c>
      <c r="B684" s="1292"/>
      <c r="C684" s="1292"/>
      <c r="D684" s="1292"/>
      <c r="E684" s="1292"/>
      <c r="F684" s="1292"/>
      <c r="G684" s="1292"/>
      <c r="H684" s="1025"/>
      <c r="I684" s="1151"/>
      <c r="J684" s="501"/>
      <c r="K684" s="501"/>
    </row>
    <row r="685" spans="1:11">
      <c r="A685" s="448"/>
      <c r="B685" s="448"/>
      <c r="C685" s="448"/>
      <c r="D685" s="448"/>
      <c r="E685" s="448"/>
      <c r="F685" s="448"/>
      <c r="G685" s="448"/>
      <c r="H685" s="501"/>
      <c r="I685" s="483"/>
      <c r="J685" s="501"/>
      <c r="K685" s="501"/>
    </row>
    <row r="686" spans="1:11">
      <c r="C686" s="482"/>
      <c r="D686" s="1294" t="s">
        <v>99</v>
      </c>
      <c r="E686" s="1294"/>
      <c r="F686" s="1294"/>
      <c r="H686" s="501"/>
      <c r="I686" s="483"/>
      <c r="J686" s="501"/>
      <c r="K686" s="501"/>
    </row>
    <row r="687" spans="1:11">
      <c r="A687" s="482"/>
      <c r="B687" s="482"/>
      <c r="C687" s="482"/>
      <c r="D687" s="1294" t="s">
        <v>123</v>
      </c>
      <c r="E687" s="1294"/>
      <c r="F687" s="1294"/>
      <c r="H687" s="501"/>
      <c r="I687" s="483"/>
      <c r="J687" s="501"/>
      <c r="K687" s="501"/>
    </row>
    <row r="688" spans="1:11">
      <c r="A688" s="483"/>
      <c r="B688" s="483"/>
      <c r="C688" s="483"/>
      <c r="D688" s="1293" t="s">
        <v>1075</v>
      </c>
      <c r="E688" s="1293"/>
      <c r="F688" s="1293"/>
      <c r="H688" s="501"/>
      <c r="I688" s="483"/>
      <c r="J688" s="501"/>
      <c r="K688" s="501"/>
    </row>
    <row r="689" spans="1:11">
      <c r="A689" s="483"/>
      <c r="B689" s="483"/>
      <c r="C689" s="483"/>
      <c r="H689" s="501"/>
      <c r="I689" s="483"/>
      <c r="J689" s="501"/>
      <c r="K689" s="501"/>
    </row>
    <row r="690" spans="1:11">
      <c r="A690" s="484"/>
      <c r="B690" s="485" t="s">
        <v>2754</v>
      </c>
      <c r="C690" s="483"/>
      <c r="D690" s="1293" t="s">
        <v>884</v>
      </c>
      <c r="E690" s="1293"/>
      <c r="F690" s="1293"/>
      <c r="H690" s="501"/>
      <c r="I690" s="483"/>
      <c r="J690" s="501"/>
      <c r="K690" s="501"/>
    </row>
    <row r="691" spans="1:11">
      <c r="A691" s="483"/>
      <c r="B691" s="483"/>
      <c r="C691" s="483"/>
      <c r="D691" s="1293" t="s">
        <v>893</v>
      </c>
      <c r="E691" s="1293"/>
      <c r="F691" s="1293"/>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2754</v>
      </c>
      <c r="C695" s="483"/>
      <c r="D695" s="1291" t="s">
        <v>2024</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c r="A699" s="484"/>
      <c r="B699" s="485" t="s">
        <v>2752</v>
      </c>
      <c r="C699" s="483"/>
      <c r="D699" s="1293" t="s">
        <v>916</v>
      </c>
      <c r="E699" s="1293"/>
      <c r="F699" s="1293"/>
      <c r="H699" s="501"/>
      <c r="I699" s="483"/>
      <c r="J699" s="501"/>
      <c r="K699" s="501"/>
    </row>
    <row r="700" spans="1:11">
      <c r="A700" s="484"/>
      <c r="B700" s="484"/>
      <c r="C700" s="483"/>
      <c r="D700" s="1293" t="s">
        <v>893</v>
      </c>
      <c r="E700" s="1293"/>
      <c r="F700" s="1293"/>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2754</v>
      </c>
      <c r="C703" s="483"/>
      <c r="D703" s="1293" t="s">
        <v>2397</v>
      </c>
      <c r="E703" s="1293"/>
      <c r="F703" s="1293"/>
      <c r="H703" s="501"/>
      <c r="I703" s="483"/>
      <c r="J703" s="501"/>
      <c r="K703" s="501"/>
    </row>
    <row r="704" spans="1:11">
      <c r="A704" s="484"/>
      <c r="B704" s="484"/>
      <c r="C704" s="483"/>
      <c r="D704" s="1293" t="s">
        <v>893</v>
      </c>
      <c r="E704" s="1293"/>
      <c r="F704" s="1293"/>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2752</v>
      </c>
      <c r="C707" s="483"/>
      <c r="D707" s="1291" t="s">
        <v>2195</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2752</v>
      </c>
      <c r="C714" s="483"/>
      <c r="D714" s="1291" t="s">
        <v>1200</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c r="A717" s="484"/>
      <c r="B717" s="485" t="s">
        <v>2754</v>
      </c>
      <c r="C717" s="483"/>
      <c r="D717" s="1291" t="s">
        <v>1076</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2754</v>
      </c>
      <c r="C730" s="483"/>
      <c r="D730" s="1291" t="s">
        <v>2390</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2754</v>
      </c>
      <c r="C734" s="483"/>
      <c r="D734" s="1291" t="s">
        <v>2389</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2754</v>
      </c>
      <c r="C738" s="483"/>
      <c r="D738" s="1291" t="s">
        <v>2388</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c r="A743" s="484"/>
      <c r="B743" s="485" t="s">
        <v>2754</v>
      </c>
      <c r="C743" s="483"/>
      <c r="D743" s="1291" t="s">
        <v>1077</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c r="A749" s="484"/>
      <c r="B749" s="485" t="s">
        <v>2754</v>
      </c>
      <c r="C749" s="483"/>
      <c r="D749" s="1291" t="s">
        <v>2098</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296" t="s">
        <v>2607</v>
      </c>
      <c r="E756" s="1296"/>
      <c r="F756" s="1296"/>
      <c r="H756" s="501"/>
      <c r="I756" s="483"/>
      <c r="J756" s="501"/>
      <c r="K756" s="501"/>
    </row>
    <row r="757" spans="1:11">
      <c r="A757" s="483"/>
      <c r="B757" s="483"/>
      <c r="C757" s="483"/>
      <c r="D757" s="341"/>
      <c r="H757" s="501"/>
      <c r="I757" s="483"/>
      <c r="J757" s="501"/>
      <c r="K757" s="501"/>
    </row>
    <row r="758" spans="1:11">
      <c r="A758" s="1295" t="s">
        <v>1059</v>
      </c>
      <c r="B758" s="1295"/>
      <c r="C758" s="1295"/>
      <c r="D758" s="1295"/>
      <c r="E758" s="1295"/>
      <c r="F758" s="1295"/>
      <c r="G758" s="1295"/>
      <c r="H758" s="1025"/>
      <c r="I758" s="1151"/>
      <c r="J758" s="501"/>
      <c r="K758" s="501"/>
    </row>
    <row r="759" spans="1:11">
      <c r="A759" s="483"/>
      <c r="B759" s="483"/>
      <c r="C759" s="483"/>
      <c r="D759" s="492"/>
      <c r="G759" s="501"/>
      <c r="H759" s="501"/>
      <c r="I759" s="483"/>
      <c r="J759" s="501"/>
      <c r="K759" s="501"/>
    </row>
    <row r="760" spans="1:11" ht="13.75" customHeight="1">
      <c r="C760" s="483"/>
      <c r="D760" s="1311" t="s">
        <v>1069</v>
      </c>
      <c r="E760" s="1311"/>
      <c r="F760" s="1311"/>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c r="A763" s="484"/>
      <c r="B763" s="485" t="s">
        <v>2752</v>
      </c>
      <c r="D763" s="1291" t="s">
        <v>1071</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65"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c r="A770" s="503"/>
      <c r="B770" s="485" t="s">
        <v>2752</v>
      </c>
      <c r="C770" s="504"/>
      <c r="D770" s="1291" t="s">
        <v>1240</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c r="A775" s="484"/>
      <c r="B775" s="485" t="s">
        <v>2754</v>
      </c>
      <c r="C775" s="504"/>
      <c r="D775" s="1290" t="s">
        <v>1241</v>
      </c>
      <c r="E775" s="1290"/>
      <c r="F775" s="1290"/>
      <c r="I775" s="1152"/>
    </row>
    <row r="776" spans="1:11" s="505" customFormat="1">
      <c r="A776" s="504"/>
      <c r="B776" s="504"/>
      <c r="C776" s="504"/>
      <c r="D776" s="1290"/>
      <c r="E776" s="1290"/>
      <c r="F776" s="1290"/>
      <c r="I776" s="1152"/>
    </row>
    <row r="777" spans="1:11" s="505" customFormat="1">
      <c r="A777" s="504"/>
      <c r="B777" s="504"/>
      <c r="C777" s="504"/>
      <c r="D777" s="1290"/>
      <c r="E777" s="1290"/>
      <c r="F777" s="1290"/>
      <c r="I777" s="1152"/>
    </row>
    <row r="778" spans="1:11">
      <c r="D778" s="499"/>
      <c r="E778" s="446"/>
      <c r="F778" s="446"/>
      <c r="G778" s="501"/>
      <c r="H778" s="501"/>
      <c r="I778" s="483"/>
      <c r="J778" s="501"/>
      <c r="K778" s="501"/>
    </row>
    <row r="779" spans="1:11">
      <c r="A779" s="484"/>
      <c r="B779" s="485" t="s">
        <v>2754</v>
      </c>
      <c r="D779" s="1291" t="s">
        <v>1197</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2754</v>
      </c>
      <c r="D782" s="1291" t="s">
        <v>1214</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10" t="s">
        <v>1788</v>
      </c>
      <c r="B786" s="1310"/>
      <c r="C786" s="1310"/>
      <c r="D786" s="1310"/>
      <c r="E786" s="1310"/>
      <c r="F786" s="1310"/>
      <c r="G786" s="1310"/>
      <c r="H786" s="1023"/>
      <c r="I786" s="1147"/>
    </row>
    <row r="787" spans="1:11" hidden="1">
      <c r="A787" s="57"/>
      <c r="B787" s="57"/>
      <c r="C787" s="354"/>
      <c r="D787" s="3"/>
      <c r="E787" s="3"/>
      <c r="F787" s="3"/>
      <c r="G787" s="3"/>
      <c r="I787" s="490"/>
    </row>
    <row r="788" spans="1:11" hidden="1">
      <c r="A788" s="57"/>
      <c r="B788" s="57"/>
      <c r="C788" s="354"/>
      <c r="D788" s="1309" t="s">
        <v>1828</v>
      </c>
      <c r="E788" s="1309"/>
      <c r="F788" s="1309"/>
      <c r="G788" s="3"/>
      <c r="I788" s="490"/>
    </row>
    <row r="789" spans="1:11" hidden="1">
      <c r="A789" s="57"/>
      <c r="B789" s="57"/>
      <c r="C789" s="354"/>
      <c r="D789" s="1301" t="s">
        <v>1742</v>
      </c>
      <c r="E789" s="1301"/>
      <c r="F789" s="1301"/>
      <c r="G789" s="3"/>
      <c r="I789" s="490"/>
    </row>
    <row r="790" spans="1:11" hidden="1">
      <c r="A790" s="57"/>
      <c r="B790" s="57"/>
      <c r="C790" s="354"/>
      <c r="D790" s="447"/>
      <c r="E790" s="447"/>
      <c r="F790" s="447"/>
      <c r="G790" s="3"/>
      <c r="I790" s="490"/>
    </row>
    <row r="791" spans="1:11" hidden="1">
      <c r="A791" s="57"/>
      <c r="B791" s="485" t="s">
        <v>307</v>
      </c>
      <c r="C791" s="354"/>
      <c r="D791" s="1281" t="s">
        <v>1743</v>
      </c>
      <c r="E791" s="1281"/>
      <c r="F791" s="1281"/>
      <c r="G791" s="3"/>
      <c r="I791" s="483"/>
    </row>
    <row r="792" spans="1:11" hidden="1">
      <c r="A792" s="57"/>
      <c r="B792" s="57"/>
      <c r="C792" s="354"/>
      <c r="D792" s="1281"/>
      <c r="E792" s="1281"/>
      <c r="F792" s="1281"/>
      <c r="G792" s="3"/>
      <c r="I792" s="490"/>
    </row>
    <row r="793" spans="1:11" hidden="1">
      <c r="A793" s="174"/>
      <c r="B793" s="174"/>
      <c r="C793" s="174"/>
      <c r="D793" s="1281"/>
      <c r="E793" s="1281"/>
      <c r="F793" s="1281"/>
      <c r="G793" s="118"/>
      <c r="I793" s="490"/>
    </row>
    <row r="794" spans="1:11" hidden="1">
      <c r="A794" s="354"/>
      <c r="B794" s="354"/>
      <c r="C794" s="354"/>
      <c r="D794" s="173"/>
      <c r="E794" s="3"/>
      <c r="F794" s="3"/>
      <c r="G794" s="3"/>
      <c r="I794" s="490"/>
    </row>
    <row r="795" spans="1:11" hidden="1">
      <c r="A795" s="172"/>
      <c r="B795" s="485" t="s">
        <v>307</v>
      </c>
      <c r="C795" s="172"/>
      <c r="D795" s="1281" t="s">
        <v>1744</v>
      </c>
      <c r="E795" s="1281"/>
      <c r="F795" s="1281"/>
      <c r="G795" s="3"/>
      <c r="I795" s="483"/>
    </row>
    <row r="796" spans="1:11" hidden="1">
      <c r="A796" s="172"/>
      <c r="B796" s="172"/>
      <c r="C796" s="172"/>
      <c r="D796" s="1281"/>
      <c r="E796" s="1281"/>
      <c r="F796" s="1281"/>
      <c r="G796" s="3"/>
      <c r="I796" s="490"/>
    </row>
    <row r="797" spans="1:11" hidden="1">
      <c r="A797" s="172"/>
      <c r="B797" s="172"/>
      <c r="C797" s="172"/>
      <c r="D797" s="1281"/>
      <c r="E797" s="1281"/>
      <c r="F797" s="1281"/>
      <c r="G797" s="3"/>
      <c r="I797" s="490"/>
    </row>
    <row r="798" spans="1:11" hidden="1">
      <c r="A798" s="174"/>
      <c r="B798" s="174"/>
      <c r="C798" s="174"/>
      <c r="D798" s="3"/>
      <c r="E798" s="983"/>
      <c r="F798" s="983"/>
      <c r="G798" s="983"/>
      <c r="I798" s="490"/>
    </row>
    <row r="799" spans="1:11" hidden="1">
      <c r="A799" s="175"/>
      <c r="B799" s="485" t="s">
        <v>307</v>
      </c>
      <c r="C799" s="984"/>
      <c r="D799" s="1281" t="s">
        <v>1745</v>
      </c>
      <c r="E799" s="1281"/>
      <c r="F799" s="1281"/>
      <c r="G799" s="983"/>
      <c r="I799" s="483"/>
    </row>
    <row r="800" spans="1:11" hidden="1">
      <c r="A800" s="175"/>
      <c r="B800" s="175"/>
      <c r="C800" s="984"/>
      <c r="D800" s="1281"/>
      <c r="E800" s="1281"/>
      <c r="F800" s="1281"/>
      <c r="G800" s="983"/>
      <c r="I800" s="490"/>
    </row>
    <row r="801" spans="1:9" hidden="1">
      <c r="A801" s="175"/>
      <c r="B801" s="175"/>
      <c r="C801" s="984"/>
      <c r="D801" s="1281"/>
      <c r="E801" s="1281"/>
      <c r="F801" s="1281"/>
      <c r="G801" s="983"/>
      <c r="I801" s="490"/>
    </row>
    <row r="802" spans="1:9" hidden="1">
      <c r="A802" s="175"/>
      <c r="B802" s="175"/>
      <c r="C802" s="984"/>
      <c r="D802" s="118"/>
      <c r="E802" s="3"/>
      <c r="F802" s="3"/>
      <c r="G802" s="983"/>
      <c r="I802" s="490"/>
    </row>
    <row r="803" spans="1:9" hidden="1">
      <c r="A803" s="175"/>
      <c r="B803" s="485" t="s">
        <v>307</v>
      </c>
      <c r="C803" s="984"/>
      <c r="D803" s="1281" t="s">
        <v>1746</v>
      </c>
      <c r="E803" s="1281"/>
      <c r="F803" s="1281"/>
      <c r="G803" s="983"/>
      <c r="I803" s="483"/>
    </row>
    <row r="804" spans="1:9" hidden="1">
      <c r="A804" s="175"/>
      <c r="B804" s="175"/>
      <c r="C804" s="984"/>
      <c r="D804" s="1281"/>
      <c r="E804" s="1281"/>
      <c r="F804" s="1281"/>
      <c r="G804" s="983"/>
      <c r="I804" s="490"/>
    </row>
    <row r="805" spans="1:9" hidden="1">
      <c r="A805" s="175"/>
      <c r="B805" s="175"/>
      <c r="C805" s="984"/>
      <c r="D805" s="1281"/>
      <c r="E805" s="1281"/>
      <c r="F805" s="1281"/>
      <c r="G805" s="983"/>
      <c r="I805" s="490"/>
    </row>
    <row r="806" spans="1:9" hidden="1">
      <c r="A806" s="175"/>
      <c r="B806" s="175"/>
      <c r="C806" s="984"/>
      <c r="D806" s="1281"/>
      <c r="E806" s="1281"/>
      <c r="F806" s="1281"/>
      <c r="G806" s="983"/>
      <c r="I806" s="490"/>
    </row>
    <row r="807" spans="1:9" hidden="1">
      <c r="A807" s="175"/>
      <c r="B807" s="175"/>
      <c r="C807" s="984"/>
      <c r="D807" s="1281"/>
      <c r="E807" s="1281"/>
      <c r="F807" s="1281"/>
      <c r="G807" s="983"/>
      <c r="I807" s="490"/>
    </row>
    <row r="808" spans="1:9" hidden="1">
      <c r="A808" s="175"/>
      <c r="B808" s="175"/>
      <c r="C808" s="984"/>
      <c r="D808" s="1281"/>
      <c r="E808" s="1281"/>
      <c r="F808" s="1281"/>
      <c r="G808" s="983"/>
      <c r="I808" s="490"/>
    </row>
    <row r="809" spans="1:9" hidden="1">
      <c r="A809" s="175"/>
      <c r="B809" s="175"/>
      <c r="C809" s="984"/>
      <c r="D809" s="1281" t="s">
        <v>1789</v>
      </c>
      <c r="E809" s="1281"/>
      <c r="F809" s="1281"/>
      <c r="G809" s="983"/>
      <c r="I809" s="490"/>
    </row>
    <row r="810" spans="1:9" hidden="1">
      <c r="A810" s="175"/>
      <c r="B810" s="175"/>
      <c r="C810" s="984"/>
      <c r="D810" s="1281"/>
      <c r="E810" s="1281"/>
      <c r="F810" s="1281"/>
      <c r="G810" s="983"/>
      <c r="I810" s="490"/>
    </row>
    <row r="811" spans="1:9" hidden="1">
      <c r="A811" s="175"/>
      <c r="B811" s="175"/>
      <c r="C811" s="984"/>
      <c r="D811" s="1281"/>
      <c r="E811" s="1281"/>
      <c r="F811" s="1281"/>
      <c r="G811" s="983"/>
      <c r="I811" s="490"/>
    </row>
    <row r="812" spans="1:9" hidden="1">
      <c r="A812" s="175"/>
      <c r="B812" s="354"/>
      <c r="C812" s="984"/>
      <c r="D812" s="985"/>
      <c r="E812" s="985"/>
      <c r="F812" s="985"/>
      <c r="G812" s="983"/>
      <c r="I812" s="490"/>
    </row>
    <row r="813" spans="1:9" hidden="1">
      <c r="A813" s="175"/>
      <c r="B813" s="485" t="s">
        <v>307</v>
      </c>
      <c r="C813" s="984"/>
      <c r="D813" s="1281" t="s">
        <v>1747</v>
      </c>
      <c r="E813" s="1281"/>
      <c r="F813" s="1281"/>
      <c r="G813" s="983"/>
      <c r="I813" s="483"/>
    </row>
    <row r="814" spans="1:9" hidden="1">
      <c r="A814" s="175"/>
      <c r="B814" s="175"/>
      <c r="C814" s="984"/>
      <c r="D814" s="1281"/>
      <c r="E814" s="1281"/>
      <c r="F814" s="1281"/>
      <c r="G814" s="983"/>
      <c r="I814" s="490"/>
    </row>
    <row r="815" spans="1:9" hidden="1">
      <c r="A815" s="175"/>
      <c r="B815" s="175"/>
      <c r="C815" s="984"/>
      <c r="D815" s="1281"/>
      <c r="E815" s="1281"/>
      <c r="F815" s="1281"/>
      <c r="G815" s="983"/>
      <c r="I815" s="490"/>
    </row>
    <row r="816" spans="1:9" hidden="1">
      <c r="A816" s="175"/>
      <c r="B816" s="175"/>
      <c r="C816" s="984"/>
      <c r="D816" s="1281"/>
      <c r="E816" s="1281"/>
      <c r="F816" s="1281"/>
      <c r="G816" s="983"/>
      <c r="I816" s="490"/>
    </row>
    <row r="817" spans="1:9" hidden="1">
      <c r="A817" s="175"/>
      <c r="B817" s="175"/>
      <c r="C817" s="984"/>
      <c r="D817" s="1281"/>
      <c r="E817" s="1281"/>
      <c r="F817" s="1281"/>
      <c r="G817" s="983"/>
      <c r="I817" s="490"/>
    </row>
    <row r="818" spans="1:9" hidden="1">
      <c r="A818" s="175"/>
      <c r="B818" s="175"/>
      <c r="C818" s="984"/>
      <c r="D818" s="1281"/>
      <c r="E818" s="1281"/>
      <c r="F818" s="1281"/>
      <c r="G818" s="983"/>
      <c r="I818" s="490"/>
    </row>
    <row r="819" spans="1:9" hidden="1">
      <c r="A819" s="175"/>
      <c r="B819" s="175"/>
      <c r="C819" s="984"/>
      <c r="D819" s="977"/>
      <c r="E819" s="977"/>
      <c r="F819" s="977"/>
      <c r="G819" s="983"/>
      <c r="I819" s="490"/>
    </row>
    <row r="820" spans="1:9" hidden="1">
      <c r="A820" s="175"/>
      <c r="B820" s="485" t="s">
        <v>307</v>
      </c>
      <c r="C820" s="984"/>
      <c r="D820" s="1281" t="s">
        <v>1748</v>
      </c>
      <c r="E820" s="1281"/>
      <c r="F820" s="1281"/>
      <c r="G820" s="983"/>
      <c r="I820" s="483"/>
    </row>
    <row r="821" spans="1:9" hidden="1">
      <c r="A821" s="175"/>
      <c r="B821" s="175"/>
      <c r="C821" s="984"/>
      <c r="D821" s="1281"/>
      <c r="E821" s="1281"/>
      <c r="F821" s="1281"/>
      <c r="G821" s="983"/>
      <c r="I821" s="490"/>
    </row>
    <row r="822" spans="1:9" hidden="1">
      <c r="A822" s="175"/>
      <c r="B822" s="175"/>
      <c r="C822" s="984"/>
      <c r="D822" s="1281"/>
      <c r="E822" s="1281"/>
      <c r="F822" s="1281"/>
      <c r="G822" s="983"/>
      <c r="I822" s="490"/>
    </row>
    <row r="823" spans="1:9" hidden="1">
      <c r="A823" s="175"/>
      <c r="B823" s="175"/>
      <c r="C823" s="984"/>
      <c r="D823" s="1281"/>
      <c r="E823" s="1281"/>
      <c r="F823" s="1281"/>
      <c r="G823" s="983"/>
      <c r="I823" s="490"/>
    </row>
    <row r="824" spans="1:9" hidden="1">
      <c r="A824" s="175"/>
      <c r="B824" s="175"/>
      <c r="C824" s="984"/>
      <c r="D824" s="1281"/>
      <c r="E824" s="1281"/>
      <c r="F824" s="1281"/>
      <c r="G824" s="983"/>
      <c r="I824" s="490"/>
    </row>
    <row r="825" spans="1:9" hidden="1">
      <c r="A825" s="175"/>
      <c r="B825" s="175"/>
      <c r="C825" s="984"/>
      <c r="D825" s="1281"/>
      <c r="E825" s="1281"/>
      <c r="F825" s="1281"/>
      <c r="G825" s="983"/>
      <c r="I825" s="490"/>
    </row>
    <row r="826" spans="1:9" hidden="1">
      <c r="A826" s="175"/>
      <c r="B826" s="175"/>
      <c r="C826" s="984"/>
      <c r="D826" s="977"/>
      <c r="E826" s="977"/>
      <c r="F826" s="977"/>
      <c r="G826" s="983"/>
      <c r="I826" s="490"/>
    </row>
    <row r="827" spans="1:9" hidden="1">
      <c r="A827" s="175"/>
      <c r="B827" s="485" t="s">
        <v>307</v>
      </c>
      <c r="C827" s="984"/>
      <c r="D827" s="1277" t="s">
        <v>1749</v>
      </c>
      <c r="E827" s="1277"/>
      <c r="F827" s="1277"/>
      <c r="G827" s="983"/>
      <c r="I827" s="483"/>
    </row>
    <row r="828" spans="1:9" hidden="1">
      <c r="A828" s="175"/>
      <c r="B828" s="175"/>
      <c r="C828" s="984"/>
      <c r="D828" s="1277"/>
      <c r="E828" s="1277"/>
      <c r="F828" s="1277"/>
      <c r="G828" s="983"/>
      <c r="I828" s="490"/>
    </row>
    <row r="829" spans="1:9" hidden="1">
      <c r="A829" s="13"/>
      <c r="B829" s="13"/>
      <c r="C829" s="984"/>
      <c r="D829" s="1277"/>
      <c r="E829" s="1277"/>
      <c r="F829" s="1277"/>
      <c r="G829" s="983"/>
      <c r="I829" s="490"/>
    </row>
    <row r="830" spans="1:9" hidden="1">
      <c r="A830" s="175"/>
      <c r="B830" s="13"/>
      <c r="C830" s="984"/>
      <c r="D830" s="1277"/>
      <c r="E830" s="1277"/>
      <c r="F830" s="1277"/>
      <c r="G830" s="983"/>
      <c r="I830" s="490"/>
    </row>
    <row r="831" spans="1:9" ht="12.75" hidden="1" customHeight="1">
      <c r="A831" s="175"/>
      <c r="B831" s="13"/>
      <c r="C831" s="984"/>
      <c r="D831" s="1277"/>
      <c r="E831" s="1277"/>
      <c r="F831" s="1277"/>
      <c r="G831" s="983"/>
      <c r="I831" s="490"/>
    </row>
    <row r="832" spans="1:9" ht="12.75" hidden="1" customHeight="1">
      <c r="A832" s="175"/>
      <c r="B832" s="13"/>
      <c r="C832" s="984"/>
      <c r="D832" s="1277"/>
      <c r="E832" s="1277"/>
      <c r="F832" s="1277"/>
      <c r="G832" s="983"/>
      <c r="I832" s="490"/>
    </row>
    <row r="833" spans="1:9" ht="12.75" hidden="1" customHeight="1">
      <c r="A833" s="13"/>
      <c r="B833" s="13"/>
      <c r="C833" s="984"/>
      <c r="D833" s="983"/>
      <c r="E833" s="3"/>
      <c r="F833" s="3"/>
      <c r="G833" s="983"/>
      <c r="I833" s="490"/>
    </row>
    <row r="834" spans="1:9" ht="12.75" customHeight="1">
      <c r="A834" s="1273" t="s">
        <v>1750</v>
      </c>
      <c r="B834" s="1273"/>
      <c r="C834" s="1273"/>
      <c r="D834" s="1273"/>
      <c r="E834" s="1273"/>
      <c r="F834" s="1273"/>
      <c r="G834" s="1273"/>
      <c r="H834" s="1023"/>
      <c r="I834" s="1147"/>
    </row>
    <row r="835" spans="1:9" ht="12.75" customHeight="1">
      <c r="A835" s="172"/>
      <c r="B835" s="172"/>
      <c r="C835" s="984"/>
      <c r="D835" s="983"/>
      <c r="E835" s="983"/>
      <c r="F835" s="983"/>
      <c r="G835" s="983"/>
      <c r="I835" s="490"/>
    </row>
    <row r="836" spans="1:9" ht="12.75" customHeight="1">
      <c r="A836" s="175"/>
      <c r="B836" s="175"/>
      <c r="C836" s="354"/>
      <c r="D836" s="1299" t="s">
        <v>1790</v>
      </c>
      <c r="E836" s="1299"/>
      <c r="F836" s="1299"/>
      <c r="G836" s="3"/>
      <c r="I836" s="490"/>
    </row>
    <row r="837" spans="1:9" ht="14.25" customHeight="1">
      <c r="A837" s="175"/>
      <c r="B837" s="175"/>
      <c r="C837" s="354"/>
      <c r="D837" s="1276" t="s">
        <v>1751</v>
      </c>
      <c r="E837" s="1276"/>
      <c r="F837" s="1276"/>
      <c r="G837" s="3"/>
      <c r="I837" s="490"/>
    </row>
    <row r="838" spans="1:9" ht="12.75" customHeight="1">
      <c r="A838" s="175"/>
      <c r="B838" s="175"/>
      <c r="C838" s="354"/>
      <c r="D838" s="441"/>
      <c r="E838" s="441"/>
      <c r="F838" s="441"/>
      <c r="G838" s="3"/>
      <c r="I838" s="490"/>
    </row>
    <row r="839" spans="1:9" ht="12.75" customHeight="1">
      <c r="A839" s="354"/>
      <c r="B839" s="485" t="s">
        <v>2752</v>
      </c>
      <c r="C839" s="984"/>
      <c r="D839" s="1276" t="s">
        <v>1752</v>
      </c>
      <c r="E839" s="1276"/>
      <c r="F839" s="127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00" t="s">
        <v>2030</v>
      </c>
      <c r="E842" s="1300"/>
      <c r="F842" s="1300"/>
      <c r="G842" s="3"/>
      <c r="I842" s="490"/>
    </row>
    <row r="843" spans="1:9" ht="12.75" hidden="1" customHeight="1">
      <c r="A843" s="13"/>
      <c r="B843" s="13"/>
      <c r="C843" s="984"/>
      <c r="D843" s="1300"/>
      <c r="E843" s="1300"/>
      <c r="F843" s="1300"/>
      <c r="G843" s="3"/>
      <c r="I843" s="490"/>
    </row>
    <row r="844" spans="1:9" ht="12.75" hidden="1" customHeight="1">
      <c r="A844" s="13"/>
      <c r="B844" s="13"/>
      <c r="C844" s="984"/>
      <c r="D844" s="1300"/>
      <c r="E844" s="1300"/>
      <c r="F844" s="1300"/>
      <c r="G844" s="3"/>
      <c r="I844" s="490"/>
    </row>
    <row r="845" spans="1:9" ht="12.75" hidden="1" customHeight="1">
      <c r="A845" s="13"/>
      <c r="B845" s="13"/>
      <c r="C845" s="984"/>
      <c r="D845" s="1300"/>
      <c r="E845" s="1300"/>
      <c r="F845" s="1300"/>
      <c r="G845" s="3"/>
      <c r="I845" s="490"/>
    </row>
    <row r="846" spans="1:9" ht="12.75" hidden="1" customHeight="1">
      <c r="A846" s="13"/>
      <c r="B846" s="13"/>
      <c r="C846" s="984"/>
      <c r="D846" s="1300"/>
      <c r="E846" s="1300"/>
      <c r="F846" s="1300"/>
      <c r="G846" s="3"/>
      <c r="I846" s="490"/>
    </row>
    <row r="847" spans="1:9" ht="12.75" hidden="1" customHeight="1">
      <c r="A847" s="13"/>
      <c r="B847" s="13"/>
      <c r="C847" s="984"/>
      <c r="D847" s="1300"/>
      <c r="E847" s="1300"/>
      <c r="F847" s="1300"/>
      <c r="G847" s="3"/>
      <c r="I847" s="490"/>
    </row>
    <row r="848" spans="1:9" ht="12.75" hidden="1" customHeight="1">
      <c r="A848" s="13"/>
      <c r="B848" s="13"/>
      <c r="C848" s="984"/>
      <c r="D848" s="1300"/>
      <c r="E848" s="1300"/>
      <c r="F848" s="1300"/>
      <c r="G848" s="3"/>
      <c r="I848" s="490"/>
    </row>
    <row r="849" spans="1:9" ht="12.75" hidden="1" customHeight="1">
      <c r="A849" s="13"/>
      <c r="B849" s="13"/>
      <c r="C849" s="984"/>
      <c r="D849" s="1300"/>
      <c r="E849" s="1300"/>
      <c r="F849" s="1300"/>
      <c r="G849" s="3"/>
      <c r="I849" s="490"/>
    </row>
    <row r="850" spans="1:9" ht="12.75" hidden="1" customHeight="1">
      <c r="A850" s="13"/>
      <c r="B850" s="13"/>
      <c r="C850" s="984"/>
      <c r="D850" s="1300"/>
      <c r="E850" s="1300"/>
      <c r="F850" s="1300"/>
      <c r="G850" s="3"/>
      <c r="I850" s="490"/>
    </row>
    <row r="851" spans="1:9" ht="12.75" hidden="1" customHeight="1">
      <c r="A851" s="13"/>
      <c r="B851" s="13"/>
      <c r="C851" s="984"/>
      <c r="D851" s="1300"/>
      <c r="E851" s="1300"/>
      <c r="F851" s="1300"/>
      <c r="G851" s="3"/>
      <c r="I851" s="490"/>
    </row>
    <row r="852" spans="1:9" ht="12.75" hidden="1" customHeight="1">
      <c r="A852" s="13"/>
      <c r="B852" s="13"/>
      <c r="C852" s="984"/>
      <c r="D852" s="986"/>
      <c r="E852" s="3"/>
      <c r="F852" s="3"/>
      <c r="G852" s="3"/>
      <c r="I852" s="490"/>
    </row>
    <row r="853" spans="1:9" ht="12.75" customHeight="1">
      <c r="A853" s="175"/>
      <c r="B853" s="485" t="s">
        <v>2752</v>
      </c>
      <c r="C853" s="984"/>
      <c r="D853" s="1276" t="s">
        <v>1753</v>
      </c>
      <c r="E853" s="1276"/>
      <c r="F853" s="1276"/>
      <c r="G853" s="3"/>
      <c r="I853" s="490" t="s">
        <v>1855</v>
      </c>
    </row>
    <row r="854" spans="1:9" ht="12.75" customHeight="1">
      <c r="A854" s="175"/>
      <c r="B854" s="175"/>
      <c r="C854" s="984"/>
      <c r="D854" s="1276"/>
      <c r="E854" s="1276"/>
      <c r="F854" s="1276"/>
      <c r="G854" s="3"/>
      <c r="I854" s="490"/>
    </row>
    <row r="855" spans="1:9" ht="12.75" customHeight="1">
      <c r="A855" s="175"/>
      <c r="B855" s="175"/>
      <c r="C855" s="984"/>
      <c r="D855" s="1276"/>
      <c r="E855" s="1276"/>
      <c r="F855" s="1276"/>
      <c r="G855" s="3"/>
      <c r="I855" s="490"/>
    </row>
    <row r="856" spans="1:9" ht="12.75" customHeight="1">
      <c r="A856" s="175"/>
      <c r="B856" s="175"/>
      <c r="C856" s="984"/>
      <c r="D856" s="118"/>
      <c r="E856" s="3"/>
      <c r="F856" s="3"/>
      <c r="G856" s="3"/>
      <c r="I856" s="490"/>
    </row>
    <row r="857" spans="1:9" ht="12.75" customHeight="1">
      <c r="A857" s="987"/>
      <c r="B857" s="485" t="s">
        <v>2754</v>
      </c>
      <c r="C857" s="984"/>
      <c r="D857" s="1299" t="s">
        <v>1754</v>
      </c>
      <c r="E857" s="1299"/>
      <c r="F857" s="1299"/>
      <c r="G857" s="3"/>
      <c r="I857" s="490"/>
    </row>
    <row r="858" spans="1:9" ht="12.75" customHeight="1">
      <c r="A858" s="354"/>
      <c r="B858" s="987"/>
      <c r="C858" s="984"/>
      <c r="D858" s="1299"/>
      <c r="E858" s="1299"/>
      <c r="F858" s="1299"/>
      <c r="G858" s="3"/>
      <c r="I858" s="490"/>
    </row>
    <row r="859" spans="1:9" ht="12.75" customHeight="1">
      <c r="A859" s="175"/>
      <c r="B859" s="354"/>
      <c r="C859" s="984"/>
      <c r="D859" s="1276" t="s">
        <v>2025</v>
      </c>
      <c r="E859" s="1276"/>
      <c r="F859" s="1276"/>
      <c r="G859" s="3"/>
      <c r="I859" s="490"/>
    </row>
    <row r="860" spans="1:9" ht="12.75" customHeight="1">
      <c r="A860" s="175"/>
      <c r="B860" s="175"/>
      <c r="C860" s="984"/>
      <c r="D860" s="1276"/>
      <c r="E860" s="1276"/>
      <c r="F860" s="1276"/>
      <c r="G860" s="3"/>
      <c r="I860" s="490"/>
    </row>
    <row r="861" spans="1:9" ht="12.75" customHeight="1">
      <c r="A861" s="175"/>
      <c r="B861" s="175"/>
      <c r="C861" s="984"/>
      <c r="D861" s="1276"/>
      <c r="E861" s="1276"/>
      <c r="F861" s="1276"/>
      <c r="G861" s="3"/>
      <c r="I861" s="490"/>
    </row>
    <row r="862" spans="1:9" ht="12.75" customHeight="1">
      <c r="A862" s="175"/>
      <c r="B862" s="175"/>
      <c r="C862" s="984"/>
      <c r="D862" s="1276"/>
      <c r="E862" s="1276"/>
      <c r="F862" s="1276"/>
      <c r="G862" s="3"/>
      <c r="I862" s="490"/>
    </row>
    <row r="863" spans="1:9" ht="12.75" customHeight="1">
      <c r="A863" s="175"/>
      <c r="B863" s="175"/>
      <c r="C863" s="984"/>
      <c r="D863" s="1276"/>
      <c r="E863" s="1276"/>
      <c r="F863" s="1276"/>
      <c r="G863" s="3"/>
      <c r="I863" s="490"/>
    </row>
    <row r="864" spans="1:9" ht="12.75" customHeight="1">
      <c r="A864" s="175"/>
      <c r="B864" s="175"/>
      <c r="C864" s="984"/>
      <c r="D864" s="1276"/>
      <c r="E864" s="1276"/>
      <c r="F864" s="1276"/>
      <c r="G864" s="3"/>
      <c r="I864" s="490"/>
    </row>
    <row r="865" spans="1:9" ht="12.75" customHeight="1">
      <c r="A865" s="175"/>
      <c r="B865" s="175"/>
      <c r="C865" s="984"/>
      <c r="D865" s="118"/>
      <c r="E865" s="3"/>
      <c r="F865" s="3"/>
      <c r="G865" s="3"/>
      <c r="I865" s="490"/>
    </row>
    <row r="866" spans="1:9" ht="12.75" customHeight="1">
      <c r="A866" s="175"/>
      <c r="B866" s="485" t="s">
        <v>2754</v>
      </c>
      <c r="C866" s="984"/>
      <c r="D866" s="1276" t="s">
        <v>1755</v>
      </c>
      <c r="E866" s="1276"/>
      <c r="F866" s="1276"/>
      <c r="G866" s="3"/>
      <c r="I866" s="490" t="s">
        <v>1853</v>
      </c>
    </row>
    <row r="867" spans="1:9" ht="12.75" customHeight="1">
      <c r="A867" s="175"/>
      <c r="B867" s="175"/>
      <c r="C867" s="984"/>
      <c r="D867" s="1276" t="s">
        <v>1756</v>
      </c>
      <c r="E867" s="1276"/>
      <c r="F867" s="127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2754</v>
      </c>
      <c r="C870" s="984"/>
      <c r="D870" s="1276" t="s">
        <v>1757</v>
      </c>
      <c r="E870" s="1276"/>
      <c r="F870" s="1276"/>
      <c r="G870" s="3"/>
      <c r="I870" s="490" t="s">
        <v>1856</v>
      </c>
    </row>
    <row r="871" spans="1:9" ht="12.75" customHeight="1">
      <c r="A871" s="175"/>
      <c r="B871" s="175"/>
      <c r="C871" s="984"/>
      <c r="D871" s="1276"/>
      <c r="E871" s="1276"/>
      <c r="F871" s="1276"/>
      <c r="G871" s="3"/>
      <c r="I871" s="490"/>
    </row>
    <row r="872" spans="1:9" ht="12.75" customHeight="1">
      <c r="A872" s="175"/>
      <c r="B872" s="175"/>
      <c r="C872" s="984"/>
      <c r="D872" s="1276"/>
      <c r="E872" s="1276"/>
      <c r="F872" s="1276"/>
      <c r="G872" s="3"/>
      <c r="I872" s="490"/>
    </row>
    <row r="873" spans="1:9" ht="12.75" customHeight="1">
      <c r="A873" s="175"/>
      <c r="B873" s="175"/>
      <c r="C873" s="984"/>
      <c r="D873" s="1276"/>
      <c r="E873" s="1276"/>
      <c r="F873" s="127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78" t="s">
        <v>1791</v>
      </c>
      <c r="E877" s="1278"/>
      <c r="F877" s="1278"/>
      <c r="G877" s="983"/>
      <c r="I877" s="490"/>
    </row>
    <row r="878" spans="1:9" ht="12.75" customHeight="1">
      <c r="A878" s="354"/>
      <c r="B878" s="354"/>
      <c r="C878" s="174"/>
      <c r="D878" s="1298" t="s">
        <v>1759</v>
      </c>
      <c r="E878" s="1298"/>
      <c r="F878" s="1298"/>
      <c r="G878" s="983"/>
      <c r="I878" s="490"/>
    </row>
    <row r="879" spans="1:9" ht="12.75" customHeight="1">
      <c r="A879" s="354"/>
      <c r="B879" s="354"/>
      <c r="C879" s="174"/>
      <c r="D879" s="990"/>
      <c r="E879" s="990"/>
      <c r="F879" s="990"/>
      <c r="G879" s="983"/>
      <c r="I879" s="490"/>
    </row>
    <row r="880" spans="1:9" ht="12.75" customHeight="1">
      <c r="A880" s="175"/>
      <c r="B880" s="485" t="s">
        <v>2752</v>
      </c>
      <c r="C880" s="354"/>
      <c r="D880" s="1279" t="s">
        <v>1760</v>
      </c>
      <c r="E880" s="1279"/>
      <c r="F880" s="1279"/>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2752</v>
      </c>
      <c r="C883" s="354"/>
      <c r="D883" s="1276" t="s">
        <v>1761</v>
      </c>
      <c r="E883" s="1305"/>
      <c r="F883" s="1305"/>
      <c r="G883" s="3"/>
      <c r="I883" s="490" t="s">
        <v>1856</v>
      </c>
    </row>
    <row r="884" spans="1:9" ht="12.75" customHeight="1">
      <c r="A884" s="354"/>
      <c r="B884" s="354"/>
      <c r="C884" s="354"/>
      <c r="D884" s="1305"/>
      <c r="E884" s="1305"/>
      <c r="F884" s="1305"/>
      <c r="G884" s="3"/>
      <c r="I884" s="490"/>
    </row>
    <row r="885" spans="1:9" ht="12.75" customHeight="1">
      <c r="A885" s="354"/>
      <c r="B885" s="354"/>
      <c r="C885" s="354"/>
      <c r="D885" s="118"/>
      <c r="E885" s="3"/>
      <c r="F885" s="3"/>
      <c r="G885" s="3"/>
      <c r="I885" s="490"/>
    </row>
    <row r="886" spans="1:9" ht="12.75" customHeight="1">
      <c r="A886" s="354"/>
      <c r="B886" s="485" t="s">
        <v>2754</v>
      </c>
      <c r="C886" s="354"/>
      <c r="D886" s="1306" t="s">
        <v>1762</v>
      </c>
      <c r="E886" s="1306"/>
      <c r="F886" s="1306"/>
      <c r="G886" s="983"/>
      <c r="I886" s="490"/>
    </row>
    <row r="887" spans="1:9" ht="12.75" customHeight="1">
      <c r="A887" s="354"/>
      <c r="B887" s="991"/>
      <c r="C887" s="354"/>
      <c r="D887" s="1306"/>
      <c r="E887" s="1306"/>
      <c r="F887" s="1306"/>
      <c r="G887" s="983"/>
      <c r="I887" s="490"/>
    </row>
    <row r="888" spans="1:9" ht="12.75" customHeight="1">
      <c r="A888" s="175"/>
      <c r="B888"/>
      <c r="C888" s="354"/>
      <c r="D888" s="1276" t="s">
        <v>2025</v>
      </c>
      <c r="E888" s="1276"/>
      <c r="F888" s="1276"/>
      <c r="G888" s="983"/>
      <c r="I888" s="490"/>
    </row>
    <row r="889" spans="1:9" ht="12.75" customHeight="1">
      <c r="A889" s="175"/>
      <c r="B889" s="175"/>
      <c r="C889" s="354"/>
      <c r="D889" s="1276"/>
      <c r="E889" s="1276"/>
      <c r="F889" s="1276"/>
      <c r="G889" s="983"/>
      <c r="I889" s="490"/>
    </row>
    <row r="890" spans="1:9" ht="12.75" customHeight="1">
      <c r="A890" s="175"/>
      <c r="B890" s="175"/>
      <c r="C890" s="354"/>
      <c r="D890" s="1276"/>
      <c r="E890" s="1276"/>
      <c r="F890" s="1276"/>
      <c r="G890" s="983"/>
      <c r="I890" s="490"/>
    </row>
    <row r="891" spans="1:9" ht="12.75" customHeight="1">
      <c r="A891" s="175"/>
      <c r="B891" s="175"/>
      <c r="C891" s="354"/>
      <c r="D891" s="1276"/>
      <c r="E891" s="1276"/>
      <c r="F891" s="1276"/>
      <c r="G891" s="983"/>
      <c r="I891" s="490"/>
    </row>
    <row r="892" spans="1:9" ht="12.75" customHeight="1">
      <c r="A892" s="175"/>
      <c r="B892" s="175"/>
      <c r="C892" s="354"/>
      <c r="D892" s="1276"/>
      <c r="E892" s="1276"/>
      <c r="F892" s="1276"/>
      <c r="G892" s="983"/>
      <c r="I892" s="490"/>
    </row>
    <row r="893" spans="1:9" ht="12.75" customHeight="1">
      <c r="A893" s="175"/>
      <c r="B893" s="175"/>
      <c r="C893" s="354"/>
      <c r="D893" s="1276"/>
      <c r="E893" s="1276"/>
      <c r="F893" s="1276"/>
      <c r="G893" s="983"/>
      <c r="I893" s="490"/>
    </row>
    <row r="894" spans="1:9" ht="12.75" customHeight="1">
      <c r="A894" s="175"/>
      <c r="B894" s="175"/>
      <c r="C894" s="354"/>
      <c r="D894" s="118"/>
      <c r="E894" s="983"/>
      <c r="F894" s="983"/>
      <c r="G894" s="983"/>
      <c r="I894" s="490"/>
    </row>
    <row r="895" spans="1:9" ht="12.75" customHeight="1">
      <c r="A895" s="175"/>
      <c r="B895" s="485" t="s">
        <v>2754</v>
      </c>
      <c r="C895" s="354"/>
      <c r="D895" s="1268" t="s">
        <v>1755</v>
      </c>
      <c r="E895" s="1268"/>
      <c r="F895" s="1268"/>
      <c r="G895" s="983"/>
      <c r="I895" s="490"/>
    </row>
    <row r="896" spans="1:9" ht="12.75" customHeight="1">
      <c r="A896" s="175"/>
      <c r="B896" s="175"/>
      <c r="C896" s="354"/>
      <c r="D896" s="1268" t="s">
        <v>1756</v>
      </c>
      <c r="E896" s="1268"/>
      <c r="F896" s="1268"/>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2754</v>
      </c>
      <c r="C899" s="354"/>
      <c r="D899" s="1276" t="s">
        <v>1757</v>
      </c>
      <c r="E899" s="1276"/>
      <c r="F899" s="1276"/>
      <c r="G899" s="983"/>
      <c r="I899" s="490"/>
    </row>
    <row r="900" spans="1:9" ht="12.75" customHeight="1">
      <c r="A900" s="175"/>
      <c r="B900" s="175"/>
      <c r="C900" s="354"/>
      <c r="D900" s="1276"/>
      <c r="E900" s="1276"/>
      <c r="F900" s="1276"/>
      <c r="G900" s="983"/>
      <c r="I900" s="490"/>
    </row>
    <row r="901" spans="1:9" ht="12.75" customHeight="1">
      <c r="A901" s="175"/>
      <c r="B901" s="175"/>
      <c r="C901" s="354"/>
      <c r="D901" s="1276"/>
      <c r="E901" s="1276"/>
      <c r="F901" s="1276"/>
      <c r="G901" s="983"/>
      <c r="I901" s="490"/>
    </row>
    <row r="902" spans="1:9" ht="12.75" customHeight="1">
      <c r="A902" s="175"/>
      <c r="B902" s="175"/>
      <c r="C902" s="354"/>
      <c r="D902" s="1276"/>
      <c r="E902" s="1276"/>
      <c r="F902" s="1276"/>
      <c r="G902" s="983"/>
      <c r="I902" s="490"/>
    </row>
    <row r="903" spans="1:9" ht="12.75" customHeight="1">
      <c r="A903" s="118"/>
      <c r="B903" s="118"/>
      <c r="C903" s="984"/>
      <c r="D903" s="983"/>
      <c r="E903" s="983"/>
      <c r="F903" s="983"/>
      <c r="G903" s="983"/>
      <c r="I903" s="490"/>
    </row>
    <row r="904" spans="1:9" ht="12.75" customHeight="1">
      <c r="A904" s="1273" t="s">
        <v>1792</v>
      </c>
      <c r="B904" s="1273"/>
      <c r="C904" s="1273"/>
      <c r="D904" s="1273"/>
      <c r="E904" s="1273"/>
      <c r="F904" s="1273"/>
      <c r="G904" s="1273"/>
      <c r="H904" s="1023"/>
      <c r="I904" s="1147"/>
    </row>
    <row r="905" spans="1:9" ht="12.75" customHeight="1">
      <c r="A905" s="57"/>
      <c r="B905" s="57"/>
      <c r="C905" s="57"/>
      <c r="D905" s="57"/>
      <c r="E905" s="57"/>
      <c r="F905" s="57"/>
      <c r="G905" s="57"/>
      <c r="I905" s="490"/>
    </row>
    <row r="906" spans="1:9" ht="12.75" customHeight="1">
      <c r="A906" s="57"/>
      <c r="B906" s="57"/>
      <c r="C906" s="57"/>
      <c r="D906" s="1271" t="s">
        <v>1798</v>
      </c>
      <c r="E906" s="1271"/>
      <c r="F906" s="1271"/>
      <c r="G906" s="57"/>
      <c r="I906" s="490"/>
    </row>
    <row r="907" spans="1:9" ht="12.75" customHeight="1">
      <c r="A907" s="57"/>
      <c r="B907" s="57"/>
      <c r="C907" s="57"/>
      <c r="D907" s="976"/>
      <c r="E907" s="976"/>
      <c r="F907" s="976"/>
      <c r="G907" s="57"/>
      <c r="I907" s="490"/>
    </row>
    <row r="908" spans="1:9" ht="12.75" customHeight="1">
      <c r="A908" s="57"/>
      <c r="B908" s="485" t="s">
        <v>2752</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71" t="s">
        <v>1793</v>
      </c>
      <c r="E910" s="1271"/>
      <c r="F910" s="1271"/>
      <c r="G910" s="983"/>
      <c r="I910" s="490"/>
    </row>
    <row r="911" spans="1:9" ht="12.75" customHeight="1">
      <c r="A911" s="172"/>
      <c r="B911" s="172"/>
      <c r="C911" s="172"/>
      <c r="D911" s="1279" t="s">
        <v>1763</v>
      </c>
      <c r="E911" s="1279"/>
      <c r="F911" s="1279"/>
      <c r="G911" s="983"/>
      <c r="I911" s="490"/>
    </row>
    <row r="912" spans="1:9" ht="12.75" customHeight="1">
      <c r="A912" s="984"/>
      <c r="B912" s="984"/>
      <c r="C912" s="984"/>
      <c r="D912" s="2"/>
      <c r="E912" s="983"/>
      <c r="F912" s="983"/>
      <c r="G912" s="983"/>
      <c r="I912" s="490"/>
    </row>
    <row r="913" spans="1:9" ht="12.75" customHeight="1">
      <c r="A913" s="175"/>
      <c r="B913" s="485" t="s">
        <v>2752</v>
      </c>
      <c r="C913" s="354"/>
      <c r="D913" s="1276" t="s">
        <v>1767</v>
      </c>
      <c r="E913" s="1276"/>
      <c r="F913" s="1276"/>
      <c r="G913" s="3"/>
      <c r="I913" s="490"/>
    </row>
    <row r="914" spans="1:9" ht="12.75" customHeight="1">
      <c r="A914" s="354"/>
      <c r="B914" s="354"/>
      <c r="C914" s="354"/>
      <c r="D914" s="1276"/>
      <c r="E914" s="1276"/>
      <c r="F914" s="1276"/>
      <c r="G914" s="3"/>
      <c r="I914" s="490"/>
    </row>
    <row r="915" spans="1:9" ht="12.75" customHeight="1">
      <c r="A915" s="172"/>
      <c r="B915" s="172"/>
      <c r="C915" s="172"/>
      <c r="D915" s="1276" t="s">
        <v>1766</v>
      </c>
      <c r="E915" s="1276"/>
      <c r="F915" s="1276"/>
      <c r="G915" s="983"/>
      <c r="I915" s="490"/>
    </row>
    <row r="916" spans="1:9" ht="12.75" customHeight="1">
      <c r="A916" s="172"/>
      <c r="B916" s="172"/>
      <c r="C916" s="172"/>
      <c r="D916" s="1276"/>
      <c r="E916" s="1276"/>
      <c r="F916" s="1276"/>
      <c r="G916" s="983"/>
      <c r="I916" s="490"/>
    </row>
    <row r="917" spans="1:9" ht="12.75" customHeight="1">
      <c r="A917" s="172"/>
      <c r="B917" s="172"/>
      <c r="C917" s="172"/>
      <c r="D917" s="3"/>
      <c r="E917" s="3"/>
      <c r="F917" s="983"/>
      <c r="G917" s="983"/>
      <c r="I917" s="490"/>
    </row>
    <row r="918" spans="1:9" ht="12.75" customHeight="1">
      <c r="A918" s="175"/>
      <c r="B918" s="485" t="s">
        <v>2752</v>
      </c>
      <c r="C918" s="174"/>
      <c r="D918" s="1275" t="s">
        <v>1764</v>
      </c>
      <c r="E918" s="1275"/>
      <c r="F918" s="1275"/>
      <c r="G918" s="983"/>
      <c r="I918" s="490"/>
    </row>
    <row r="919" spans="1:9" ht="12.75" customHeight="1">
      <c r="A919" s="175"/>
      <c r="B919" s="175"/>
      <c r="C919" s="174"/>
      <c r="D919" s="1275"/>
      <c r="E919" s="1275"/>
      <c r="F919" s="1275"/>
      <c r="G919" s="983"/>
      <c r="I919" s="490"/>
    </row>
    <row r="920" spans="1:9" ht="12.75" customHeight="1">
      <c r="A920" s="175"/>
      <c r="B920" s="175"/>
      <c r="C920" s="174"/>
      <c r="D920" s="1275"/>
      <c r="E920" s="1275"/>
      <c r="F920" s="1275"/>
      <c r="G920" s="983"/>
      <c r="I920" s="490"/>
    </row>
    <row r="921" spans="1:9" ht="12.75" customHeight="1">
      <c r="A921" s="175"/>
      <c r="B921" s="175"/>
      <c r="C921" s="174"/>
      <c r="D921" s="1275"/>
      <c r="E921" s="1275"/>
      <c r="F921" s="1275"/>
      <c r="G921" s="983"/>
      <c r="I921" s="490"/>
    </row>
    <row r="922" spans="1:9" ht="12.75" customHeight="1">
      <c r="A922" s="175"/>
      <c r="B922" s="175"/>
      <c r="C922" s="174"/>
      <c r="D922" s="1275"/>
      <c r="E922" s="1275"/>
      <c r="F922" s="1275"/>
      <c r="G922" s="983"/>
      <c r="I922" s="490"/>
    </row>
    <row r="923" spans="1:9" ht="12.75" customHeight="1">
      <c r="A923" s="174"/>
      <c r="B923" s="174"/>
      <c r="C923" s="174"/>
      <c r="D923" s="1275"/>
      <c r="E923" s="1275"/>
      <c r="F923" s="1275"/>
      <c r="G923" s="983"/>
      <c r="I923" s="490"/>
    </row>
    <row r="924" spans="1:9" ht="12.75" customHeight="1">
      <c r="A924" s="174"/>
      <c r="B924" s="174"/>
      <c r="C924" s="174"/>
      <c r="D924" s="1275"/>
      <c r="E924" s="1275"/>
      <c r="F924" s="1275"/>
      <c r="G924" s="983"/>
      <c r="I924" s="490"/>
    </row>
    <row r="925" spans="1:9" ht="12.75" customHeight="1">
      <c r="A925" s="174"/>
      <c r="B925" s="174"/>
      <c r="C925" s="174"/>
      <c r="D925" s="1275"/>
      <c r="E925" s="1275"/>
      <c r="F925" s="1275"/>
      <c r="G925" s="983"/>
      <c r="I925" s="490"/>
    </row>
    <row r="926" spans="1:9" ht="12.75" customHeight="1">
      <c r="A926" s="174"/>
      <c r="B926" s="174"/>
      <c r="C926" s="174"/>
      <c r="D926" s="335"/>
      <c r="E926" s="335"/>
      <c r="F926" s="335"/>
      <c r="G926" s="983"/>
      <c r="I926" s="490"/>
    </row>
    <row r="927" spans="1:9" ht="12.75" customHeight="1">
      <c r="A927" s="984"/>
      <c r="B927" s="485" t="s">
        <v>2754</v>
      </c>
      <c r="C927" s="984"/>
      <c r="D927" s="1276" t="s">
        <v>1768</v>
      </c>
      <c r="E927" s="1276"/>
      <c r="F927" s="1276"/>
      <c r="G927" s="983"/>
      <c r="I927" s="490"/>
    </row>
    <row r="928" spans="1:9" ht="12.75" customHeight="1">
      <c r="A928" s="984"/>
      <c r="B928" s="984"/>
      <c r="C928" s="984"/>
      <c r="D928" s="1276"/>
      <c r="E928" s="1276"/>
      <c r="F928" s="1276"/>
      <c r="G928" s="983"/>
      <c r="I928" s="490"/>
    </row>
    <row r="929" spans="1:9" ht="12.75" customHeight="1">
      <c r="A929" s="984"/>
      <c r="B929" s="984"/>
      <c r="C929" s="984"/>
      <c r="D929" s="983"/>
      <c r="E929" s="983"/>
      <c r="F929" s="983"/>
      <c r="G929" s="983"/>
      <c r="I929" s="490"/>
    </row>
    <row r="930" spans="1:9" ht="12.75" customHeight="1">
      <c r="A930" s="984"/>
      <c r="B930" s="485" t="s">
        <v>2754</v>
      </c>
      <c r="C930" s="984"/>
      <c r="D930" s="1277" t="s">
        <v>1769</v>
      </c>
      <c r="E930" s="1277"/>
      <c r="F930" s="1277"/>
      <c r="G930" s="983"/>
      <c r="I930" s="490"/>
    </row>
    <row r="931" spans="1:9" ht="12.75" customHeight="1">
      <c r="A931" s="984"/>
      <c r="B931" s="984"/>
      <c r="C931" s="984"/>
      <c r="D931" s="1277"/>
      <c r="E931" s="1277"/>
      <c r="F931" s="1277"/>
      <c r="G931" s="983"/>
      <c r="I931" s="490"/>
    </row>
    <row r="932" spans="1:9" ht="12.75" customHeight="1">
      <c r="A932" s="984"/>
      <c r="B932" s="984"/>
      <c r="C932" s="984"/>
      <c r="D932" s="1277"/>
      <c r="E932" s="1277"/>
      <c r="F932" s="1277"/>
      <c r="G932" s="983"/>
      <c r="I932" s="490"/>
    </row>
    <row r="933" spans="1:9" ht="12.75" customHeight="1">
      <c r="A933" s="984"/>
      <c r="B933" s="984"/>
      <c r="C933" s="984"/>
      <c r="D933" s="1277"/>
      <c r="E933" s="1277"/>
      <c r="F933" s="1277"/>
      <c r="G933" s="983"/>
      <c r="I933" s="490"/>
    </row>
    <row r="934" spans="1:9" ht="12.75" customHeight="1">
      <c r="A934" s="984"/>
      <c r="B934" s="984"/>
      <c r="C934" s="984"/>
      <c r="D934" s="118"/>
      <c r="E934" s="983"/>
      <c r="F934" s="983"/>
      <c r="G934" s="983"/>
      <c r="I934" s="490"/>
    </row>
    <row r="935" spans="1:9" ht="12.75" customHeight="1">
      <c r="A935" s="984"/>
      <c r="B935" s="485" t="s">
        <v>2754</v>
      </c>
      <c r="C935" s="984"/>
      <c r="D935" s="1279" t="s">
        <v>2026</v>
      </c>
      <c r="E935" s="1279"/>
      <c r="F935" s="1279"/>
      <c r="G935" s="983"/>
      <c r="I935" s="490"/>
    </row>
    <row r="936" spans="1:9" ht="12.75" customHeight="1">
      <c r="A936" s="984"/>
      <c r="B936" s="984"/>
      <c r="C936" s="984"/>
      <c r="D936" s="118"/>
      <c r="E936" s="983"/>
      <c r="F936" s="983"/>
      <c r="G936" s="983"/>
      <c r="I936" s="490"/>
    </row>
    <row r="937" spans="1:9" ht="12.75" customHeight="1">
      <c r="A937" s="984"/>
      <c r="B937" s="485" t="s">
        <v>2754</v>
      </c>
      <c r="C937" s="984"/>
      <c r="D937" s="1279" t="s">
        <v>2027</v>
      </c>
      <c r="E937" s="1279"/>
      <c r="F937" s="1279"/>
      <c r="G937" s="983"/>
      <c r="I937" s="490"/>
    </row>
    <row r="938" spans="1:9" ht="12.75" customHeight="1">
      <c r="A938" s="174"/>
      <c r="B938" s="174"/>
      <c r="C938" s="174"/>
      <c r="D938" s="2"/>
      <c r="E938" s="3"/>
      <c r="F938" s="983"/>
      <c r="G938" s="983"/>
      <c r="I938" s="490"/>
    </row>
    <row r="939" spans="1:9" ht="12.75" customHeight="1">
      <c r="A939" s="992"/>
      <c r="B939" s="485" t="s">
        <v>2752</v>
      </c>
      <c r="C939" s="993"/>
      <c r="D939" s="1275" t="s">
        <v>1765</v>
      </c>
      <c r="E939" s="1275"/>
      <c r="F939" s="1275"/>
      <c r="G939" s="994"/>
      <c r="I939" s="490"/>
    </row>
    <row r="940" spans="1:9" ht="12.75" customHeight="1">
      <c r="A940" s="992"/>
      <c r="B940" s="992"/>
      <c r="C940" s="993"/>
      <c r="D940" s="1275"/>
      <c r="E940" s="1275"/>
      <c r="F940" s="1275"/>
      <c r="G940" s="994"/>
      <c r="I940" s="490"/>
    </row>
    <row r="941" spans="1:9" ht="12.75" customHeight="1">
      <c r="A941" s="992"/>
      <c r="B941" s="992"/>
      <c r="C941" s="993"/>
      <c r="D941" s="1275"/>
      <c r="E941" s="1275"/>
      <c r="F941" s="1275"/>
      <c r="G941" s="994"/>
      <c r="I941" s="490"/>
    </row>
    <row r="942" spans="1:9" ht="12.75" customHeight="1">
      <c r="A942" s="992"/>
      <c r="B942" s="992"/>
      <c r="C942" s="993"/>
      <c r="D942" s="1275"/>
      <c r="E942" s="1275"/>
      <c r="F942" s="1275"/>
      <c r="G942" s="994"/>
      <c r="I942" s="490"/>
    </row>
    <row r="943" spans="1:9" ht="12.75" customHeight="1">
      <c r="A943" s="992"/>
      <c r="B943" s="992"/>
      <c r="C943" s="993"/>
      <c r="D943" s="1275"/>
      <c r="E943" s="1275"/>
      <c r="F943" s="1275"/>
      <c r="G943" s="994"/>
      <c r="I943" s="490"/>
    </row>
    <row r="944" spans="1:9" ht="12.75" customHeight="1">
      <c r="A944" s="992"/>
      <c r="B944" s="992"/>
      <c r="C944" s="993"/>
      <c r="D944" s="1275"/>
      <c r="E944" s="1275"/>
      <c r="F944" s="1275"/>
      <c r="G944" s="994"/>
      <c r="I944" s="490"/>
    </row>
    <row r="945" spans="1:9" ht="12.75" customHeight="1">
      <c r="A945" s="992"/>
      <c r="B945" s="992"/>
      <c r="C945" s="993"/>
      <c r="D945" s="1275"/>
      <c r="E945" s="1275"/>
      <c r="F945" s="1275"/>
      <c r="G945" s="994"/>
      <c r="I945" s="490"/>
    </row>
    <row r="946" spans="1:9" ht="12.75" customHeight="1">
      <c r="A946" s="992"/>
      <c r="B946" s="992"/>
      <c r="C946" s="993"/>
      <c r="D946" s="1275"/>
      <c r="E946" s="1275"/>
      <c r="F946" s="1275"/>
      <c r="G946" s="994"/>
      <c r="I946" s="490"/>
    </row>
    <row r="947" spans="1:9" ht="12.75" customHeight="1">
      <c r="A947" s="992"/>
      <c r="B947" s="992"/>
      <c r="C947" s="993"/>
      <c r="D947" s="1275"/>
      <c r="E947" s="1275"/>
      <c r="F947" s="1275"/>
      <c r="G947" s="994"/>
      <c r="I947" s="490"/>
    </row>
    <row r="948" spans="1:9" ht="12.75" customHeight="1">
      <c r="A948" s="174"/>
      <c r="B948" s="174"/>
      <c r="C948" s="174"/>
      <c r="D948" s="2"/>
      <c r="E948" s="3"/>
      <c r="F948" s="983"/>
      <c r="G948" s="983"/>
      <c r="I948" s="490"/>
    </row>
    <row r="949" spans="1:9" ht="12.75" customHeight="1">
      <c r="A949" s="175"/>
      <c r="B949" s="485" t="s">
        <v>2752</v>
      </c>
      <c r="C949" s="174"/>
      <c r="D949" s="1289" t="s">
        <v>1859</v>
      </c>
      <c r="E949" s="1289"/>
      <c r="F949" s="1289"/>
      <c r="G949" s="983"/>
      <c r="I949" s="490"/>
    </row>
    <row r="950" spans="1:9" ht="12.75" customHeight="1">
      <c r="A950" s="175"/>
      <c r="B950" s="175"/>
      <c r="C950" s="174"/>
      <c r="D950" s="1289"/>
      <c r="E950" s="1289"/>
      <c r="F950" s="1289"/>
      <c r="G950" s="983"/>
      <c r="I950" s="490"/>
    </row>
    <row r="951" spans="1:9" ht="12.75" customHeight="1">
      <c r="A951" s="175"/>
      <c r="B951" s="175"/>
      <c r="C951" s="174"/>
      <c r="D951" s="1289"/>
      <c r="E951" s="1289"/>
      <c r="F951" s="1289"/>
      <c r="G951" s="983"/>
      <c r="I951" s="490"/>
    </row>
    <row r="952" spans="1:9" ht="12.75" customHeight="1">
      <c r="A952" s="175"/>
      <c r="B952" s="175"/>
      <c r="C952" s="174"/>
      <c r="D952" s="1289"/>
      <c r="E952" s="1289"/>
      <c r="F952" s="1289"/>
      <c r="G952" s="983"/>
      <c r="I952" s="490"/>
    </row>
    <row r="953" spans="1:9" ht="12.75" customHeight="1">
      <c r="A953" s="175"/>
      <c r="B953" s="175"/>
      <c r="C953" s="174"/>
      <c r="D953" s="1289"/>
      <c r="E953" s="1289"/>
      <c r="F953" s="1289"/>
      <c r="G953" s="983"/>
      <c r="I953" s="490"/>
    </row>
    <row r="954" spans="1:9" ht="12.75" customHeight="1">
      <c r="A954" s="175"/>
      <c r="B954" s="175"/>
      <c r="C954" s="174"/>
      <c r="D954" s="1289"/>
      <c r="E954" s="1289"/>
      <c r="F954" s="1289"/>
      <c r="G954" s="983"/>
      <c r="I954" s="490"/>
    </row>
    <row r="955" spans="1:9" ht="12.75" customHeight="1">
      <c r="A955" s="175"/>
      <c r="B955" s="175"/>
      <c r="C955" s="174"/>
      <c r="D955" s="1289"/>
      <c r="E955" s="1289"/>
      <c r="F955" s="1289"/>
      <c r="G955" s="983"/>
      <c r="I955" s="490"/>
    </row>
    <row r="956" spans="1:9" ht="12.75" customHeight="1">
      <c r="A956" s="175"/>
      <c r="B956" s="175"/>
      <c r="C956" s="174"/>
      <c r="D956" s="1021"/>
      <c r="E956" s="1021"/>
      <c r="F956" s="1021"/>
      <c r="G956" s="983"/>
      <c r="I956" s="490"/>
    </row>
    <row r="957" spans="1:9" ht="12.75" customHeight="1">
      <c r="A957" s="175"/>
      <c r="B957" s="485" t="s">
        <v>2752</v>
      </c>
      <c r="C957" s="174"/>
      <c r="D957" s="1288" t="s">
        <v>2091</v>
      </c>
      <c r="E957" s="1288"/>
      <c r="F957" s="1288"/>
      <c r="G957" s="983"/>
      <c r="I957" s="490"/>
    </row>
    <row r="958" spans="1:9" ht="12.75" customHeight="1">
      <c r="A958" s="175"/>
      <c r="B958" s="175"/>
      <c r="C958" s="174"/>
      <c r="D958" s="1288"/>
      <c r="E958" s="1288"/>
      <c r="F958" s="1288"/>
      <c r="G958" s="983"/>
      <c r="I958" s="490"/>
    </row>
    <row r="959" spans="1:9" ht="12.75" customHeight="1">
      <c r="A959" s="175"/>
      <c r="B959" s="175"/>
      <c r="C959" s="174"/>
      <c r="D959" s="1288"/>
      <c r="E959" s="1288"/>
      <c r="F959" s="1288"/>
      <c r="G959" s="983"/>
      <c r="I959" s="490"/>
    </row>
    <row r="960" spans="1:9" ht="12.75" customHeight="1">
      <c r="A960" s="175"/>
      <c r="B960" s="175"/>
      <c r="C960" s="174"/>
      <c r="D960" s="1288"/>
      <c r="E960" s="1288"/>
      <c r="F960" s="1288"/>
      <c r="G960" s="983"/>
      <c r="I960" s="490"/>
    </row>
    <row r="961" spans="1:9" ht="12.75" customHeight="1">
      <c r="A961" s="175"/>
      <c r="B961" s="175"/>
      <c r="C961" s="174"/>
      <c r="D961" s="1288"/>
      <c r="E961" s="1288"/>
      <c r="F961" s="1288"/>
      <c r="G961" s="983"/>
      <c r="I961" s="490"/>
    </row>
    <row r="962" spans="1:9" ht="12.75" customHeight="1">
      <c r="A962" s="175"/>
      <c r="B962" s="175"/>
      <c r="C962" s="174"/>
      <c r="D962" s="1288"/>
      <c r="E962" s="1288"/>
      <c r="F962" s="1288"/>
      <c r="G962" s="983"/>
      <c r="I962" s="490"/>
    </row>
    <row r="963" spans="1:9" ht="12.75" customHeight="1">
      <c r="A963" s="175"/>
      <c r="B963" s="175"/>
      <c r="C963" s="174"/>
      <c r="D963" s="1021"/>
      <c r="E963" s="1021"/>
      <c r="F963" s="1021"/>
      <c r="G963" s="983"/>
      <c r="I963" s="490"/>
    </row>
    <row r="964" spans="1:9" ht="12.75" customHeight="1">
      <c r="A964" s="984"/>
      <c r="B964" s="485" t="s">
        <v>2754</v>
      </c>
      <c r="C964" s="984"/>
      <c r="D964" s="1277" t="s">
        <v>1770</v>
      </c>
      <c r="E964" s="1277"/>
      <c r="F964" s="1277"/>
      <c r="G964" s="983"/>
      <c r="I964" s="490"/>
    </row>
    <row r="965" spans="1:9" ht="12.75" customHeight="1">
      <c r="A965" s="984"/>
      <c r="B965" s="984"/>
      <c r="C965" s="984"/>
      <c r="D965" s="1277"/>
      <c r="E965" s="1277"/>
      <c r="F965" s="1277"/>
      <c r="G965" s="983"/>
      <c r="I965" s="490"/>
    </row>
    <row r="966" spans="1:9" ht="12.75" customHeight="1">
      <c r="A966" s="984"/>
      <c r="B966" s="984"/>
      <c r="C966" s="984"/>
      <c r="D966" s="1277"/>
      <c r="E966" s="1277"/>
      <c r="F966" s="127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2754</v>
      </c>
      <c r="C969" s="174"/>
      <c r="D969" s="1275" t="s">
        <v>1858</v>
      </c>
      <c r="E969" s="1275"/>
      <c r="F969" s="1275"/>
      <c r="G969" s="983"/>
      <c r="I969" s="490"/>
    </row>
    <row r="970" spans="1:9" ht="12.75" customHeight="1">
      <c r="A970" s="175"/>
      <c r="B970" s="175"/>
      <c r="C970" s="174"/>
      <c r="D970" s="1275"/>
      <c r="E970" s="1275"/>
      <c r="F970" s="1275"/>
      <c r="G970" s="983"/>
      <c r="I970" s="490"/>
    </row>
    <row r="971" spans="1:9" ht="12.75" customHeight="1">
      <c r="A971" s="175"/>
      <c r="B971" s="175"/>
      <c r="C971" s="174"/>
      <c r="D971" s="1275"/>
      <c r="E971" s="1275"/>
      <c r="F971" s="1275"/>
      <c r="G971" s="983"/>
      <c r="I971" s="490"/>
    </row>
    <row r="972" spans="1:9" ht="12.75" customHeight="1">
      <c r="A972" s="175"/>
      <c r="B972" s="175"/>
      <c r="C972" s="174"/>
      <c r="D972" s="1275"/>
      <c r="E972" s="1275"/>
      <c r="F972" s="1275"/>
      <c r="G972" s="983"/>
      <c r="I972" s="490"/>
    </row>
    <row r="973" spans="1:9" ht="12.75" customHeight="1">
      <c r="A973" s="984"/>
      <c r="B973" s="984"/>
      <c r="C973" s="984"/>
      <c r="D973" s="975"/>
      <c r="E973" s="975"/>
      <c r="F973" s="975"/>
      <c r="G973" s="975"/>
      <c r="I973" s="490"/>
    </row>
    <row r="974" spans="1:9" ht="12.75" customHeight="1">
      <c r="A974" s="354"/>
      <c r="B974" s="354"/>
      <c r="C974" s="354"/>
      <c r="D974" s="1278" t="s">
        <v>1771</v>
      </c>
      <c r="E974" s="1278"/>
      <c r="F974" s="1278"/>
      <c r="G974" s="3"/>
      <c r="I974" s="490"/>
    </row>
    <row r="975" spans="1:9" ht="12.75" customHeight="1">
      <c r="A975" s="175"/>
      <c r="B975" s="485" t="s">
        <v>2752</v>
      </c>
      <c r="C975" s="354"/>
      <c r="D975" s="1279" t="s">
        <v>1794</v>
      </c>
      <c r="E975" s="1279"/>
      <c r="F975" s="1279"/>
      <c r="G975" s="3"/>
      <c r="I975" s="490"/>
    </row>
    <row r="976" spans="1:9" ht="12.75" customHeight="1">
      <c r="A976" s="354"/>
      <c r="B976" s="354"/>
      <c r="C976" s="354"/>
      <c r="D976" s="3"/>
      <c r="E976" s="3"/>
      <c r="F976" s="3"/>
      <c r="G976" s="3"/>
      <c r="I976" s="490"/>
    </row>
    <row r="977" spans="1:9" ht="12.75" customHeight="1">
      <c r="A977" s="354"/>
      <c r="B977" s="354"/>
      <c r="C977" s="354"/>
      <c r="D977" s="1278" t="s">
        <v>1772</v>
      </c>
      <c r="E977" s="1278"/>
      <c r="F977" s="1278"/>
      <c r="G977"/>
      <c r="I977" s="490"/>
    </row>
    <row r="978" spans="1:9" ht="12.75" customHeight="1">
      <c r="A978" s="175"/>
      <c r="B978" s="485" t="s">
        <v>2752</v>
      </c>
      <c r="C978" s="354"/>
      <c r="D978" s="1276" t="s">
        <v>2028</v>
      </c>
      <c r="E978" s="1276"/>
      <c r="F978" s="1276"/>
      <c r="G978"/>
      <c r="I978" s="490"/>
    </row>
    <row r="979" spans="1:9" ht="12.75" customHeight="1">
      <c r="A979" s="175"/>
      <c r="B979" s="175"/>
      <c r="C979" s="354"/>
      <c r="D979" s="1276"/>
      <c r="E979" s="1276"/>
      <c r="F979" s="1276"/>
      <c r="G979"/>
      <c r="I979" s="490"/>
    </row>
    <row r="980" spans="1:9" ht="12.75" customHeight="1">
      <c r="A980" s="175"/>
      <c r="B980" s="175"/>
      <c r="C980" s="354"/>
      <c r="D980" s="1276"/>
      <c r="E980" s="1276"/>
      <c r="F980" s="1276"/>
      <c r="G980"/>
      <c r="I980" s="490"/>
    </row>
    <row r="981" spans="1:9" ht="12.75" customHeight="1">
      <c r="A981" s="175"/>
      <c r="B981" s="175"/>
      <c r="C981" s="354"/>
      <c r="D981" s="1276"/>
      <c r="E981" s="1276"/>
      <c r="F981" s="1276"/>
      <c r="G981"/>
      <c r="I981" s="490"/>
    </row>
    <row r="982" spans="1:9" ht="12.75" customHeight="1">
      <c r="A982" s="175"/>
      <c r="B982" s="175"/>
      <c r="C982" s="354"/>
      <c r="D982" s="1276"/>
      <c r="E982" s="1276"/>
      <c r="F982" s="1276"/>
      <c r="G982"/>
      <c r="I982" s="490"/>
    </row>
    <row r="983" spans="1:9" ht="12.75" customHeight="1">
      <c r="A983" s="175"/>
      <c r="B983" s="175"/>
      <c r="C983" s="354"/>
      <c r="D983" s="1276"/>
      <c r="E983" s="1276"/>
      <c r="F983" s="1276"/>
      <c r="G983"/>
      <c r="I983" s="490"/>
    </row>
    <row r="984" spans="1:9" ht="12.75" customHeight="1">
      <c r="A984" s="175"/>
      <c r="B984" s="175"/>
      <c r="C984" s="354"/>
      <c r="D984" s="1276"/>
      <c r="E984" s="1276"/>
      <c r="F984" s="1276"/>
      <c r="G984"/>
      <c r="I984" s="490"/>
    </row>
    <row r="985" spans="1:9" ht="12.75" customHeight="1">
      <c r="A985" s="175"/>
      <c r="B985" s="175"/>
      <c r="C985" s="354"/>
      <c r="D985" s="1276"/>
      <c r="E985" s="1276"/>
      <c r="F985" s="1276"/>
      <c r="G985"/>
      <c r="I985" s="490"/>
    </row>
    <row r="986" spans="1:9" ht="12.75" customHeight="1">
      <c r="A986" s="175"/>
      <c r="B986" s="175"/>
      <c r="C986" s="354"/>
      <c r="D986" s="1276"/>
      <c r="E986" s="1276"/>
      <c r="F986" s="1276"/>
      <c r="G986"/>
      <c r="I986" s="490"/>
    </row>
    <row r="987" spans="1:9" ht="12.75" customHeight="1">
      <c r="A987" s="175"/>
      <c r="B987" s="175"/>
      <c r="C987" s="354"/>
      <c r="D987" s="1276"/>
      <c r="E987" s="1276"/>
      <c r="F987" s="1276"/>
      <c r="G987"/>
      <c r="I987" s="490"/>
    </row>
    <row r="988" spans="1:9" ht="12.75" customHeight="1">
      <c r="A988" s="175"/>
      <c r="B988" s="175"/>
      <c r="C988" s="354"/>
      <c r="D988" s="1276"/>
      <c r="E988" s="1276"/>
      <c r="F988" s="1276"/>
      <c r="G988"/>
      <c r="I988" s="490"/>
    </row>
    <row r="989" spans="1:9" ht="12.75" customHeight="1">
      <c r="A989" s="175"/>
      <c r="B989" s="175"/>
      <c r="C989" s="354"/>
      <c r="D989" s="1276"/>
      <c r="E989" s="1276"/>
      <c r="F989" s="1276"/>
      <c r="G989"/>
      <c r="I989" s="490"/>
    </row>
    <row r="990" spans="1:9" ht="12.75" customHeight="1">
      <c r="A990" s="175"/>
      <c r="B990" s="175"/>
      <c r="C990" s="354"/>
      <c r="D990" s="1276"/>
      <c r="E990" s="1276"/>
      <c r="F990" s="1276"/>
      <c r="G990"/>
      <c r="I990" s="490"/>
    </row>
    <row r="991" spans="1:9" ht="12.75" customHeight="1">
      <c r="A991" s="175"/>
      <c r="B991" s="175"/>
      <c r="C991" s="354"/>
      <c r="D991" s="1276"/>
      <c r="E991" s="1276"/>
      <c r="F991" s="1276"/>
      <c r="G991"/>
      <c r="I991" s="490"/>
    </row>
    <row r="992" spans="1:9" ht="12.75" customHeight="1">
      <c r="A992" s="175"/>
      <c r="B992" s="175"/>
      <c r="C992" s="354"/>
      <c r="D992" s="1276"/>
      <c r="E992" s="1276"/>
      <c r="F992" s="1276"/>
      <c r="G992" s="3"/>
      <c r="I992" s="490"/>
    </row>
    <row r="993" spans="1:9" ht="12.75" customHeight="1">
      <c r="A993" s="354"/>
      <c r="B993" s="354"/>
      <c r="C993" s="354"/>
      <c r="D993" s="3"/>
      <c r="E993" s="3"/>
      <c r="F993" s="3"/>
      <c r="G993" s="3"/>
      <c r="I993" s="490"/>
    </row>
    <row r="994" spans="1:9" ht="12.75" customHeight="1">
      <c r="A994" s="1273" t="s">
        <v>1773</v>
      </c>
      <c r="B994" s="1273"/>
      <c r="C994" s="1273"/>
      <c r="D994" s="1273"/>
      <c r="E994" s="1273"/>
      <c r="F994" s="1273"/>
      <c r="G994" s="1273"/>
      <c r="H994" s="1023"/>
      <c r="I994" s="1147"/>
    </row>
    <row r="995" spans="1:9" ht="12.75" customHeight="1">
      <c r="A995" s="118"/>
      <c r="B995" s="118"/>
      <c r="C995" s="354"/>
      <c r="D995" s="3"/>
      <c r="E995" s="3"/>
      <c r="F995" s="3"/>
      <c r="G995" s="3"/>
      <c r="I995" s="490"/>
    </row>
    <row r="996" spans="1:9" ht="12.75" customHeight="1">
      <c r="A996" s="354"/>
      <c r="B996" s="354"/>
      <c r="C996" s="984"/>
      <c r="D996" s="1278" t="s">
        <v>1795</v>
      </c>
      <c r="E996" s="1278"/>
      <c r="F996" s="1278"/>
      <c r="G996" s="3"/>
      <c r="I996" s="490"/>
    </row>
    <row r="997" spans="1:9" ht="12.75" customHeight="1">
      <c r="A997" s="172"/>
      <c r="B997" s="172"/>
      <c r="C997" s="172"/>
      <c r="D997" s="1279" t="s">
        <v>1774</v>
      </c>
      <c r="E997" s="1279"/>
      <c r="F997" s="1279"/>
      <c r="G997" s="3"/>
      <c r="I997" s="490"/>
    </row>
    <row r="998" spans="1:9" ht="12.75" customHeight="1">
      <c r="A998" s="172"/>
      <c r="B998" s="172"/>
      <c r="C998" s="172"/>
      <c r="D998" s="3"/>
      <c r="E998" s="3"/>
      <c r="F998" s="983"/>
      <c r="G998"/>
      <c r="I998" s="490"/>
    </row>
    <row r="999" spans="1:9" ht="12.75" customHeight="1">
      <c r="A999" s="354"/>
      <c r="B999" s="485" t="s">
        <v>2752</v>
      </c>
      <c r="C999" s="354"/>
      <c r="D999" s="1280" t="s">
        <v>1887</v>
      </c>
      <c r="E999" s="1280"/>
      <c r="F999" s="1280"/>
      <c r="G999"/>
      <c r="I999" s="490"/>
    </row>
    <row r="1000" spans="1:9" ht="12.75" customHeight="1">
      <c r="A1000" s="354"/>
      <c r="B1000" s="354"/>
      <c r="C1000" s="354"/>
      <c r="D1000" s="1280"/>
      <c r="E1000" s="1280"/>
      <c r="F1000" s="1280"/>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67" t="s">
        <v>1886</v>
      </c>
      <c r="E1002" s="1267"/>
      <c r="F1002" s="1267"/>
      <c r="G1002"/>
      <c r="I1002" s="490"/>
    </row>
    <row r="1003" spans="1:9" ht="12.75" customHeight="1">
      <c r="A1003" s="354"/>
      <c r="B1003" s="354"/>
      <c r="C1003" s="354"/>
      <c r="D1003" s="1267"/>
      <c r="E1003" s="1267"/>
      <c r="F1003" s="1267"/>
      <c r="G1003"/>
      <c r="I1003" s="490"/>
    </row>
    <row r="1004" spans="1:9" ht="12.75" customHeight="1">
      <c r="A1004" s="174"/>
      <c r="B1004" s="174"/>
      <c r="C1004" s="174"/>
      <c r="D1004" s="1267"/>
      <c r="E1004" s="1267"/>
      <c r="F1004" s="1267"/>
      <c r="G1004"/>
      <c r="I1004" s="490"/>
    </row>
    <row r="1005" spans="1:9" ht="12.75" customHeight="1">
      <c r="A1005" s="174"/>
      <c r="B1005" s="174"/>
      <c r="C1005" s="174"/>
      <c r="D1005" s="1267"/>
      <c r="E1005" s="1267"/>
      <c r="F1005" s="1267"/>
      <c r="G1005"/>
      <c r="I1005" s="490"/>
    </row>
    <row r="1006" spans="1:9" ht="12.75" customHeight="1">
      <c r="A1006" s="174"/>
      <c r="B1006" s="174"/>
      <c r="C1006" s="174"/>
      <c r="D1006" s="335"/>
      <c r="E1006" s="335"/>
      <c r="F1006" s="335"/>
      <c r="G1006"/>
      <c r="I1006" s="490"/>
    </row>
    <row r="1007" spans="1:9" ht="12.75" customHeight="1">
      <c r="A1007" s="174"/>
      <c r="B1007" s="485" t="s">
        <v>2754</v>
      </c>
      <c r="C1007" s="174"/>
      <c r="D1007" s="1276" t="s">
        <v>1775</v>
      </c>
      <c r="E1007" s="1276"/>
      <c r="F1007" s="1276"/>
      <c r="G1007"/>
      <c r="I1007" s="490"/>
    </row>
    <row r="1008" spans="1:9" ht="12.75" customHeight="1">
      <c r="A1008" s="174"/>
      <c r="B1008" s="174"/>
      <c r="C1008" s="174"/>
      <c r="D1008" s="1276"/>
      <c r="E1008" s="1276"/>
      <c r="F1008" s="1276"/>
      <c r="G1008"/>
      <c r="I1008" s="490"/>
    </row>
    <row r="1009" spans="1:9" ht="12.75" customHeight="1">
      <c r="A1009" s="174"/>
      <c r="B1009" s="174"/>
      <c r="C1009" s="174"/>
      <c r="D1009" s="1276"/>
      <c r="E1009" s="1276"/>
      <c r="F1009" s="1276"/>
      <c r="G1009"/>
      <c r="I1009" s="490"/>
    </row>
    <row r="1010" spans="1:9" ht="12.75" customHeight="1">
      <c r="A1010" s="174"/>
      <c r="B1010" s="174"/>
      <c r="C1010" s="174"/>
      <c r="D1010" s="1276"/>
      <c r="E1010" s="1276"/>
      <c r="F1010" s="1276"/>
      <c r="G1010"/>
      <c r="I1010" s="490"/>
    </row>
    <row r="1011" spans="1:9" ht="12.75" customHeight="1">
      <c r="A1011" s="174"/>
      <c r="B1011" s="174"/>
      <c r="C1011" s="174"/>
      <c r="D1011" s="441"/>
      <c r="E1011" s="441"/>
      <c r="F1011" s="441"/>
      <c r="G1011"/>
      <c r="I1011" s="490"/>
    </row>
    <row r="1012" spans="1:9" ht="12.75" customHeight="1">
      <c r="A1012" s="174"/>
      <c r="B1012" s="485" t="s">
        <v>2754</v>
      </c>
      <c r="C1012" s="174"/>
      <c r="D1012" s="1276" t="s">
        <v>2182</v>
      </c>
      <c r="E1012" s="1276"/>
      <c r="F1012" s="1276"/>
      <c r="G1012"/>
      <c r="I1012" s="490"/>
    </row>
    <row r="1013" spans="1:9" ht="12.75" customHeight="1">
      <c r="A1013" s="174"/>
      <c r="B1013" s="174"/>
      <c r="C1013" s="174"/>
      <c r="D1013" s="1276"/>
      <c r="E1013" s="1276"/>
      <c r="F1013" s="1276"/>
      <c r="G1013"/>
      <c r="I1013" s="490"/>
    </row>
    <row r="1014" spans="1:9" ht="12.75" customHeight="1">
      <c r="A1014" s="174"/>
      <c r="B1014" s="174"/>
      <c r="C1014" s="174"/>
      <c r="D1014" s="441"/>
      <c r="E1014" s="441"/>
      <c r="F1014" s="441"/>
      <c r="G1014"/>
      <c r="I1014" s="490"/>
    </row>
    <row r="1015" spans="1:9" ht="12.75" customHeight="1">
      <c r="A1015" s="175"/>
      <c r="B1015" s="485" t="s">
        <v>2754</v>
      </c>
      <c r="C1015" s="354"/>
      <c r="D1015" s="1279" t="s">
        <v>1776</v>
      </c>
      <c r="E1015" s="1279"/>
      <c r="F1015" s="1279"/>
      <c r="G1015"/>
      <c r="I1015" s="490"/>
    </row>
    <row r="1016" spans="1:9" ht="12.75" customHeight="1">
      <c r="A1016" s="354"/>
      <c r="B1016" s="354"/>
      <c r="C1016" s="354"/>
      <c r="D1016" s="3"/>
      <c r="E1016" s="3"/>
      <c r="F1016" s="3"/>
      <c r="G1016"/>
      <c r="I1016" s="490"/>
    </row>
    <row r="1017" spans="1:9" ht="12.75" customHeight="1">
      <c r="A1017" s="175"/>
      <c r="B1017" s="485" t="s">
        <v>2754</v>
      </c>
      <c r="C1017" s="354"/>
      <c r="D1017" s="1279" t="s">
        <v>1777</v>
      </c>
      <c r="E1017" s="1279"/>
      <c r="F1017" s="1279"/>
      <c r="G1017"/>
      <c r="I1017" s="490"/>
    </row>
    <row r="1018" spans="1:9" ht="12.75" customHeight="1">
      <c r="A1018" s="354"/>
      <c r="B1018" s="354"/>
      <c r="C1018" s="354"/>
      <c r="D1018" s="118"/>
      <c r="E1018" s="3"/>
      <c r="F1018" s="3"/>
      <c r="G1018"/>
      <c r="I1018" s="490"/>
    </row>
    <row r="1019" spans="1:9" ht="12.75" customHeight="1">
      <c r="A1019" s="175"/>
      <c r="B1019" s="485" t="s">
        <v>2752</v>
      </c>
      <c r="C1019" s="354"/>
      <c r="D1019" s="1279" t="s">
        <v>1778</v>
      </c>
      <c r="E1019" s="1279"/>
      <c r="F1019" s="1279"/>
      <c r="G1019"/>
      <c r="I1019" s="490"/>
    </row>
    <row r="1020" spans="1:9" ht="12.75" customHeight="1">
      <c r="A1020" s="354"/>
      <c r="B1020" s="354"/>
      <c r="C1020" s="354"/>
      <c r="D1020" s="118"/>
      <c r="E1020" s="3"/>
      <c r="F1020" s="3"/>
      <c r="G1020"/>
      <c r="I1020" s="490"/>
    </row>
    <row r="1021" spans="1:9" ht="12.75" customHeight="1">
      <c r="A1021" s="175"/>
      <c r="B1021" s="485" t="s">
        <v>2752</v>
      </c>
      <c r="C1021" s="354"/>
      <c r="D1021" s="1276" t="s">
        <v>1779</v>
      </c>
      <c r="E1021" s="1276"/>
      <c r="F1021" s="1276"/>
      <c r="G1021"/>
      <c r="I1021" s="490"/>
    </row>
    <row r="1022" spans="1:9" ht="12.75" customHeight="1">
      <c r="A1022" s="175"/>
      <c r="B1022" s="175"/>
      <c r="C1022" s="354"/>
      <c r="D1022" s="1276"/>
      <c r="E1022" s="1276"/>
      <c r="F1022" s="1276"/>
      <c r="G1022"/>
      <c r="I1022" s="490"/>
    </row>
    <row r="1023" spans="1:9" ht="12.75" customHeight="1">
      <c r="A1023" s="175"/>
      <c r="B1023" s="175"/>
      <c r="C1023" s="354"/>
      <c r="D1023" s="118"/>
      <c r="E1023" s="3"/>
      <c r="F1023" s="3"/>
      <c r="G1023" s="3"/>
      <c r="I1023" s="490"/>
    </row>
    <row r="1024" spans="1:9" ht="12.75" customHeight="1">
      <c r="A1024" s="254"/>
      <c r="B1024" s="485" t="s">
        <v>2754</v>
      </c>
      <c r="C1024" s="995"/>
      <c r="D1024" s="1281" t="s">
        <v>1780</v>
      </c>
      <c r="E1024" s="1281"/>
      <c r="F1024" s="1281"/>
      <c r="G1024" s="996"/>
      <c r="I1024" s="490"/>
    </row>
    <row r="1025" spans="1:9" ht="12.75" customHeight="1">
      <c r="A1025" s="995"/>
      <c r="B1025" s="995"/>
      <c r="C1025" s="995"/>
      <c r="D1025" s="1281"/>
      <c r="E1025" s="1281"/>
      <c r="F1025" s="1281"/>
      <c r="G1025" s="996"/>
      <c r="I1025" s="490"/>
    </row>
    <row r="1026" spans="1:9" ht="12.75" customHeight="1">
      <c r="A1026" s="995"/>
      <c r="B1026" s="995"/>
      <c r="C1026" s="995"/>
      <c r="D1026" s="979"/>
      <c r="E1026" s="996"/>
      <c r="F1026" s="996"/>
      <c r="G1026" s="996"/>
      <c r="I1026" s="490"/>
    </row>
    <row r="1027" spans="1:9" ht="12.75" customHeight="1">
      <c r="A1027" s="254"/>
      <c r="B1027" s="485" t="s">
        <v>2754</v>
      </c>
      <c r="C1027" s="995"/>
      <c r="D1027" s="1272" t="s">
        <v>1781</v>
      </c>
      <c r="E1027" s="1272"/>
      <c r="F1027" s="1272"/>
      <c r="G1027" s="996"/>
      <c r="I1027" s="490"/>
    </row>
    <row r="1028" spans="1:9" ht="12.75" customHeight="1">
      <c r="A1028" s="995"/>
      <c r="B1028" s="995"/>
      <c r="C1028" s="995"/>
      <c r="D1028" s="979"/>
      <c r="E1028" s="996"/>
      <c r="F1028" s="996"/>
      <c r="G1028" s="996"/>
      <c r="I1028" s="490"/>
    </row>
    <row r="1029" spans="1:9" ht="12.75" customHeight="1">
      <c r="A1029" s="175"/>
      <c r="B1029" s="485" t="s">
        <v>2754</v>
      </c>
      <c r="C1029" s="354"/>
      <c r="D1029" s="1279" t="s">
        <v>1782</v>
      </c>
      <c r="E1029" s="1279"/>
      <c r="F1029" s="1279"/>
      <c r="G1029" s="3"/>
      <c r="I1029" s="490"/>
    </row>
    <row r="1030" spans="1:9" ht="12.75" customHeight="1">
      <c r="A1030" s="175"/>
      <c r="B1030" s="175"/>
      <c r="C1030" s="354"/>
      <c r="D1030" s="118"/>
      <c r="E1030" s="3"/>
      <c r="F1030" s="3"/>
      <c r="G1030" s="3"/>
      <c r="I1030" s="490"/>
    </row>
    <row r="1031" spans="1:9" ht="12.75" customHeight="1">
      <c r="A1031" s="175"/>
      <c r="B1031" s="485" t="s">
        <v>2754</v>
      </c>
      <c r="C1031" s="354"/>
      <c r="D1031" s="1276" t="s">
        <v>1783</v>
      </c>
      <c r="E1031" s="1276"/>
      <c r="F1031" s="1276"/>
      <c r="G1031" s="3"/>
      <c r="I1031" s="490"/>
    </row>
    <row r="1032" spans="1:9" ht="12.75" customHeight="1">
      <c r="A1032" s="175"/>
      <c r="B1032" s="175"/>
      <c r="C1032" s="354"/>
      <c r="D1032" s="1276"/>
      <c r="E1032" s="1276"/>
      <c r="F1032" s="1276"/>
      <c r="G1032" s="3"/>
      <c r="I1032" s="490"/>
    </row>
    <row r="1033" spans="1:9" ht="12.75" customHeight="1">
      <c r="A1033" s="354"/>
      <c r="B1033" s="354"/>
      <c r="C1033" s="354"/>
      <c r="D1033" s="3"/>
      <c r="E1033" s="3"/>
      <c r="F1033" s="3"/>
      <c r="G1033" s="3"/>
      <c r="I1033" s="490"/>
    </row>
    <row r="1034" spans="1:9" ht="12.75" customHeight="1">
      <c r="A1034" s="1273" t="s">
        <v>1784</v>
      </c>
      <c r="B1034" s="1273"/>
      <c r="C1034" s="1273"/>
      <c r="D1034" s="1273"/>
      <c r="E1034" s="1273"/>
      <c r="F1034" s="1273"/>
      <c r="G1034" s="1273"/>
      <c r="H1034" s="1023"/>
      <c r="I1034" s="1147"/>
    </row>
    <row r="1035" spans="1:9" ht="12.75" customHeight="1">
      <c r="A1035" s="354"/>
      <c r="B1035" s="354"/>
      <c r="C1035" s="354"/>
      <c r="D1035" s="3"/>
      <c r="E1035" s="3"/>
      <c r="F1035" s="3"/>
      <c r="G1035" s="3"/>
      <c r="I1035" s="490"/>
    </row>
    <row r="1036" spans="1:9" ht="12.75" customHeight="1">
      <c r="A1036" s="354"/>
      <c r="B1036" s="354"/>
      <c r="C1036" s="354"/>
      <c r="D1036" s="1271" t="s">
        <v>1785</v>
      </c>
      <c r="E1036" s="1271"/>
      <c r="F1036" s="1271"/>
      <c r="G1036" s="3"/>
      <c r="I1036" s="490"/>
    </row>
    <row r="1037" spans="1:9" ht="12.75" customHeight="1">
      <c r="A1037" s="354"/>
      <c r="B1037" s="354"/>
      <c r="C1037" s="354"/>
      <c r="D1037" s="1272" t="s">
        <v>1786</v>
      </c>
      <c r="E1037" s="1272"/>
      <c r="F1037" s="1272"/>
      <c r="G1037" s="3"/>
      <c r="I1037" s="490"/>
    </row>
    <row r="1038" spans="1:9" ht="12.75" customHeight="1">
      <c r="A1038" s="172"/>
      <c r="B1038" s="172"/>
      <c r="C1038" s="172"/>
      <c r="D1038" s="3"/>
      <c r="E1038" s="3"/>
      <c r="F1038" s="3"/>
      <c r="G1038" s="3"/>
      <c r="I1038" s="490"/>
    </row>
    <row r="1039" spans="1:9" ht="12.75" customHeight="1">
      <c r="A1039" s="175"/>
      <c r="B1039" s="175"/>
      <c r="C1039" s="174"/>
      <c r="D1039" s="1271" t="s">
        <v>1800</v>
      </c>
      <c r="E1039" s="1271"/>
      <c r="F1039" s="1271"/>
      <c r="G1039" s="3"/>
      <c r="I1039" s="490"/>
    </row>
    <row r="1040" spans="1:9" ht="12.75" customHeight="1">
      <c r="A1040" s="354"/>
      <c r="B1040" s="485" t="s">
        <v>2752</v>
      </c>
      <c r="C1040" s="354"/>
      <c r="D1040" s="1272" t="s">
        <v>1270</v>
      </c>
      <c r="E1040" s="1272"/>
      <c r="F1040" s="1272"/>
      <c r="G1040" s="3"/>
      <c r="I1040" s="490"/>
    </row>
    <row r="1041" spans="1:9" ht="12.75" customHeight="1">
      <c r="A1041" s="354"/>
      <c r="B1041" s="175"/>
      <c r="C1041" s="354"/>
      <c r="D1041" s="1272" t="s">
        <v>1787</v>
      </c>
      <c r="E1041" s="1272"/>
      <c r="F1041" s="1272"/>
      <c r="G1041" s="3"/>
      <c r="I1041" s="490"/>
    </row>
    <row r="1042" spans="1:9" ht="12.75" customHeight="1">
      <c r="A1042" s="354"/>
      <c r="B1042" s="354"/>
      <c r="C1042" s="354"/>
      <c r="D1042" s="1272"/>
      <c r="E1042" s="1272"/>
      <c r="F1042" s="1272"/>
      <c r="G1042" s="3"/>
      <c r="I1042" s="490"/>
    </row>
    <row r="1043" spans="1:9" ht="12.75" customHeight="1">
      <c r="A1043" s="1273" t="s">
        <v>1796</v>
      </c>
      <c r="B1043" s="1273"/>
      <c r="C1043" s="1273"/>
      <c r="D1043" s="1273"/>
      <c r="E1043" s="1273"/>
      <c r="F1043" s="1273"/>
      <c r="G1043" s="1273"/>
      <c r="H1043" s="1023"/>
      <c r="I1043" s="1147"/>
    </row>
    <row r="1044" spans="1:9" ht="12.75" customHeight="1">
      <c r="A1044" s="118"/>
      <c r="B1044" s="118"/>
      <c r="C1044" s="354"/>
      <c r="D1044" s="3"/>
      <c r="E1044" s="3"/>
      <c r="F1044" s="3"/>
      <c r="G1044" s="3"/>
      <c r="I1044" s="490"/>
    </row>
    <row r="1045" spans="1:9" ht="12.75" hidden="1" customHeight="1">
      <c r="A1045" s="118"/>
      <c r="B1045" s="402"/>
      <c r="D1045" s="1270" t="s">
        <v>1271</v>
      </c>
      <c r="E1045" s="1270"/>
      <c r="F1045" s="1270"/>
      <c r="G1045" s="3"/>
      <c r="I1045" s="490"/>
    </row>
    <row r="1046" spans="1:9" ht="12.75" hidden="1" customHeight="1">
      <c r="A1046" s="118"/>
      <c r="B1046" s="485" t="s">
        <v>307</v>
      </c>
      <c r="D1046" s="1269" t="s">
        <v>1270</v>
      </c>
      <c r="E1046" s="1269"/>
      <c r="F1046" s="1269"/>
      <c r="G1046" s="3"/>
      <c r="I1046" s="490"/>
    </row>
    <row r="1047" spans="1:9" ht="12.75" hidden="1" customHeight="1">
      <c r="A1047" s="118"/>
      <c r="B1047" s="402"/>
      <c r="D1047" s="1269" t="s">
        <v>1797</v>
      </c>
      <c r="E1047" s="1269"/>
      <c r="F1047" s="1269"/>
      <c r="G1047" s="3"/>
      <c r="I1047" s="490"/>
    </row>
    <row r="1048" spans="1:9" ht="12.75" hidden="1" customHeight="1">
      <c r="A1048" s="118"/>
      <c r="B1048" s="402"/>
      <c r="D1048" s="444"/>
      <c r="E1048" s="444"/>
      <c r="F1048" s="444"/>
      <c r="G1048" s="3"/>
      <c r="I1048" s="490"/>
    </row>
    <row r="1049" spans="1:9" ht="12.75" customHeight="1">
      <c r="A1049" s="118"/>
      <c r="B1049" s="118"/>
      <c r="C1049" s="354"/>
      <c r="D1049" s="1274" t="s">
        <v>1065</v>
      </c>
      <c r="E1049" s="1274"/>
      <c r="F1049" s="1274"/>
      <c r="G1049" s="3"/>
      <c r="I1049" s="490"/>
    </row>
    <row r="1050" spans="1:9" ht="12.75" customHeight="1">
      <c r="A1050" s="319"/>
      <c r="B1050" s="319"/>
      <c r="C1050" s="319"/>
      <c r="D1050" s="1268" t="s">
        <v>2199</v>
      </c>
      <c r="E1050" s="1268"/>
      <c r="F1050" s="1268"/>
      <c r="G1050" s="98"/>
      <c r="I1050" s="490"/>
    </row>
    <row r="1051" spans="1:9" ht="12.75" customHeight="1">
      <c r="A1051" s="175"/>
      <c r="B1051" s="485" t="s">
        <v>2754</v>
      </c>
      <c r="C1051" s="354"/>
      <c r="D1051" s="1268" t="s">
        <v>984</v>
      </c>
      <c r="E1051" s="1268"/>
      <c r="F1051" s="1268"/>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73" t="s">
        <v>2610</v>
      </c>
      <c r="B1054" s="1273"/>
      <c r="C1054" s="1273"/>
      <c r="D1054" s="1273"/>
      <c r="E1054" s="1273"/>
      <c r="F1054" s="1273"/>
      <c r="G1054" s="1273"/>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2754</v>
      </c>
      <c r="C1059" s="402"/>
      <c r="D1059" s="1283" t="s">
        <v>1801</v>
      </c>
      <c r="E1059" s="1283"/>
      <c r="F1059" s="1283"/>
      <c r="I1059" s="490"/>
    </row>
    <row r="1060" spans="1:9">
      <c r="A1060" s="402"/>
      <c r="B1060" s="402"/>
      <c r="C1060" s="402"/>
      <c r="D1060" s="1283"/>
      <c r="E1060" s="1283"/>
      <c r="F1060" s="1283"/>
      <c r="I1060" s="490"/>
    </row>
    <row r="1061" spans="1:9">
      <c r="A1061" s="402"/>
      <c r="B1061" s="402"/>
      <c r="C1061" s="402"/>
      <c r="D1061" s="1283"/>
      <c r="E1061" s="1283"/>
      <c r="F1061" s="1283"/>
      <c r="I1061" s="490"/>
    </row>
    <row r="1062" spans="1:9">
      <c r="A1062" s="402"/>
      <c r="B1062" s="402"/>
      <c r="C1062" s="402"/>
      <c r="D1062" s="1283"/>
      <c r="E1062" s="1283"/>
      <c r="F1062" s="1283"/>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2752</v>
      </c>
      <c r="C1067" s="402"/>
      <c r="D1067" s="402" t="s">
        <v>1799</v>
      </c>
      <c r="I1067" s="490"/>
    </row>
    <row r="1068" spans="1:9">
      <c r="A1068" s="402"/>
      <c r="B1068" s="402"/>
      <c r="C1068" s="402"/>
      <c r="I1068" s="490"/>
    </row>
    <row r="1069" spans="1:9">
      <c r="A1069" s="402"/>
      <c r="B1069" s="485" t="s">
        <v>2754</v>
      </c>
      <c r="C1069" s="402"/>
      <c r="D1069" s="1283" t="s">
        <v>1802</v>
      </c>
      <c r="E1069" s="1283"/>
      <c r="F1069" s="1283"/>
      <c r="I1069" s="490"/>
    </row>
    <row r="1070" spans="1:9">
      <c r="A1070" s="402"/>
      <c r="B1070" s="402"/>
      <c r="C1070" s="402"/>
      <c r="D1070" s="1283"/>
      <c r="E1070" s="1283"/>
      <c r="F1070" s="1283"/>
      <c r="I1070" s="490"/>
    </row>
    <row r="1071" spans="1:9">
      <c r="A1071" s="402"/>
      <c r="B1071" s="402"/>
      <c r="C1071" s="402"/>
      <c r="D1071" s="1283"/>
      <c r="E1071" s="1283"/>
      <c r="F1071" s="1283"/>
      <c r="I1071" s="490"/>
    </row>
    <row r="1072" spans="1:9">
      <c r="A1072" s="402"/>
      <c r="B1072" s="402"/>
      <c r="C1072" s="402"/>
      <c r="D1072" s="1283"/>
      <c r="E1072" s="1283"/>
      <c r="F1072" s="1283"/>
      <c r="I1072" s="490"/>
    </row>
    <row r="1073" spans="1:9">
      <c r="A1073" s="402"/>
      <c r="B1073" s="402"/>
      <c r="C1073" s="402"/>
      <c r="D1073" s="1283"/>
      <c r="E1073" s="1283"/>
      <c r="F1073" s="1283"/>
      <c r="I1073" s="490"/>
    </row>
    <row r="1074" spans="1:9">
      <c r="A1074" s="402"/>
      <c r="B1074" s="402"/>
      <c r="C1074" s="402"/>
      <c r="I1074" s="490"/>
    </row>
    <row r="1075" spans="1:9">
      <c r="A1075" s="1273" t="s">
        <v>1803</v>
      </c>
      <c r="B1075" s="1273"/>
      <c r="C1075" s="1273"/>
      <c r="D1075" s="1273"/>
      <c r="E1075" s="1273"/>
      <c r="F1075" s="1273"/>
      <c r="G1075" s="1273"/>
      <c r="H1075" s="1023"/>
      <c r="I1075" s="1147"/>
    </row>
    <row r="1076" spans="1:9">
      <c r="A1076" s="402"/>
      <c r="B1076" s="402"/>
      <c r="C1076" s="402"/>
      <c r="I1076" s="490"/>
    </row>
    <row r="1077" spans="1:9">
      <c r="A1077" s="402"/>
      <c r="B1077" s="402"/>
      <c r="C1077" s="402"/>
      <c r="I1077" s="490"/>
    </row>
    <row r="1078" spans="1:9">
      <c r="A1078" s="402"/>
      <c r="B1078" s="485" t="s">
        <v>2752</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2754</v>
      </c>
      <c r="C1081" s="402"/>
      <c r="D1081" s="1287" t="s">
        <v>2616</v>
      </c>
      <c r="E1081" s="1287"/>
      <c r="F1081" s="1287"/>
      <c r="I1081" s="490"/>
    </row>
    <row r="1082" spans="1:9">
      <c r="A1082" s="402"/>
      <c r="B1082" s="402"/>
      <c r="C1082" s="402"/>
      <c r="D1082" s="1287"/>
      <c r="E1082" s="1287"/>
      <c r="F1082" s="1287"/>
      <c r="I1082" s="490"/>
    </row>
    <row r="1083" spans="1:9">
      <c r="A1083" s="402"/>
      <c r="B1083" s="402"/>
      <c r="C1083" s="402"/>
      <c r="D1083" s="527" t="s">
        <v>2615</v>
      </c>
      <c r="I1083" s="490"/>
    </row>
    <row r="1084" spans="1:9">
      <c r="A1084" s="402"/>
      <c r="B1084" s="402"/>
      <c r="C1084" s="402"/>
      <c r="D1084" s="527"/>
      <c r="I1084" s="490"/>
    </row>
    <row r="1085" spans="1:9">
      <c r="A1085" s="402"/>
      <c r="B1085" s="485" t="s">
        <v>2754</v>
      </c>
      <c r="C1085" s="402"/>
      <c r="D1085" s="119" t="s">
        <v>2624</v>
      </c>
      <c r="I1085" s="490"/>
    </row>
    <row r="1086" spans="1:9">
      <c r="A1086" s="402"/>
      <c r="B1086" s="402"/>
      <c r="C1086" s="402"/>
      <c r="D1086" s="1276" t="s">
        <v>2626</v>
      </c>
      <c r="E1086" s="1276"/>
      <c r="F1086" s="1276"/>
      <c r="I1086" s="490"/>
    </row>
    <row r="1087" spans="1:9">
      <c r="A1087" s="402"/>
      <c r="B1087" s="402"/>
      <c r="C1087" s="402"/>
      <c r="D1087" s="1276"/>
      <c r="E1087" s="1276"/>
      <c r="F1087" s="1276"/>
      <c r="I1087" s="490"/>
    </row>
    <row r="1088" spans="1:9">
      <c r="A1088" s="402"/>
      <c r="B1088" s="402"/>
      <c r="C1088" s="402"/>
      <c r="D1088" s="1276"/>
      <c r="E1088" s="1276"/>
      <c r="F1088" s="1276"/>
      <c r="I1088" s="490"/>
    </row>
    <row r="1089" spans="1:9">
      <c r="A1089" s="402"/>
      <c r="B1089" s="402"/>
      <c r="C1089" s="402"/>
      <c r="D1089" s="1276"/>
      <c r="E1089" s="1276"/>
      <c r="F1089" s="1276"/>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2754</v>
      </c>
      <c r="C1093" s="402"/>
      <c r="D1093" s="1282" t="s">
        <v>1805</v>
      </c>
      <c r="E1093" s="1282"/>
      <c r="F1093" s="1282"/>
      <c r="I1093" s="490"/>
    </row>
    <row r="1094" spans="1:9">
      <c r="A1094" s="402"/>
      <c r="B1094" s="402"/>
      <c r="C1094" s="402"/>
      <c r="D1094" s="1282"/>
      <c r="E1094" s="1282"/>
      <c r="F1094" s="1282"/>
      <c r="I1094" s="490"/>
    </row>
    <row r="1095" spans="1:9">
      <c r="A1095" s="402"/>
      <c r="B1095" s="402"/>
      <c r="C1095" s="402"/>
      <c r="D1095" s="1282"/>
      <c r="E1095" s="1282"/>
      <c r="F1095" s="1282"/>
      <c r="I1095" s="490"/>
    </row>
    <row r="1096" spans="1:9">
      <c r="A1096" s="402"/>
      <c r="B1096" s="402"/>
      <c r="C1096" s="402"/>
      <c r="D1096" s="1282"/>
      <c r="E1096" s="1282"/>
      <c r="F1096" s="1282"/>
      <c r="I1096" s="490"/>
    </row>
    <row r="1097" spans="1:9">
      <c r="A1097" s="402"/>
      <c r="B1097" s="402"/>
      <c r="C1097" s="402"/>
      <c r="D1097" s="1282"/>
      <c r="E1097" s="1282"/>
      <c r="F1097" s="1282"/>
      <c r="I1097" s="490"/>
    </row>
    <row r="1098" spans="1:9">
      <c r="A1098" s="402"/>
      <c r="B1098" s="402"/>
      <c r="C1098" s="402"/>
      <c r="D1098" s="527" t="s">
        <v>2627</v>
      </c>
      <c r="I1098" s="490"/>
    </row>
    <row r="1099" spans="1:9">
      <c r="A1099" s="402"/>
      <c r="B1099" s="402"/>
      <c r="C1099" s="402"/>
      <c r="I1099" s="490"/>
    </row>
    <row r="1100" spans="1:9">
      <c r="A1100" s="402"/>
      <c r="B1100" s="485" t="s">
        <v>2754</v>
      </c>
      <c r="C1100" s="402"/>
      <c r="D1100" s="1286" t="s">
        <v>2220</v>
      </c>
      <c r="E1100" s="1286"/>
      <c r="F1100" s="1286"/>
      <c r="I1100" s="490"/>
    </row>
    <row r="1101" spans="1:9">
      <c r="A1101" s="402"/>
      <c r="B1101" s="402"/>
      <c r="C1101" s="402"/>
      <c r="D1101" s="1286"/>
      <c r="E1101" s="1286"/>
      <c r="F1101" s="1286"/>
      <c r="I1101" s="490"/>
    </row>
    <row r="1102" spans="1:9">
      <c r="A1102" s="402"/>
      <c r="B1102" s="402"/>
      <c r="C1102" s="402"/>
      <c r="D1102" s="1286"/>
      <c r="E1102" s="1286"/>
      <c r="F1102" s="1286"/>
      <c r="I1102" s="490"/>
    </row>
    <row r="1103" spans="1:9">
      <c r="A1103" s="402"/>
      <c r="B1103" s="402"/>
      <c r="C1103" s="402"/>
      <c r="I1103" s="490"/>
    </row>
    <row r="1104" spans="1:9">
      <c r="A1104" s="1273" t="s">
        <v>1807</v>
      </c>
      <c r="B1104" s="1273"/>
      <c r="C1104" s="1273"/>
      <c r="D1104" s="1273"/>
      <c r="E1104" s="1273"/>
      <c r="F1104" s="1273"/>
      <c r="G1104" s="1273"/>
      <c r="H1104" s="1023"/>
      <c r="I1104" s="1147"/>
    </row>
    <row r="1105" spans="1:9">
      <c r="A1105" s="402"/>
      <c r="B1105" s="402"/>
      <c r="C1105" s="402"/>
      <c r="I1105" s="490"/>
    </row>
    <row r="1106" spans="1:9">
      <c r="A1106" s="402"/>
      <c r="B1106" s="402"/>
      <c r="C1106" s="402"/>
      <c r="I1106" s="490"/>
    </row>
    <row r="1107" spans="1:9" ht="12.75" customHeight="1">
      <c r="A1107" s="402"/>
      <c r="B1107" s="485" t="s">
        <v>2752</v>
      </c>
      <c r="C1107" s="402"/>
      <c r="D1107" s="1284" t="s">
        <v>1901</v>
      </c>
      <c r="E1107" s="1284"/>
      <c r="F1107" s="1284"/>
      <c r="I1107" s="490"/>
    </row>
    <row r="1108" spans="1:9">
      <c r="A1108" s="402"/>
      <c r="B1108" s="402"/>
      <c r="C1108" s="402"/>
      <c r="D1108" s="1284"/>
      <c r="E1108" s="1284"/>
      <c r="F1108" s="1284"/>
      <c r="I1108" s="490"/>
    </row>
    <row r="1109" spans="1:9">
      <c r="A1109" s="402"/>
      <c r="B1109" s="402"/>
      <c r="C1109" s="402"/>
      <c r="D1109" s="1285" t="s">
        <v>2631</v>
      </c>
      <c r="E1109" s="1276"/>
      <c r="F1109" s="1276"/>
      <c r="I1109" s="490"/>
    </row>
    <row r="1110" spans="1:9">
      <c r="A1110" s="402"/>
      <c r="B1110" s="402"/>
      <c r="C1110" s="402"/>
      <c r="D1110" s="527"/>
      <c r="I1110" s="490"/>
    </row>
    <row r="1111" spans="1:9">
      <c r="A1111" s="402"/>
      <c r="B1111" s="485" t="s">
        <v>2754</v>
      </c>
      <c r="C1111" s="402"/>
      <c r="D1111" s="1282" t="s">
        <v>2579</v>
      </c>
      <c r="E1111" s="1282"/>
      <c r="F1111" s="1282"/>
      <c r="I1111" s="490"/>
    </row>
    <row r="1112" spans="1:9">
      <c r="A1112" s="402"/>
      <c r="B1112" s="402"/>
      <c r="C1112" s="402"/>
      <c r="D1112" s="1282"/>
      <c r="E1112" s="1282"/>
      <c r="F1112" s="1282"/>
      <c r="I1112" s="490"/>
    </row>
    <row r="1113" spans="1:9">
      <c r="A1113" s="402"/>
      <c r="B1113" s="402"/>
      <c r="C1113" s="402"/>
      <c r="D1113" s="1282"/>
      <c r="E1113" s="1282"/>
      <c r="F1113" s="1282"/>
      <c r="I1113" s="490"/>
    </row>
    <row r="1114" spans="1:9">
      <c r="A1114" s="402"/>
      <c r="B1114" s="402"/>
      <c r="C1114" s="402"/>
      <c r="D1114" s="527"/>
      <c r="I1114" s="490"/>
    </row>
    <row r="1115" spans="1:9">
      <c r="A1115" s="402"/>
      <c r="B1115" s="485" t="s">
        <v>2754</v>
      </c>
      <c r="C1115" s="402"/>
      <c r="D1115" s="1282" t="s">
        <v>2598</v>
      </c>
      <c r="E1115" s="1282"/>
      <c r="F1115" s="1282"/>
      <c r="I1115" s="490"/>
    </row>
    <row r="1116" spans="1:9">
      <c r="A1116" s="402"/>
      <c r="B1116" s="402"/>
      <c r="C1116" s="402"/>
      <c r="D1116" s="1282"/>
      <c r="E1116" s="1282"/>
      <c r="F1116" s="1282"/>
      <c r="I1116" s="490"/>
    </row>
    <row r="1117" spans="1:9">
      <c r="A1117" s="402"/>
      <c r="B1117" s="402"/>
      <c r="C1117" s="402"/>
      <c r="D1117" s="1282"/>
      <c r="E1117" s="1282"/>
      <c r="F1117" s="1282"/>
      <c r="I1117" s="490"/>
    </row>
    <row r="1118" spans="1:9">
      <c r="A1118" s="402"/>
      <c r="B1118" s="402"/>
      <c r="C1118" s="402"/>
      <c r="D1118" s="1282"/>
      <c r="E1118" s="1282"/>
      <c r="F1118" s="1282"/>
      <c r="I1118" s="490"/>
    </row>
    <row r="1119" spans="1:9">
      <c r="A1119" s="402"/>
      <c r="B1119" s="402"/>
      <c r="C1119" s="402"/>
      <c r="D1119" s="1282"/>
      <c r="E1119" s="1282"/>
      <c r="F1119" s="1282"/>
      <c r="I1119" s="490"/>
    </row>
    <row r="1120" spans="1:9" ht="12.5">
      <c r="A1120" s="402"/>
      <c r="B1120" s="402"/>
      <c r="C1120" s="402"/>
      <c r="D1120" s="527"/>
      <c r="I1120" s="480"/>
    </row>
    <row r="1121" spans="1:9">
      <c r="A1121" s="402"/>
      <c r="B1121" s="485" t="s">
        <v>2754</v>
      </c>
      <c r="C1121" s="402"/>
      <c r="D1121" s="1282" t="s">
        <v>1808</v>
      </c>
      <c r="E1121" s="1282"/>
      <c r="F1121" s="1282"/>
      <c r="I1121" s="490"/>
    </row>
    <row r="1122" spans="1:9">
      <c r="A1122" s="402"/>
      <c r="B1122" s="402"/>
      <c r="C1122" s="402"/>
      <c r="D1122" s="1282"/>
      <c r="E1122" s="1282"/>
      <c r="F1122" s="1282"/>
      <c r="I1122" s="490"/>
    </row>
    <row r="1123" spans="1:9">
      <c r="A1123" s="402"/>
      <c r="B1123" s="402"/>
      <c r="C1123" s="402"/>
      <c r="D1123" s="1282"/>
      <c r="E1123" s="1282"/>
      <c r="F1123" s="1282"/>
      <c r="I1123" s="490"/>
    </row>
    <row r="1124" spans="1:9">
      <c r="A1124" s="402"/>
      <c r="B1124" s="402"/>
      <c r="C1124" s="402"/>
      <c r="D1124" s="527"/>
      <c r="I1124" s="490"/>
    </row>
    <row r="1125" spans="1:9">
      <c r="A1125" s="402"/>
      <c r="B1125" s="485" t="s">
        <v>2752</v>
      </c>
      <c r="C1125" s="402"/>
      <c r="D1125" s="1267" t="s">
        <v>1860</v>
      </c>
      <c r="E1125" s="1267"/>
      <c r="F1125" s="1267"/>
      <c r="I1125" s="490"/>
    </row>
    <row r="1126" spans="1:9">
      <c r="A1126" s="402"/>
      <c r="B1126" s="402"/>
      <c r="C1126" s="402"/>
      <c r="D1126" s="1267"/>
      <c r="E1126" s="1267"/>
      <c r="F1126" s="1267"/>
      <c r="I1126" s="490"/>
    </row>
    <row r="1127" spans="1:9">
      <c r="A1127" s="402"/>
      <c r="B1127" s="402"/>
      <c r="C1127" s="402"/>
      <c r="D1127" s="1267"/>
      <c r="E1127" s="1267"/>
      <c r="F1127" s="1267"/>
      <c r="I1127" s="490"/>
    </row>
    <row r="1128" spans="1:9">
      <c r="A1128" s="402"/>
      <c r="B1128" s="402"/>
      <c r="C1128" s="402"/>
      <c r="D1128" s="975"/>
      <c r="E1128" s="975"/>
      <c r="F1128" s="975"/>
      <c r="I1128" s="490"/>
    </row>
    <row r="1129" spans="1:9" ht="15.75" customHeight="1">
      <c r="A1129" s="402"/>
      <c r="B1129" s="485" t="s">
        <v>2754</v>
      </c>
      <c r="C1129" s="402"/>
      <c r="D1129" s="1276" t="s">
        <v>1861</v>
      </c>
      <c r="E1129" s="1276"/>
      <c r="F1129" s="1276"/>
      <c r="I1129" s="490"/>
    </row>
    <row r="1130" spans="1:9">
      <c r="A1130" s="402"/>
      <c r="B1130" s="402"/>
      <c r="C1130" s="402"/>
      <c r="D1130" s="1276"/>
      <c r="E1130" s="1276"/>
      <c r="F1130" s="1276"/>
      <c r="I1130" s="490"/>
    </row>
    <row r="1131" spans="1:9">
      <c r="A1131" s="402"/>
      <c r="B1131" s="402"/>
      <c r="C1131" s="402"/>
      <c r="D1131" s="1276"/>
      <c r="E1131" s="1276"/>
      <c r="F1131" s="1276"/>
      <c r="I1131" s="490"/>
    </row>
    <row r="1132" spans="1:9">
      <c r="A1132" s="402"/>
      <c r="B1132" s="402"/>
      <c r="C1132" s="402"/>
      <c r="D1132" s="1276"/>
      <c r="E1132" s="1276"/>
      <c r="F1132" s="1276"/>
      <c r="I1132" s="490"/>
    </row>
    <row r="1133" spans="1:9">
      <c r="A1133" s="402"/>
      <c r="B1133" s="402"/>
      <c r="C1133" s="402"/>
      <c r="D1133" s="975"/>
      <c r="E1133" s="975"/>
      <c r="F1133" s="975"/>
      <c r="I1133" s="490"/>
    </row>
    <row r="1134" spans="1:9">
      <c r="A1134" s="402"/>
      <c r="B1134" s="485" t="s">
        <v>2754</v>
      </c>
      <c r="C1134" s="402"/>
      <c r="D1134" s="1267" t="s">
        <v>2608</v>
      </c>
      <c r="E1134" s="1267"/>
      <c r="F1134" s="1267"/>
      <c r="I1134" s="490"/>
    </row>
    <row r="1135" spans="1:9">
      <c r="A1135" s="402"/>
      <c r="B1135" s="402"/>
      <c r="C1135" s="402"/>
      <c r="D1135" s="1267"/>
      <c r="E1135" s="1267"/>
      <c r="F1135" s="1267"/>
      <c r="I1135" s="490"/>
    </row>
    <row r="1136" spans="1:9">
      <c r="A1136" s="402"/>
      <c r="B1136" s="402"/>
      <c r="C1136" s="402"/>
      <c r="D1136" s="1267"/>
      <c r="E1136" s="1267"/>
      <c r="F1136" s="1267"/>
      <c r="I1136" s="490"/>
    </row>
    <row r="1137" spans="1:9">
      <c r="A1137" s="402"/>
      <c r="B1137" s="402"/>
      <c r="C1137" s="402"/>
      <c r="D1137" s="1267"/>
      <c r="E1137" s="1267"/>
      <c r="F1137" s="1267"/>
      <c r="I1137" s="490"/>
    </row>
    <row r="1138" spans="1:9">
      <c r="A1138" s="402"/>
      <c r="B1138" s="402"/>
      <c r="C1138" s="402"/>
      <c r="D1138" s="1267"/>
      <c r="E1138" s="1267"/>
      <c r="F1138" s="1267"/>
      <c r="I1138" s="490"/>
    </row>
    <row r="1139" spans="1:9">
      <c r="A1139" s="402"/>
      <c r="B1139" s="402"/>
      <c r="C1139" s="402"/>
      <c r="D1139" s="1267"/>
      <c r="E1139" s="1267"/>
      <c r="F1139" s="1267"/>
      <c r="I1139" s="490"/>
    </row>
    <row r="1140" spans="1:9">
      <c r="A1140" s="402"/>
      <c r="B1140" s="402"/>
      <c r="C1140" s="402"/>
      <c r="D1140" s="975"/>
      <c r="E1140" s="975"/>
      <c r="F1140" s="975"/>
      <c r="I1140" s="490"/>
    </row>
    <row r="1141" spans="1:9" ht="12.5">
      <c r="A1141" s="402"/>
      <c r="B1141" s="485" t="s">
        <v>2754</v>
      </c>
      <c r="C1141" s="402"/>
      <c r="D1141" s="1283" t="s">
        <v>2580</v>
      </c>
      <c r="E1141" s="1283"/>
      <c r="F1141" s="1283"/>
      <c r="I1141" s="1153"/>
    </row>
    <row r="1142" spans="1:9">
      <c r="A1142" s="402"/>
      <c r="B1142" s="402"/>
      <c r="C1142" s="402"/>
      <c r="D1142" s="1283"/>
      <c r="E1142" s="1283"/>
      <c r="F1142" s="1283"/>
      <c r="I1142" s="490"/>
    </row>
    <row r="1143" spans="1:9">
      <c r="A1143" s="402"/>
      <c r="B1143" s="402"/>
      <c r="C1143" s="402"/>
      <c r="D1143" s="1283"/>
      <c r="E1143" s="1283"/>
      <c r="F1143" s="1283"/>
    </row>
    <row r="1144" spans="1:9">
      <c r="A1144" s="402"/>
      <c r="B1144" s="402"/>
      <c r="C1144" s="402"/>
      <c r="D1144" s="1283"/>
      <c r="E1144" s="1283"/>
      <c r="F1144" s="1283"/>
    </row>
    <row r="1145" spans="1:9">
      <c r="A1145" s="402"/>
      <c r="B1145" s="402"/>
      <c r="C1145" s="402"/>
      <c r="D1145" s="1283"/>
      <c r="E1145" s="1283"/>
      <c r="F1145" s="128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4"/>
      <c r="H1553" s="1294"/>
      <c r="I1553" s="1294"/>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15" zoomScaleNormal="115" workbookViewId="0">
      <selection activeCell="AM562" sqref="AM562:AS564"/>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Bay Area ((Alameda, Contra Costa, Marin, San Francisco, San Mateo, Santa Clara, and Santa Cruz Counties)</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11</v>
      </c>
    </row>
    <row r="8" spans="1:58" ht="26.25" customHeight="1">
      <c r="A8" s="1484" t="s">
        <v>100</v>
      </c>
      <c r="B8" s="1484"/>
      <c r="C8" s="1484"/>
      <c r="D8" s="1484"/>
      <c r="E8" s="1484"/>
      <c r="F8" s="1484"/>
      <c r="G8" s="1484"/>
      <c r="H8" s="1484"/>
      <c r="I8" s="1484"/>
      <c r="J8" s="1484"/>
      <c r="K8" s="1484"/>
      <c r="L8" s="1484"/>
      <c r="M8" s="1484"/>
      <c r="N8" s="1484"/>
      <c r="O8" s="1484"/>
      <c r="P8" s="1484"/>
      <c r="Q8" s="1484"/>
      <c r="R8" s="1484"/>
      <c r="S8" s="1484"/>
      <c r="T8" s="1484"/>
      <c r="U8" s="1484"/>
      <c r="V8" s="1484"/>
      <c r="W8" s="1484"/>
      <c r="X8" s="1484"/>
      <c r="Y8" s="1484"/>
      <c r="Z8" s="1484"/>
      <c r="AA8" s="1484"/>
      <c r="AB8" s="1484"/>
      <c r="AC8" s="1484"/>
      <c r="AD8" s="1484"/>
      <c r="AE8" s="1484"/>
      <c r="AF8" s="1484"/>
      <c r="AG8" s="1484"/>
      <c r="AH8" s="1484"/>
      <c r="AI8" s="1484"/>
      <c r="AJ8" s="1484"/>
      <c r="AK8" s="1484"/>
      <c r="AL8" s="1484"/>
      <c r="AM8" s="1484"/>
      <c r="AN8" s="1484"/>
      <c r="AO8" s="1484"/>
      <c r="AP8" s="1484"/>
      <c r="AQ8" s="1484"/>
      <c r="AR8" s="1484"/>
      <c r="AS8" s="1484"/>
      <c r="AT8" s="1484"/>
      <c r="AU8" s="894"/>
      <c r="AV8" s="894"/>
      <c r="AW8" s="894"/>
      <c r="AX8" s="894"/>
      <c r="AY8" s="894"/>
      <c r="BD8" s="3" t="s">
        <v>2438</v>
      </c>
      <c r="BE8" s="1183">
        <f>SUMIF($AC$726:$AC$760,"&lt;=35%",$G$726:G$760)-SUM($BE$5:BE7)</f>
        <v>0</v>
      </c>
    </row>
    <row r="9" spans="1:58" ht="13" customHeight="1">
      <c r="A9" s="1344" t="s">
        <v>2031</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c r="AM9" s="1344"/>
      <c r="AN9" s="1344"/>
      <c r="AO9" s="1344"/>
      <c r="AP9" s="1344"/>
      <c r="AQ9" s="1344"/>
      <c r="AR9" s="1344"/>
      <c r="AS9" s="1344"/>
      <c r="AT9" s="1344"/>
      <c r="AU9" s="13"/>
      <c r="AV9" s="13"/>
      <c r="AW9" s="13"/>
      <c r="AX9" s="13"/>
      <c r="AY9" s="13"/>
      <c r="BD9" s="1182" t="s">
        <v>2430</v>
      </c>
      <c r="BE9" s="1183">
        <f>SUMIF($AC$726:$AC$760,"&lt;=40%",$G$726:G$760)-SUM($BE$5:BE8)</f>
        <v>0</v>
      </c>
    </row>
    <row r="10" spans="1:58" ht="13" customHeight="1">
      <c r="A10" s="1344" t="s">
        <v>2600</v>
      </c>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
      <c r="AV10" s="13"/>
      <c r="AW10" s="13"/>
      <c r="AX10" s="13"/>
      <c r="AY10" s="13"/>
      <c r="BD10" s="3" t="s">
        <v>2439</v>
      </c>
      <c r="BE10" s="1183">
        <f>SUMIF($AC$726:$AC$760,"&lt;=45%",$G$726:G$760)-SUM($BE$5:BE9)</f>
        <v>0</v>
      </c>
    </row>
    <row r="11" spans="1:58" ht="13" customHeight="1">
      <c r="A11" s="1344" t="s">
        <v>2528</v>
      </c>
      <c r="B11" s="1344"/>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
      <c r="AV11" s="13"/>
      <c r="AW11" s="13"/>
      <c r="AX11" s="13"/>
      <c r="AY11" s="13"/>
      <c r="BD11" s="1181" t="s">
        <v>2431</v>
      </c>
      <c r="BE11" s="1183">
        <f>SUMIF($AC$726:$AC$760,"&lt;=50%",$G$726:G$760)-SUM($BE$5:BE10)</f>
        <v>11</v>
      </c>
    </row>
    <row r="12" spans="1:58" ht="13" customHeight="1">
      <c r="A12" s="1485" t="s">
        <v>2635</v>
      </c>
      <c r="B12" s="1485"/>
      <c r="C12" s="1485"/>
      <c r="D12" s="1485"/>
      <c r="E12" s="1485"/>
      <c r="F12" s="1485"/>
      <c r="G12" s="1485"/>
      <c r="H12" s="1485"/>
      <c r="I12" s="1485"/>
      <c r="J12" s="1485"/>
      <c r="K12" s="1485"/>
      <c r="L12" s="1485"/>
      <c r="M12" s="1485"/>
      <c r="N12" s="1485"/>
      <c r="O12" s="1485"/>
      <c r="P12" s="1485"/>
      <c r="Q12" s="1485"/>
      <c r="R12" s="1485"/>
      <c r="S12" s="1485"/>
      <c r="T12" s="1485"/>
      <c r="U12" s="1485"/>
      <c r="V12" s="1485"/>
      <c r="W12" s="1485"/>
      <c r="X12" s="1485"/>
      <c r="Y12" s="1485"/>
      <c r="Z12" s="1485"/>
      <c r="AA12" s="1485"/>
      <c r="AB12" s="1485"/>
      <c r="AC12" s="1485"/>
      <c r="AD12" s="1485"/>
      <c r="AE12" s="1485"/>
      <c r="AF12" s="1485"/>
      <c r="AG12" s="1485"/>
      <c r="AH12" s="1485"/>
      <c r="AI12" s="1485"/>
      <c r="AJ12" s="1485"/>
      <c r="AK12" s="1485"/>
      <c r="AL12" s="1485"/>
      <c r="AM12" s="1485"/>
      <c r="AN12" s="1485"/>
      <c r="AO12" s="1485"/>
      <c r="AP12" s="1485"/>
      <c r="AQ12" s="1485"/>
      <c r="AR12" s="1485"/>
      <c r="AS12" s="1485"/>
      <c r="AT12" s="1485"/>
      <c r="AU12" s="6"/>
      <c r="AV12" s="6"/>
      <c r="AW12" s="6"/>
      <c r="AX12" s="6"/>
      <c r="AY12" s="6"/>
      <c r="BD12" s="3" t="s">
        <v>2440</v>
      </c>
      <c r="BE12" s="1183">
        <f>SUMIF($AC$726:$AC$760,"&lt;=55%",$G$726:G$760)-SUM($BE$5:BE11)</f>
        <v>0</v>
      </c>
    </row>
    <row r="13" spans="1:58" ht="13" customHeight="1">
      <c r="A13" s="1326" t="s">
        <v>2032</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T13" s="1326"/>
      <c r="AU13" s="895"/>
      <c r="AV13" s="895"/>
      <c r="AW13" s="895"/>
      <c r="AX13" s="895"/>
      <c r="AY13" s="895"/>
      <c r="BD13" s="1182" t="s">
        <v>2432</v>
      </c>
      <c r="BE13" s="1183">
        <f>SUMIF($AC$726:$AC$760,"&lt;=60%",$G$726:G$760)-SUM($BE$5:BE12)</f>
        <v>30</v>
      </c>
    </row>
    <row r="14" spans="1:58" ht="13" customHeight="1">
      <c r="A14" s="1326"/>
      <c r="B14" s="1326"/>
      <c r="C14" s="1326"/>
      <c r="D14" s="1326"/>
      <c r="E14" s="1326"/>
      <c r="F14" s="1326"/>
      <c r="G14" s="1326"/>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6"/>
      <c r="AR14" s="1326"/>
      <c r="AS14" s="1326"/>
      <c r="AT14" s="1326"/>
      <c r="AU14" s="895"/>
      <c r="AV14" s="895"/>
      <c r="AW14" s="895"/>
      <c r="AX14" s="895"/>
      <c r="AY14" s="895"/>
      <c r="BD14" s="1181" t="s">
        <v>2433</v>
      </c>
      <c r="BE14" s="1183">
        <f>SUMIF($AC$726:$AC$760,"&lt;=70%",$G$726:G$760)-SUM($BE$5:BE13)</f>
        <v>43</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 customHeight="1">
      <c r="A16" s="57" t="s">
        <v>2033</v>
      </c>
      <c r="C16" s="4"/>
      <c r="D16" s="4"/>
      <c r="E16" s="4"/>
      <c r="F16" s="4"/>
      <c r="G16" s="4"/>
      <c r="H16" s="1493" t="s">
        <v>2643</v>
      </c>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BD16" s="1182" t="s">
        <v>655</v>
      </c>
      <c r="BE16" s="1183" t="str">
        <f>Application!H18</f>
        <v>125 Bethany</v>
      </c>
    </row>
    <row r="17" spans="1:58" ht="13" customHeight="1">
      <c r="BD17" s="1181" t="s">
        <v>2446</v>
      </c>
      <c r="BE17" s="1183">
        <f>Application!AA943</f>
        <v>0</v>
      </c>
    </row>
    <row r="18" spans="1:58" ht="13" customHeight="1">
      <c r="A18" s="57" t="s">
        <v>101</v>
      </c>
      <c r="C18" s="4"/>
      <c r="D18" s="4"/>
      <c r="E18" s="4"/>
      <c r="F18" s="4"/>
      <c r="G18" s="4"/>
      <c r="H18" s="1490" t="s">
        <v>2644</v>
      </c>
      <c r="I18" s="1491"/>
      <c r="J18" s="1491"/>
      <c r="K18" s="1491"/>
      <c r="L18" s="1491"/>
      <c r="M18" s="1491"/>
      <c r="N18" s="1491"/>
      <c r="O18" s="1491"/>
      <c r="P18" s="1491"/>
      <c r="Q18" s="1491"/>
      <c r="R18" s="1491"/>
      <c r="S18" s="1491"/>
      <c r="T18" s="1491"/>
      <c r="U18" s="1491"/>
      <c r="V18" s="1491"/>
      <c r="W18" s="1491"/>
      <c r="X18" s="1491"/>
      <c r="Y18" s="1491"/>
      <c r="Z18" s="1491"/>
      <c r="AA18" s="1491"/>
      <c r="AB18" s="1491"/>
      <c r="AC18" s="1491"/>
      <c r="AD18" s="1491"/>
      <c r="AE18" s="1491"/>
      <c r="AF18" s="1491"/>
      <c r="AG18" s="1491"/>
      <c r="AH18" s="1491"/>
      <c r="AI18" s="1491"/>
      <c r="AJ18" s="1491"/>
      <c r="BD18" s="1182" t="s">
        <v>2447</v>
      </c>
      <c r="BE18" s="1183">
        <f>AA943</f>
        <v>0</v>
      </c>
    </row>
    <row r="19" spans="1:58" ht="13" customHeight="1">
      <c r="BD19" s="1181" t="s">
        <v>2448</v>
      </c>
      <c r="BE19" s="1183">
        <f>Application!M26</f>
        <v>3530439</v>
      </c>
    </row>
    <row r="20" spans="1:58" ht="13" customHeight="1">
      <c r="A20" s="1486" t="s">
        <v>872</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c r="AT20" s="1486"/>
      <c r="AU20" s="896"/>
      <c r="AV20" s="896"/>
      <c r="AW20" s="896"/>
      <c r="AX20" s="896"/>
      <c r="AY20" s="896"/>
      <c r="BD20" s="1182" t="s">
        <v>2449</v>
      </c>
      <c r="BE20" s="1183">
        <f>Application!M27</f>
        <v>12500000</v>
      </c>
    </row>
    <row r="21" spans="1:58" ht="13" customHeight="1">
      <c r="A21" s="1495" t="s">
        <v>1008</v>
      </c>
      <c r="B21" s="1495"/>
      <c r="C21" s="1495"/>
      <c r="D21" s="1495"/>
      <c r="E21" s="1495"/>
      <c r="F21" s="1495"/>
      <c r="G21" s="1495"/>
      <c r="H21" s="1495"/>
      <c r="I21" s="1495"/>
      <c r="J21" s="1495"/>
      <c r="K21" s="1495"/>
      <c r="L21" s="1495"/>
      <c r="M21" s="1495"/>
      <c r="N21" s="1495"/>
      <c r="O21" s="1495"/>
      <c r="P21" s="1495"/>
      <c r="Q21" s="1495"/>
      <c r="R21" s="1495"/>
      <c r="S21" s="1495"/>
      <c r="T21" s="1495"/>
      <c r="U21" s="1495"/>
      <c r="V21" s="1495"/>
      <c r="W21" s="1495"/>
      <c r="X21" s="1495"/>
      <c r="Y21" s="1495"/>
      <c r="Z21" s="1495"/>
      <c r="AA21" s="1495"/>
      <c r="AB21" s="1495"/>
      <c r="AC21" s="1495"/>
      <c r="AD21" s="1495"/>
      <c r="AE21" s="1495"/>
      <c r="AF21" s="1495"/>
      <c r="AG21" s="1495"/>
      <c r="AH21" s="1495"/>
      <c r="AI21" s="1495"/>
      <c r="AJ21" s="1495"/>
      <c r="AK21" s="1495"/>
      <c r="AL21" s="1495"/>
      <c r="AM21" s="897"/>
      <c r="AN21" s="897"/>
      <c r="AO21" s="897"/>
      <c r="AP21" s="897"/>
      <c r="AQ21" s="897"/>
      <c r="AR21" s="897"/>
      <c r="AS21" s="897"/>
      <c r="AT21" s="897"/>
      <c r="AU21" s="897"/>
      <c r="AV21" s="897"/>
      <c r="AW21" s="897"/>
      <c r="AX21" s="897"/>
      <c r="AY21" s="897"/>
      <c r="BD21" s="1181" t="s">
        <v>2450</v>
      </c>
      <c r="BE21" s="1183">
        <f>Application!AM562</f>
        <v>21287300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77544450</v>
      </c>
      <c r="BF22" s="3" t="s">
        <v>2521</v>
      </c>
    </row>
    <row r="23" spans="1:58" ht="13" customHeight="1">
      <c r="A23" s="1284" t="s">
        <v>2099</v>
      </c>
      <c r="B23" s="1284"/>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8"/>
      <c r="AV23" s="18"/>
      <c r="AW23" s="18"/>
      <c r="AX23" s="18"/>
      <c r="AY23" s="18"/>
      <c r="AZ23" s="18"/>
      <c r="BD23" s="1181" t="s">
        <v>2451</v>
      </c>
      <c r="BE23" s="1183">
        <f>'Sources and Uses Budget'!B4</f>
        <v>5500000</v>
      </c>
    </row>
    <row r="24" spans="1:58" ht="13" customHeight="1">
      <c r="A24" s="1284"/>
      <c r="B24" s="1284"/>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8"/>
      <c r="AV24" s="18"/>
      <c r="AW24" s="18"/>
      <c r="AX24" s="18"/>
      <c r="AY24" s="18"/>
      <c r="AZ24" s="18"/>
      <c r="BD24" s="1182" t="s">
        <v>2452</v>
      </c>
      <c r="BE24" s="1183">
        <f>Application!AG459</f>
        <v>182461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3" customHeight="1">
      <c r="A26" s="4"/>
      <c r="C26" s="4"/>
      <c r="D26" s="4"/>
      <c r="E26" s="4"/>
      <c r="F26" s="4"/>
      <c r="G26" s="4"/>
      <c r="H26" s="4"/>
      <c r="I26" s="4"/>
      <c r="J26" s="4"/>
      <c r="K26" s="4"/>
      <c r="L26" s="4"/>
      <c r="M26" s="1492">
        <f>'Basis &amp; Credits'!AB56</f>
        <v>3530439</v>
      </c>
      <c r="N26" s="1492"/>
      <c r="O26" s="1492"/>
      <c r="P26" s="1492"/>
      <c r="Q26" s="1492"/>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02">
        <f>'Basis &amp; Credits'!AB78</f>
        <v>12500000</v>
      </c>
      <c r="N27" s="1402"/>
      <c r="O27" s="1402"/>
      <c r="P27" s="1402"/>
      <c r="Q27" s="1402"/>
      <c r="R27" s="3" t="s">
        <v>1266</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487" t="s">
        <v>2100</v>
      </c>
      <c r="B29" s="1487"/>
      <c r="C29" s="1487"/>
      <c r="D29" s="1487"/>
      <c r="E29" s="1487"/>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1487"/>
      <c r="AO29" s="1487"/>
      <c r="AP29" s="1487"/>
      <c r="AQ29" s="1487"/>
      <c r="AR29" s="1487"/>
      <c r="AS29" s="1487"/>
      <c r="AT29" s="1487"/>
      <c r="BD29" s="1181" t="s">
        <v>2455</v>
      </c>
      <c r="BE29" s="1183" t="b">
        <f>Application!M367="Yes"</f>
        <v>0</v>
      </c>
    </row>
    <row r="30" spans="1:58" ht="13" customHeight="1">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c r="W30" s="1487"/>
      <c r="X30" s="1487"/>
      <c r="Y30" s="1487"/>
      <c r="Z30" s="1487"/>
      <c r="AA30" s="1487"/>
      <c r="AB30" s="1487"/>
      <c r="AC30" s="1487"/>
      <c r="AD30" s="1487"/>
      <c r="AE30" s="1487"/>
      <c r="AF30" s="1487"/>
      <c r="AG30" s="1487"/>
      <c r="AH30" s="1487"/>
      <c r="AI30" s="1487"/>
      <c r="AJ30" s="1487"/>
      <c r="AK30" s="1487"/>
      <c r="AL30" s="1487"/>
      <c r="AM30" s="1487"/>
      <c r="AN30" s="1487"/>
      <c r="AO30" s="1487"/>
      <c r="AP30" s="1487"/>
      <c r="AQ30" s="1487"/>
      <c r="AR30" s="1487"/>
      <c r="AS30" s="1487"/>
      <c r="AT30" s="1487"/>
      <c r="AZ30" s="20"/>
      <c r="BD30" s="1182" t="s">
        <v>28</v>
      </c>
      <c r="BE30" s="1183" t="b">
        <f>Application!AJ364="Yes"</f>
        <v>1</v>
      </c>
    </row>
    <row r="31" spans="1:58" ht="13" customHeight="1">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c r="W31" s="1487"/>
      <c r="X31" s="1487"/>
      <c r="Y31" s="1487"/>
      <c r="Z31" s="1487"/>
      <c r="AA31" s="1487"/>
      <c r="AB31" s="1487"/>
      <c r="AC31" s="1487"/>
      <c r="AD31" s="1487"/>
      <c r="AE31" s="1487"/>
      <c r="AF31" s="1487"/>
      <c r="AG31" s="1487"/>
      <c r="AH31" s="1487"/>
      <c r="AI31" s="1487"/>
      <c r="AJ31" s="1487"/>
      <c r="AK31" s="1487"/>
      <c r="AL31" s="1487"/>
      <c r="AM31" s="1487"/>
      <c r="AN31" s="1487"/>
      <c r="AO31" s="1487"/>
      <c r="AP31" s="1487"/>
      <c r="AQ31" s="1487"/>
      <c r="AR31" s="1487"/>
      <c r="AS31" s="1487"/>
      <c r="AT31" s="1487"/>
      <c r="AU31" s="20"/>
      <c r="AV31" s="20"/>
      <c r="AW31" s="20"/>
      <c r="AX31" s="20"/>
      <c r="AY31" s="20"/>
      <c r="AZ31" s="20"/>
      <c r="BD31" s="1181" t="s">
        <v>2456</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40" t="s">
        <v>668</v>
      </c>
      <c r="P33" s="1340"/>
      <c r="Q33" s="1488" t="s">
        <v>2101</v>
      </c>
      <c r="R33" s="1488"/>
      <c r="S33" s="1488"/>
      <c r="T33" s="1488"/>
      <c r="U33" s="1488"/>
      <c r="V33" s="1488"/>
      <c r="W33" s="1488"/>
      <c r="X33" s="1488"/>
      <c r="Y33" s="1488"/>
      <c r="Z33" s="1488"/>
      <c r="AA33" s="1488"/>
      <c r="AB33" s="1488"/>
      <c r="AC33" s="1488"/>
      <c r="AD33" s="1488"/>
      <c r="AE33" s="1488"/>
      <c r="AF33" s="1488"/>
      <c r="AG33" s="1488"/>
      <c r="AH33" s="1488"/>
      <c r="AI33" s="1488"/>
      <c r="AJ33" s="1488"/>
      <c r="AK33" s="1488"/>
      <c r="AL33" s="1488"/>
      <c r="AM33" s="1488"/>
      <c r="AN33" s="1488"/>
      <c r="AO33" s="1488"/>
      <c r="AP33" s="1488"/>
      <c r="AQ33" s="1488"/>
      <c r="AR33" s="1488"/>
      <c r="AS33" s="1488"/>
      <c r="AT33" s="1488"/>
      <c r="AU33" s="20"/>
      <c r="AV33" s="20"/>
      <c r="AW33" s="20"/>
      <c r="AX33" s="20"/>
      <c r="AY33" s="20"/>
      <c r="BD33" s="1181" t="s">
        <v>2522</v>
      </c>
      <c r="BE33" s="1183" t="str">
        <f>Application!D220</f>
        <v>Central Coast Region: Monterey, San Luis Obispo, Santa Barbara, Santa Cruz, and Ventura Counties</v>
      </c>
    </row>
    <row r="34" spans="1:57" ht="13" hidden="1" customHeight="1">
      <c r="A34" s="1487" t="s">
        <v>2102</v>
      </c>
      <c r="B34" s="1487"/>
      <c r="C34" s="1487"/>
      <c r="D34" s="1487"/>
      <c r="E34" s="1487"/>
      <c r="F34" s="1487"/>
      <c r="G34" s="1487"/>
      <c r="H34" s="1487"/>
      <c r="I34" s="1487"/>
      <c r="J34" s="1487"/>
      <c r="K34" s="1487"/>
      <c r="L34" s="1487"/>
      <c r="M34" s="1487"/>
      <c r="N34" s="1487"/>
      <c r="O34" s="1487"/>
      <c r="P34" s="1487"/>
      <c r="Q34" s="1487"/>
      <c r="R34" s="1487"/>
      <c r="S34" s="1487"/>
      <c r="T34" s="1487"/>
      <c r="U34" s="1487"/>
      <c r="V34" s="1487"/>
      <c r="W34" s="1487"/>
      <c r="X34" s="1487"/>
      <c r="Y34" s="1487"/>
      <c r="Z34" s="1487"/>
      <c r="AA34" s="1487"/>
      <c r="AB34" s="1487"/>
      <c r="AC34" s="1487"/>
      <c r="AD34" s="1487"/>
      <c r="AE34" s="1487"/>
      <c r="AF34" s="1487"/>
      <c r="AG34" s="1487"/>
      <c r="AH34" s="1487"/>
      <c r="AI34" s="1487"/>
      <c r="AJ34" s="1487"/>
      <c r="AK34" s="1487"/>
      <c r="AL34" s="1487"/>
      <c r="AM34" s="1487"/>
      <c r="AN34" s="1487"/>
      <c r="AO34" s="1487"/>
      <c r="AP34" s="1487"/>
      <c r="AQ34" s="1487"/>
      <c r="AR34" s="1487"/>
      <c r="AS34" s="1487"/>
      <c r="AT34" s="1487"/>
      <c r="AU34" s="20"/>
      <c r="AV34" s="20"/>
      <c r="AW34" s="20"/>
      <c r="AX34" s="20"/>
      <c r="AY34" s="20"/>
      <c r="AZ34" s="20"/>
      <c r="BD34" s="1182" t="s">
        <v>2458</v>
      </c>
      <c r="BE34" s="1183" t="str">
        <f>Application!I185</f>
        <v>125 Bethany Drive, Scotts Valley, CA 95066</v>
      </c>
    </row>
    <row r="35" spans="1:57" ht="13" hidden="1" customHeight="1">
      <c r="A35" s="1487"/>
      <c r="B35" s="1487"/>
      <c r="C35" s="1487"/>
      <c r="D35" s="1487"/>
      <c r="E35" s="1487"/>
      <c r="F35" s="1487"/>
      <c r="G35" s="1487"/>
      <c r="H35" s="1487"/>
      <c r="I35" s="1487"/>
      <c r="J35" s="1487"/>
      <c r="K35" s="1487"/>
      <c r="L35" s="1487"/>
      <c r="M35" s="1487"/>
      <c r="N35" s="1487"/>
      <c r="O35" s="1487"/>
      <c r="P35" s="1487"/>
      <c r="Q35" s="1487"/>
      <c r="R35" s="1487"/>
      <c r="S35" s="1487"/>
      <c r="T35" s="1487"/>
      <c r="U35" s="1487"/>
      <c r="V35" s="1487"/>
      <c r="W35" s="1487"/>
      <c r="X35" s="1487"/>
      <c r="Y35" s="1487"/>
      <c r="Z35" s="1487"/>
      <c r="AA35" s="1487"/>
      <c r="AB35" s="1487"/>
      <c r="AC35" s="1487"/>
      <c r="AD35" s="1487"/>
      <c r="AE35" s="1487"/>
      <c r="AF35" s="1487"/>
      <c r="AG35" s="1487"/>
      <c r="AH35" s="1487"/>
      <c r="AI35" s="1487"/>
      <c r="AJ35" s="1487"/>
      <c r="AK35" s="1487"/>
      <c r="AL35" s="1487"/>
      <c r="AM35" s="1487"/>
      <c r="AN35" s="1487"/>
      <c r="AO35" s="1487"/>
      <c r="AP35" s="1487"/>
      <c r="AQ35" s="1487"/>
      <c r="AR35" s="1487"/>
      <c r="AS35" s="1487"/>
      <c r="AT35" s="1487"/>
      <c r="AU35" s="20"/>
      <c r="AV35" s="20"/>
      <c r="AW35" s="20"/>
      <c r="AX35" s="20"/>
      <c r="AY35" s="20"/>
      <c r="AZ35" s="20"/>
      <c r="BD35" s="1181" t="s">
        <v>2459</v>
      </c>
      <c r="BE35" s="1183" t="str">
        <f>IF(Application!E187="","",Application!E187)</f>
        <v/>
      </c>
    </row>
    <row r="36" spans="1:57" ht="13" hidden="1" customHeight="1">
      <c r="A36" s="1487"/>
      <c r="B36" s="1487"/>
      <c r="C36" s="1487"/>
      <c r="D36" s="1487"/>
      <c r="E36" s="1487"/>
      <c r="F36" s="1487"/>
      <c r="G36" s="1487"/>
      <c r="H36" s="1487"/>
      <c r="I36" s="1487"/>
      <c r="J36" s="1487"/>
      <c r="K36" s="1487"/>
      <c r="L36" s="1487"/>
      <c r="M36" s="1487"/>
      <c r="N36" s="1487"/>
      <c r="O36" s="1487"/>
      <c r="P36" s="1487"/>
      <c r="Q36" s="1487"/>
      <c r="R36" s="1487"/>
      <c r="S36" s="1487"/>
      <c r="T36" s="1487"/>
      <c r="U36" s="1487"/>
      <c r="V36" s="1487"/>
      <c r="W36" s="1487"/>
      <c r="X36" s="1487"/>
      <c r="Y36" s="1487"/>
      <c r="Z36" s="1487"/>
      <c r="AA36" s="1487"/>
      <c r="AB36" s="1487"/>
      <c r="AC36" s="1487"/>
      <c r="AD36" s="1487"/>
      <c r="AE36" s="1487"/>
      <c r="AF36" s="1487"/>
      <c r="AG36" s="1487"/>
      <c r="AH36" s="1487"/>
      <c r="AI36" s="1487"/>
      <c r="AJ36" s="1487"/>
      <c r="AK36" s="1487"/>
      <c r="AL36" s="1487"/>
      <c r="AM36" s="1487"/>
      <c r="AN36" s="1487"/>
      <c r="AO36" s="1487"/>
      <c r="AP36" s="1487"/>
      <c r="AQ36" s="1487"/>
      <c r="AR36" s="1487"/>
      <c r="AS36" s="1487"/>
      <c r="AT36" s="1487"/>
      <c r="AU36" s="20"/>
      <c r="AV36" s="20"/>
      <c r="AW36" s="20"/>
      <c r="AX36" s="20"/>
      <c r="AY36" s="20"/>
      <c r="AZ36" s="20"/>
      <c r="BD36" s="1182" t="s">
        <v>2460</v>
      </c>
      <c r="BE36" s="1183" t="str">
        <f>Application!I189</f>
        <v>Scotts Valley</v>
      </c>
    </row>
    <row r="37" spans="1:57" ht="13" hidden="1" customHeight="1">
      <c r="A37" s="1487"/>
      <c r="B37" s="1487"/>
      <c r="C37" s="1487"/>
      <c r="D37" s="1487"/>
      <c r="E37" s="1487"/>
      <c r="F37" s="1487"/>
      <c r="G37" s="1487"/>
      <c r="H37" s="1487"/>
      <c r="I37" s="1487"/>
      <c r="J37" s="1487"/>
      <c r="K37" s="1487"/>
      <c r="L37" s="1487"/>
      <c r="M37" s="1487"/>
      <c r="N37" s="1487"/>
      <c r="O37" s="1487"/>
      <c r="P37" s="1487"/>
      <c r="Q37" s="1487"/>
      <c r="R37" s="1487"/>
      <c r="S37" s="1487"/>
      <c r="T37" s="1487"/>
      <c r="U37" s="1487"/>
      <c r="V37" s="1487"/>
      <c r="W37" s="1487"/>
      <c r="X37" s="1487"/>
      <c r="Y37" s="1487"/>
      <c r="Z37" s="1487"/>
      <c r="AA37" s="1487"/>
      <c r="AB37" s="1487"/>
      <c r="AC37" s="1487"/>
      <c r="AD37" s="1487"/>
      <c r="AE37" s="1487"/>
      <c r="AF37" s="1487"/>
      <c r="AG37" s="1487"/>
      <c r="AH37" s="1487"/>
      <c r="AI37" s="1487"/>
      <c r="AJ37" s="1487"/>
      <c r="AK37" s="1487"/>
      <c r="AL37" s="1487"/>
      <c r="AM37" s="1487"/>
      <c r="AN37" s="1487"/>
      <c r="AO37" s="1487"/>
      <c r="AP37" s="1487"/>
      <c r="AQ37" s="1487"/>
      <c r="AR37" s="1487"/>
      <c r="AS37" s="1487"/>
      <c r="AT37" s="1487"/>
      <c r="AZ37" s="20"/>
      <c r="BD37" s="1181" t="s">
        <v>2461</v>
      </c>
      <c r="BE37" s="1183" t="str">
        <f>Application!T189</f>
        <v>Santa Cruz</v>
      </c>
    </row>
    <row r="38" spans="1:57" ht="13" hidden="1" customHeight="1">
      <c r="A38" s="3"/>
      <c r="AZ38" s="20"/>
      <c r="BD38" s="1182" t="s">
        <v>2462</v>
      </c>
      <c r="BE38" s="1183">
        <f>Application!I190</f>
        <v>95066</v>
      </c>
    </row>
    <row r="39" spans="1:57" ht="13" customHeight="1">
      <c r="A39" s="1276" t="s">
        <v>2103</v>
      </c>
      <c r="B39" s="1276"/>
      <c r="C39" s="1276"/>
      <c r="D39" s="1276"/>
      <c r="E39" s="1276"/>
      <c r="F39" s="1276"/>
      <c r="G39" s="1276"/>
      <c r="H39" s="1276"/>
      <c r="I39" s="1276"/>
      <c r="J39" s="1276"/>
      <c r="K39" s="1276"/>
      <c r="L39" s="1276"/>
      <c r="M39" s="1276"/>
      <c r="N39" s="1276"/>
      <c r="O39" s="1276"/>
      <c r="P39" s="1276"/>
      <c r="Q39" s="1276"/>
      <c r="R39" s="1276"/>
      <c r="S39" s="1276"/>
      <c r="T39" s="1276"/>
      <c r="U39" s="1276"/>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Z39" s="20"/>
      <c r="BD39" s="1181" t="s">
        <v>2463</v>
      </c>
      <c r="BE39" s="1183">
        <f>Application!AG446</f>
        <v>96</v>
      </c>
    </row>
    <row r="40" spans="1:57" ht="13" customHeight="1">
      <c r="A40" s="1276"/>
      <c r="B40" s="1276"/>
      <c r="C40" s="1276"/>
      <c r="D40" s="1276"/>
      <c r="E40" s="1276"/>
      <c r="F40" s="1276"/>
      <c r="G40" s="1276"/>
      <c r="H40" s="1276"/>
      <c r="I40" s="1276"/>
      <c r="J40" s="1276"/>
      <c r="K40" s="1276"/>
      <c r="L40" s="1276"/>
      <c r="M40" s="1276"/>
      <c r="N40" s="1276"/>
      <c r="O40" s="1276"/>
      <c r="P40" s="1276"/>
      <c r="Q40" s="1276"/>
      <c r="R40" s="1276"/>
      <c r="S40" s="1276"/>
      <c r="T40" s="1276"/>
      <c r="U40" s="1276"/>
      <c r="V40" s="1276"/>
      <c r="W40" s="1276"/>
      <c r="X40" s="1276"/>
      <c r="Y40" s="1276"/>
      <c r="Z40" s="1276"/>
      <c r="AA40" s="1276"/>
      <c r="AB40" s="1276"/>
      <c r="AC40" s="1276"/>
      <c r="AD40" s="1276"/>
      <c r="AE40" s="1276"/>
      <c r="AF40" s="1276"/>
      <c r="AG40" s="1276"/>
      <c r="AH40" s="1276"/>
      <c r="AI40" s="1276"/>
      <c r="AJ40" s="1276"/>
      <c r="AK40" s="1276"/>
      <c r="AL40" s="1276"/>
      <c r="AM40" s="1276"/>
      <c r="AN40" s="1276"/>
      <c r="AO40" s="1276"/>
      <c r="AP40" s="1276"/>
      <c r="AQ40" s="1276"/>
      <c r="AR40" s="1276"/>
      <c r="AS40" s="1276"/>
      <c r="AT40" s="1276"/>
      <c r="AU40" s="20"/>
      <c r="AV40" s="20"/>
      <c r="AW40" s="20"/>
      <c r="AX40" s="20"/>
      <c r="AY40" s="20"/>
      <c r="AZ40" s="20"/>
      <c r="BD40" s="1182" t="s">
        <v>384</v>
      </c>
      <c r="BE40" s="1183">
        <f>Application!AG449</f>
        <v>95</v>
      </c>
    </row>
    <row r="41" spans="1:57" ht="13" customHeight="1">
      <c r="A41" s="1276"/>
      <c r="B41" s="1276"/>
      <c r="C41" s="1276"/>
      <c r="D41" s="1276"/>
      <c r="E41" s="1276"/>
      <c r="F41" s="1276"/>
      <c r="G41" s="1276"/>
      <c r="H41" s="1276"/>
      <c r="I41" s="1276"/>
      <c r="J41" s="1276"/>
      <c r="K41" s="1276"/>
      <c r="L41" s="1276"/>
      <c r="M41" s="1276"/>
      <c r="N41" s="1276"/>
      <c r="O41" s="1276"/>
      <c r="P41" s="1276"/>
      <c r="Q41" s="1276"/>
      <c r="R41" s="1276"/>
      <c r="S41" s="1276"/>
      <c r="T41" s="1276"/>
      <c r="U41" s="1276"/>
      <c r="V41" s="1276"/>
      <c r="W41" s="1276"/>
      <c r="X41" s="1276"/>
      <c r="Y41" s="1276"/>
      <c r="Z41" s="1276"/>
      <c r="AA41" s="1276"/>
      <c r="AB41" s="1276"/>
      <c r="AC41" s="1276"/>
      <c r="AD41" s="1276"/>
      <c r="AE41" s="1276"/>
      <c r="AF41" s="1276"/>
      <c r="AG41" s="1276"/>
      <c r="AH41" s="1276"/>
      <c r="AI41" s="1276"/>
      <c r="AJ41" s="1276"/>
      <c r="AK41" s="1276"/>
      <c r="AL41" s="1276"/>
      <c r="AM41" s="1276"/>
      <c r="AN41" s="1276"/>
      <c r="AO41" s="1276"/>
      <c r="AP41" s="1276"/>
      <c r="AQ41" s="1276"/>
      <c r="AR41" s="1276"/>
      <c r="AS41" s="1276"/>
      <c r="AT41" s="1276"/>
      <c r="AU41" s="20"/>
      <c r="AV41" s="20"/>
      <c r="AW41" s="20"/>
      <c r="AX41" s="20"/>
      <c r="AY41" s="20"/>
      <c r="AZ41" s="20"/>
      <c r="BD41" s="1181" t="s">
        <v>287</v>
      </c>
      <c r="BE41" s="1183">
        <f>Application!AG447</f>
        <v>0</v>
      </c>
    </row>
    <row r="42" spans="1:57" ht="13" customHeight="1">
      <c r="A42" s="1276"/>
      <c r="B42" s="1276"/>
      <c r="C42" s="1276"/>
      <c r="D42" s="1276"/>
      <c r="E42" s="1276"/>
      <c r="F42" s="1276"/>
      <c r="G42" s="1276"/>
      <c r="H42" s="1276"/>
      <c r="I42" s="1276"/>
      <c r="J42" s="1276"/>
      <c r="K42" s="1276"/>
      <c r="L42" s="1276"/>
      <c r="M42" s="1276"/>
      <c r="N42" s="1276"/>
      <c r="O42" s="1276"/>
      <c r="P42" s="1276"/>
      <c r="Q42" s="1276"/>
      <c r="R42" s="1276"/>
      <c r="S42" s="1276"/>
      <c r="T42" s="1276"/>
      <c r="U42" s="1276"/>
      <c r="V42" s="1276"/>
      <c r="W42" s="1276"/>
      <c r="X42" s="1276"/>
      <c r="Y42" s="1276"/>
      <c r="Z42" s="1276"/>
      <c r="AA42" s="1276"/>
      <c r="AB42" s="1276"/>
      <c r="AC42" s="1276"/>
      <c r="AD42" s="1276"/>
      <c r="AE42" s="1276"/>
      <c r="AF42" s="1276"/>
      <c r="AG42" s="1276"/>
      <c r="AH42" s="1276"/>
      <c r="AI42" s="1276"/>
      <c r="AJ42" s="1276"/>
      <c r="AK42" s="1276"/>
      <c r="AL42" s="1276"/>
      <c r="AM42" s="1276"/>
      <c r="AN42" s="1276"/>
      <c r="AO42" s="1276"/>
      <c r="AP42" s="1276"/>
      <c r="AQ42" s="1276"/>
      <c r="AR42" s="1276"/>
      <c r="AS42" s="1276"/>
      <c r="AT42" s="1276"/>
      <c r="AZ42" s="20"/>
      <c r="BD42" s="1182" t="s">
        <v>2464</v>
      </c>
      <c r="BE42" s="1185">
        <f>Application!AC761</f>
        <v>0.59894736842105256</v>
      </c>
    </row>
    <row r="43" spans="1:57" ht="13" customHeight="1">
      <c r="A43" s="1276"/>
      <c r="B43" s="1276"/>
      <c r="C43" s="1276"/>
      <c r="D43" s="1276"/>
      <c r="E43" s="1276"/>
      <c r="F43" s="1276"/>
      <c r="G43" s="1276"/>
      <c r="H43" s="1276"/>
      <c r="I43" s="1276"/>
      <c r="J43" s="1276"/>
      <c r="K43" s="1276"/>
      <c r="L43" s="1276"/>
      <c r="M43" s="1276"/>
      <c r="N43" s="1276"/>
      <c r="O43" s="1276"/>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20"/>
      <c r="AV43" s="20"/>
      <c r="AW43" s="20"/>
      <c r="AX43" s="20"/>
      <c r="AY43" s="20"/>
      <c r="AZ43" s="20"/>
      <c r="BD43" s="1181" t="s">
        <v>2465</v>
      </c>
      <c r="BE43" s="1185">
        <f>Application!AH761</f>
        <v>0.59890765419967651</v>
      </c>
    </row>
    <row r="44" spans="1:57" ht="13" customHeight="1">
      <c r="A44" s="1276"/>
      <c r="B44" s="1276"/>
      <c r="C44" s="1276"/>
      <c r="D44" s="1276"/>
      <c r="E44" s="1276"/>
      <c r="F44" s="1276"/>
      <c r="G44" s="1276"/>
      <c r="H44" s="1276"/>
      <c r="I44" s="1276"/>
      <c r="J44" s="1276"/>
      <c r="K44" s="1276"/>
      <c r="L44" s="1276"/>
      <c r="M44" s="1276"/>
      <c r="N44" s="1276"/>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20"/>
      <c r="AV44" s="20"/>
      <c r="AW44" s="20"/>
      <c r="AX44" s="20"/>
      <c r="AY44" s="20"/>
      <c r="AZ44" s="20"/>
      <c r="BD44" s="1182" t="s">
        <v>2466</v>
      </c>
      <c r="BE44" s="1183">
        <f>Application!AC463</f>
        <v>807754.6875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0</v>
      </c>
    </row>
    <row r="46" spans="1:57" ht="13" customHeight="1">
      <c r="A46" s="1284" t="s">
        <v>2104</v>
      </c>
      <c r="B46" s="1284"/>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c r="AK46" s="1284"/>
      <c r="AL46" s="1284"/>
      <c r="AM46" s="1284"/>
      <c r="AN46" s="1284"/>
      <c r="AO46" s="1284"/>
      <c r="AP46" s="1284"/>
      <c r="AQ46" s="1284"/>
      <c r="AR46" s="1284"/>
      <c r="AS46" s="1284"/>
      <c r="AT46" s="1284"/>
      <c r="AU46" s="20"/>
      <c r="AV46" s="20"/>
      <c r="AW46" s="20"/>
      <c r="AX46" s="20"/>
      <c r="AY46" s="20"/>
      <c r="AZ46" s="20"/>
      <c r="BD46" s="1182" t="s">
        <v>2468</v>
      </c>
      <c r="BE46" s="1183" t="b">
        <f>Application!T195="Yes"</f>
        <v>1</v>
      </c>
    </row>
    <row r="47" spans="1:57" ht="13" customHeight="1">
      <c r="A47" s="1284"/>
      <c r="B47" s="1284"/>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c r="AK47" s="1284"/>
      <c r="AL47" s="1284"/>
      <c r="AM47" s="1284"/>
      <c r="AN47" s="1284"/>
      <c r="AO47" s="1284"/>
      <c r="AP47" s="1284"/>
      <c r="AQ47" s="1284"/>
      <c r="AR47" s="1284"/>
      <c r="AS47" s="1284"/>
      <c r="AT47" s="1284"/>
      <c r="AU47" s="20"/>
      <c r="AV47" s="20"/>
      <c r="AW47" s="20"/>
      <c r="AX47" s="20"/>
      <c r="AY47" s="20"/>
      <c r="AZ47" s="20"/>
      <c r="BD47" s="1181" t="s">
        <v>2469</v>
      </c>
      <c r="BE47" s="1183" t="b">
        <f>Application!T196="Yes"</f>
        <v>0</v>
      </c>
    </row>
    <row r="48" spans="1:57" ht="13" customHeight="1">
      <c r="A48" s="1284"/>
      <c r="B48" s="1284"/>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c r="AK48" s="1284"/>
      <c r="AL48" s="1284"/>
      <c r="AM48" s="1284"/>
      <c r="AN48" s="1284"/>
      <c r="AO48" s="1284"/>
      <c r="AP48" s="1284"/>
      <c r="AQ48" s="1284"/>
      <c r="AR48" s="1284"/>
      <c r="AS48" s="1284"/>
      <c r="AT48" s="1284"/>
      <c r="AU48" s="20"/>
      <c r="AV48" s="20"/>
      <c r="AW48" s="20"/>
      <c r="AX48" s="20"/>
      <c r="AY48" s="20"/>
      <c r="AZ48" s="20"/>
      <c r="BD48" s="1182" t="s">
        <v>2470</v>
      </c>
      <c r="BE48" s="1183" t="str">
        <f>Application!M252</f>
        <v>Community Revitalization and Development Corporation</v>
      </c>
    </row>
    <row r="49" spans="1:57" ht="13" customHeight="1">
      <c r="A49" s="1284"/>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20"/>
      <c r="AV49" s="20"/>
      <c r="AW49" s="20"/>
      <c r="AX49" s="20"/>
      <c r="AY49" s="20"/>
      <c r="AZ49" s="20"/>
      <c r="BD49" s="1181" t="s">
        <v>2471</v>
      </c>
      <c r="BE49" s="1183" t="str">
        <f>Application!M255</f>
        <v>Shelby Marocco</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f>Application!AA258</f>
        <v>0</v>
      </c>
    </row>
    <row r="51" spans="1:57" ht="13" customHeight="1">
      <c r="A51" s="1276" t="s">
        <v>2105</v>
      </c>
      <c r="B51" s="1276"/>
      <c r="C51" s="1276"/>
      <c r="D51" s="1276"/>
      <c r="E51" s="1276"/>
      <c r="F51" s="1276"/>
      <c r="G51" s="1276"/>
      <c r="H51" s="1276"/>
      <c r="I51" s="1276"/>
      <c r="J51" s="1276"/>
      <c r="K51" s="1276"/>
      <c r="L51" s="1276"/>
      <c r="M51" s="1276"/>
      <c r="N51" s="1276"/>
      <c r="O51" s="1276"/>
      <c r="P51" s="1276"/>
      <c r="Q51" s="1276"/>
      <c r="R51" s="1276"/>
      <c r="S51" s="1276"/>
      <c r="T51" s="1276"/>
      <c r="U51" s="1276"/>
      <c r="V51" s="1276"/>
      <c r="W51" s="1276"/>
      <c r="X51" s="1276"/>
      <c r="Y51" s="1276"/>
      <c r="Z51" s="1276"/>
      <c r="AA51" s="1276"/>
      <c r="AB51" s="1276"/>
      <c r="AC51" s="1276"/>
      <c r="AD51" s="1276"/>
      <c r="AE51" s="1276"/>
      <c r="AF51" s="1276"/>
      <c r="AG51" s="1276"/>
      <c r="AH51" s="1276"/>
      <c r="AI51" s="1276"/>
      <c r="AJ51" s="1276"/>
      <c r="AK51" s="1276"/>
      <c r="AL51" s="1276"/>
      <c r="AM51" s="1276"/>
      <c r="AN51" s="1276"/>
      <c r="AO51" s="1276"/>
      <c r="AP51" s="1276"/>
      <c r="AQ51" s="1276"/>
      <c r="AR51" s="1276"/>
      <c r="AS51" s="1276"/>
      <c r="AT51" s="1276"/>
      <c r="AU51" s="20"/>
      <c r="AV51" s="20"/>
      <c r="AW51" s="20"/>
      <c r="AX51" s="20"/>
      <c r="AY51" s="20"/>
      <c r="AZ51" s="20"/>
      <c r="BD51" s="1181" t="s">
        <v>2473</v>
      </c>
      <c r="BE51" s="1183" t="str">
        <f>Application!M260</f>
        <v>125 Bethany LLC</v>
      </c>
    </row>
    <row r="52" spans="1:57" ht="13" customHeight="1">
      <c r="A52" s="1276"/>
      <c r="B52" s="1276"/>
      <c r="C52" s="1276"/>
      <c r="D52" s="1276"/>
      <c r="E52" s="1276"/>
      <c r="F52" s="1276"/>
      <c r="G52" s="1276"/>
      <c r="H52" s="1276"/>
      <c r="I52" s="1276"/>
      <c r="J52" s="1276"/>
      <c r="K52" s="1276"/>
      <c r="L52" s="1276"/>
      <c r="M52" s="1276"/>
      <c r="N52" s="1276"/>
      <c r="O52" s="1276"/>
      <c r="P52" s="1276"/>
      <c r="Q52" s="1276"/>
      <c r="R52" s="1276"/>
      <c r="S52" s="1276"/>
      <c r="T52" s="1276"/>
      <c r="U52" s="1276"/>
      <c r="V52" s="1276"/>
      <c r="W52" s="1276"/>
      <c r="X52" s="1276"/>
      <c r="Y52" s="1276"/>
      <c r="Z52" s="1276"/>
      <c r="AA52" s="1276"/>
      <c r="AB52" s="1276"/>
      <c r="AC52" s="1276"/>
      <c r="AD52" s="1276"/>
      <c r="AE52" s="1276"/>
      <c r="AF52" s="1276"/>
      <c r="AG52" s="1276"/>
      <c r="AH52" s="1276"/>
      <c r="AI52" s="1276"/>
      <c r="AJ52" s="1276"/>
      <c r="AK52" s="1276"/>
      <c r="AL52" s="1276"/>
      <c r="AM52" s="1276"/>
      <c r="AN52" s="1276"/>
      <c r="AO52" s="1276"/>
      <c r="AP52" s="1276"/>
      <c r="AQ52" s="1276"/>
      <c r="AR52" s="1276"/>
      <c r="AS52" s="1276"/>
      <c r="AT52" s="1276"/>
      <c r="AU52" s="20"/>
      <c r="AV52" s="20"/>
      <c r="AW52" s="20"/>
      <c r="AX52" s="20"/>
      <c r="AY52" s="20"/>
      <c r="AZ52" s="20"/>
      <c r="BD52" s="1182" t="s">
        <v>2474</v>
      </c>
      <c r="BE52" s="1183" t="str">
        <f>Application!M263</f>
        <v>Marc Welk</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Elsey Holdings (DBA- The Prime Company)</v>
      </c>
    </row>
    <row r="54" spans="1:57" ht="13" customHeight="1">
      <c r="A54" s="1276" t="s">
        <v>2106</v>
      </c>
      <c r="B54" s="1276"/>
      <c r="C54" s="1276"/>
      <c r="D54" s="1276"/>
      <c r="E54" s="1276"/>
      <c r="F54" s="1276"/>
      <c r="G54" s="1276"/>
      <c r="H54" s="1276"/>
      <c r="I54" s="1276"/>
      <c r="J54" s="1276"/>
      <c r="K54" s="1276"/>
      <c r="L54" s="1276"/>
      <c r="M54" s="1276"/>
      <c r="N54" s="1276"/>
      <c r="O54" s="1276"/>
      <c r="P54" s="1276"/>
      <c r="Q54" s="1276"/>
      <c r="R54" s="1276"/>
      <c r="S54" s="1276"/>
      <c r="T54" s="1276"/>
      <c r="U54" s="1276"/>
      <c r="V54" s="1276"/>
      <c r="W54" s="1276"/>
      <c r="X54" s="1276"/>
      <c r="Y54" s="1276"/>
      <c r="Z54" s="1276"/>
      <c r="AA54" s="1276"/>
      <c r="AB54" s="1276"/>
      <c r="AC54" s="1276"/>
      <c r="AD54" s="1276"/>
      <c r="AE54" s="1276"/>
      <c r="AF54" s="1276"/>
      <c r="AG54" s="1276"/>
      <c r="AH54" s="1276"/>
      <c r="AI54" s="1276"/>
      <c r="AJ54" s="1276"/>
      <c r="AK54" s="1276"/>
      <c r="AL54" s="1276"/>
      <c r="AM54" s="1276"/>
      <c r="AN54" s="1276"/>
      <c r="AO54" s="1276"/>
      <c r="AP54" s="1276"/>
      <c r="AQ54" s="1276"/>
      <c r="AR54" s="1276"/>
      <c r="AS54" s="1276"/>
      <c r="AT54" s="1276"/>
      <c r="AU54" s="20"/>
      <c r="AV54" s="20"/>
      <c r="AW54" s="20"/>
      <c r="AX54" s="20"/>
      <c r="AY54" s="20"/>
      <c r="AZ54" s="21"/>
      <c r="BD54" s="1182" t="s">
        <v>2476</v>
      </c>
      <c r="BE54" s="1183">
        <f>Application!M268</f>
        <v>0</v>
      </c>
    </row>
    <row r="55" spans="1:57" ht="13" customHeight="1">
      <c r="A55" s="1276"/>
      <c r="B55" s="1276"/>
      <c r="C55" s="1276"/>
      <c r="D55" s="1276"/>
      <c r="E55" s="1276"/>
      <c r="F55" s="1276"/>
      <c r="G55" s="1276"/>
      <c r="H55" s="1276"/>
      <c r="I55" s="1276"/>
      <c r="J55" s="1276"/>
      <c r="K55" s="1276"/>
      <c r="L55" s="1276"/>
      <c r="M55" s="1276"/>
      <c r="N55" s="1276"/>
      <c r="O55" s="1276"/>
      <c r="P55" s="1276"/>
      <c r="Q55" s="1276"/>
      <c r="R55" s="1276"/>
      <c r="S55" s="1276"/>
      <c r="T55" s="1276"/>
      <c r="U55" s="1276"/>
      <c r="V55" s="1276"/>
      <c r="W55" s="1276"/>
      <c r="X55" s="1276"/>
      <c r="Y55" s="1276"/>
      <c r="Z55" s="1276"/>
      <c r="AA55" s="1276"/>
      <c r="AB55" s="1276"/>
      <c r="AC55" s="1276"/>
      <c r="AD55" s="1276"/>
      <c r="AE55" s="1276"/>
      <c r="AF55" s="1276"/>
      <c r="AG55" s="1276"/>
      <c r="AH55" s="1276"/>
      <c r="AI55" s="1276"/>
      <c r="AJ55" s="1276"/>
      <c r="AK55" s="1276"/>
      <c r="AL55" s="1276"/>
      <c r="AM55" s="1276"/>
      <c r="AN55" s="1276"/>
      <c r="AO55" s="1276"/>
      <c r="AP55" s="1276"/>
      <c r="AQ55" s="1276"/>
      <c r="AR55" s="1276"/>
      <c r="AS55" s="1276"/>
      <c r="AT55" s="1276"/>
      <c r="AZ55" s="21"/>
      <c r="BD55" s="1181" t="s">
        <v>2477</v>
      </c>
      <c r="BE55" s="1183">
        <f>Application!M271</f>
        <v>0</v>
      </c>
    </row>
    <row r="56" spans="1:57" ht="13" customHeight="1">
      <c r="A56" s="1276"/>
      <c r="B56" s="1276"/>
      <c r="C56" s="1276"/>
      <c r="D56" s="1276"/>
      <c r="E56" s="1276"/>
      <c r="F56" s="1276"/>
      <c r="G56" s="1276"/>
      <c r="H56" s="1276"/>
      <c r="I56" s="1276"/>
      <c r="J56" s="1276"/>
      <c r="K56" s="1276"/>
      <c r="L56" s="1276"/>
      <c r="M56" s="1276"/>
      <c r="N56" s="1276"/>
      <c r="O56" s="1276"/>
      <c r="P56" s="1276"/>
      <c r="Q56" s="1276"/>
      <c r="R56" s="1276"/>
      <c r="S56" s="1276"/>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T56" s="1276"/>
      <c r="BD56" s="1182" t="s">
        <v>2478</v>
      </c>
      <c r="BE56" s="1183">
        <f>Application!AA274</f>
        <v>0</v>
      </c>
    </row>
    <row r="57" spans="1:57" ht="13" customHeight="1">
      <c r="A57" s="1276"/>
      <c r="B57" s="1276"/>
      <c r="C57" s="1276"/>
      <c r="D57" s="1276"/>
      <c r="E57" s="1276"/>
      <c r="F57" s="1276"/>
      <c r="G57" s="1276"/>
      <c r="H57" s="1276"/>
      <c r="I57" s="1276"/>
      <c r="J57" s="1276"/>
      <c r="K57" s="1276"/>
      <c r="L57" s="1276"/>
      <c r="M57" s="1276"/>
      <c r="N57" s="1276"/>
      <c r="O57" s="1276"/>
      <c r="P57" s="1276"/>
      <c r="Q57" s="1276"/>
      <c r="R57" s="1276"/>
      <c r="S57" s="1276"/>
      <c r="T57" s="1276"/>
      <c r="U57" s="1276"/>
      <c r="V57" s="1276"/>
      <c r="W57" s="1276"/>
      <c r="X57" s="1276"/>
      <c r="Y57" s="1276"/>
      <c r="Z57" s="1276"/>
      <c r="AA57" s="1276"/>
      <c r="AB57" s="1276"/>
      <c r="AC57" s="1276"/>
      <c r="AD57" s="1276"/>
      <c r="AE57" s="1276"/>
      <c r="AF57" s="1276"/>
      <c r="AG57" s="1276"/>
      <c r="AH57" s="1276"/>
      <c r="AI57" s="1276"/>
      <c r="AJ57" s="1276"/>
      <c r="AK57" s="1276"/>
      <c r="AL57" s="1276"/>
      <c r="AM57" s="1276"/>
      <c r="AN57" s="1276"/>
      <c r="AO57" s="1276"/>
      <c r="AP57" s="1276"/>
      <c r="AQ57" s="1276"/>
      <c r="AR57" s="1276"/>
      <c r="AS57" s="1276"/>
      <c r="AT57" s="1276"/>
      <c r="BD57" s="1181" t="s">
        <v>2479</v>
      </c>
      <c r="BE57" s="1183" t="str">
        <f>Application!H296</f>
        <v>Elsey Affordable Developers, LLC</v>
      </c>
    </row>
    <row r="58" spans="1:57" ht="13" customHeight="1">
      <c r="A58" s="1276"/>
      <c r="B58" s="1276"/>
      <c r="C58" s="1276"/>
      <c r="D58" s="1276"/>
      <c r="E58" s="1276"/>
      <c r="F58" s="1276"/>
      <c r="G58" s="1276"/>
      <c r="H58" s="1276"/>
      <c r="I58" s="1276"/>
      <c r="J58" s="1276"/>
      <c r="K58" s="1276"/>
      <c r="L58" s="1276"/>
      <c r="M58" s="1276"/>
      <c r="N58" s="1276"/>
      <c r="O58" s="1276"/>
      <c r="P58" s="1276"/>
      <c r="Q58" s="1276"/>
      <c r="R58" s="1276"/>
      <c r="S58" s="1276"/>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T58" s="1276"/>
      <c r="BD58" s="1182" t="s">
        <v>2480</v>
      </c>
      <c r="BE58" s="1183" t="str">
        <f>Application!H297</f>
        <v>2021 Vanesta Pl- Suite A</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Manhattan, KS 66503</v>
      </c>
    </row>
    <row r="60" spans="1:57" ht="13" customHeight="1">
      <c r="A60" s="1276" t="s">
        <v>2107</v>
      </c>
      <c r="B60" s="1276"/>
      <c r="C60" s="1276"/>
      <c r="D60" s="1276"/>
      <c r="E60" s="1276"/>
      <c r="F60" s="1276"/>
      <c r="G60" s="1276"/>
      <c r="H60" s="1276"/>
      <c r="I60" s="1276"/>
      <c r="J60" s="1276"/>
      <c r="K60" s="1276"/>
      <c r="L60" s="1276"/>
      <c r="M60" s="1276"/>
      <c r="N60" s="1276"/>
      <c r="O60" s="1276"/>
      <c r="P60" s="1276"/>
      <c r="Q60" s="1276"/>
      <c r="R60" s="1276"/>
      <c r="S60" s="1276"/>
      <c r="T60" s="1276"/>
      <c r="U60" s="1276"/>
      <c r="V60" s="1276"/>
      <c r="W60" s="1276"/>
      <c r="X60" s="1276"/>
      <c r="Y60" s="1276"/>
      <c r="Z60" s="1276"/>
      <c r="AA60" s="1276"/>
      <c r="AB60" s="1276"/>
      <c r="AC60" s="1276"/>
      <c r="AD60" s="1276"/>
      <c r="AE60" s="1276"/>
      <c r="AF60" s="1276"/>
      <c r="AG60" s="1276"/>
      <c r="AH60" s="1276"/>
      <c r="AI60" s="1276"/>
      <c r="AJ60" s="1276"/>
      <c r="AK60" s="1276"/>
      <c r="AL60" s="1276"/>
      <c r="AM60" s="1276"/>
      <c r="AN60" s="1276"/>
      <c r="AO60" s="1276"/>
      <c r="AP60" s="1276"/>
      <c r="AQ60" s="1276"/>
      <c r="AR60" s="1276"/>
      <c r="AS60" s="1276"/>
      <c r="AT60" s="1276"/>
      <c r="AU60" s="20"/>
      <c r="AV60" s="20"/>
      <c r="AW60" s="20"/>
      <c r="AX60" s="20"/>
      <c r="AY60" s="20"/>
      <c r="AZ60" s="20"/>
      <c r="BD60" s="1182" t="s">
        <v>2482</v>
      </c>
      <c r="BE60" s="1183" t="str">
        <f>Application!H299</f>
        <v>Chris Elsey</v>
      </c>
    </row>
    <row r="61" spans="1:57" ht="13" customHeight="1">
      <c r="A61" s="1276"/>
      <c r="B61" s="1276"/>
      <c r="C61" s="1276"/>
      <c r="D61" s="1276"/>
      <c r="E61" s="1276"/>
      <c r="F61" s="1276"/>
      <c r="G61" s="1276"/>
      <c r="H61" s="1276"/>
      <c r="I61" s="1276"/>
      <c r="J61" s="1276"/>
      <c r="K61" s="1276"/>
      <c r="L61" s="1276"/>
      <c r="M61" s="1276"/>
      <c r="N61" s="1276"/>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6"/>
      <c r="AT61" s="1276"/>
      <c r="AU61" s="20"/>
      <c r="AV61" s="20"/>
      <c r="AW61" s="20"/>
      <c r="AX61" s="20"/>
      <c r="AY61" s="20"/>
      <c r="AZ61" s="20"/>
      <c r="BD61" s="1181" t="s">
        <v>2483</v>
      </c>
      <c r="BE61" s="1183" t="str">
        <f>Application!H302</f>
        <v>Chris@theprimecompany.com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0.83991609</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0.89</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 customHeight="1">
      <c r="A65" s="1489" t="s">
        <v>2109</v>
      </c>
      <c r="B65" s="1489"/>
      <c r="C65" s="1489"/>
      <c r="D65" s="1489"/>
      <c r="E65" s="1489"/>
      <c r="F65" s="1489"/>
      <c r="G65" s="1489"/>
      <c r="H65" s="1489"/>
      <c r="I65" s="1489"/>
      <c r="J65" s="1489"/>
      <c r="K65" s="1489"/>
      <c r="L65" s="1489"/>
      <c r="M65" s="1489"/>
      <c r="N65" s="1489"/>
      <c r="O65" s="1489"/>
      <c r="P65" s="1489"/>
      <c r="Q65" s="1489"/>
      <c r="R65" s="1489"/>
      <c r="S65" s="1489"/>
      <c r="T65" s="1489"/>
      <c r="U65" s="1489"/>
      <c r="V65" s="1489"/>
      <c r="W65" s="1489"/>
      <c r="X65" s="1489"/>
      <c r="Y65" s="1489"/>
      <c r="Z65" s="1489"/>
      <c r="AA65" s="1489"/>
      <c r="AB65" s="1489"/>
      <c r="AC65" s="1489"/>
      <c r="AD65" s="1489"/>
      <c r="AE65" s="1489"/>
      <c r="AF65" s="1489"/>
      <c r="AG65" s="1489"/>
      <c r="AH65" s="1489"/>
      <c r="AI65" s="1489"/>
      <c r="AJ65" s="1489"/>
      <c r="AK65" s="1489"/>
      <c r="AL65" s="1489"/>
      <c r="AM65" s="1489"/>
      <c r="AN65" s="1489"/>
      <c r="AO65" s="1489"/>
      <c r="AP65" s="1489"/>
      <c r="AQ65" s="1489"/>
      <c r="AR65" s="1489"/>
      <c r="AS65" s="1489"/>
      <c r="AT65" s="1489"/>
      <c r="AU65" s="21"/>
      <c r="AV65" s="21"/>
      <c r="AW65" s="21"/>
      <c r="AX65" s="21"/>
      <c r="AY65" s="21"/>
      <c r="AZ65" s="20"/>
      <c r="BD65" s="1181" t="s">
        <v>2519</v>
      </c>
      <c r="BE65" s="1183" t="str">
        <f>Z205</f>
        <v>$500M</v>
      </c>
    </row>
    <row r="66" spans="1:57" ht="13" customHeight="1">
      <c r="A66" s="1489"/>
      <c r="B66" s="1489"/>
      <c r="C66" s="1489"/>
      <c r="D66" s="1489"/>
      <c r="E66" s="1489"/>
      <c r="F66" s="1489"/>
      <c r="G66" s="1489"/>
      <c r="H66" s="1489"/>
      <c r="I66" s="1489"/>
      <c r="J66" s="1489"/>
      <c r="K66" s="1489"/>
      <c r="L66" s="1489"/>
      <c r="M66" s="1489"/>
      <c r="N66" s="1489"/>
      <c r="O66" s="1489"/>
      <c r="P66" s="1489"/>
      <c r="Q66" s="1489"/>
      <c r="R66" s="1489"/>
      <c r="S66" s="1489"/>
      <c r="T66" s="1489"/>
      <c r="U66" s="1489"/>
      <c r="V66" s="1489"/>
      <c r="W66" s="1489"/>
      <c r="X66" s="1489"/>
      <c r="Y66" s="1489"/>
      <c r="Z66" s="1489"/>
      <c r="AA66" s="1489"/>
      <c r="AB66" s="1489"/>
      <c r="AC66" s="1489"/>
      <c r="AD66" s="1489"/>
      <c r="AE66" s="1489"/>
      <c r="AF66" s="1489"/>
      <c r="AG66" s="1489"/>
      <c r="AH66" s="1489"/>
      <c r="AI66" s="1489"/>
      <c r="AJ66" s="1489"/>
      <c r="AK66" s="1489"/>
      <c r="AL66" s="1489"/>
      <c r="AM66" s="1489"/>
      <c r="AN66" s="1489"/>
      <c r="AO66" s="1489"/>
      <c r="AP66" s="1489"/>
      <c r="AQ66" s="1489"/>
      <c r="AR66" s="1489"/>
      <c r="AS66" s="1489"/>
      <c r="AT66" s="1489"/>
      <c r="AU66" s="21"/>
      <c r="AV66" s="21"/>
      <c r="AW66" s="21"/>
      <c r="AX66" s="21"/>
      <c r="AY66" s="21"/>
      <c r="AZ66" s="20"/>
      <c r="BD66" s="1182" t="s">
        <v>2486</v>
      </c>
      <c r="BE66" s="1183" t="b">
        <f>Application!Z205="State Farmworker Credit"</f>
        <v>0</v>
      </c>
    </row>
    <row r="67" spans="1:57" ht="13" customHeight="1">
      <c r="A67" s="1489"/>
      <c r="B67" s="1489"/>
      <c r="C67" s="1489"/>
      <c r="D67" s="1489"/>
      <c r="E67" s="1489"/>
      <c r="F67" s="1489"/>
      <c r="G67" s="1489"/>
      <c r="H67" s="1489"/>
      <c r="I67" s="1489"/>
      <c r="J67" s="1489"/>
      <c r="K67" s="1489"/>
      <c r="L67" s="1489"/>
      <c r="M67" s="1489"/>
      <c r="N67" s="1489"/>
      <c r="O67" s="1489"/>
      <c r="P67" s="1489"/>
      <c r="Q67" s="1489"/>
      <c r="R67" s="1489"/>
      <c r="S67" s="1489"/>
      <c r="T67" s="1489"/>
      <c r="U67" s="1489"/>
      <c r="V67" s="1489"/>
      <c r="W67" s="1489"/>
      <c r="X67" s="1489"/>
      <c r="Y67" s="1489"/>
      <c r="Z67" s="1489"/>
      <c r="AA67" s="1489"/>
      <c r="AB67" s="1489"/>
      <c r="AC67" s="1489"/>
      <c r="AD67" s="1489"/>
      <c r="AE67" s="1489"/>
      <c r="AF67" s="1489"/>
      <c r="AG67" s="1489"/>
      <c r="AH67" s="1489"/>
      <c r="AI67" s="1489"/>
      <c r="AJ67" s="1489"/>
      <c r="AK67" s="1489"/>
      <c r="AL67" s="1489"/>
      <c r="AM67" s="1489"/>
      <c r="AN67" s="1489"/>
      <c r="AO67" s="1489"/>
      <c r="AP67" s="1489"/>
      <c r="AQ67" s="1489"/>
      <c r="AR67" s="1489"/>
      <c r="AS67" s="1489"/>
      <c r="AT67" s="1489"/>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 customHeight="1">
      <c r="A69" s="1489" t="s">
        <v>2110</v>
      </c>
      <c r="B69" s="1489"/>
      <c r="C69" s="1489"/>
      <c r="D69" s="1489"/>
      <c r="E69" s="1489"/>
      <c r="F69" s="1489"/>
      <c r="G69" s="1489"/>
      <c r="H69" s="1489"/>
      <c r="I69" s="1489"/>
      <c r="J69" s="1489"/>
      <c r="K69" s="1489"/>
      <c r="L69" s="1489"/>
      <c r="M69" s="1489"/>
      <c r="N69" s="1489"/>
      <c r="O69" s="1489"/>
      <c r="P69" s="1489"/>
      <c r="Q69" s="1489"/>
      <c r="R69" s="1489"/>
      <c r="S69" s="1489"/>
      <c r="T69" s="1489"/>
      <c r="U69" s="1489"/>
      <c r="V69" s="1489"/>
      <c r="W69" s="1489"/>
      <c r="X69" s="1489"/>
      <c r="Y69" s="1489"/>
      <c r="Z69" s="1489"/>
      <c r="AA69" s="1489"/>
      <c r="AB69" s="1489"/>
      <c r="AC69" s="1489"/>
      <c r="AD69" s="1489"/>
      <c r="AE69" s="1489"/>
      <c r="AF69" s="1489"/>
      <c r="AG69" s="1489"/>
      <c r="AH69" s="1489"/>
      <c r="AI69" s="1489"/>
      <c r="AJ69" s="1489"/>
      <c r="AK69" s="1489"/>
      <c r="AL69" s="1489"/>
      <c r="AM69" s="1489"/>
      <c r="AN69" s="1489"/>
      <c r="AO69" s="1489"/>
      <c r="AP69" s="1489"/>
      <c r="AQ69" s="1489"/>
      <c r="AR69" s="1489"/>
      <c r="AS69" s="1489"/>
      <c r="AT69" s="1489"/>
      <c r="AZ69" s="20"/>
      <c r="BD69" s="1181" t="s">
        <v>2489</v>
      </c>
      <c r="BE69" s="1183" t="str">
        <f>Application!W708</f>
        <v>California Housing Finance Agency</v>
      </c>
    </row>
    <row r="70" spans="1:57" ht="13" customHeight="1">
      <c r="A70" s="1489"/>
      <c r="B70" s="1489"/>
      <c r="C70" s="1489"/>
      <c r="D70" s="1489"/>
      <c r="E70" s="1489"/>
      <c r="F70" s="1489"/>
      <c r="G70" s="1489"/>
      <c r="H70" s="1489"/>
      <c r="I70" s="1489"/>
      <c r="J70" s="1489"/>
      <c r="K70" s="1489"/>
      <c r="L70" s="1489"/>
      <c r="M70" s="1489"/>
      <c r="N70" s="1489"/>
      <c r="O70" s="1489"/>
      <c r="P70" s="1489"/>
      <c r="Q70" s="1489"/>
      <c r="R70" s="1489"/>
      <c r="S70" s="1489"/>
      <c r="T70" s="1489"/>
      <c r="U70" s="1489"/>
      <c r="V70" s="1489"/>
      <c r="W70" s="1489"/>
      <c r="X70" s="1489"/>
      <c r="Y70" s="1489"/>
      <c r="Z70" s="1489"/>
      <c r="AA70" s="1489"/>
      <c r="AB70" s="1489"/>
      <c r="AC70" s="1489"/>
      <c r="AD70" s="1489"/>
      <c r="AE70" s="1489"/>
      <c r="AF70" s="1489"/>
      <c r="AG70" s="1489"/>
      <c r="AH70" s="1489"/>
      <c r="AI70" s="1489"/>
      <c r="AJ70" s="1489"/>
      <c r="AK70" s="1489"/>
      <c r="AL70" s="1489"/>
      <c r="AM70" s="1489"/>
      <c r="AN70" s="1489"/>
      <c r="AO70" s="1489"/>
      <c r="AP70" s="1489"/>
      <c r="AQ70" s="1489"/>
      <c r="AR70" s="1489"/>
      <c r="AS70" s="1489"/>
      <c r="AT70" s="1489"/>
      <c r="AU70" s="20"/>
      <c r="AV70" s="20"/>
      <c r="AW70" s="20"/>
      <c r="AX70" s="20"/>
      <c r="AY70" s="20"/>
      <c r="AZ70" s="20"/>
      <c r="BD70" s="1182" t="s">
        <v>2490</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 customHeight="1">
      <c r="A72" s="1487" t="s">
        <v>2111</v>
      </c>
      <c r="B72" s="1487"/>
      <c r="C72" s="1487"/>
      <c r="D72" s="1487"/>
      <c r="E72" s="1487"/>
      <c r="F72" s="1487"/>
      <c r="G72" s="1487"/>
      <c r="H72" s="1487"/>
      <c r="I72" s="1487"/>
      <c r="J72" s="1487"/>
      <c r="K72" s="1487"/>
      <c r="L72" s="1487"/>
      <c r="M72" s="1487"/>
      <c r="N72" s="1487"/>
      <c r="O72" s="1487"/>
      <c r="P72" s="1487"/>
      <c r="Q72" s="1487"/>
      <c r="R72" s="1487"/>
      <c r="S72" s="1487"/>
      <c r="T72" s="1487"/>
      <c r="U72" s="1487"/>
      <c r="V72" s="1487"/>
      <c r="W72" s="1487"/>
      <c r="X72" s="1487"/>
      <c r="Y72" s="1487"/>
      <c r="Z72" s="1487"/>
      <c r="AA72" s="1487"/>
      <c r="AB72" s="1487"/>
      <c r="AC72" s="1487"/>
      <c r="AD72" s="1487"/>
      <c r="AE72" s="1487"/>
      <c r="AF72" s="1487"/>
      <c r="AG72" s="1487"/>
      <c r="AH72" s="1487"/>
      <c r="AI72" s="1487"/>
      <c r="AJ72" s="1487"/>
      <c r="AK72" s="1487"/>
      <c r="AL72" s="1487"/>
      <c r="AM72" s="1487"/>
      <c r="AN72" s="1487"/>
      <c r="AO72" s="1487"/>
      <c r="AP72" s="1487"/>
      <c r="AQ72" s="1487"/>
      <c r="AR72" s="1487"/>
      <c r="AS72" s="1487"/>
      <c r="AT72" s="1487"/>
      <c r="AU72" s="20"/>
      <c r="AV72" s="20"/>
      <c r="AW72" s="20"/>
      <c r="AX72" s="20"/>
      <c r="AY72" s="20"/>
      <c r="AZ72" s="20"/>
      <c r="BD72" s="1182" t="s">
        <v>2491</v>
      </c>
      <c r="BE72" s="1183">
        <f>'Points System'!AF827</f>
        <v>10</v>
      </c>
    </row>
    <row r="73" spans="1:57" ht="13" customHeight="1">
      <c r="A73" s="1487"/>
      <c r="B73" s="1487"/>
      <c r="C73" s="1487"/>
      <c r="D73" s="1487"/>
      <c r="E73" s="1487"/>
      <c r="F73" s="1487"/>
      <c r="G73" s="1487"/>
      <c r="H73" s="1487"/>
      <c r="I73" s="1487"/>
      <c r="J73" s="1487"/>
      <c r="K73" s="1487"/>
      <c r="L73" s="1487"/>
      <c r="M73" s="1487"/>
      <c r="N73" s="1487"/>
      <c r="O73" s="1487"/>
      <c r="P73" s="1487"/>
      <c r="Q73" s="1487"/>
      <c r="R73" s="1487"/>
      <c r="S73" s="1487"/>
      <c r="T73" s="1487"/>
      <c r="U73" s="1487"/>
      <c r="V73" s="1487"/>
      <c r="W73" s="1487"/>
      <c r="X73" s="1487"/>
      <c r="Y73" s="1487"/>
      <c r="Z73" s="1487"/>
      <c r="AA73" s="1487"/>
      <c r="AB73" s="1487"/>
      <c r="AC73" s="1487"/>
      <c r="AD73" s="1487"/>
      <c r="AE73" s="1487"/>
      <c r="AF73" s="1487"/>
      <c r="AG73" s="1487"/>
      <c r="AH73" s="1487"/>
      <c r="AI73" s="1487"/>
      <c r="AJ73" s="1487"/>
      <c r="AK73" s="1487"/>
      <c r="AL73" s="1487"/>
      <c r="AM73" s="1487"/>
      <c r="AN73" s="1487"/>
      <c r="AO73" s="1487"/>
      <c r="AP73" s="1487"/>
      <c r="AQ73" s="1487"/>
      <c r="AR73" s="1487"/>
      <c r="AS73" s="1487"/>
      <c r="AT73" s="1487"/>
      <c r="AU73" s="20"/>
      <c r="AV73" s="20"/>
      <c r="AW73" s="20"/>
      <c r="AX73" s="20"/>
      <c r="AY73" s="20"/>
      <c r="AZ73" s="20"/>
      <c r="BD73" s="1181" t="s">
        <v>2492</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792" t="s">
        <v>2112</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c r="BD75" s="1181" t="s">
        <v>2494</v>
      </c>
      <c r="BE75" s="1183">
        <f>'Points System'!AF830</f>
        <v>10</v>
      </c>
    </row>
    <row r="76" spans="1:57" ht="13"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c r="BD76" s="1182" t="s">
        <v>2495</v>
      </c>
      <c r="BE76" s="1183">
        <f>'Points System'!AF833</f>
        <v>10</v>
      </c>
    </row>
    <row r="77" spans="1:57" ht="13"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489" t="s">
        <v>2113</v>
      </c>
      <c r="B79" s="1489"/>
      <c r="C79" s="1489"/>
      <c r="D79" s="1489"/>
      <c r="E79" s="1489"/>
      <c r="F79" s="1489"/>
      <c r="G79" s="1489"/>
      <c r="H79" s="1489"/>
      <c r="I79" s="1489"/>
      <c r="J79" s="1489"/>
      <c r="K79" s="1489"/>
      <c r="L79" s="1489"/>
      <c r="M79" s="1489"/>
      <c r="N79" s="1489"/>
      <c r="O79" s="1489"/>
      <c r="P79" s="1489"/>
      <c r="Q79" s="1489"/>
      <c r="R79" s="1489"/>
      <c r="S79" s="1489"/>
      <c r="T79" s="1489"/>
      <c r="U79" s="1489"/>
      <c r="V79" s="1489"/>
      <c r="W79" s="1489"/>
      <c r="X79" s="1489"/>
      <c r="Y79" s="1489"/>
      <c r="Z79" s="1489"/>
      <c r="AA79" s="1489"/>
      <c r="AB79" s="1489"/>
      <c r="AC79" s="1489"/>
      <c r="AD79" s="1489"/>
      <c r="AE79" s="1489"/>
      <c r="AF79" s="1489"/>
      <c r="AG79" s="1489"/>
      <c r="AH79" s="1489"/>
      <c r="AI79" s="1489"/>
      <c r="AJ79" s="1489"/>
      <c r="AK79" s="1489"/>
      <c r="AL79" s="1489"/>
      <c r="AM79" s="1489"/>
      <c r="AN79" s="1489"/>
      <c r="AO79" s="1489"/>
      <c r="AP79" s="1489"/>
      <c r="AQ79" s="1489"/>
      <c r="AR79" s="1489"/>
      <c r="AS79" s="1489"/>
      <c r="AT79" s="1489"/>
      <c r="AU79" s="20"/>
      <c r="AV79" s="20"/>
      <c r="AW79" s="20"/>
      <c r="AX79" s="20"/>
      <c r="AY79" s="20"/>
      <c r="AZ79" s="20"/>
      <c r="BD79" s="1181" t="s">
        <v>2612</v>
      </c>
      <c r="BE79" s="1183">
        <f>'Points System'!AF837</f>
        <v>10</v>
      </c>
    </row>
    <row r="80" spans="1:57" ht="13" customHeight="1">
      <c r="A80" s="1489"/>
      <c r="B80" s="1489"/>
      <c r="C80" s="1489"/>
      <c r="D80" s="1489"/>
      <c r="E80" s="1489"/>
      <c r="F80" s="1489"/>
      <c r="G80" s="1489"/>
      <c r="H80" s="1489"/>
      <c r="I80" s="1489"/>
      <c r="J80" s="1489"/>
      <c r="K80" s="1489"/>
      <c r="L80" s="1489"/>
      <c r="M80" s="1489"/>
      <c r="N80" s="1489"/>
      <c r="O80" s="1489"/>
      <c r="P80" s="1489"/>
      <c r="Q80" s="1489"/>
      <c r="R80" s="1489"/>
      <c r="S80" s="1489"/>
      <c r="T80" s="1489"/>
      <c r="U80" s="1489"/>
      <c r="V80" s="1489"/>
      <c r="W80" s="1489"/>
      <c r="X80" s="1489"/>
      <c r="Y80" s="1489"/>
      <c r="Z80" s="1489"/>
      <c r="AA80" s="1489"/>
      <c r="AB80" s="1489"/>
      <c r="AC80" s="1489"/>
      <c r="AD80" s="1489"/>
      <c r="AE80" s="1489"/>
      <c r="AF80" s="1489"/>
      <c r="AG80" s="1489"/>
      <c r="AH80" s="1489"/>
      <c r="AI80" s="1489"/>
      <c r="AJ80" s="1489"/>
      <c r="AK80" s="1489"/>
      <c r="AL80" s="1489"/>
      <c r="AM80" s="1489"/>
      <c r="AN80" s="1489"/>
      <c r="AO80" s="1489"/>
      <c r="AP80" s="1489"/>
      <c r="AQ80" s="1489"/>
      <c r="AR80" s="1489"/>
      <c r="AS80" s="1489"/>
      <c r="AT80" s="1489"/>
      <c r="AU80" s="20"/>
      <c r="AV80" s="20"/>
      <c r="AW80" s="20"/>
      <c r="AX80" s="20"/>
      <c r="AY80" s="20"/>
      <c r="AZ80" s="20"/>
      <c r="BD80" s="1182" t="s">
        <v>2498</v>
      </c>
      <c r="BE80" s="1183">
        <f>'Points System'!AF839</f>
        <v>10</v>
      </c>
    </row>
    <row r="81" spans="1:57" ht="13" customHeight="1">
      <c r="A81" s="1489"/>
      <c r="B81" s="1489"/>
      <c r="C81" s="1489"/>
      <c r="D81" s="1489"/>
      <c r="E81" s="1489"/>
      <c r="F81" s="1489"/>
      <c r="G81" s="1489"/>
      <c r="H81" s="1489"/>
      <c r="I81" s="1489"/>
      <c r="J81" s="1489"/>
      <c r="K81" s="1489"/>
      <c r="L81" s="1489"/>
      <c r="M81" s="1489"/>
      <c r="N81" s="1489"/>
      <c r="O81" s="1489"/>
      <c r="P81" s="1489"/>
      <c r="Q81" s="1489"/>
      <c r="R81" s="1489"/>
      <c r="S81" s="1489"/>
      <c r="T81" s="1489"/>
      <c r="U81" s="1489"/>
      <c r="V81" s="1489"/>
      <c r="W81" s="1489"/>
      <c r="X81" s="1489"/>
      <c r="Y81" s="1489"/>
      <c r="Z81" s="1489"/>
      <c r="AA81" s="1489"/>
      <c r="AB81" s="1489"/>
      <c r="AC81" s="1489"/>
      <c r="AD81" s="1489"/>
      <c r="AE81" s="1489"/>
      <c r="AF81" s="1489"/>
      <c r="AG81" s="1489"/>
      <c r="AH81" s="1489"/>
      <c r="AI81" s="1489"/>
      <c r="AJ81" s="1489"/>
      <c r="AK81" s="1489"/>
      <c r="AL81" s="1489"/>
      <c r="AM81" s="1489"/>
      <c r="AN81" s="1489"/>
      <c r="AO81" s="1489"/>
      <c r="AP81" s="1489"/>
      <c r="AQ81" s="1489"/>
      <c r="AR81" s="1489"/>
      <c r="AS81" s="1489"/>
      <c r="AT81" s="1489"/>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276" t="s">
        <v>2114</v>
      </c>
      <c r="B83" s="1276"/>
      <c r="C83" s="1276"/>
      <c r="D83" s="1276"/>
      <c r="E83" s="1276"/>
      <c r="F83" s="1276"/>
      <c r="G83" s="1276"/>
      <c r="H83" s="1276"/>
      <c r="I83" s="1276"/>
      <c r="J83" s="1276"/>
      <c r="K83" s="1276"/>
      <c r="L83" s="1276"/>
      <c r="M83" s="1276"/>
      <c r="N83" s="1276"/>
      <c r="O83" s="1276"/>
      <c r="P83" s="1276"/>
      <c r="Q83" s="1276"/>
      <c r="R83" s="1276"/>
      <c r="S83" s="1276"/>
      <c r="T83" s="1276"/>
      <c r="U83" s="1276"/>
      <c r="V83" s="1276"/>
      <c r="W83" s="1276"/>
      <c r="X83" s="1276"/>
      <c r="Y83" s="1276"/>
      <c r="Z83" s="1276"/>
      <c r="AA83" s="1276"/>
      <c r="AB83" s="1276"/>
      <c r="AC83" s="1276"/>
      <c r="AD83" s="1276"/>
      <c r="AE83" s="1276"/>
      <c r="AF83" s="1276"/>
      <c r="AG83" s="1276"/>
      <c r="AH83" s="1276"/>
      <c r="AI83" s="1276"/>
      <c r="AJ83" s="1276"/>
      <c r="AK83" s="1276"/>
      <c r="AL83" s="1276"/>
      <c r="AM83" s="1276"/>
      <c r="AN83" s="1276"/>
      <c r="AO83" s="1276"/>
      <c r="AP83" s="1276"/>
      <c r="AQ83" s="1276"/>
      <c r="AR83" s="1276"/>
      <c r="AS83" s="1276"/>
      <c r="AT83" s="1276"/>
      <c r="AU83" s="20"/>
      <c r="AV83" s="20"/>
      <c r="AW83" s="20"/>
      <c r="AX83" s="20"/>
      <c r="AY83" s="20"/>
      <c r="AZ83" s="20"/>
      <c r="BD83" s="1181" t="s">
        <v>2501</v>
      </c>
      <c r="BE83" s="1187">
        <f>'Tie Breaker'!H5</f>
        <v>1.7740541755381845</v>
      </c>
    </row>
    <row r="84" spans="1:57" ht="13" customHeight="1">
      <c r="A84" s="1276"/>
      <c r="B84" s="1276"/>
      <c r="C84" s="1276"/>
      <c r="D84" s="1276"/>
      <c r="E84" s="1276"/>
      <c r="F84" s="1276"/>
      <c r="G84" s="1276"/>
      <c r="H84" s="1276"/>
      <c r="I84" s="1276"/>
      <c r="J84" s="1276"/>
      <c r="K84" s="1276"/>
      <c r="L84" s="1276"/>
      <c r="M84" s="1276"/>
      <c r="N84" s="1276"/>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c r="AL84" s="1276"/>
      <c r="AM84" s="1276"/>
      <c r="AN84" s="1276"/>
      <c r="AO84" s="1276"/>
      <c r="AP84" s="1276"/>
      <c r="AQ84" s="1276"/>
      <c r="AR84" s="1276"/>
      <c r="AS84" s="1276"/>
      <c r="AT84" s="1276"/>
      <c r="AU84" s="20"/>
      <c r="AV84" s="20"/>
      <c r="AW84" s="20"/>
      <c r="AX84" s="20"/>
      <c r="AY84" s="20"/>
      <c r="AZ84" s="20"/>
      <c r="BD84" s="1182" t="s">
        <v>2502</v>
      </c>
      <c r="BE84" s="1183" t="str">
        <f>Application!O153</f>
        <v>City of Scotts Valley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Mali LaGoe</v>
      </c>
    </row>
    <row r="86" spans="1:57" ht="13" customHeight="1">
      <c r="A86" s="1276" t="s">
        <v>2115</v>
      </c>
      <c r="B86" s="1276"/>
      <c r="C86" s="1276"/>
      <c r="D86" s="1276"/>
      <c r="E86" s="1276"/>
      <c r="F86" s="1276"/>
      <c r="G86" s="1276"/>
      <c r="H86" s="1276"/>
      <c r="I86" s="1276"/>
      <c r="J86" s="1276"/>
      <c r="K86" s="1276"/>
      <c r="L86" s="1276"/>
      <c r="M86" s="1276"/>
      <c r="N86" s="1276"/>
      <c r="O86" s="1276"/>
      <c r="P86" s="1276"/>
      <c r="Q86" s="1276"/>
      <c r="R86" s="1276"/>
      <c r="S86" s="1276"/>
      <c r="T86" s="1276"/>
      <c r="U86" s="1276"/>
      <c r="V86" s="1276"/>
      <c r="W86" s="1276"/>
      <c r="X86" s="1276"/>
      <c r="Y86" s="1276"/>
      <c r="Z86" s="1276"/>
      <c r="AA86" s="1276"/>
      <c r="AB86" s="1276"/>
      <c r="AC86" s="1276"/>
      <c r="AD86" s="1276"/>
      <c r="AE86" s="1276"/>
      <c r="AF86" s="1276"/>
      <c r="AG86" s="1276"/>
      <c r="AH86" s="1276"/>
      <c r="AI86" s="1276"/>
      <c r="AJ86" s="1276"/>
      <c r="AK86" s="1276"/>
      <c r="AL86" s="1276"/>
      <c r="AM86" s="1276"/>
      <c r="AN86" s="1276"/>
      <c r="AO86" s="1276"/>
      <c r="AP86" s="1276"/>
      <c r="AQ86" s="1276"/>
      <c r="AR86" s="1276"/>
      <c r="AS86" s="1276"/>
      <c r="AT86" s="1276"/>
      <c r="AU86" s="20"/>
      <c r="AV86" s="20"/>
      <c r="AW86" s="20"/>
      <c r="AX86" s="20"/>
      <c r="AY86" s="20"/>
      <c r="AZ86" s="20"/>
      <c r="BD86" s="1182" t="s">
        <v>2504</v>
      </c>
      <c r="BE86" s="1183" t="str">
        <f>Application!O155</f>
        <v>City Manager</v>
      </c>
    </row>
    <row r="87" spans="1:57" ht="13" customHeight="1">
      <c r="A87" s="1276"/>
      <c r="B87" s="1276"/>
      <c r="C87" s="1276"/>
      <c r="D87" s="1276"/>
      <c r="E87" s="1276"/>
      <c r="F87" s="1276"/>
      <c r="G87" s="1276"/>
      <c r="H87" s="1276"/>
      <c r="I87" s="1276"/>
      <c r="J87" s="1276"/>
      <c r="K87" s="1276"/>
      <c r="L87" s="1276"/>
      <c r="M87" s="1276"/>
      <c r="N87" s="1276"/>
      <c r="O87" s="1276"/>
      <c r="P87" s="1276"/>
      <c r="Q87" s="1276"/>
      <c r="R87" s="1276"/>
      <c r="S87" s="1276"/>
      <c r="T87" s="1276"/>
      <c r="U87" s="1276"/>
      <c r="V87" s="1276"/>
      <c r="W87" s="1276"/>
      <c r="X87" s="1276"/>
      <c r="Y87" s="1276"/>
      <c r="Z87" s="1276"/>
      <c r="AA87" s="1276"/>
      <c r="AB87" s="1276"/>
      <c r="AC87" s="1276"/>
      <c r="AD87" s="1276"/>
      <c r="AE87" s="1276"/>
      <c r="AF87" s="1276"/>
      <c r="AG87" s="1276"/>
      <c r="AH87" s="1276"/>
      <c r="AI87" s="1276"/>
      <c r="AJ87" s="1276"/>
      <c r="AK87" s="1276"/>
      <c r="AL87" s="1276"/>
      <c r="AM87" s="1276"/>
      <c r="AN87" s="1276"/>
      <c r="AO87" s="1276"/>
      <c r="AP87" s="1276"/>
      <c r="AQ87" s="1276"/>
      <c r="AR87" s="1276"/>
      <c r="AS87" s="1276"/>
      <c r="AT87" s="1276"/>
      <c r="AU87" s="20"/>
      <c r="AV87" s="20"/>
      <c r="AW87" s="20"/>
      <c r="AX87" s="20"/>
      <c r="AY87" s="20"/>
      <c r="AZ87" s="20"/>
      <c r="BD87" s="1181" t="s">
        <v>2505</v>
      </c>
      <c r="BE87" s="1183" t="str">
        <f>Application!O156</f>
        <v>1 Civic Center Drive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Scotts Valley</v>
      </c>
    </row>
    <row r="89" spans="1:57" ht="13" customHeight="1">
      <c r="A89" s="1791" t="s">
        <v>2116</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181" t="s">
        <v>2507</v>
      </c>
      <c r="BE89" s="1183">
        <f>Application!O158</f>
        <v>95066</v>
      </c>
    </row>
    <row r="90" spans="1:57" ht="13"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182" t="s">
        <v>2508</v>
      </c>
      <c r="BE90" s="1183" t="str">
        <f>Application!H16</f>
        <v xml:space="preserve">125 Bethany Affordable, L.P. </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2021 Vanesta Place- Suite A</v>
      </c>
    </row>
    <row r="92" spans="1:57" ht="13" customHeight="1">
      <c r="A92" s="1792" t="s">
        <v>2117</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c r="BD92" s="1182" t="s">
        <v>2510</v>
      </c>
      <c r="BE92" s="1183" t="str">
        <f>Application!M243</f>
        <v>Manhattan</v>
      </c>
    </row>
    <row r="93" spans="1:57" ht="13"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c r="BD93" s="1181" t="s">
        <v>2511</v>
      </c>
      <c r="BE93" s="1183" t="str">
        <f>Application!W243</f>
        <v>KS</v>
      </c>
    </row>
    <row r="94" spans="1:57" ht="13"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c r="BD94" s="1182" t="s">
        <v>2512</v>
      </c>
      <c r="BE94" s="1183">
        <f>Application!AC243</f>
        <v>66503</v>
      </c>
    </row>
    <row r="95" spans="1:57" ht="13"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c r="BD95" s="1181" t="s">
        <v>2513</v>
      </c>
      <c r="BE95" s="1183" t="str">
        <f>Application!M244</f>
        <v>Marc Welk</v>
      </c>
    </row>
    <row r="96" spans="1:57" ht="13"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c r="BD96" s="1182" t="s">
        <v>2514</v>
      </c>
      <c r="BE96" s="1183" t="str">
        <f>Application!M246</f>
        <v>marc@theprimecompany.com</v>
      </c>
    </row>
    <row r="97" spans="1:57" ht="13"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c r="BD97" s="1181" t="s">
        <v>2515</v>
      </c>
      <c r="BE97" s="1183" t="str">
        <f>Application!M257</f>
        <v>shelby@crdc.org</v>
      </c>
    </row>
    <row r="98" spans="1:57" ht="13"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c r="BD98" s="1182" t="s">
        <v>2516</v>
      </c>
      <c r="BE98" s="1183" t="str">
        <f>Application!M265</f>
        <v>marc@theprimecompany.com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 customHeight="1">
      <c r="A100" s="1793" t="s">
        <v>2118</v>
      </c>
      <c r="B100" s="1793"/>
      <c r="C100" s="1793"/>
      <c r="D100" s="1793"/>
      <c r="E100" s="1793"/>
      <c r="F100" s="1793"/>
      <c r="G100" s="1793"/>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793"/>
      <c r="AF100" s="1793"/>
      <c r="AG100" s="1793"/>
      <c r="AH100" s="1793"/>
      <c r="AI100" s="1793"/>
      <c r="AJ100" s="1793"/>
      <c r="AK100" s="1793"/>
      <c r="AL100" s="1793"/>
      <c r="AM100" s="1793"/>
      <c r="AN100" s="1793"/>
      <c r="AO100" s="1793"/>
      <c r="AP100" s="1793"/>
      <c r="AQ100" s="1793"/>
      <c r="AR100" s="1793"/>
      <c r="AS100" s="1793"/>
      <c r="AT100" s="1793"/>
      <c r="AU100" s="20"/>
      <c r="AV100" s="20"/>
      <c r="AW100" s="20"/>
      <c r="AX100" s="20"/>
      <c r="AY100" s="20"/>
      <c r="AZ100" s="20"/>
      <c r="BD100" s="1182" t="s">
        <v>2518</v>
      </c>
      <c r="BE100" s="1183" t="str">
        <f>Application!L288</f>
        <v>marc@theprimecompany.com</v>
      </c>
    </row>
    <row r="101" spans="1:57" ht="13" customHeight="1">
      <c r="A101" s="1793"/>
      <c r="B101" s="1793"/>
      <c r="C101" s="1793"/>
      <c r="D101" s="1793"/>
      <c r="E101" s="1793"/>
      <c r="F101" s="1793"/>
      <c r="G101" s="1793"/>
      <c r="H101" s="1793"/>
      <c r="I101" s="1793"/>
      <c r="J101" s="1793"/>
      <c r="K101" s="1793"/>
      <c r="L101" s="1793"/>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20"/>
      <c r="AV101" s="20"/>
      <c r="AW101" s="20"/>
      <c r="AX101" s="20"/>
      <c r="AY101" s="20"/>
      <c r="AZ101" s="20"/>
      <c r="BD101" s="3" t="s">
        <v>2523</v>
      </c>
      <c r="BE101">
        <f>'Sources and Uses Budget'!C105</f>
        <v>77544450</v>
      </c>
    </row>
    <row r="102" spans="1:57" ht="13" customHeight="1">
      <c r="A102" s="1793"/>
      <c r="B102" s="1793"/>
      <c r="C102" s="1793"/>
      <c r="D102" s="1793"/>
      <c r="E102" s="1793"/>
      <c r="F102" s="1793"/>
      <c r="G102" s="1793"/>
      <c r="H102" s="1793"/>
      <c r="I102" s="1793"/>
      <c r="J102" s="1793"/>
      <c r="K102" s="1793"/>
      <c r="L102" s="1793"/>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20"/>
      <c r="AV102" s="20"/>
      <c r="AW102" s="20"/>
      <c r="AX102" s="20"/>
      <c r="AY102" s="20"/>
      <c r="AZ102" s="20"/>
      <c r="BD102" s="3" t="s">
        <v>2524</v>
      </c>
      <c r="BE102" t="b">
        <f>T197="Yes"</f>
        <v>0</v>
      </c>
    </row>
    <row r="103" spans="1:57" ht="13" customHeight="1">
      <c r="A103" s="1793"/>
      <c r="B103" s="1793"/>
      <c r="C103" s="1793"/>
      <c r="D103" s="1793"/>
      <c r="E103" s="1793"/>
      <c r="F103" s="1793"/>
      <c r="G103" s="1793"/>
      <c r="H103" s="1793"/>
      <c r="I103" s="1793"/>
      <c r="J103" s="1793"/>
      <c r="K103" s="1793"/>
      <c r="L103" s="1793"/>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20"/>
      <c r="AV103" s="20"/>
      <c r="AW103" s="20"/>
      <c r="AX103" s="20"/>
      <c r="AY103" s="20"/>
      <c r="BD103" t="s">
        <v>2128</v>
      </c>
      <c r="BE103" s="1183"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793" t="s">
        <v>2119</v>
      </c>
      <c r="B105" s="1793"/>
      <c r="C105" s="1793"/>
      <c r="D105" s="1793"/>
      <c r="E105" s="1793"/>
      <c r="F105" s="1793"/>
      <c r="G105" s="1793"/>
      <c r="H105" s="1793"/>
      <c r="I105" s="1793"/>
      <c r="J105" s="1793"/>
      <c r="K105" s="1793"/>
      <c r="L105" s="1793"/>
      <c r="M105" s="1793"/>
      <c r="N105" s="1793"/>
      <c r="O105" s="1793"/>
      <c r="P105" s="1793"/>
      <c r="Q105" s="1793"/>
      <c r="R105" s="1793"/>
      <c r="S105" s="1793"/>
      <c r="T105" s="1793"/>
      <c r="U105" s="1793"/>
      <c r="V105" s="1793"/>
      <c r="W105" s="1793"/>
      <c r="X105" s="1793"/>
      <c r="Y105" s="1793"/>
      <c r="Z105" s="1793"/>
      <c r="AA105" s="1793"/>
      <c r="AB105" s="1793"/>
      <c r="AC105" s="1793"/>
      <c r="AD105" s="1793"/>
      <c r="AE105" s="1793"/>
      <c r="AF105" s="1793"/>
      <c r="AG105" s="1793"/>
      <c r="AH105" s="1793"/>
      <c r="AI105" s="1793"/>
      <c r="AJ105" s="1793"/>
      <c r="AK105" s="1793"/>
      <c r="AL105" s="1793"/>
      <c r="AM105" s="1793"/>
      <c r="AN105" s="1793"/>
      <c r="AO105" s="1793"/>
      <c r="AP105" s="1793"/>
      <c r="AQ105" s="1793"/>
      <c r="AR105" s="1793"/>
      <c r="AS105" s="1793"/>
      <c r="AT105" s="1793"/>
      <c r="AU105" s="20"/>
      <c r="AV105" s="20"/>
      <c r="AW105" s="20"/>
      <c r="AX105" s="20"/>
      <c r="AY105" s="20"/>
      <c r="BD105" s="3" t="s">
        <v>2540</v>
      </c>
      <c r="BE105" s="1183" t="b">
        <f>V224="Yes"</f>
        <v>0</v>
      </c>
    </row>
    <row r="106" spans="1:57" ht="13" customHeight="1">
      <c r="A106" s="1793"/>
      <c r="B106" s="1793"/>
      <c r="C106" s="1793"/>
      <c r="D106" s="1793"/>
      <c r="E106" s="1793"/>
      <c r="F106" s="1793"/>
      <c r="G106" s="1793"/>
      <c r="H106" s="1793"/>
      <c r="I106" s="1793"/>
      <c r="J106" s="1793"/>
      <c r="K106" s="1793"/>
      <c r="L106" s="1793"/>
      <c r="M106" s="1793"/>
      <c r="N106" s="1793"/>
      <c r="O106" s="1793"/>
      <c r="P106" s="1793"/>
      <c r="Q106" s="1793"/>
      <c r="R106" s="1793"/>
      <c r="S106" s="1793"/>
      <c r="T106" s="1793"/>
      <c r="U106" s="1793"/>
      <c r="V106" s="1793"/>
      <c r="W106" s="1793"/>
      <c r="X106" s="1793"/>
      <c r="Y106" s="1793"/>
      <c r="Z106" s="1793"/>
      <c r="AA106" s="1793"/>
      <c r="AB106" s="1793"/>
      <c r="AC106" s="1793"/>
      <c r="AD106" s="1793"/>
      <c r="AE106" s="1793"/>
      <c r="AF106" s="1793"/>
      <c r="AG106" s="1793"/>
      <c r="AH106" s="1793"/>
      <c r="AI106" s="1793"/>
      <c r="AJ106" s="1793"/>
      <c r="AK106" s="1793"/>
      <c r="AL106" s="1793"/>
      <c r="AM106" s="1793"/>
      <c r="AN106" s="1793"/>
      <c r="AO106" s="1793"/>
      <c r="AP106" s="1793"/>
      <c r="AQ106" s="1793"/>
      <c r="AR106" s="1793"/>
      <c r="AS106" s="1793"/>
      <c r="AT106" s="1793"/>
      <c r="AU106" s="20"/>
      <c r="AV106" s="20"/>
      <c r="AW106" s="20"/>
      <c r="AX106" s="20"/>
      <c r="AY106" s="20"/>
      <c r="BD106" s="3" t="s">
        <v>2541</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1</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4" t="s">
        <v>2761</v>
      </c>
      <c r="H113" s="1794"/>
      <c r="I113" s="3" t="s">
        <v>182</v>
      </c>
      <c r="L113" s="1794" t="s">
        <v>2762</v>
      </c>
      <c r="M113" s="1794"/>
      <c r="N113" s="1794"/>
      <c r="O113" s="1794"/>
      <c r="P113" s="1798" t="s">
        <v>2604</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3" t="s">
        <v>2763</v>
      </c>
      <c r="D115" s="1803"/>
      <c r="E115" s="1803"/>
      <c r="F115" s="1803"/>
      <c r="G115" s="1803"/>
      <c r="H115" s="1803"/>
      <c r="I115" s="1803"/>
      <c r="J115" s="1803"/>
      <c r="K115" s="1803"/>
      <c r="L115" s="1266" t="s">
        <v>2764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94"/>
      <c r="Z117" s="1794"/>
      <c r="AA117" s="1794"/>
      <c r="AB117" s="1794"/>
      <c r="AC117" s="1794"/>
      <c r="AD117" s="1794"/>
      <c r="AE117" s="1794"/>
      <c r="AF117" s="1794"/>
      <c r="AG117" s="1794"/>
      <c r="AH117" s="1794"/>
      <c r="AI117" s="1794"/>
      <c r="AJ117" s="1794"/>
      <c r="AK117" s="1794"/>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4" t="s">
        <v>2670</v>
      </c>
      <c r="Z120" s="1794"/>
      <c r="AA120" s="1794"/>
      <c r="AB120" s="1794"/>
      <c r="AC120" s="1794"/>
      <c r="AD120" s="1794"/>
      <c r="AE120" s="1794"/>
      <c r="AF120" s="1794"/>
      <c r="AG120" s="1794"/>
      <c r="AH120" s="1794"/>
      <c r="AI120" s="1794"/>
      <c r="AJ120" s="1794"/>
      <c r="AK120" s="179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03" t="s">
        <v>469</v>
      </c>
      <c r="CV122" s="1704"/>
      <c r="CW122" s="14"/>
      <c r="CX122" s="14" t="s">
        <v>633</v>
      </c>
      <c r="CY122" s="14"/>
      <c r="CZ122" s="14"/>
      <c r="DA122" s="14"/>
      <c r="DB122" s="14"/>
      <c r="DC122" s="14"/>
      <c r="DD122" s="14"/>
      <c r="DE122" s="14"/>
      <c r="DF122" s="14"/>
      <c r="DG122" s="1700" t="str">
        <f>T189</f>
        <v>Santa Cruz</v>
      </c>
      <c r="DH122" s="1701"/>
      <c r="DI122" s="1701"/>
      <c r="DJ122" s="1701"/>
      <c r="DK122" s="1701"/>
      <c r="DL122" s="1701"/>
      <c r="DM122" s="1702"/>
    </row>
    <row r="123" spans="1:117" ht="13" customHeight="1">
      <c r="A123" s="3"/>
      <c r="B123" s="3"/>
      <c r="T123" s="3"/>
      <c r="U123" s="3"/>
      <c r="V123" s="3"/>
      <c r="W123" s="3"/>
      <c r="X123" s="3"/>
      <c r="Y123" s="1794" t="s">
        <v>2765</v>
      </c>
      <c r="Z123" s="1794"/>
      <c r="AA123" s="1794"/>
      <c r="AB123" s="1794"/>
      <c r="AC123" s="1794"/>
      <c r="AD123" s="1794"/>
      <c r="AE123" s="1794"/>
      <c r="AF123" s="1794"/>
      <c r="AG123" s="1794"/>
      <c r="AH123" s="1794"/>
      <c r="AI123" s="1794"/>
      <c r="AJ123" s="1794"/>
      <c r="AK123" s="179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644</v>
      </c>
      <c r="O153" s="1490" t="s">
        <v>2645</v>
      </c>
      <c r="P153" s="1491"/>
      <c r="Q153" s="1491"/>
      <c r="R153" s="1491"/>
      <c r="S153" s="1491"/>
      <c r="T153" s="1491"/>
      <c r="U153" s="1491"/>
      <c r="V153" s="1491"/>
      <c r="W153" s="1491"/>
      <c r="X153" s="1491"/>
      <c r="Y153" s="1491"/>
      <c r="Z153" s="1491"/>
      <c r="AA153" s="1491"/>
      <c r="AB153" s="1491"/>
      <c r="AC153" s="1491"/>
      <c r="AD153" s="1491"/>
      <c r="AE153" s="1491"/>
      <c r="AF153" s="1491"/>
      <c r="AG153" s="1491"/>
      <c r="AH153" s="1491"/>
      <c r="BM153">
        <v>5</v>
      </c>
      <c r="BN153" s="3" t="s">
        <v>2395</v>
      </c>
      <c r="CR153" s="31" t="s">
        <v>2633</v>
      </c>
      <c r="CS153" s="32"/>
      <c r="CT153" s="32"/>
      <c r="CU153" s="32"/>
      <c r="CV153" s="32"/>
      <c r="CW153" s="32"/>
      <c r="CX153" s="14"/>
      <c r="CY153" s="31" t="s">
        <v>2634</v>
      </c>
      <c r="CZ153" s="14"/>
      <c r="DA153" s="14"/>
      <c r="DB153" s="14"/>
      <c r="DC153" s="14"/>
      <c r="DD153" s="14"/>
    </row>
    <row r="154" spans="1:108" ht="13" customHeight="1">
      <c r="D154" s="303" t="s">
        <v>439</v>
      </c>
      <c r="O154" s="1383" t="s">
        <v>2646</v>
      </c>
      <c r="P154" s="1447"/>
      <c r="Q154" s="1447"/>
      <c r="R154" s="1447"/>
      <c r="S154" s="1447"/>
      <c r="T154" s="1447"/>
      <c r="U154" s="1447"/>
      <c r="V154" s="1447"/>
      <c r="W154" s="1447"/>
      <c r="X154" s="1447"/>
      <c r="Y154" s="1447"/>
      <c r="Z154" s="1447"/>
      <c r="AA154" s="1447"/>
      <c r="AB154" s="1447"/>
      <c r="AC154" s="1447"/>
      <c r="AD154" s="1447"/>
      <c r="AE154" s="1447"/>
      <c r="AF154" s="1447"/>
      <c r="AG154" s="1447"/>
      <c r="AH154" s="1447"/>
      <c r="BM154">
        <v>6</v>
      </c>
      <c r="BN154" s="3" t="s">
        <v>2396</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1" t="s">
        <v>440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56" t="s">
        <v>2647</v>
      </c>
      <c r="P156" s="1456"/>
      <c r="Q156" s="1456"/>
      <c r="R156" s="1456"/>
      <c r="S156" s="1456"/>
      <c r="T156" s="1456"/>
      <c r="U156" s="1456"/>
      <c r="V156" s="1456"/>
      <c r="W156" s="1456"/>
      <c r="X156" s="1456"/>
      <c r="Y156" s="1456"/>
      <c r="Z156" s="1456"/>
      <c r="AA156" s="1456"/>
      <c r="AB156" s="1456"/>
      <c r="AC156" s="1456"/>
      <c r="AD156" s="1456"/>
      <c r="AE156" s="1456"/>
      <c r="AF156" s="1456"/>
      <c r="AG156" s="1456"/>
      <c r="AH156" s="1456"/>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90" t="s">
        <v>2648</v>
      </c>
      <c r="P157" s="1490"/>
      <c r="Q157" s="1490"/>
      <c r="R157" s="1490"/>
      <c r="S157" s="1490"/>
      <c r="T157" s="1490"/>
      <c r="U157" s="1490"/>
      <c r="V157" s="1490"/>
      <c r="W157" s="1490"/>
      <c r="X157" s="1490"/>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806">
        <v>95066</v>
      </c>
      <c r="P158" s="1806"/>
      <c r="Q158" s="1806"/>
      <c r="R158" s="1806"/>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807" t="s">
        <v>2649</v>
      </c>
      <c r="P159" s="1807"/>
      <c r="Q159" s="1807"/>
      <c r="R159" s="1807"/>
      <c r="S159" s="1807"/>
      <c r="T159" s="1807"/>
      <c r="V159" s="97" t="s">
        <v>271</v>
      </c>
      <c r="W159" s="1797"/>
      <c r="X159" s="1797"/>
      <c r="Y159" s="10"/>
      <c r="Z159" s="10"/>
      <c r="AA159" s="10"/>
      <c r="AB159" s="10"/>
      <c r="AC159" s="10"/>
      <c r="AD159" s="10"/>
      <c r="AE159" s="10"/>
      <c r="AF159" s="10"/>
      <c r="BN159" s="23" t="s">
        <v>339</v>
      </c>
      <c r="BS159">
        <v>7</v>
      </c>
      <c r="BT159" t="s">
        <v>478</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460</v>
      </c>
      <c r="CX159" s="14"/>
      <c r="CY159" s="14"/>
      <c r="CZ159" s="71" t="s">
        <v>632</v>
      </c>
      <c r="DA159" s="72" t="s">
        <v>325</v>
      </c>
      <c r="DB159" s="72" t="s">
        <v>163</v>
      </c>
      <c r="DC159" s="72" t="s">
        <v>164</v>
      </c>
      <c r="DD159" s="72" t="s">
        <v>460</v>
      </c>
    </row>
    <row r="160" spans="1:108" ht="13" customHeight="1">
      <c r="D160" t="s">
        <v>317</v>
      </c>
      <c r="O160" s="1807" t="s">
        <v>2650</v>
      </c>
      <c r="P160" s="1807"/>
      <c r="Q160" s="1807"/>
      <c r="R160" s="1807"/>
      <c r="S160" s="1807"/>
      <c r="T160" s="1807"/>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318</v>
      </c>
      <c r="O161" s="1790" t="s">
        <v>2651</v>
      </c>
      <c r="P161" s="1790"/>
      <c r="Q161" s="1790"/>
      <c r="R161" s="1790"/>
      <c r="S161" s="1790"/>
      <c r="T161" s="1790"/>
      <c r="U161" s="1790"/>
      <c r="V161" s="1790"/>
      <c r="W161" s="1790"/>
      <c r="X161" s="1790"/>
      <c r="Y161" s="1790"/>
      <c r="Z161" s="1790"/>
      <c r="AA161" s="1790"/>
      <c r="AB161" s="1790"/>
      <c r="AC161" s="1790"/>
      <c r="AD161" s="1790"/>
      <c r="AE161" s="1790"/>
      <c r="AF161" s="1790"/>
      <c r="AG161" s="1790"/>
      <c r="AH161" s="1790"/>
      <c r="BJ161" t="s">
        <v>668</v>
      </c>
      <c r="BN161" s="23" t="s">
        <v>660</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804" t="s">
        <v>2169</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663</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496" t="s">
        <v>539</v>
      </c>
      <c r="B169" s="1496"/>
      <c r="C169" s="1496"/>
      <c r="D169" s="1496"/>
      <c r="E169" s="1496"/>
      <c r="F169" s="1496"/>
      <c r="G169" s="1496"/>
      <c r="H169" s="1496"/>
      <c r="I169" s="1496"/>
      <c r="J169" s="1496"/>
      <c r="K169" s="1496"/>
      <c r="L169" s="1496"/>
      <c r="M169" s="1496"/>
      <c r="N169" s="1496"/>
      <c r="O169" s="1496"/>
      <c r="P169" s="1496"/>
      <c r="Q169" s="1496"/>
      <c r="R169" s="1496"/>
      <c r="S169" s="1496"/>
      <c r="T169" s="1496"/>
      <c r="U169" s="1496"/>
      <c r="V169" s="1496"/>
      <c r="W169" s="1496"/>
      <c r="X169" s="1496"/>
      <c r="Y169" s="1496"/>
      <c r="Z169" s="1496"/>
      <c r="AA169" s="1496"/>
      <c r="AB169" s="1496"/>
      <c r="AC169" s="1496"/>
      <c r="AD169" s="1496"/>
      <c r="AE169" s="1496"/>
      <c r="AF169" s="1496"/>
      <c r="AG169" s="1496"/>
      <c r="AH169" s="1496"/>
      <c r="AI169" s="1496"/>
      <c r="AJ169" s="1496"/>
      <c r="AK169" s="1496"/>
      <c r="AL169" s="1496"/>
      <c r="AM169" s="1496"/>
      <c r="AN169" s="1496"/>
      <c r="AO169" s="1496"/>
      <c r="AP169" s="1496"/>
      <c r="AQ169" s="1496"/>
      <c r="AR169" s="1496"/>
      <c r="AS169" s="1496"/>
      <c r="AT169" s="1496"/>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496"/>
      <c r="B170" s="1496"/>
      <c r="C170" s="1496"/>
      <c r="D170" s="1496"/>
      <c r="E170" s="1496"/>
      <c r="F170" s="1496"/>
      <c r="G170" s="1496"/>
      <c r="H170" s="1496"/>
      <c r="I170" s="1496"/>
      <c r="J170" s="1496"/>
      <c r="K170" s="1496"/>
      <c r="L170" s="1496"/>
      <c r="M170" s="1496"/>
      <c r="N170" s="1496"/>
      <c r="O170" s="1496"/>
      <c r="P170" s="1496"/>
      <c r="Q170" s="1496"/>
      <c r="R170" s="1496"/>
      <c r="S170" s="1496"/>
      <c r="T170" s="1496"/>
      <c r="U170" s="1496"/>
      <c r="V170" s="1496"/>
      <c r="W170" s="1496"/>
      <c r="X170" s="1496"/>
      <c r="Y170" s="1496"/>
      <c r="Z170" s="1496"/>
      <c r="AA170" s="1496"/>
      <c r="AB170" s="1496"/>
      <c r="AC170" s="1496"/>
      <c r="AD170" s="1496"/>
      <c r="AE170" s="1496"/>
      <c r="AF170" s="1496"/>
      <c r="AG170" s="1496"/>
      <c r="AH170" s="1496"/>
      <c r="AI170" s="1496"/>
      <c r="AJ170" s="1496"/>
      <c r="AK170" s="1496"/>
      <c r="AL170" s="1496"/>
      <c r="AM170" s="1496"/>
      <c r="AN170" s="1496"/>
      <c r="AO170" s="1496"/>
      <c r="AP170" s="1496"/>
      <c r="AQ170" s="1496"/>
      <c r="AR170" s="1496"/>
      <c r="AS170" s="1496"/>
      <c r="AT170" s="1496"/>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56" t="s">
        <v>2055</v>
      </c>
      <c r="K174" s="1456"/>
      <c r="L174" s="1456"/>
      <c r="M174" s="1456"/>
      <c r="N174" s="1456"/>
      <c r="O174" s="1456"/>
      <c r="P174" s="1456"/>
      <c r="Q174" s="1456"/>
      <c r="R174" s="1456"/>
      <c r="S174" s="1456"/>
      <c r="T174" s="1456"/>
      <c r="U174" s="1456"/>
      <c r="V174" s="1456"/>
      <c r="W174" s="1456"/>
      <c r="X174" s="1456"/>
      <c r="Y174" s="1456"/>
      <c r="Z174" s="1456"/>
      <c r="AA174" s="1456"/>
      <c r="AB174" s="1456"/>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40" t="s">
        <v>668</v>
      </c>
      <c r="V175" s="1340"/>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2034</v>
      </c>
      <c r="T176" s="27" t="s">
        <v>305</v>
      </c>
      <c r="U176" s="1433"/>
      <c r="V176" s="1433"/>
      <c r="W176" s="1" t="s">
        <v>306</v>
      </c>
      <c r="X176" s="1789"/>
      <c r="Y176" s="1789"/>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40" t="s">
        <v>668</v>
      </c>
      <c r="S177" s="1340"/>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1202</v>
      </c>
      <c r="AA178" t="s">
        <v>2034</v>
      </c>
      <c r="AE178" s="27" t="s">
        <v>305</v>
      </c>
      <c r="AF178" s="1788"/>
      <c r="AG178" s="1788"/>
      <c r="AH178" s="1" t="s">
        <v>306</v>
      </c>
      <c r="AI178" s="1767"/>
      <c r="AJ178" s="1767"/>
      <c r="AK178" s="1767"/>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2629</v>
      </c>
      <c r="X180" s="1340" t="s">
        <v>668</v>
      </c>
      <c r="Y180" s="134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46" t="str">
        <f>H18</f>
        <v>125 Bethany</v>
      </c>
      <c r="J184" s="1446"/>
      <c r="K184" s="1446"/>
      <c r="L184" s="1446"/>
      <c r="M184" s="1446"/>
      <c r="N184" s="1446"/>
      <c r="O184" s="1446"/>
      <c r="P184" s="1446"/>
      <c r="Q184" s="1446"/>
      <c r="R184" s="1446"/>
      <c r="S184" s="1446"/>
      <c r="T184" s="1446"/>
      <c r="U184" s="1446"/>
      <c r="V184" s="1446"/>
      <c r="W184" s="1446"/>
      <c r="X184" s="1446"/>
      <c r="Y184" s="1446"/>
      <c r="Z184" s="1446"/>
      <c r="AA184" s="1446"/>
      <c r="AB184" s="1446"/>
      <c r="AC184" s="1446"/>
      <c r="AD184" s="1446"/>
      <c r="AE184" s="1446"/>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478" t="s">
        <v>2652</v>
      </c>
      <c r="J185" s="1478"/>
      <c r="K185" s="1478"/>
      <c r="L185" s="1478"/>
      <c r="M185" s="1478"/>
      <c r="N185" s="1478"/>
      <c r="O185" s="1478"/>
      <c r="P185" s="1478"/>
      <c r="Q185" s="1478"/>
      <c r="R185" s="1478"/>
      <c r="S185" s="1478"/>
      <c r="T185" s="1478"/>
      <c r="U185" s="1478"/>
      <c r="V185" s="1478"/>
      <c r="W185" s="1478"/>
      <c r="X185" s="1478"/>
      <c r="Y185" s="1478"/>
      <c r="Z185" s="1478"/>
      <c r="AA185" s="1478"/>
      <c r="AB185" s="1478"/>
      <c r="AC185" s="1478"/>
      <c r="AD185" s="1478"/>
      <c r="AE185" s="147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812"/>
      <c r="F187" s="1812"/>
      <c r="G187" s="1812"/>
      <c r="H187" s="1812"/>
      <c r="I187" s="1812"/>
      <c r="J187" s="1812"/>
      <c r="K187" s="1812"/>
      <c r="L187" s="1812"/>
      <c r="M187" s="1812"/>
      <c r="N187" s="1812"/>
      <c r="O187" s="1812"/>
      <c r="P187" s="1812"/>
      <c r="Q187" s="1812"/>
      <c r="R187" s="1812"/>
      <c r="S187" s="1812"/>
      <c r="T187" s="1812"/>
      <c r="U187" s="1812"/>
      <c r="V187" s="1812"/>
      <c r="W187" s="1812"/>
      <c r="X187" s="1812"/>
      <c r="Y187" s="1812"/>
      <c r="Z187" s="1812"/>
      <c r="AA187" s="1812"/>
      <c r="AB187" s="1812"/>
      <c r="AC187" s="1812"/>
      <c r="AD187" s="1812"/>
      <c r="AE187" s="181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813"/>
      <c r="F188" s="1813"/>
      <c r="G188" s="1813"/>
      <c r="H188" s="1813"/>
      <c r="I188" s="1813"/>
      <c r="J188" s="1813"/>
      <c r="K188" s="1813"/>
      <c r="L188" s="1813"/>
      <c r="M188" s="1813"/>
      <c r="N188" s="1813"/>
      <c r="O188" s="1813"/>
      <c r="P188" s="1813"/>
      <c r="Q188" s="1813"/>
      <c r="R188" s="1813"/>
      <c r="S188" s="1813"/>
      <c r="T188" s="1813"/>
      <c r="U188" s="1813"/>
      <c r="V188" s="1813"/>
      <c r="W188" s="1813"/>
      <c r="X188" s="1813"/>
      <c r="Y188" s="1813"/>
      <c r="Z188" s="1813"/>
      <c r="AA188" s="1813"/>
      <c r="AB188" s="1813"/>
      <c r="AC188" s="1813"/>
      <c r="AD188" s="1813"/>
      <c r="AE188" s="181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90" t="s">
        <v>2648</v>
      </c>
      <c r="J189" s="1456"/>
      <c r="K189" s="1456"/>
      <c r="L189" s="1456"/>
      <c r="M189" s="1456"/>
      <c r="N189" s="1456"/>
      <c r="O189" s="1456"/>
      <c r="P189" s="1456"/>
      <c r="Q189" t="s">
        <v>582</v>
      </c>
      <c r="T189" s="1456" t="s">
        <v>193</v>
      </c>
      <c r="U189" s="1456"/>
      <c r="V189" s="1456"/>
      <c r="W189" s="1456"/>
      <c r="X189" s="1456"/>
      <c r="Y189" s="1456"/>
      <c r="Z189" s="1456"/>
      <c r="AA189" s="1456"/>
      <c r="AB189" s="1456"/>
      <c r="AC189" s="1456"/>
      <c r="AD189" s="1456"/>
      <c r="AE189" s="145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478">
        <v>95066</v>
      </c>
      <c r="J190" s="1478"/>
      <c r="K190" s="1478"/>
      <c r="L190" s="1478"/>
      <c r="M190" s="1478"/>
      <c r="N190" s="1478"/>
      <c r="O190" t="s">
        <v>585</v>
      </c>
      <c r="T190" s="1795">
        <v>1209.02</v>
      </c>
      <c r="U190" s="1795"/>
      <c r="V190" s="1795"/>
      <c r="W190" s="1795"/>
      <c r="X190" s="1795"/>
      <c r="Y190" s="1795"/>
      <c r="Z190" s="1795"/>
      <c r="AA190" s="1795"/>
      <c r="AB190" s="1795"/>
      <c r="AC190" s="1795"/>
      <c r="AD190" s="1795"/>
      <c r="AE190" s="1795"/>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812" t="s">
        <v>2653</v>
      </c>
      <c r="O191" s="1812"/>
      <c r="P191" s="1812"/>
      <c r="Q191" s="1812"/>
      <c r="R191" s="1812"/>
      <c r="S191" s="1812"/>
      <c r="T191" s="1812"/>
      <c r="U191" s="1812"/>
      <c r="V191" s="1812"/>
      <c r="W191" s="1812"/>
      <c r="X191" s="1812"/>
      <c r="Y191" s="1812"/>
      <c r="Z191" s="1812"/>
      <c r="AA191" s="1812"/>
      <c r="AB191" s="1812"/>
      <c r="AC191" s="1812"/>
      <c r="AD191" s="1812"/>
      <c r="AE191" s="181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813"/>
      <c r="O192" s="1813"/>
      <c r="P192" s="1813"/>
      <c r="Q192" s="1813"/>
      <c r="R192" s="1813"/>
      <c r="S192" s="1813"/>
      <c r="T192" s="1813"/>
      <c r="U192" s="1813"/>
      <c r="V192" s="1813"/>
      <c r="W192" s="1813"/>
      <c r="X192" s="1813"/>
      <c r="Y192" s="1813"/>
      <c r="Z192" s="1813"/>
      <c r="AA192" s="1813"/>
      <c r="AB192" s="1813"/>
      <c r="AC192" s="1813"/>
      <c r="AD192" s="1813"/>
      <c r="AE192" s="1813"/>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809" t="s">
        <v>1909</v>
      </c>
      <c r="U193" s="1809"/>
      <c r="V193" s="1809"/>
      <c r="W193" s="1809"/>
      <c r="X193" s="1809"/>
      <c r="Y193" s="1809"/>
      <c r="Z193" s="1809"/>
      <c r="AA193" s="1809"/>
      <c r="AB193" s="1809"/>
      <c r="AC193" s="1809"/>
      <c r="AD193" s="1809"/>
      <c r="AE193" s="1809"/>
      <c r="AF193" s="1809"/>
      <c r="AG193" s="1809"/>
      <c r="AH193" s="1809"/>
      <c r="AI193" s="1809"/>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340" t="s">
        <v>668</v>
      </c>
      <c r="AI194" s="134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331</v>
      </c>
      <c r="T195" s="1340" t="s">
        <v>545</v>
      </c>
      <c r="U195" s="1340"/>
      <c r="W195" t="s">
        <v>683</v>
      </c>
      <c r="AH195" s="1340">
        <v>19</v>
      </c>
      <c r="AI195" s="1340"/>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386</v>
      </c>
      <c r="T196" s="1377" t="s">
        <v>668</v>
      </c>
      <c r="U196" s="1377"/>
      <c r="W196" t="s">
        <v>684</v>
      </c>
      <c r="AH196" s="1340">
        <v>28</v>
      </c>
      <c r="AI196" s="1340"/>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169</v>
      </c>
      <c r="T197" s="1377" t="s">
        <v>668</v>
      </c>
      <c r="U197" s="1377"/>
      <c r="W197" t="s">
        <v>685</v>
      </c>
      <c r="AH197" s="1340">
        <v>17</v>
      </c>
      <c r="AI197" s="1340"/>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77"/>
      <c r="U198" s="1377"/>
      <c r="V198"/>
      <c r="X198" s="1487" t="s">
        <v>2442</v>
      </c>
      <c r="Y198" s="1487"/>
      <c r="Z198" s="1487"/>
      <c r="AA198" s="1487"/>
      <c r="AB198" s="1487"/>
      <c r="AC198" s="1487"/>
      <c r="AD198" s="1487"/>
      <c r="AE198" s="1487"/>
      <c r="AF198" s="1487"/>
      <c r="AG198" s="1487"/>
      <c r="AH198" s="1487"/>
      <c r="AI198" s="1487"/>
      <c r="AJ198" s="1487"/>
      <c r="AK198" s="1487"/>
      <c r="AL198" s="1487"/>
      <c r="AM198" s="1487"/>
      <c r="AN198" s="1487"/>
      <c r="AO198" s="1487"/>
      <c r="AP198" s="1487"/>
      <c r="AQ198" s="1487"/>
      <c r="AR198" s="1487"/>
      <c r="AS198" s="1487"/>
      <c r="AT198" s="1487"/>
      <c r="AU198"/>
      <c r="AV198"/>
      <c r="AW198"/>
      <c r="AX198"/>
      <c r="AY198"/>
      <c r="AZ198" s="30"/>
      <c r="BA198" s="30"/>
      <c r="BC198" s="14" t="s">
        <v>591</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340" t="s">
        <v>545</v>
      </c>
      <c r="U199" s="1340"/>
      <c r="V199"/>
      <c r="W199"/>
      <c r="X199" s="1487"/>
      <c r="Y199" s="1487"/>
      <c r="Z199" s="1487"/>
      <c r="AA199" s="1487"/>
      <c r="AB199" s="1487"/>
      <c r="AC199" s="1487"/>
      <c r="AD199" s="1487"/>
      <c r="AE199" s="1487"/>
      <c r="AF199" s="1487"/>
      <c r="AG199" s="1487"/>
      <c r="AH199" s="1487"/>
      <c r="AI199" s="1487"/>
      <c r="AJ199" s="1487"/>
      <c r="AK199" s="1487"/>
      <c r="AL199" s="1487"/>
      <c r="AM199" s="1487"/>
      <c r="AN199" s="1487"/>
      <c r="AO199" s="1487"/>
      <c r="AP199" s="1487"/>
      <c r="AQ199" s="1487"/>
      <c r="AR199" s="1487"/>
      <c r="AS199" s="1487"/>
      <c r="AT199" s="1487"/>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2443</v>
      </c>
      <c r="T200" s="1340" t="s">
        <v>668</v>
      </c>
      <c r="U200" s="134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611</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586</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46" t="s">
        <v>385</v>
      </c>
      <c r="E204" s="1446"/>
      <c r="F204" s="1446"/>
      <c r="G204" s="1446"/>
      <c r="H204" s="1446"/>
      <c r="I204" s="1446"/>
      <c r="J204" s="1446"/>
      <c r="K204" s="1446"/>
      <c r="L204" s="1446"/>
      <c r="M204" s="1446"/>
      <c r="P204" s="1805">
        <f>M26</f>
        <v>3530439</v>
      </c>
      <c r="Q204" s="1787"/>
      <c r="R204" s="1787"/>
      <c r="S204" s="1787"/>
      <c r="T204" s="1787"/>
      <c r="U204" s="1787"/>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816" t="s">
        <v>1246</v>
      </c>
      <c r="E205" s="1446"/>
      <c r="F205" s="1446"/>
      <c r="G205" s="1446"/>
      <c r="H205" s="1446"/>
      <c r="I205" s="1446"/>
      <c r="J205" s="1446"/>
      <c r="K205" s="1446"/>
      <c r="L205" s="1446"/>
      <c r="M205" s="1446"/>
      <c r="P205" s="1787">
        <f>M27</f>
        <v>12500000</v>
      </c>
      <c r="Q205" s="1787"/>
      <c r="R205" s="1787"/>
      <c r="S205" s="1787"/>
      <c r="T205" s="1787"/>
      <c r="U205" s="1787"/>
      <c r="V205" s="28"/>
      <c r="W205" s="3" t="s">
        <v>1708</v>
      </c>
      <c r="Z205" s="1814" t="s">
        <v>2172</v>
      </c>
      <c r="AA205" s="1814"/>
      <c r="AB205" s="1814"/>
      <c r="AC205" s="1814"/>
      <c r="AD205" s="1814"/>
      <c r="AE205" s="1814"/>
      <c r="AF205" s="1814"/>
      <c r="AG205" s="1814"/>
      <c r="AH205" s="1814"/>
      <c r="AI205" s="1814"/>
      <c r="AJ205" s="1814"/>
      <c r="AK205" s="1814"/>
      <c r="AL205" s="1814"/>
      <c r="AM205" s="1814"/>
      <c r="AN205" s="1814"/>
      <c r="AP205" s="1342"/>
      <c r="AQ205" s="134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491" t="s">
        <v>2654</v>
      </c>
      <c r="E208" s="1491"/>
      <c r="F208" s="1491"/>
      <c r="G208" s="1491"/>
      <c r="H208" s="1491"/>
      <c r="I208" s="1491"/>
      <c r="J208" s="1491"/>
      <c r="K208" s="1491"/>
      <c r="L208" s="1491"/>
      <c r="M208" s="1491"/>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91" t="s">
        <v>1040</v>
      </c>
      <c r="E211" s="1491"/>
      <c r="F211" s="1491"/>
      <c r="G211" s="1491"/>
      <c r="H211" s="1491"/>
      <c r="I211" s="1491"/>
      <c r="J211" s="1491"/>
      <c r="K211" s="1491"/>
      <c r="L211" s="1491"/>
      <c r="M211" s="149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340">
        <v>0</v>
      </c>
      <c r="R212" s="1340"/>
      <c r="T212" s="1799">
        <f>IFERROR(Q212/AG449,0)</f>
        <v>0</v>
      </c>
      <c r="U212" s="180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2" t="s">
        <v>591</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2186</v>
      </c>
      <c r="D218" s="28"/>
      <c r="AC218" s="2" t="s">
        <v>2391</v>
      </c>
      <c r="BC218" t="s">
        <v>529</v>
      </c>
    </row>
    <row r="219" spans="1:108" ht="13" customHeight="1">
      <c r="A219" s="2"/>
      <c r="C219" s="2"/>
      <c r="D219" s="3" t="s">
        <v>2392</v>
      </c>
      <c r="AZ219" s="3"/>
      <c r="BA219" s="3"/>
      <c r="BC219" t="s">
        <v>377</v>
      </c>
    </row>
    <row r="220" spans="1:108" ht="13" customHeight="1">
      <c r="A220" s="2"/>
      <c r="C220" s="2"/>
      <c r="D220" s="1491" t="s">
        <v>2159</v>
      </c>
      <c r="E220" s="1491"/>
      <c r="F220" s="1491"/>
      <c r="G220" s="1491"/>
      <c r="H220" s="1491"/>
      <c r="I220" s="1491"/>
      <c r="J220" s="1491"/>
      <c r="K220" s="1491"/>
      <c r="L220" s="1491"/>
      <c r="M220" s="1491"/>
      <c r="N220" s="1491"/>
      <c r="O220" s="1491"/>
      <c r="P220" s="1491"/>
      <c r="Q220" s="1491"/>
      <c r="R220" s="1491"/>
      <c r="S220" s="1491"/>
      <c r="T220" s="1491"/>
      <c r="U220" s="1491"/>
      <c r="V220" s="1491"/>
      <c r="W220" s="1491"/>
      <c r="X220" s="1491"/>
      <c r="Y220" s="1491"/>
      <c r="Z220" s="1491"/>
      <c r="AC220" s="1815" t="s">
        <v>2394</v>
      </c>
      <c r="AD220" s="1815"/>
      <c r="AE220" s="1815"/>
      <c r="AF220" s="1815"/>
      <c r="AG220" s="1815"/>
      <c r="AH220" s="1815"/>
      <c r="AI220" s="1815"/>
      <c r="AJ220" s="1815"/>
      <c r="AK220" s="1815"/>
      <c r="AL220" s="1815"/>
      <c r="AM220" s="1815"/>
      <c r="AN220" s="1815"/>
      <c r="AO220" s="1815"/>
      <c r="AP220" s="1815"/>
      <c r="AQ220" s="1815"/>
      <c r="BA220" s="3"/>
      <c r="BC220" t="s">
        <v>300</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340" t="s">
        <v>668</v>
      </c>
      <c r="W224" s="1340"/>
      <c r="Y224" s="1193"/>
      <c r="BA224" s="3"/>
    </row>
    <row r="225" spans="1:69" ht="13" customHeight="1">
      <c r="A225" s="2"/>
      <c r="B225" s="14"/>
      <c r="C225" s="2"/>
      <c r="E225" s="3" t="s">
        <v>2541</v>
      </c>
      <c r="V225" s="1340" t="s">
        <v>668</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377" t="s">
        <v>545</v>
      </c>
      <c r="W226" s="137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377" t="s">
        <v>668</v>
      </c>
      <c r="W227" s="137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377" t="s">
        <v>668</v>
      </c>
      <c r="W228" s="137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377" t="s">
        <v>668</v>
      </c>
      <c r="W229" s="137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96" t="s">
        <v>540</v>
      </c>
      <c r="B231" s="1496"/>
      <c r="C231" s="1496"/>
      <c r="D231" s="1496"/>
      <c r="E231" s="1496"/>
      <c r="F231" s="1496"/>
      <c r="G231" s="1496"/>
      <c r="H231" s="1496"/>
      <c r="I231" s="1496"/>
      <c r="J231" s="1496"/>
      <c r="K231" s="1496"/>
      <c r="L231" s="1496"/>
      <c r="M231" s="1496"/>
      <c r="N231" s="1496"/>
      <c r="O231" s="1496"/>
      <c r="P231" s="1496"/>
      <c r="Q231" s="1496"/>
      <c r="R231" s="1496"/>
      <c r="S231" s="1496"/>
      <c r="T231" s="1496"/>
      <c r="U231" s="1496"/>
      <c r="V231" s="1496"/>
      <c r="W231" s="1496"/>
      <c r="X231" s="1496"/>
      <c r="Y231" s="1496"/>
      <c r="Z231" s="1496"/>
      <c r="AA231" s="1496"/>
      <c r="AB231" s="1496"/>
      <c r="AC231" s="1496"/>
      <c r="AD231" s="1496"/>
      <c r="AE231" s="1496"/>
      <c r="AF231" s="1496"/>
      <c r="AG231" s="1496"/>
      <c r="AH231" s="1496"/>
      <c r="AI231" s="1496"/>
      <c r="AJ231" s="1496"/>
      <c r="AK231" s="1496"/>
      <c r="AL231" s="1496"/>
      <c r="AM231" s="1496"/>
      <c r="AN231" s="1496"/>
      <c r="AO231" s="1496"/>
      <c r="AP231" s="1496"/>
      <c r="AQ231" s="1496"/>
      <c r="AR231" s="1496"/>
      <c r="AS231" s="1496"/>
      <c r="AT231" s="1496"/>
      <c r="AU231" s="95"/>
      <c r="AV231" s="95"/>
      <c r="AW231" s="95"/>
      <c r="AX231" s="95"/>
      <c r="AY231" s="95"/>
      <c r="AZ231" s="3"/>
      <c r="BA231" s="3"/>
      <c r="BP231" s="34"/>
    </row>
    <row r="232" spans="1:69" ht="13" customHeight="1">
      <c r="A232" s="1496"/>
      <c r="B232" s="1496"/>
      <c r="C232" s="1496"/>
      <c r="D232" s="1496"/>
      <c r="E232" s="1496"/>
      <c r="F232" s="1496"/>
      <c r="G232" s="1496"/>
      <c r="H232" s="1496"/>
      <c r="I232" s="1496"/>
      <c r="J232" s="1496"/>
      <c r="K232" s="1496"/>
      <c r="L232" s="1496"/>
      <c r="M232" s="1496"/>
      <c r="N232" s="1496"/>
      <c r="O232" s="1496"/>
      <c r="P232" s="1496"/>
      <c r="Q232" s="1496"/>
      <c r="R232" s="1496"/>
      <c r="S232" s="1496"/>
      <c r="T232" s="1496"/>
      <c r="U232" s="1496"/>
      <c r="V232" s="1496"/>
      <c r="W232" s="1496"/>
      <c r="X232" s="1496"/>
      <c r="Y232" s="1496"/>
      <c r="Z232" s="1496"/>
      <c r="AA232" s="1496"/>
      <c r="AB232" s="1496"/>
      <c r="AC232" s="1496"/>
      <c r="AD232" s="1496"/>
      <c r="AE232" s="1496"/>
      <c r="AF232" s="1496"/>
      <c r="AG232" s="1496"/>
      <c r="AH232" s="1496"/>
      <c r="AI232" s="1496"/>
      <c r="AJ232" s="1496"/>
      <c r="AK232" s="1496"/>
      <c r="AL232" s="1496"/>
      <c r="AM232" s="1496"/>
      <c r="AN232" s="1496"/>
      <c r="AO232" s="1496"/>
      <c r="AP232" s="1496"/>
      <c r="AQ232" s="1496"/>
      <c r="AR232" s="1496"/>
      <c r="AS232" s="1496"/>
      <c r="AT232" s="1496"/>
      <c r="BA232" s="3"/>
      <c r="BB232" s="3"/>
      <c r="BQ232" s="34"/>
    </row>
    <row r="233" spans="1:69" ht="13" customHeight="1">
      <c r="AZ233" s="4"/>
      <c r="BA233" s="3"/>
      <c r="BB233" s="3"/>
      <c r="BQ233" s="34"/>
    </row>
    <row r="234" spans="1:69" ht="13"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591</v>
      </c>
      <c r="AJ235" s="134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545</v>
      </c>
      <c r="AJ236" s="134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591</v>
      </c>
      <c r="AJ237" s="134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591</v>
      </c>
      <c r="AJ238" s="134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3"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796" t="str">
        <f>H16</f>
        <v xml:space="preserve">125 Bethany Affordable, L.P. </v>
      </c>
      <c r="N241" s="1796"/>
      <c r="O241" s="1796"/>
      <c r="P241" s="1796"/>
      <c r="Q241" s="1796"/>
      <c r="R241" s="1796"/>
      <c r="S241" s="1796"/>
      <c r="T241" s="1796"/>
      <c r="U241" s="1796"/>
      <c r="V241" s="1796"/>
      <c r="W241" s="1796"/>
      <c r="X241" s="1796"/>
      <c r="Y241" s="1796"/>
      <c r="Z241" s="1796"/>
      <c r="AA241" s="1796"/>
      <c r="AB241" s="1796"/>
      <c r="AC241" s="1796"/>
      <c r="AD241" s="1796"/>
      <c r="AE241" s="1796"/>
      <c r="AF241" s="1796"/>
      <c r="AG241" s="1796"/>
      <c r="AH241" s="1796"/>
      <c r="AI241" s="1796"/>
      <c r="AJ241" s="1796"/>
      <c r="AK241" s="1796"/>
      <c r="AZ241" s="4"/>
      <c r="BA241" s="3"/>
      <c r="BB241" s="205" t="s">
        <v>538</v>
      </c>
      <c r="BG241" s="241">
        <f>IF(AND(AND($M$258="nonprofit",$M$266="nonprofit",$M$274="for profit")),2,0)</f>
        <v>0</v>
      </c>
    </row>
    <row r="242" spans="1:67" ht="13" customHeight="1">
      <c r="D242" s="4" t="s">
        <v>85</v>
      </c>
      <c r="E242" s="4"/>
      <c r="F242" s="4"/>
      <c r="G242" s="4"/>
      <c r="H242" s="4"/>
      <c r="I242" s="4"/>
      <c r="J242" s="4"/>
      <c r="K242" s="4"/>
      <c r="M242" s="1491" t="s">
        <v>2655</v>
      </c>
      <c r="N242" s="1491"/>
      <c r="O242" s="1491"/>
      <c r="P242" s="1491"/>
      <c r="Q242" s="1491"/>
      <c r="R242" s="1491"/>
      <c r="S242" s="1491"/>
      <c r="T242" s="1491"/>
      <c r="U242" s="1491"/>
      <c r="V242" s="1491"/>
      <c r="W242" s="1491"/>
      <c r="X242" s="1491"/>
      <c r="Y242" s="1491"/>
      <c r="Z242" s="1491"/>
      <c r="AA242" s="1491"/>
      <c r="AB242" s="1491"/>
      <c r="AC242" s="1491"/>
      <c r="AD242" s="1491"/>
      <c r="AE242" s="1491"/>
      <c r="BB242" s="205" t="s">
        <v>538</v>
      </c>
      <c r="BG242" s="241">
        <f>IF(AND(AND($M$258="nonprofit",$M$266="for profit",$M$274="nonprofit")),2,0)</f>
        <v>0</v>
      </c>
    </row>
    <row r="243" spans="1:67" ht="13" customHeight="1">
      <c r="D243" s="4" t="s">
        <v>580</v>
      </c>
      <c r="E243" s="4"/>
      <c r="M243" s="1491" t="s">
        <v>2656</v>
      </c>
      <c r="N243" s="1491"/>
      <c r="O243" s="1491"/>
      <c r="P243" s="1491"/>
      <c r="Q243" s="1491"/>
      <c r="R243" s="1491"/>
      <c r="S243" s="1491"/>
      <c r="T243" s="1491"/>
      <c r="V243" s="33" t="s">
        <v>86</v>
      </c>
      <c r="W243" s="1447" t="s">
        <v>2660</v>
      </c>
      <c r="X243" s="1447"/>
      <c r="Y243" s="4" t="s">
        <v>583</v>
      </c>
      <c r="AC243" s="1491">
        <v>66503</v>
      </c>
      <c r="AD243" s="1491"/>
      <c r="AE243" s="1491"/>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91" t="s">
        <v>2657</v>
      </c>
      <c r="N244" s="1491"/>
      <c r="O244" s="1491"/>
      <c r="P244" s="1491"/>
      <c r="Q244" s="1491"/>
      <c r="R244" s="1491"/>
      <c r="S244" s="1491"/>
      <c r="T244" s="1491"/>
      <c r="U244" s="1491"/>
      <c r="V244" s="1491"/>
      <c r="W244" s="1491"/>
      <c r="X244" s="1491"/>
      <c r="Y244" s="1491"/>
      <c r="Z244" s="1491"/>
      <c r="AA244" s="1491"/>
      <c r="AB244" s="1491"/>
      <c r="AC244" s="1491"/>
      <c r="AD244" s="1491"/>
      <c r="AE244" s="1491"/>
      <c r="AI244" s="4"/>
      <c r="AJ244" s="4"/>
      <c r="AK244" s="4"/>
      <c r="AL244" s="4"/>
      <c r="AM244" s="4"/>
      <c r="AN244" s="4"/>
      <c r="AO244" s="4"/>
      <c r="AP244" s="4"/>
      <c r="AQ244" s="4"/>
      <c r="AR244" s="4"/>
      <c r="AS244" s="4"/>
      <c r="AT244" s="4"/>
      <c r="BB244" s="205"/>
      <c r="BG244" s="204"/>
    </row>
    <row r="245" spans="1:67" ht="13" customHeight="1">
      <c r="D245" s="4" t="s">
        <v>88</v>
      </c>
      <c r="E245" s="4"/>
      <c r="F245" s="4"/>
      <c r="M245" s="1455" t="s">
        <v>2658</v>
      </c>
      <c r="N245" s="1455"/>
      <c r="O245" s="1455"/>
      <c r="P245" s="1455"/>
      <c r="Q245" s="1455"/>
      <c r="R245" s="1455"/>
      <c r="S245" s="4" t="s">
        <v>206</v>
      </c>
      <c r="T245" s="4"/>
      <c r="U245" s="1447"/>
      <c r="V245" s="1447"/>
      <c r="W245" s="1447"/>
      <c r="X245" s="4" t="s">
        <v>89</v>
      </c>
      <c r="Z245" s="1455"/>
      <c r="AA245" s="1455"/>
      <c r="AB245" s="1455"/>
      <c r="AC245" s="1455"/>
      <c r="AD245" s="1455"/>
      <c r="AE245" s="1455"/>
      <c r="AU245" s="4"/>
      <c r="AV245" s="4"/>
      <c r="AW245" s="4"/>
      <c r="AX245" s="4"/>
      <c r="AY245" s="4"/>
      <c r="AZ245" s="4"/>
      <c r="BB245" s="204" t="s">
        <v>537</v>
      </c>
      <c r="BG245" s="241">
        <f>IF(AND(AND($M$258="nonprofit",$M$266="nonprofit",$M$274="(select one)")),1,0)</f>
        <v>0</v>
      </c>
    </row>
    <row r="246" spans="1:67" ht="13" customHeight="1">
      <c r="D246" s="4" t="s">
        <v>90</v>
      </c>
      <c r="E246" s="4"/>
      <c r="F246" s="4"/>
      <c r="M246" s="1790" t="s">
        <v>2659</v>
      </c>
      <c r="N246" s="1790"/>
      <c r="O246" s="1790"/>
      <c r="P246" s="1790"/>
      <c r="Q246" s="1790"/>
      <c r="R246" s="1790"/>
      <c r="S246" s="1790"/>
      <c r="T246" s="1790"/>
      <c r="U246" s="1790"/>
      <c r="V246" s="1790"/>
      <c r="W246" s="1790"/>
      <c r="X246" s="1790"/>
      <c r="Y246" s="1790"/>
      <c r="Z246" s="1790"/>
      <c r="AA246" s="1790"/>
      <c r="AB246" s="1790"/>
      <c r="AC246" s="1790"/>
      <c r="AD246" s="1790"/>
      <c r="AE246" s="1790"/>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478" t="s">
        <v>528</v>
      </c>
      <c r="N247" s="1478"/>
      <c r="O247" s="1478"/>
      <c r="P247" s="1478"/>
      <c r="Q247" s="1478"/>
      <c r="R247" s="1478"/>
      <c r="S247" s="1478"/>
      <c r="T247" s="1478"/>
      <c r="U247" s="204" t="s">
        <v>905</v>
      </c>
      <c r="V247" s="204"/>
      <c r="W247" s="204"/>
      <c r="X247" s="204"/>
      <c r="Y247" s="204"/>
      <c r="Z247" s="204"/>
      <c r="AA247" s="1782"/>
      <c r="AB247" s="1782"/>
      <c r="AC247" s="1782"/>
      <c r="AD247" s="1782"/>
      <c r="AE247" s="1782"/>
      <c r="AF247" s="1782"/>
      <c r="AG247" s="1782"/>
      <c r="AH247" s="1782"/>
      <c r="AI247" s="1782"/>
      <c r="AJ247" s="1782"/>
      <c r="AK247" s="1782"/>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456"/>
      <c r="N248" s="1456"/>
      <c r="O248" s="1456"/>
      <c r="P248" s="1456"/>
      <c r="Q248" s="1456"/>
      <c r="R248" s="1456"/>
      <c r="S248" s="1456"/>
      <c r="T248" s="1456"/>
      <c r="U248" s="1456"/>
      <c r="V248" s="1456"/>
      <c r="W248" s="1456"/>
      <c r="X248" s="1456"/>
      <c r="Y248" s="1456"/>
      <c r="Z248" s="1456"/>
      <c r="AA248" s="1456"/>
      <c r="AB248" s="1456"/>
      <c r="AC248" s="1456"/>
      <c r="AD248" s="1456"/>
      <c r="AE248" s="1456"/>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589</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93" t="s">
        <v>2732</v>
      </c>
      <c r="N252" s="1494"/>
      <c r="O252" s="1494"/>
      <c r="P252" s="1494"/>
      <c r="Q252" s="1494"/>
      <c r="R252" s="1494"/>
      <c r="S252" s="1494"/>
      <c r="T252" s="1494"/>
      <c r="U252" s="1494"/>
      <c r="V252" s="1494"/>
      <c r="W252" s="1494"/>
      <c r="X252" s="1494"/>
      <c r="Y252" s="1494"/>
      <c r="Z252" s="1494"/>
      <c r="AA252" s="1494"/>
      <c r="AB252" s="1494"/>
      <c r="AC252" s="1494"/>
      <c r="AD252" s="1494"/>
      <c r="AE252" s="1494"/>
      <c r="AF252" s="1494" t="s">
        <v>2663</v>
      </c>
      <c r="AG252" s="1494"/>
      <c r="AH252" s="1494"/>
      <c r="AI252" s="1494"/>
      <c r="AJ252" s="1494"/>
      <c r="AK252" s="1494"/>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490" t="s">
        <v>2733</v>
      </c>
      <c r="N253" s="1491"/>
      <c r="O253" s="1491"/>
      <c r="P253" s="1491"/>
      <c r="Q253" s="1491"/>
      <c r="R253" s="1491"/>
      <c r="S253" s="1491"/>
      <c r="T253" s="1491"/>
      <c r="U253" s="1491"/>
      <c r="V253" s="1491"/>
      <c r="W253" s="1491"/>
      <c r="X253" s="1491"/>
      <c r="Y253" s="1491"/>
      <c r="Z253" s="1491"/>
      <c r="AA253" s="1491"/>
      <c r="AB253" s="1491"/>
      <c r="AC253" s="1491"/>
      <c r="AD253" s="1491"/>
      <c r="AE253" s="1491"/>
      <c r="AF253" s="3" t="s">
        <v>1178</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90" t="s">
        <v>2735</v>
      </c>
      <c r="N254" s="1491"/>
      <c r="O254" s="1491"/>
      <c r="P254" s="1491"/>
      <c r="Q254" s="1491"/>
      <c r="R254" s="1491"/>
      <c r="S254" s="1491"/>
      <c r="T254" s="1491"/>
      <c r="V254" s="33" t="s">
        <v>86</v>
      </c>
      <c r="W254" s="1383" t="s">
        <v>2734</v>
      </c>
      <c r="X254" s="1447"/>
      <c r="Y254" s="4" t="s">
        <v>583</v>
      </c>
      <c r="AC254" s="1491">
        <v>96099</v>
      </c>
      <c r="AD254" s="1491"/>
      <c r="AE254" s="1491"/>
      <c r="AF254" s="3" t="s">
        <v>1179</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490" t="s">
        <v>2736</v>
      </c>
      <c r="N255" s="1491"/>
      <c r="O255" s="1491"/>
      <c r="P255" s="1491"/>
      <c r="Q255" s="1491"/>
      <c r="R255" s="1491"/>
      <c r="S255" s="1491"/>
      <c r="T255" s="1491"/>
      <c r="U255" s="1491"/>
      <c r="V255" s="1491"/>
      <c r="W255" s="1491"/>
      <c r="X255" s="1491"/>
      <c r="Y255" s="1491"/>
      <c r="Z255" s="1491"/>
      <c r="AA255" s="1491"/>
      <c r="AB255" s="1491"/>
      <c r="AC255" s="1491"/>
      <c r="AD255" s="1491"/>
      <c r="AE255" s="1491"/>
      <c r="AH255" s="1785">
        <v>5.0000000000000001E-3</v>
      </c>
      <c r="AI255" s="1785"/>
      <c r="AJ255" s="1785"/>
      <c r="AK255" s="1785"/>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480" t="s">
        <v>2737</v>
      </c>
      <c r="N256" s="1455"/>
      <c r="O256" s="1455"/>
      <c r="P256" s="1455"/>
      <c r="Q256" s="1455"/>
      <c r="R256" s="1455"/>
      <c r="S256" s="4" t="s">
        <v>206</v>
      </c>
      <c r="T256" s="4"/>
      <c r="U256" s="1447"/>
      <c r="V256" s="1447"/>
      <c r="W256" s="1447"/>
      <c r="X256" s="4" t="s">
        <v>89</v>
      </c>
      <c r="Z256" s="1455"/>
      <c r="AA256" s="1455"/>
      <c r="AB256" s="1455"/>
      <c r="AC256" s="1455"/>
      <c r="AD256" s="1455"/>
      <c r="AE256" s="1455"/>
      <c r="AU256" s="4"/>
      <c r="AV256" s="4"/>
      <c r="AW256" s="4"/>
      <c r="AX256" s="4"/>
      <c r="AY256" s="4"/>
      <c r="BG256">
        <v>0</v>
      </c>
      <c r="BH256" s="3" t="str">
        <f>""</f>
        <v/>
      </c>
      <c r="BN256" s="34"/>
    </row>
    <row r="257" spans="1:66" ht="13" customHeight="1">
      <c r="A257" s="19"/>
      <c r="B257" s="4"/>
      <c r="C257" s="4"/>
      <c r="D257" s="4" t="s">
        <v>90</v>
      </c>
      <c r="E257" s="4"/>
      <c r="F257" s="4"/>
      <c r="M257" s="1790" t="s">
        <v>2738</v>
      </c>
      <c r="N257" s="1790"/>
      <c r="O257" s="1790"/>
      <c r="P257" s="1790"/>
      <c r="Q257" s="1790"/>
      <c r="R257" s="1790"/>
      <c r="S257" s="1790"/>
      <c r="T257" s="1790"/>
      <c r="U257" s="1790"/>
      <c r="V257" s="1790"/>
      <c r="W257" s="1790"/>
      <c r="X257" s="1790"/>
      <c r="Y257" s="1790"/>
      <c r="Z257" s="1790"/>
      <c r="AA257" s="1790"/>
      <c r="AB257" s="1790"/>
      <c r="AC257" s="1790"/>
      <c r="AD257" s="1790"/>
      <c r="AE257" s="1790"/>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78" t="s">
        <v>534</v>
      </c>
      <c r="N258" s="1478"/>
      <c r="O258" s="1478"/>
      <c r="P258" s="1478"/>
      <c r="Q258" s="1478"/>
      <c r="R258" s="1478"/>
      <c r="S258" s="1478"/>
      <c r="T258" s="1478"/>
      <c r="U258" s="204" t="s">
        <v>905</v>
      </c>
      <c r="V258" s="204"/>
      <c r="W258" s="204"/>
      <c r="X258" s="204"/>
      <c r="Y258" s="204"/>
      <c r="Z258" s="204"/>
      <c r="AA258" s="1782"/>
      <c r="AB258" s="1782"/>
      <c r="AC258" s="1782"/>
      <c r="AD258" s="1782"/>
      <c r="AE258" s="1782"/>
      <c r="AF258" s="1782"/>
      <c r="AG258" s="1782"/>
      <c r="AH258" s="1782"/>
      <c r="AI258" s="1782"/>
      <c r="AJ258" s="1782"/>
      <c r="AK258" s="1782"/>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493" t="s">
        <v>2661</v>
      </c>
      <c r="N260" s="1494"/>
      <c r="O260" s="1494"/>
      <c r="P260" s="1494"/>
      <c r="Q260" s="1494"/>
      <c r="R260" s="1494"/>
      <c r="S260" s="1494"/>
      <c r="T260" s="1494"/>
      <c r="U260" s="1494"/>
      <c r="V260" s="1494"/>
      <c r="W260" s="1494"/>
      <c r="X260" s="1494"/>
      <c r="Y260" s="1494"/>
      <c r="Z260" s="1494"/>
      <c r="AA260" s="1494"/>
      <c r="AB260" s="1494"/>
      <c r="AC260" s="1494"/>
      <c r="AD260" s="1494"/>
      <c r="AE260" s="1494"/>
      <c r="AF260" s="1494" t="s">
        <v>2662</v>
      </c>
      <c r="AG260" s="1494"/>
      <c r="AH260" s="1494"/>
      <c r="AI260" s="1494"/>
      <c r="AJ260" s="1494"/>
      <c r="AK260" s="1494"/>
      <c r="AU260" s="4"/>
      <c r="AV260" s="4"/>
      <c r="AW260" s="4"/>
      <c r="AX260" s="4"/>
      <c r="AY260" s="4"/>
      <c r="BN260" s="34"/>
    </row>
    <row r="261" spans="1:66" ht="13" customHeight="1">
      <c r="A261" s="19"/>
      <c r="B261" s="4"/>
      <c r="C261" s="4"/>
      <c r="D261" s="4" t="s">
        <v>85</v>
      </c>
      <c r="E261" s="4"/>
      <c r="F261" s="4"/>
      <c r="G261" s="4"/>
      <c r="H261" s="4"/>
      <c r="I261" s="4"/>
      <c r="J261" s="4"/>
      <c r="K261" s="4"/>
      <c r="L261" s="4"/>
      <c r="M261" s="1491" t="s">
        <v>2655</v>
      </c>
      <c r="N261" s="1491"/>
      <c r="O261" s="1491"/>
      <c r="P261" s="1491"/>
      <c r="Q261" s="1491"/>
      <c r="R261" s="1491"/>
      <c r="S261" s="1491"/>
      <c r="T261" s="1491"/>
      <c r="U261" s="1491"/>
      <c r="V261" s="1491"/>
      <c r="W261" s="1491"/>
      <c r="X261" s="1491"/>
      <c r="Y261" s="1491"/>
      <c r="Z261" s="1491"/>
      <c r="AA261" s="1491"/>
      <c r="AB261" s="1491"/>
      <c r="AC261" s="1491"/>
      <c r="AD261" s="1491"/>
      <c r="AE261" s="1491"/>
      <c r="AF261" s="3" t="s">
        <v>1178</v>
      </c>
      <c r="AL261" s="4"/>
      <c r="AM261" s="4"/>
      <c r="AN261" s="4"/>
      <c r="AO261" s="4"/>
      <c r="AP261" s="4"/>
      <c r="AQ261" s="4"/>
      <c r="AR261" s="4"/>
      <c r="AS261" s="4"/>
      <c r="AT261" s="4"/>
      <c r="BN261" s="34"/>
    </row>
    <row r="262" spans="1:66" ht="13" customHeight="1">
      <c r="A262" s="19"/>
      <c r="B262" s="4"/>
      <c r="C262" s="4"/>
      <c r="D262" s="4" t="s">
        <v>580</v>
      </c>
      <c r="E262" s="4"/>
      <c r="M262" s="1491" t="s">
        <v>2656</v>
      </c>
      <c r="N262" s="1491"/>
      <c r="O262" s="1491"/>
      <c r="P262" s="1491"/>
      <c r="Q262" s="1491"/>
      <c r="R262" s="1491"/>
      <c r="S262" s="1491"/>
      <c r="T262" s="1491"/>
      <c r="V262" s="33" t="s">
        <v>86</v>
      </c>
      <c r="W262" s="1447" t="s">
        <v>2660</v>
      </c>
      <c r="X262" s="1447"/>
      <c r="Y262" s="4" t="s">
        <v>583</v>
      </c>
      <c r="AC262" s="1491">
        <v>66503</v>
      </c>
      <c r="AD262" s="1491"/>
      <c r="AE262" s="1491"/>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91" t="s">
        <v>2657</v>
      </c>
      <c r="N263" s="1491"/>
      <c r="O263" s="1491"/>
      <c r="P263" s="1491"/>
      <c r="Q263" s="1491"/>
      <c r="R263" s="1491"/>
      <c r="S263" s="1491"/>
      <c r="T263" s="1491"/>
      <c r="U263" s="1491"/>
      <c r="V263" s="1491"/>
      <c r="W263" s="1491"/>
      <c r="X263" s="1491"/>
      <c r="Y263" s="1491"/>
      <c r="Z263" s="1491"/>
      <c r="AA263" s="1491"/>
      <c r="AB263" s="1491"/>
      <c r="AC263" s="1491"/>
      <c r="AD263" s="1491"/>
      <c r="AE263" s="1491"/>
      <c r="AH263" s="1785">
        <v>5.0000000000000001E-3</v>
      </c>
      <c r="AI263" s="1785"/>
      <c r="AJ263" s="1785"/>
      <c r="AK263" s="1785"/>
      <c r="AL263" s="4"/>
      <c r="AM263" s="4"/>
      <c r="AN263" s="4"/>
      <c r="AO263" s="4"/>
      <c r="AP263" s="4"/>
      <c r="AQ263" s="4"/>
      <c r="AR263" s="4"/>
      <c r="AS263" s="4"/>
      <c r="AT263" s="4"/>
    </row>
    <row r="264" spans="1:66" ht="13" customHeight="1">
      <c r="A264" s="19"/>
      <c r="B264" s="4"/>
      <c r="C264" s="4"/>
      <c r="D264" s="4" t="s">
        <v>88</v>
      </c>
      <c r="E264" s="4"/>
      <c r="F264" s="4"/>
      <c r="M264" s="1455" t="s">
        <v>2658</v>
      </c>
      <c r="N264" s="1455"/>
      <c r="O264" s="1455"/>
      <c r="P264" s="1455"/>
      <c r="Q264" s="1455"/>
      <c r="R264" s="1455"/>
      <c r="S264" s="4" t="s">
        <v>206</v>
      </c>
      <c r="T264" s="4"/>
      <c r="U264" s="1447"/>
      <c r="V264" s="1447"/>
      <c r="W264" s="1447"/>
      <c r="X264" s="4" t="s">
        <v>89</v>
      </c>
      <c r="Z264" s="1455"/>
      <c r="AA264" s="1455"/>
      <c r="AB264" s="1455"/>
      <c r="AC264" s="1455"/>
      <c r="AD264" s="1455"/>
      <c r="AE264" s="1455"/>
      <c r="AU264" s="4"/>
      <c r="AV264" s="4"/>
      <c r="AW264" s="4"/>
      <c r="AX264" s="4"/>
      <c r="AY264" s="4"/>
      <c r="BN264" s="34"/>
    </row>
    <row r="265" spans="1:66" ht="13" customHeight="1">
      <c r="A265" s="19"/>
      <c r="B265" s="4"/>
      <c r="C265" s="4"/>
      <c r="D265" s="4" t="s">
        <v>90</v>
      </c>
      <c r="E265" s="4"/>
      <c r="F265" s="4"/>
      <c r="M265" s="1790" t="s">
        <v>2659</v>
      </c>
      <c r="N265" s="1790"/>
      <c r="O265" s="1790"/>
      <c r="P265" s="1790"/>
      <c r="Q265" s="1790"/>
      <c r="R265" s="1790"/>
      <c r="S265" s="1790"/>
      <c r="T265" s="1790"/>
      <c r="U265" s="1790"/>
      <c r="V265" s="1790"/>
      <c r="W265" s="1790"/>
      <c r="X265" s="1790"/>
      <c r="Y265" s="1790"/>
      <c r="Z265" s="1790"/>
      <c r="AA265" s="1790"/>
      <c r="AB265" s="1790"/>
      <c r="AC265" s="1790"/>
      <c r="AD265" s="1790"/>
      <c r="AE265" s="1790"/>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78" t="s">
        <v>536</v>
      </c>
      <c r="N266" s="1478"/>
      <c r="O266" s="1478"/>
      <c r="P266" s="1478"/>
      <c r="Q266" s="1478"/>
      <c r="R266" s="1478"/>
      <c r="S266" s="1478"/>
      <c r="T266" s="1478"/>
      <c r="U266" s="204" t="s">
        <v>905</v>
      </c>
      <c r="V266" s="204"/>
      <c r="W266" s="204"/>
      <c r="X266" s="204"/>
      <c r="Y266" s="204"/>
      <c r="Z266" s="204"/>
      <c r="AA266" s="1781" t="s">
        <v>2664</v>
      </c>
      <c r="AB266" s="1782"/>
      <c r="AC266" s="1782"/>
      <c r="AD266" s="1782"/>
      <c r="AE266" s="1782"/>
      <c r="AF266" s="1782"/>
      <c r="AG266" s="1782"/>
      <c r="AH266" s="1782"/>
      <c r="AI266" s="1782"/>
      <c r="AJ266" s="1782"/>
      <c r="AK266" s="1782"/>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532</v>
      </c>
      <c r="E268" s="4"/>
      <c r="F268" s="4"/>
      <c r="G268" s="4"/>
      <c r="H268" s="4"/>
      <c r="I268" s="4"/>
      <c r="J268" s="4"/>
      <c r="K268" s="4"/>
      <c r="L268" s="4"/>
      <c r="M268" s="1494"/>
      <c r="N268" s="1494"/>
      <c r="O268" s="1494"/>
      <c r="P268" s="1494"/>
      <c r="Q268" s="1494"/>
      <c r="R268" s="1494"/>
      <c r="S268" s="1494"/>
      <c r="T268" s="1494"/>
      <c r="U268" s="1494"/>
      <c r="V268" s="1494"/>
      <c r="W268" s="1494"/>
      <c r="X268" s="1494"/>
      <c r="Y268" s="1494"/>
      <c r="Z268" s="1494"/>
      <c r="AA268" s="1494"/>
      <c r="AB268" s="1494"/>
      <c r="AC268" s="1494"/>
      <c r="AD268" s="1494"/>
      <c r="AE268" s="1494"/>
      <c r="AF268" s="1494" t="s">
        <v>307</v>
      </c>
      <c r="AG268" s="1494"/>
      <c r="AH268" s="1494"/>
      <c r="AI268" s="1494"/>
      <c r="AJ268" s="1494"/>
      <c r="AK268" s="1494"/>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91"/>
      <c r="N269" s="1491"/>
      <c r="O269" s="1491"/>
      <c r="P269" s="1491"/>
      <c r="Q269" s="1491"/>
      <c r="R269" s="1491"/>
      <c r="S269" s="1491"/>
      <c r="T269" s="1491"/>
      <c r="U269" s="1491"/>
      <c r="V269" s="1491"/>
      <c r="W269" s="1491"/>
      <c r="X269" s="1491"/>
      <c r="Y269" s="1491"/>
      <c r="Z269" s="1491"/>
      <c r="AA269" s="1491"/>
      <c r="AB269" s="1491"/>
      <c r="AC269" s="1491"/>
      <c r="AD269" s="1491"/>
      <c r="AE269" s="1491"/>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91"/>
      <c r="N270" s="1491"/>
      <c r="O270" s="1491"/>
      <c r="P270" s="1491"/>
      <c r="Q270" s="1491"/>
      <c r="R270" s="1491"/>
      <c r="S270" s="1491"/>
      <c r="T270" s="1491"/>
      <c r="V270" s="33" t="s">
        <v>86</v>
      </c>
      <c r="W270" s="1447"/>
      <c r="X270" s="1447"/>
      <c r="Y270" s="4" t="s">
        <v>583</v>
      </c>
      <c r="AC270" s="1491"/>
      <c r="AD270" s="1491"/>
      <c r="AE270" s="1491"/>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91"/>
      <c r="N271" s="1491"/>
      <c r="O271" s="1491"/>
      <c r="P271" s="1491"/>
      <c r="Q271" s="1491"/>
      <c r="R271" s="1491"/>
      <c r="S271" s="1491"/>
      <c r="T271" s="1491"/>
      <c r="U271" s="1491"/>
      <c r="V271" s="1491"/>
      <c r="W271" s="1491"/>
      <c r="X271" s="1491"/>
      <c r="Y271" s="1491"/>
      <c r="Z271" s="1491"/>
      <c r="AA271" s="1491"/>
      <c r="AB271" s="1491"/>
      <c r="AC271" s="1491"/>
      <c r="AD271" s="1491"/>
      <c r="AE271" s="1491"/>
      <c r="AH271" s="1785"/>
      <c r="AI271" s="1785"/>
      <c r="AJ271" s="1785"/>
      <c r="AK271" s="1785"/>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55"/>
      <c r="N272" s="1455"/>
      <c r="O272" s="1455"/>
      <c r="P272" s="1455"/>
      <c r="Q272" s="1455"/>
      <c r="R272" s="1455"/>
      <c r="S272" s="4" t="s">
        <v>206</v>
      </c>
      <c r="T272" s="4"/>
      <c r="U272" s="1447"/>
      <c r="V272" s="1447"/>
      <c r="W272" s="1447"/>
      <c r="X272" s="4" t="s">
        <v>89</v>
      </c>
      <c r="Z272" s="1455"/>
      <c r="AA272" s="1455"/>
      <c r="AB272" s="1455"/>
      <c r="AC272" s="1455"/>
      <c r="AD272" s="1455"/>
      <c r="AE272" s="1455"/>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90"/>
      <c r="N273" s="1790"/>
      <c r="O273" s="1790"/>
      <c r="P273" s="1790"/>
      <c r="Q273" s="1790"/>
      <c r="R273" s="1790"/>
      <c r="S273" s="1790"/>
      <c r="T273" s="1790"/>
      <c r="U273" s="1790"/>
      <c r="V273" s="1790"/>
      <c r="W273" s="1790"/>
      <c r="X273" s="1790"/>
      <c r="Y273" s="1790"/>
      <c r="Z273" s="1790"/>
      <c r="AA273" s="1808"/>
      <c r="AB273" s="1808"/>
      <c r="AC273" s="1808"/>
      <c r="AD273" s="1808"/>
      <c r="AE273" s="1808"/>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78" t="s">
        <v>307</v>
      </c>
      <c r="N274" s="1478"/>
      <c r="O274" s="1478"/>
      <c r="P274" s="1478"/>
      <c r="Q274" s="1478"/>
      <c r="R274" s="1478"/>
      <c r="S274" s="1478"/>
      <c r="T274" s="1478"/>
      <c r="U274" s="204" t="s">
        <v>905</v>
      </c>
      <c r="V274" s="204"/>
      <c r="W274" s="204"/>
      <c r="X274" s="204"/>
      <c r="Y274" s="204"/>
      <c r="Z274" s="204"/>
      <c r="AA274" s="1783"/>
      <c r="AB274" s="1783"/>
      <c r="AC274" s="1783"/>
      <c r="AD274" s="1783"/>
      <c r="AE274" s="1783"/>
      <c r="AF274" s="1783"/>
      <c r="AG274" s="1783"/>
      <c r="AH274" s="1783"/>
      <c r="AI274" s="1783"/>
      <c r="AJ274" s="1783"/>
      <c r="AK274" s="1783"/>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786" t="str">
        <f>IFERROR(BO254,"")</f>
        <v>Joint Venture</v>
      </c>
      <c r="U276" s="1786"/>
      <c r="V276" s="1786"/>
      <c r="W276" s="1786"/>
      <c r="X276" s="1786"/>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491" t="s">
        <v>173</v>
      </c>
      <c r="E279" s="1491"/>
      <c r="F279" s="1491"/>
      <c r="G279" s="1491"/>
      <c r="H279" s="1491"/>
      <c r="J279" t="s">
        <v>279</v>
      </c>
      <c r="X279" s="1718"/>
      <c r="Y279" s="1718"/>
      <c r="Z279" s="1718"/>
      <c r="AA279" s="1718"/>
      <c r="AB279" s="1718"/>
      <c r="AC279" s="1718"/>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94" t="s">
        <v>2665</v>
      </c>
      <c r="M283" s="1494"/>
      <c r="N283" s="1494"/>
      <c r="O283" s="1494"/>
      <c r="P283" s="1494"/>
      <c r="Q283" s="1494"/>
      <c r="R283" s="1494"/>
      <c r="S283" s="1494"/>
      <c r="T283" s="1494"/>
      <c r="U283" s="1494"/>
      <c r="V283" s="1494"/>
      <c r="W283" s="1494"/>
      <c r="X283" s="1494"/>
      <c r="Y283" s="1494"/>
      <c r="Z283" s="1494"/>
      <c r="AA283" s="1494"/>
      <c r="AB283" s="1494"/>
      <c r="AC283" s="1494"/>
      <c r="AD283" s="1494"/>
      <c r="AE283" s="1494"/>
      <c r="AF283" s="1494"/>
      <c r="AG283" s="1494"/>
      <c r="AH283" s="1494"/>
      <c r="AI283" s="1494"/>
      <c r="AJ283" s="1494"/>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91" t="s">
        <v>2655</v>
      </c>
      <c r="M284" s="1491"/>
      <c r="N284" s="1491"/>
      <c r="O284" s="1491"/>
      <c r="P284" s="1491"/>
      <c r="Q284" s="1491"/>
      <c r="R284" s="1491"/>
      <c r="S284" s="1491"/>
      <c r="T284" s="1491"/>
      <c r="U284" s="1491"/>
      <c r="V284" s="1491"/>
      <c r="W284" s="1491"/>
      <c r="X284" s="1491"/>
      <c r="Y284" s="1491"/>
      <c r="Z284" s="1491"/>
      <c r="AA284" s="1491"/>
      <c r="AB284" s="1491"/>
      <c r="AC284" s="1491"/>
      <c r="AD284" s="1491"/>
      <c r="AK284" s="3"/>
      <c r="AL284" s="3"/>
      <c r="AM284" s="3"/>
      <c r="AN284" s="3"/>
      <c r="AO284" s="3"/>
      <c r="AP284" s="3"/>
      <c r="AQ284" s="3"/>
      <c r="AR284" s="3"/>
      <c r="AS284" s="3"/>
      <c r="AT284" s="3"/>
      <c r="AU284" s="3"/>
      <c r="AV284" s="3"/>
      <c r="AW284" s="3"/>
      <c r="AX284" s="3"/>
      <c r="AY284" s="3"/>
    </row>
    <row r="285" spans="1:51" ht="13" customHeight="1">
      <c r="D285" s="4" t="s">
        <v>580</v>
      </c>
      <c r="E285" s="4"/>
      <c r="L285" s="1491" t="s">
        <v>2656</v>
      </c>
      <c r="M285" s="1491"/>
      <c r="N285" s="1491"/>
      <c r="O285" s="1491"/>
      <c r="P285" s="1491"/>
      <c r="Q285" s="1491"/>
      <c r="R285" s="1491"/>
      <c r="S285" s="1491"/>
      <c r="U285" s="33" t="s">
        <v>86</v>
      </c>
      <c r="V285" s="1447" t="s">
        <v>2660</v>
      </c>
      <c r="W285" s="1447"/>
      <c r="X285" s="4" t="s">
        <v>583</v>
      </c>
      <c r="AB285" s="1491">
        <v>66503</v>
      </c>
      <c r="AC285" s="1491"/>
      <c r="AD285" s="1491"/>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91" t="s">
        <v>2657</v>
      </c>
      <c r="M286" s="1491"/>
      <c r="N286" s="1491"/>
      <c r="O286" s="1491"/>
      <c r="P286" s="1491"/>
      <c r="Q286" s="1491"/>
      <c r="R286" s="1491"/>
      <c r="S286" s="1491"/>
      <c r="T286" s="1491"/>
      <c r="U286" s="1491"/>
      <c r="V286" s="1491"/>
      <c r="W286" s="1491"/>
      <c r="X286" s="1491"/>
      <c r="Y286" s="1491"/>
      <c r="Z286" s="1491"/>
      <c r="AA286" s="1491"/>
      <c r="AB286" s="1491"/>
      <c r="AC286" s="1491"/>
      <c r="AD286" s="1491"/>
      <c r="AI286" s="4"/>
      <c r="AJ286" s="4"/>
      <c r="AK286" s="3"/>
      <c r="AL286" s="3"/>
      <c r="AM286" s="3"/>
      <c r="AN286" s="3"/>
      <c r="AO286" s="3"/>
      <c r="AP286" s="3"/>
      <c r="AQ286" s="3"/>
      <c r="AR286" s="3"/>
      <c r="AS286" s="3"/>
      <c r="AT286" s="3"/>
    </row>
    <row r="287" spans="1:51" ht="13" customHeight="1">
      <c r="D287" s="4" t="s">
        <v>88</v>
      </c>
      <c r="E287" s="4"/>
      <c r="F287" s="4"/>
      <c r="L287" s="1455" t="s">
        <v>2658</v>
      </c>
      <c r="M287" s="1455"/>
      <c r="N287" s="1455"/>
      <c r="O287" s="1455"/>
      <c r="P287" s="1455"/>
      <c r="Q287" s="1455"/>
      <c r="R287" s="4" t="s">
        <v>206</v>
      </c>
      <c r="S287" s="4"/>
      <c r="T287" s="1447"/>
      <c r="U287" s="1447"/>
      <c r="V287" s="1447"/>
      <c r="W287" s="4" t="s">
        <v>89</v>
      </c>
      <c r="Y287" s="1455"/>
      <c r="Z287" s="1455"/>
      <c r="AA287" s="1455"/>
      <c r="AB287" s="1455"/>
      <c r="AC287" s="1455"/>
      <c r="AD287" s="1455"/>
    </row>
    <row r="288" spans="1:51" ht="13" customHeight="1">
      <c r="D288" s="4" t="s">
        <v>90</v>
      </c>
      <c r="E288" s="4"/>
      <c r="F288" s="4"/>
      <c r="L288" s="1790" t="s">
        <v>2659</v>
      </c>
      <c r="M288" s="1790"/>
      <c r="N288" s="1790"/>
      <c r="O288" s="1790"/>
      <c r="P288" s="1790"/>
      <c r="Q288" s="1790"/>
      <c r="R288" s="1790"/>
      <c r="S288" s="1790"/>
      <c r="T288" s="1790"/>
      <c r="U288" s="1790"/>
      <c r="V288" s="1790"/>
      <c r="W288" s="1790"/>
      <c r="X288" s="1790"/>
      <c r="Y288" s="1790"/>
      <c r="Z288" s="1790"/>
      <c r="AA288" s="1790"/>
      <c r="AB288" s="1790"/>
      <c r="AC288" s="1790"/>
      <c r="AD288" s="1790"/>
      <c r="AF288" s="4"/>
      <c r="AG288" s="4"/>
      <c r="AH288" s="4"/>
      <c r="AI288" s="4"/>
      <c r="AJ288" s="4"/>
      <c r="AU288" s="3"/>
      <c r="AV288" s="3"/>
      <c r="AW288" s="3"/>
      <c r="AX288" s="3"/>
      <c r="AY288" s="3"/>
    </row>
    <row r="289" spans="1:51" ht="13" customHeight="1">
      <c r="D289" s="3" t="s">
        <v>623</v>
      </c>
      <c r="E289" s="3"/>
      <c r="F289" s="3"/>
      <c r="G289" s="3"/>
      <c r="H289" s="3"/>
      <c r="I289" s="3"/>
      <c r="L289" s="1383" t="s">
        <v>2666</v>
      </c>
      <c r="M289" s="1383"/>
      <c r="N289" s="1383"/>
      <c r="O289" s="1383"/>
      <c r="P289" s="1383"/>
      <c r="Q289" s="1383"/>
      <c r="R289" s="1383"/>
      <c r="S289" s="1383"/>
      <c r="T289" s="1383"/>
      <c r="U289" s="1383"/>
      <c r="V289" s="1383"/>
      <c r="W289" s="1383"/>
      <c r="X289" s="1383"/>
      <c r="Y289" s="1383"/>
      <c r="Z289" s="1383"/>
      <c r="AA289" s="1383"/>
      <c r="AB289" s="1383"/>
      <c r="AC289" s="1383"/>
      <c r="AD289" s="1383"/>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96" t="s">
        <v>541</v>
      </c>
      <c r="B291" s="1496"/>
      <c r="C291" s="1496"/>
      <c r="D291" s="1496"/>
      <c r="E291" s="1496"/>
      <c r="F291" s="1496"/>
      <c r="G291" s="1496"/>
      <c r="H291" s="1496"/>
      <c r="I291" s="1496"/>
      <c r="J291" s="1496"/>
      <c r="K291" s="1496"/>
      <c r="L291" s="1496"/>
      <c r="M291" s="1496"/>
      <c r="N291" s="1496"/>
      <c r="O291" s="1496"/>
      <c r="P291" s="1496"/>
      <c r="Q291" s="1496"/>
      <c r="R291" s="1496"/>
      <c r="S291" s="1496"/>
      <c r="T291" s="1496"/>
      <c r="U291" s="1496"/>
      <c r="V291" s="1496"/>
      <c r="W291" s="1496"/>
      <c r="X291" s="1496"/>
      <c r="Y291" s="1496"/>
      <c r="Z291" s="1496"/>
      <c r="AA291" s="1496"/>
      <c r="AB291" s="1496"/>
      <c r="AC291" s="1496"/>
      <c r="AD291" s="1496"/>
      <c r="AE291" s="1496"/>
      <c r="AF291" s="1496"/>
      <c r="AG291" s="1496"/>
      <c r="AH291" s="1496"/>
      <c r="AI291" s="1496"/>
      <c r="AJ291" s="1496"/>
      <c r="AK291" s="1496"/>
      <c r="AL291" s="1496"/>
      <c r="AM291" s="1496"/>
      <c r="AN291" s="1496"/>
      <c r="AO291" s="1496"/>
      <c r="AP291" s="1496"/>
      <c r="AQ291" s="1496"/>
      <c r="AR291" s="1496"/>
      <c r="AS291" s="1496"/>
      <c r="AT291" s="1496"/>
      <c r="AU291" s="95"/>
      <c r="AV291" s="95"/>
      <c r="AW291" s="95"/>
      <c r="AX291" s="95"/>
      <c r="AY291" s="95"/>
    </row>
    <row r="292" spans="1:51" ht="13" customHeight="1">
      <c r="A292" s="1496"/>
      <c r="B292" s="1496"/>
      <c r="C292" s="1496"/>
      <c r="D292" s="1496"/>
      <c r="E292" s="1496"/>
      <c r="F292" s="1496"/>
      <c r="G292" s="1496"/>
      <c r="H292" s="1496"/>
      <c r="I292" s="1496"/>
      <c r="J292" s="1496"/>
      <c r="K292" s="1496"/>
      <c r="L292" s="1496"/>
      <c r="M292" s="1496"/>
      <c r="N292" s="1496"/>
      <c r="O292" s="1496"/>
      <c r="P292" s="1496"/>
      <c r="Q292" s="1496"/>
      <c r="R292" s="1496"/>
      <c r="S292" s="1496"/>
      <c r="T292" s="1496"/>
      <c r="U292" s="1496"/>
      <c r="V292" s="1496"/>
      <c r="W292" s="1496"/>
      <c r="X292" s="1496"/>
      <c r="Y292" s="1496"/>
      <c r="Z292" s="1496"/>
      <c r="AA292" s="1496"/>
      <c r="AB292" s="1496"/>
      <c r="AC292" s="1496"/>
      <c r="AD292" s="1496"/>
      <c r="AE292" s="1496"/>
      <c r="AF292" s="1496"/>
      <c r="AG292" s="1496"/>
      <c r="AH292" s="1496"/>
      <c r="AI292" s="1496"/>
      <c r="AJ292" s="1496"/>
      <c r="AK292" s="1496"/>
      <c r="AL292" s="1496"/>
      <c r="AM292" s="1496"/>
      <c r="AN292" s="1496"/>
      <c r="AO292" s="1496"/>
      <c r="AP292" s="1496"/>
      <c r="AQ292" s="1496"/>
      <c r="AR292" s="1496"/>
      <c r="AS292" s="1496"/>
      <c r="AT292" s="1496"/>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56" t="s">
        <v>2766</v>
      </c>
      <c r="I296" s="1456"/>
      <c r="J296" s="1456"/>
      <c r="K296" s="1456"/>
      <c r="L296" s="1456"/>
      <c r="M296" s="1456"/>
      <c r="N296" s="1456"/>
      <c r="O296" s="1456"/>
      <c r="P296" s="1456"/>
      <c r="Q296" s="1456"/>
      <c r="R296" s="1456"/>
      <c r="T296" s="3" t="s">
        <v>567</v>
      </c>
      <c r="V296" s="3"/>
      <c r="W296" s="3"/>
      <c r="X296" s="3"/>
      <c r="Y296" s="3"/>
      <c r="AA296" s="1456" t="s">
        <v>2671</v>
      </c>
      <c r="AB296" s="1456"/>
      <c r="AC296" s="1456"/>
      <c r="AD296" s="1456"/>
      <c r="AE296" s="1456"/>
      <c r="AF296" s="1456"/>
      <c r="AG296" s="1456"/>
      <c r="AH296" s="1456"/>
      <c r="AI296" s="1456"/>
      <c r="AJ296" s="1456"/>
      <c r="AK296" s="1456"/>
    </row>
    <row r="297" spans="1:51" ht="13" customHeight="1">
      <c r="B297" s="3" t="s">
        <v>471</v>
      </c>
      <c r="C297" s="3"/>
      <c r="D297" s="3"/>
      <c r="E297" s="3"/>
      <c r="F297" s="3"/>
      <c r="H297" s="1478" t="s">
        <v>2667</v>
      </c>
      <c r="I297" s="1478"/>
      <c r="J297" s="1478"/>
      <c r="K297" s="1478"/>
      <c r="L297" s="1478"/>
      <c r="M297" s="1478"/>
      <c r="N297" s="1478"/>
      <c r="O297" s="1478"/>
      <c r="P297" s="1478"/>
      <c r="Q297" s="1478"/>
      <c r="R297" s="1478"/>
      <c r="T297" s="3" t="s">
        <v>471</v>
      </c>
      <c r="V297" s="3"/>
      <c r="W297" s="3"/>
      <c r="X297" s="3"/>
      <c r="Y297" s="3"/>
      <c r="AA297" s="1478" t="s">
        <v>2667</v>
      </c>
      <c r="AB297" s="1478"/>
      <c r="AC297" s="1478"/>
      <c r="AD297" s="1478"/>
      <c r="AE297" s="1478"/>
      <c r="AF297" s="1478"/>
      <c r="AG297" s="1478"/>
      <c r="AH297" s="1478"/>
      <c r="AI297" s="1478"/>
      <c r="AJ297" s="1478"/>
      <c r="AK297" s="1478"/>
    </row>
    <row r="298" spans="1:51" ht="13" customHeight="1">
      <c r="B298" s="3" t="s">
        <v>472</v>
      </c>
      <c r="C298" s="3"/>
      <c r="D298" s="3"/>
      <c r="E298" s="3"/>
      <c r="F298" s="3"/>
      <c r="H298" s="1478" t="s">
        <v>2668</v>
      </c>
      <c r="I298" s="1478"/>
      <c r="J298" s="1478"/>
      <c r="K298" s="1478"/>
      <c r="L298" s="1478"/>
      <c r="M298" s="1478"/>
      <c r="N298" s="1478"/>
      <c r="O298" s="1478"/>
      <c r="P298" s="1478"/>
      <c r="Q298" s="1478"/>
      <c r="R298" s="1478"/>
      <c r="T298" s="3" t="s">
        <v>75</v>
      </c>
      <c r="V298" s="3"/>
      <c r="W298" s="3"/>
      <c r="X298" s="3"/>
      <c r="Y298" s="3"/>
      <c r="AA298" s="1478" t="s">
        <v>2668</v>
      </c>
      <c r="AB298" s="1478"/>
      <c r="AC298" s="1478"/>
      <c r="AD298" s="1478"/>
      <c r="AE298" s="1478"/>
      <c r="AF298" s="1478"/>
      <c r="AG298" s="1478"/>
      <c r="AH298" s="1478"/>
      <c r="AI298" s="1478"/>
      <c r="AJ298" s="1478"/>
      <c r="AK298" s="1478"/>
    </row>
    <row r="299" spans="1:51" ht="13" customHeight="1">
      <c r="B299" s="3" t="s">
        <v>87</v>
      </c>
      <c r="C299" s="3"/>
      <c r="D299" s="3"/>
      <c r="E299" s="3"/>
      <c r="F299" s="3"/>
      <c r="H299" s="1478" t="s">
        <v>2670</v>
      </c>
      <c r="I299" s="1478"/>
      <c r="J299" s="1478"/>
      <c r="K299" s="1478"/>
      <c r="L299" s="1478"/>
      <c r="M299" s="1478"/>
      <c r="N299" s="1478"/>
      <c r="O299" s="1478"/>
      <c r="P299" s="1478"/>
      <c r="Q299" s="1478"/>
      <c r="R299" s="1478"/>
      <c r="T299" s="3" t="s">
        <v>87</v>
      </c>
      <c r="V299" s="3"/>
      <c r="W299" s="3"/>
      <c r="X299" s="3"/>
      <c r="Y299" s="3"/>
      <c r="AA299" s="1478" t="s">
        <v>2670</v>
      </c>
      <c r="AB299" s="1478"/>
      <c r="AC299" s="1478"/>
      <c r="AD299" s="1478"/>
      <c r="AE299" s="1478"/>
      <c r="AF299" s="1478"/>
      <c r="AG299" s="1478"/>
      <c r="AH299" s="1478"/>
      <c r="AI299" s="1478"/>
      <c r="AJ299" s="1478"/>
      <c r="AK299" s="1478"/>
    </row>
    <row r="300" spans="1:51" ht="13" customHeight="1">
      <c r="B300" s="3" t="s">
        <v>88</v>
      </c>
      <c r="C300" s="3"/>
      <c r="D300" s="3"/>
      <c r="E300" s="3"/>
      <c r="F300" s="3"/>
      <c r="G300" s="3"/>
      <c r="H300" s="1760" t="s">
        <v>2706</v>
      </c>
      <c r="I300" s="1497"/>
      <c r="J300" s="1497"/>
      <c r="K300" s="1497"/>
      <c r="L300" s="1497"/>
      <c r="M300" s="1497"/>
      <c r="N300" s="4" t="s">
        <v>206</v>
      </c>
      <c r="O300" s="4"/>
      <c r="P300" s="1491"/>
      <c r="Q300" s="1491"/>
      <c r="R300" s="1491"/>
      <c r="S300" s="3"/>
      <c r="T300" s="3" t="s">
        <v>88</v>
      </c>
      <c r="V300" s="3"/>
      <c r="W300" s="3"/>
      <c r="X300" s="3"/>
      <c r="Y300" s="3"/>
      <c r="AA300" s="1760" t="s">
        <v>2706</v>
      </c>
      <c r="AB300" s="1497"/>
      <c r="AC300" s="1497"/>
      <c r="AD300" s="1497"/>
      <c r="AE300" s="1497"/>
      <c r="AF300" s="1497"/>
      <c r="AG300" s="4" t="s">
        <v>206</v>
      </c>
      <c r="AH300" s="4"/>
      <c r="AI300" s="1491"/>
      <c r="AJ300" s="1491"/>
      <c r="AK300" s="1491"/>
    </row>
    <row r="301" spans="1:51" ht="13" customHeight="1">
      <c r="B301" s="3" t="s">
        <v>89</v>
      </c>
      <c r="C301" s="3"/>
      <c r="D301" s="3"/>
      <c r="E301" s="3"/>
      <c r="F301" s="3"/>
      <c r="G301" s="3"/>
      <c r="H301" s="1455" t="s">
        <v>2669</v>
      </c>
      <c r="I301" s="1455"/>
      <c r="J301" s="1455"/>
      <c r="K301" s="1455"/>
      <c r="L301" s="1455"/>
      <c r="M301" s="1455"/>
      <c r="N301" s="4"/>
      <c r="O301" s="4"/>
      <c r="P301" s="35"/>
      <c r="Q301" s="35"/>
      <c r="R301" s="35"/>
      <c r="S301" s="3"/>
      <c r="T301" s="3" t="s">
        <v>89</v>
      </c>
      <c r="V301" s="3"/>
      <c r="W301" s="3"/>
      <c r="X301" s="3"/>
      <c r="Y301" s="3"/>
      <c r="AA301" s="1455" t="s">
        <v>2669</v>
      </c>
      <c r="AB301" s="1455"/>
      <c r="AC301" s="1455"/>
      <c r="AD301" s="1455"/>
      <c r="AE301" s="1455"/>
      <c r="AF301" s="1455"/>
      <c r="AG301" s="4"/>
      <c r="AH301" s="4"/>
      <c r="AI301" s="35"/>
      <c r="AJ301" s="35"/>
      <c r="AK301" s="35"/>
    </row>
    <row r="302" spans="1:51" ht="13" customHeight="1">
      <c r="B302" s="3" t="s">
        <v>76</v>
      </c>
      <c r="C302" s="3"/>
      <c r="D302" s="3"/>
      <c r="E302" s="3"/>
      <c r="F302" s="3"/>
      <c r="G302" s="3"/>
      <c r="H302" s="1383" t="s">
        <v>2707</v>
      </c>
      <c r="I302" s="1478"/>
      <c r="J302" s="1478"/>
      <c r="K302" s="1478"/>
      <c r="L302" s="1478"/>
      <c r="M302" s="1478"/>
      <c r="N302" s="1456"/>
      <c r="O302" s="1456"/>
      <c r="P302" s="1456"/>
      <c r="Q302" s="1456"/>
      <c r="R302" s="1456"/>
      <c r="S302" s="3"/>
      <c r="T302" s="3" t="s">
        <v>76</v>
      </c>
      <c r="V302" s="3"/>
      <c r="W302" s="3"/>
      <c r="X302" s="3"/>
      <c r="Y302" s="3"/>
      <c r="AA302" s="1383" t="s">
        <v>2707</v>
      </c>
      <c r="AB302" s="1478"/>
      <c r="AC302" s="1478"/>
      <c r="AD302" s="1478"/>
      <c r="AE302" s="1478"/>
      <c r="AF302" s="1478"/>
      <c r="AG302" s="1456"/>
      <c r="AH302" s="1456"/>
      <c r="AI302" s="1456"/>
      <c r="AJ302" s="1456"/>
      <c r="AK302" s="1456"/>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56" t="s">
        <v>2672</v>
      </c>
      <c r="I304" s="1456"/>
      <c r="J304" s="1456"/>
      <c r="K304" s="1456"/>
      <c r="L304" s="1456"/>
      <c r="M304" s="1456"/>
      <c r="N304" s="1456"/>
      <c r="O304" s="1456"/>
      <c r="P304" s="1456"/>
      <c r="Q304" s="1456"/>
      <c r="R304" s="1456"/>
      <c r="T304" s="3" t="s">
        <v>364</v>
      </c>
      <c r="V304" s="3"/>
      <c r="W304" s="3"/>
      <c r="X304" s="3"/>
      <c r="Y304" s="3"/>
      <c r="AA304" s="1456" t="s">
        <v>2678</v>
      </c>
      <c r="AB304" s="1456"/>
      <c r="AC304" s="1456"/>
      <c r="AD304" s="1456"/>
      <c r="AE304" s="1456"/>
      <c r="AF304" s="1456"/>
      <c r="AG304" s="1456"/>
      <c r="AH304" s="1456"/>
      <c r="AI304" s="1456"/>
      <c r="AJ304" s="1456"/>
      <c r="AK304" s="1456"/>
    </row>
    <row r="305" spans="2:72" ht="13" customHeight="1">
      <c r="B305" s="3" t="s">
        <v>471</v>
      </c>
      <c r="C305" s="3"/>
      <c r="D305" s="3"/>
      <c r="E305" s="3"/>
      <c r="F305" s="3"/>
      <c r="H305" s="1478" t="s">
        <v>2673</v>
      </c>
      <c r="I305" s="1478"/>
      <c r="J305" s="1478"/>
      <c r="K305" s="1478"/>
      <c r="L305" s="1478"/>
      <c r="M305" s="1478"/>
      <c r="N305" s="1478"/>
      <c r="O305" s="1478"/>
      <c r="P305" s="1478"/>
      <c r="Q305" s="1478"/>
      <c r="R305" s="1478"/>
      <c r="T305" s="3" t="s">
        <v>471</v>
      </c>
      <c r="V305" s="3"/>
      <c r="W305" s="3"/>
      <c r="X305" s="3"/>
      <c r="Y305" s="3"/>
      <c r="AA305" s="1478" t="s">
        <v>2667</v>
      </c>
      <c r="AB305" s="1478"/>
      <c r="AC305" s="1478"/>
      <c r="AD305" s="1478"/>
      <c r="AE305" s="1478"/>
      <c r="AF305" s="1478"/>
      <c r="AG305" s="1478"/>
      <c r="AH305" s="1478"/>
      <c r="AI305" s="1478"/>
      <c r="AJ305" s="1478"/>
      <c r="AK305" s="147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478" t="s">
        <v>2674</v>
      </c>
      <c r="I306" s="1478"/>
      <c r="J306" s="1478"/>
      <c r="K306" s="1478"/>
      <c r="L306" s="1478"/>
      <c r="M306" s="1478"/>
      <c r="N306" s="1478"/>
      <c r="O306" s="1478"/>
      <c r="P306" s="1478"/>
      <c r="Q306" s="1478"/>
      <c r="R306" s="1478"/>
      <c r="T306" s="3" t="s">
        <v>75</v>
      </c>
      <c r="V306" s="3"/>
      <c r="W306" s="3"/>
      <c r="X306" s="3"/>
      <c r="Y306" s="3"/>
      <c r="AA306" s="1478" t="s">
        <v>2668</v>
      </c>
      <c r="AB306" s="1478"/>
      <c r="AC306" s="1478"/>
      <c r="AD306" s="1478"/>
      <c r="AE306" s="1478"/>
      <c r="AF306" s="1478"/>
      <c r="AG306" s="1478"/>
      <c r="AH306" s="1478"/>
      <c r="AI306" s="1478"/>
      <c r="AJ306" s="1478"/>
      <c r="AK306" s="147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78" t="s">
        <v>2675</v>
      </c>
      <c r="I307" s="1478"/>
      <c r="J307" s="1478"/>
      <c r="K307" s="1478"/>
      <c r="L307" s="1478"/>
      <c r="M307" s="1478"/>
      <c r="N307" s="1478"/>
      <c r="O307" s="1478"/>
      <c r="P307" s="1478"/>
      <c r="Q307" s="1478"/>
      <c r="R307" s="1478"/>
      <c r="T307" s="3" t="s">
        <v>87</v>
      </c>
      <c r="V307" s="3"/>
      <c r="W307" s="3"/>
      <c r="X307" s="3"/>
      <c r="Y307" s="3"/>
      <c r="AA307" s="1478" t="s">
        <v>2670</v>
      </c>
      <c r="AB307" s="1478"/>
      <c r="AC307" s="1478"/>
      <c r="AD307" s="1478"/>
      <c r="AE307" s="1478"/>
      <c r="AF307" s="1478"/>
      <c r="AG307" s="1478"/>
      <c r="AH307" s="1478"/>
      <c r="AI307" s="1478"/>
      <c r="AJ307" s="1478"/>
      <c r="AK307" s="1478"/>
    </row>
    <row r="308" spans="2:72" ht="13" customHeight="1">
      <c r="B308" s="3" t="s">
        <v>88</v>
      </c>
      <c r="C308" s="3"/>
      <c r="D308" s="3"/>
      <c r="E308" s="3"/>
      <c r="F308" s="3"/>
      <c r="G308" s="3"/>
      <c r="H308" s="1497" t="s">
        <v>2676</v>
      </c>
      <c r="I308" s="1497"/>
      <c r="J308" s="1497"/>
      <c r="K308" s="1497"/>
      <c r="L308" s="1497"/>
      <c r="M308" s="1497"/>
      <c r="N308" s="4" t="s">
        <v>206</v>
      </c>
      <c r="O308" s="4"/>
      <c r="P308" s="1491">
        <v>8</v>
      </c>
      <c r="Q308" s="1491"/>
      <c r="R308" s="1491"/>
      <c r="S308" s="3"/>
      <c r="T308" s="3" t="s">
        <v>88</v>
      </c>
      <c r="V308" s="3"/>
      <c r="W308" s="3"/>
      <c r="X308" s="3"/>
      <c r="Y308" s="3"/>
      <c r="AA308" s="1497" t="s">
        <v>2706</v>
      </c>
      <c r="AB308" s="1497"/>
      <c r="AC308" s="1497"/>
      <c r="AD308" s="1497"/>
      <c r="AE308" s="1497"/>
      <c r="AF308" s="1497"/>
      <c r="AG308" s="4" t="s">
        <v>206</v>
      </c>
      <c r="AH308" s="4"/>
      <c r="AI308" s="1491"/>
      <c r="AJ308" s="1491"/>
      <c r="AK308" s="1491"/>
    </row>
    <row r="309" spans="2:72" ht="13" customHeight="1">
      <c r="B309" s="3" t="s">
        <v>89</v>
      </c>
      <c r="C309" s="3"/>
      <c r="D309" s="3"/>
      <c r="E309" s="3"/>
      <c r="F309" s="3"/>
      <c r="G309" s="3"/>
      <c r="H309" s="1455"/>
      <c r="I309" s="1455"/>
      <c r="J309" s="1455"/>
      <c r="K309" s="1455"/>
      <c r="L309" s="1455"/>
      <c r="M309" s="1455"/>
      <c r="N309" s="4"/>
      <c r="O309" s="4"/>
      <c r="P309" s="35"/>
      <c r="Q309" s="35"/>
      <c r="R309" s="35"/>
      <c r="S309" s="3"/>
      <c r="T309" s="3" t="s">
        <v>89</v>
      </c>
      <c r="V309" s="3"/>
      <c r="W309" s="3"/>
      <c r="X309" s="3"/>
      <c r="Y309" s="3"/>
      <c r="AA309" s="1455" t="s">
        <v>2669</v>
      </c>
      <c r="AB309" s="1455"/>
      <c r="AC309" s="1455"/>
      <c r="AD309" s="1455"/>
      <c r="AE309" s="1455"/>
      <c r="AF309" s="1455"/>
      <c r="AG309" s="4"/>
      <c r="AH309" s="4"/>
      <c r="AI309" s="35"/>
      <c r="AJ309" s="35"/>
      <c r="AK309" s="35"/>
    </row>
    <row r="310" spans="2:72" ht="13" customHeight="1">
      <c r="B310" s="3" t="s">
        <v>76</v>
      </c>
      <c r="C310" s="3"/>
      <c r="D310" s="3"/>
      <c r="E310" s="3"/>
      <c r="F310" s="3"/>
      <c r="G310" s="3"/>
      <c r="H310" s="1478" t="s">
        <v>2677</v>
      </c>
      <c r="I310" s="1478"/>
      <c r="J310" s="1478"/>
      <c r="K310" s="1478"/>
      <c r="L310" s="1478"/>
      <c r="M310" s="1478"/>
      <c r="N310" s="1456"/>
      <c r="O310" s="1456"/>
      <c r="P310" s="1456"/>
      <c r="Q310" s="1456"/>
      <c r="R310" s="1456"/>
      <c r="S310" s="3"/>
      <c r="T310" s="3" t="s">
        <v>76</v>
      </c>
      <c r="V310" s="3"/>
      <c r="W310" s="3"/>
      <c r="X310" s="3"/>
      <c r="Y310" s="3"/>
      <c r="AA310" s="1383" t="s">
        <v>2707</v>
      </c>
      <c r="AB310" s="1478"/>
      <c r="AC310" s="1478"/>
      <c r="AD310" s="1478"/>
      <c r="AE310" s="1478"/>
      <c r="AF310" s="1478"/>
      <c r="AG310" s="1456"/>
      <c r="AH310" s="1456"/>
      <c r="AI310" s="1456"/>
      <c r="AJ310" s="1456"/>
      <c r="AK310" s="1456"/>
    </row>
    <row r="311" spans="2:72" ht="13" customHeight="1"/>
    <row r="312" spans="2:72" ht="13" customHeight="1">
      <c r="B312" s="3" t="s">
        <v>77</v>
      </c>
      <c r="C312" s="3"/>
      <c r="D312" s="3"/>
      <c r="E312" s="3"/>
      <c r="F312" s="3"/>
      <c r="H312" s="1456" t="s">
        <v>2672</v>
      </c>
      <c r="I312" s="1456"/>
      <c r="J312" s="1456"/>
      <c r="K312" s="1456"/>
      <c r="L312" s="1456"/>
      <c r="M312" s="1456"/>
      <c r="N312" s="1456"/>
      <c r="O312" s="1456"/>
      <c r="P312" s="1456"/>
      <c r="Q312" s="1456"/>
      <c r="R312" s="1456"/>
      <c r="T312" s="4" t="s">
        <v>877</v>
      </c>
      <c r="V312" s="3"/>
      <c r="W312" s="3"/>
      <c r="X312" s="3"/>
      <c r="Y312" s="3"/>
      <c r="AA312" s="1490" t="s">
        <v>2740</v>
      </c>
      <c r="AB312" s="1456"/>
      <c r="AC312" s="1456"/>
      <c r="AD312" s="1456"/>
      <c r="AE312" s="1456"/>
      <c r="AF312" s="1456"/>
      <c r="AG312" s="1456"/>
      <c r="AH312" s="1456"/>
      <c r="AI312" s="1456"/>
      <c r="AJ312" s="1456"/>
      <c r="AK312" s="1456"/>
    </row>
    <row r="313" spans="2:72" ht="13" customHeight="1">
      <c r="B313" s="3" t="s">
        <v>471</v>
      </c>
      <c r="C313" s="3"/>
      <c r="D313" s="3"/>
      <c r="E313" s="3"/>
      <c r="F313" s="3"/>
      <c r="H313" s="1478" t="s">
        <v>2673</v>
      </c>
      <c r="I313" s="1478"/>
      <c r="J313" s="1478"/>
      <c r="K313" s="1478"/>
      <c r="L313" s="1478"/>
      <c r="M313" s="1478"/>
      <c r="N313" s="1478"/>
      <c r="O313" s="1478"/>
      <c r="P313" s="1478"/>
      <c r="Q313" s="1478"/>
      <c r="R313" s="1478"/>
      <c r="T313" s="3" t="s">
        <v>471</v>
      </c>
      <c r="V313" s="3"/>
      <c r="W313" s="3"/>
      <c r="X313" s="3"/>
      <c r="Y313" s="3"/>
      <c r="AA313" s="1478" t="s">
        <v>2744</v>
      </c>
      <c r="AB313" s="1478"/>
      <c r="AC313" s="1478"/>
      <c r="AD313" s="1478"/>
      <c r="AE313" s="1478"/>
      <c r="AF313" s="1478"/>
      <c r="AG313" s="1478"/>
      <c r="AH313" s="1478"/>
      <c r="AI313" s="1478"/>
      <c r="AJ313" s="1478"/>
      <c r="AK313" s="1478"/>
    </row>
    <row r="314" spans="2:72" ht="13" customHeight="1">
      <c r="B314" s="3" t="s">
        <v>472</v>
      </c>
      <c r="C314" s="3"/>
      <c r="D314" s="3"/>
      <c r="E314" s="3"/>
      <c r="F314" s="3"/>
      <c r="H314" s="1478" t="s">
        <v>2674</v>
      </c>
      <c r="I314" s="1478"/>
      <c r="J314" s="1478"/>
      <c r="K314" s="1478"/>
      <c r="L314" s="1478"/>
      <c r="M314" s="1478"/>
      <c r="N314" s="1478"/>
      <c r="O314" s="1478"/>
      <c r="P314" s="1478"/>
      <c r="Q314" s="1478"/>
      <c r="R314" s="1478"/>
      <c r="T314" s="3" t="s">
        <v>75</v>
      </c>
      <c r="V314" s="3"/>
      <c r="W314" s="3"/>
      <c r="X314" s="3"/>
      <c r="Y314" s="3"/>
      <c r="AA314" s="1478" t="s">
        <v>2745</v>
      </c>
      <c r="AB314" s="1478"/>
      <c r="AC314" s="1478"/>
      <c r="AD314" s="1478"/>
      <c r="AE314" s="1478"/>
      <c r="AF314" s="1478"/>
      <c r="AG314" s="1478"/>
      <c r="AH314" s="1478"/>
      <c r="AI314" s="1478"/>
      <c r="AJ314" s="1478"/>
      <c r="AK314" s="1478"/>
    </row>
    <row r="315" spans="2:72" ht="13" customHeight="1">
      <c r="B315" s="3" t="s">
        <v>87</v>
      </c>
      <c r="C315" s="3"/>
      <c r="D315" s="3"/>
      <c r="E315" s="3"/>
      <c r="F315" s="3"/>
      <c r="H315" s="1478" t="s">
        <v>2675</v>
      </c>
      <c r="I315" s="1478"/>
      <c r="J315" s="1478"/>
      <c r="K315" s="1478"/>
      <c r="L315" s="1478"/>
      <c r="M315" s="1478"/>
      <c r="N315" s="1478"/>
      <c r="O315" s="1478"/>
      <c r="P315" s="1478"/>
      <c r="Q315" s="1478"/>
      <c r="R315" s="1478"/>
      <c r="T315" s="3" t="s">
        <v>87</v>
      </c>
      <c r="V315" s="3"/>
      <c r="W315" s="3"/>
      <c r="X315" s="3"/>
      <c r="Y315" s="3"/>
      <c r="AA315" s="1478" t="s">
        <v>2741</v>
      </c>
      <c r="AB315" s="1478"/>
      <c r="AC315" s="1478"/>
      <c r="AD315" s="1478"/>
      <c r="AE315" s="1478"/>
      <c r="AF315" s="1478"/>
      <c r="AG315" s="1478"/>
      <c r="AH315" s="1478"/>
      <c r="AI315" s="1478"/>
      <c r="AJ315" s="1478"/>
      <c r="AK315" s="1478"/>
    </row>
    <row r="316" spans="2:72" ht="13" customHeight="1">
      <c r="B316" s="3" t="s">
        <v>88</v>
      </c>
      <c r="C316" s="3"/>
      <c r="D316" s="3"/>
      <c r="E316" s="3"/>
      <c r="F316" s="3"/>
      <c r="G316" s="3"/>
      <c r="H316" s="1497" t="s">
        <v>2676</v>
      </c>
      <c r="I316" s="1497"/>
      <c r="J316" s="1497"/>
      <c r="K316" s="1497"/>
      <c r="L316" s="1497"/>
      <c r="M316" s="1497"/>
      <c r="N316" s="4" t="s">
        <v>206</v>
      </c>
      <c r="O316" s="4"/>
      <c r="P316" s="1491">
        <v>8</v>
      </c>
      <c r="Q316" s="1491"/>
      <c r="R316" s="1491"/>
      <c r="S316" s="3"/>
      <c r="T316" s="3" t="s">
        <v>88</v>
      </c>
      <c r="V316" s="3"/>
      <c r="W316" s="3"/>
      <c r="X316" s="3"/>
      <c r="Y316" s="3"/>
      <c r="AA316" s="1760" t="s">
        <v>2742</v>
      </c>
      <c r="AB316" s="1497"/>
      <c r="AC316" s="1497"/>
      <c r="AD316" s="1497"/>
      <c r="AE316" s="1497"/>
      <c r="AF316" s="1497"/>
      <c r="AG316" s="4" t="s">
        <v>206</v>
      </c>
      <c r="AH316" s="4"/>
      <c r="AI316" s="1491"/>
      <c r="AJ316" s="1491"/>
      <c r="AK316" s="1491"/>
    </row>
    <row r="317" spans="2:72" ht="13" customHeight="1">
      <c r="B317" s="3" t="s">
        <v>89</v>
      </c>
      <c r="C317" s="3"/>
      <c r="D317" s="3"/>
      <c r="E317" s="3"/>
      <c r="F317" s="3"/>
      <c r="G317" s="3"/>
      <c r="H317" s="1455"/>
      <c r="I317" s="1455"/>
      <c r="J317" s="1455"/>
      <c r="K317" s="1455"/>
      <c r="L317" s="1455"/>
      <c r="M317" s="1455"/>
      <c r="N317" s="4"/>
      <c r="O317" s="4"/>
      <c r="P317" s="35"/>
      <c r="Q317" s="35"/>
      <c r="R317" s="35"/>
      <c r="S317" s="3"/>
      <c r="T317" s="3" t="s">
        <v>89</v>
      </c>
      <c r="V317" s="3"/>
      <c r="W317" s="3"/>
      <c r="X317" s="3"/>
      <c r="Y317" s="3"/>
      <c r="AA317" s="1455"/>
      <c r="AB317" s="1455"/>
      <c r="AC317" s="1455"/>
      <c r="AD317" s="1455"/>
      <c r="AE317" s="1455"/>
      <c r="AF317" s="1455"/>
      <c r="AG317" s="4"/>
      <c r="AH317" s="4"/>
      <c r="AI317" s="35"/>
      <c r="AJ317" s="35"/>
      <c r="AK317" s="35"/>
    </row>
    <row r="318" spans="2:72" ht="13" customHeight="1">
      <c r="B318" s="3" t="s">
        <v>76</v>
      </c>
      <c r="C318" s="3"/>
      <c r="D318" s="3"/>
      <c r="E318" s="3"/>
      <c r="F318" s="3"/>
      <c r="G318" s="3"/>
      <c r="H318" s="1478" t="s">
        <v>2677</v>
      </c>
      <c r="I318" s="1478"/>
      <c r="J318" s="1478"/>
      <c r="K318" s="1478"/>
      <c r="L318" s="1478"/>
      <c r="M318" s="1478"/>
      <c r="N318" s="1456"/>
      <c r="O318" s="1456"/>
      <c r="P318" s="1456"/>
      <c r="Q318" s="1456"/>
      <c r="R318" s="1456"/>
      <c r="S318" s="3"/>
      <c r="T318" s="3" t="s">
        <v>76</v>
      </c>
      <c r="V318" s="3"/>
      <c r="W318" s="3"/>
      <c r="X318" s="3"/>
      <c r="Y318" s="3"/>
      <c r="AA318" s="1478" t="s">
        <v>2743</v>
      </c>
      <c r="AB318" s="1478"/>
      <c r="AC318" s="1478"/>
      <c r="AD318" s="1478"/>
      <c r="AE318" s="1478"/>
      <c r="AF318" s="1478"/>
      <c r="AG318" s="1456"/>
      <c r="AH318" s="1456"/>
      <c r="AI318" s="1456"/>
      <c r="AJ318" s="1456"/>
      <c r="AK318" s="1456"/>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56" t="s">
        <v>2679</v>
      </c>
      <c r="I320" s="1456"/>
      <c r="J320" s="1456"/>
      <c r="K320" s="1456"/>
      <c r="L320" s="1456"/>
      <c r="M320" s="1456"/>
      <c r="N320" s="1456"/>
      <c r="O320" s="1456"/>
      <c r="P320" s="1456"/>
      <c r="Q320" s="1456"/>
      <c r="R320" s="1456"/>
      <c r="S320" s="3"/>
      <c r="T320" s="3" t="s">
        <v>365</v>
      </c>
      <c r="V320" s="3"/>
      <c r="W320" s="3"/>
      <c r="X320" s="3"/>
      <c r="Y320" s="3"/>
      <c r="AA320" s="1456" t="s">
        <v>2685</v>
      </c>
      <c r="AB320" s="1456"/>
      <c r="AC320" s="1456"/>
      <c r="AD320" s="1456"/>
      <c r="AE320" s="1456"/>
      <c r="AF320" s="1456"/>
      <c r="AG320" s="1456"/>
      <c r="AH320" s="1456"/>
      <c r="AI320" s="1456"/>
      <c r="AJ320" s="1456"/>
      <c r="AK320" s="1456"/>
    </row>
    <row r="321" spans="2:37" ht="13" customHeight="1">
      <c r="B321" s="3" t="s">
        <v>471</v>
      </c>
      <c r="C321" s="3"/>
      <c r="D321" s="3"/>
      <c r="E321" s="3"/>
      <c r="F321" s="3"/>
      <c r="H321" s="1478" t="s">
        <v>2680</v>
      </c>
      <c r="I321" s="1478"/>
      <c r="J321" s="1478"/>
      <c r="K321" s="1478"/>
      <c r="L321" s="1478"/>
      <c r="M321" s="1478"/>
      <c r="N321" s="1478"/>
      <c r="O321" s="1478"/>
      <c r="P321" s="1478"/>
      <c r="Q321" s="1478"/>
      <c r="R321" s="1478"/>
      <c r="S321" s="3"/>
      <c r="T321" s="3" t="s">
        <v>471</v>
      </c>
      <c r="V321" s="3"/>
      <c r="W321" s="3"/>
      <c r="X321" s="3"/>
      <c r="Y321" s="3"/>
      <c r="AA321" s="1478" t="s">
        <v>2686</v>
      </c>
      <c r="AB321" s="1478"/>
      <c r="AC321" s="1478"/>
      <c r="AD321" s="1478"/>
      <c r="AE321" s="1478"/>
      <c r="AF321" s="1478"/>
      <c r="AG321" s="1478"/>
      <c r="AH321" s="1478"/>
      <c r="AI321" s="1478"/>
      <c r="AJ321" s="1478"/>
      <c r="AK321" s="1478"/>
    </row>
    <row r="322" spans="2:37" ht="13" customHeight="1">
      <c r="B322" s="3" t="s">
        <v>472</v>
      </c>
      <c r="C322" s="3"/>
      <c r="D322" s="3"/>
      <c r="E322" s="3"/>
      <c r="F322" s="3"/>
      <c r="H322" s="1478" t="s">
        <v>2681</v>
      </c>
      <c r="I322" s="1478"/>
      <c r="J322" s="1478"/>
      <c r="K322" s="1478"/>
      <c r="L322" s="1478"/>
      <c r="M322" s="1478"/>
      <c r="N322" s="1478"/>
      <c r="O322" s="1478"/>
      <c r="P322" s="1478"/>
      <c r="Q322" s="1478"/>
      <c r="R322" s="1478"/>
      <c r="S322" s="3"/>
      <c r="T322" s="3" t="s">
        <v>75</v>
      </c>
      <c r="V322" s="3"/>
      <c r="W322" s="3"/>
      <c r="X322" s="3"/>
      <c r="Y322" s="3"/>
      <c r="AA322" s="1478" t="s">
        <v>2687</v>
      </c>
      <c r="AB322" s="1478"/>
      <c r="AC322" s="1478"/>
      <c r="AD322" s="1478"/>
      <c r="AE322" s="1478"/>
      <c r="AF322" s="1478"/>
      <c r="AG322" s="1478"/>
      <c r="AH322" s="1478"/>
      <c r="AI322" s="1478"/>
      <c r="AJ322" s="1478"/>
      <c r="AK322" s="1478"/>
    </row>
    <row r="323" spans="2:37" ht="13" customHeight="1">
      <c r="B323" s="3" t="s">
        <v>87</v>
      </c>
      <c r="C323" s="3"/>
      <c r="D323" s="3"/>
      <c r="E323" s="3"/>
      <c r="F323" s="3"/>
      <c r="H323" s="1478" t="s">
        <v>2682</v>
      </c>
      <c r="I323" s="1478"/>
      <c r="J323" s="1478"/>
      <c r="K323" s="1478"/>
      <c r="L323" s="1478"/>
      <c r="M323" s="1478"/>
      <c r="N323" s="1478"/>
      <c r="O323" s="1478"/>
      <c r="P323" s="1478"/>
      <c r="Q323" s="1478"/>
      <c r="R323" s="1478"/>
      <c r="S323" s="3"/>
      <c r="T323" s="3" t="s">
        <v>87</v>
      </c>
      <c r="V323" s="3"/>
      <c r="W323" s="3"/>
      <c r="X323" s="3"/>
      <c r="Y323" s="3"/>
      <c r="AA323" s="1383" t="s">
        <v>2709</v>
      </c>
      <c r="AB323" s="1478"/>
      <c r="AC323" s="1478"/>
      <c r="AD323" s="1478"/>
      <c r="AE323" s="1478"/>
      <c r="AF323" s="1478"/>
      <c r="AG323" s="1478"/>
      <c r="AH323" s="1478"/>
      <c r="AI323" s="1478"/>
      <c r="AJ323" s="1478"/>
      <c r="AK323" s="1478"/>
    </row>
    <row r="324" spans="2:37" ht="13" customHeight="1">
      <c r="B324" s="3" t="s">
        <v>88</v>
      </c>
      <c r="C324" s="3"/>
      <c r="D324" s="3"/>
      <c r="E324" s="3"/>
      <c r="F324" s="3"/>
      <c r="G324" s="3"/>
      <c r="H324" s="1497" t="s">
        <v>2683</v>
      </c>
      <c r="I324" s="1497"/>
      <c r="J324" s="1497"/>
      <c r="K324" s="1497"/>
      <c r="L324" s="1497"/>
      <c r="M324" s="1497"/>
      <c r="N324" s="4" t="s">
        <v>206</v>
      </c>
      <c r="O324" s="4"/>
      <c r="P324" s="1491"/>
      <c r="Q324" s="1491"/>
      <c r="R324" s="1491"/>
      <c r="S324" s="3"/>
      <c r="T324" s="3" t="s">
        <v>88</v>
      </c>
      <c r="V324" s="3"/>
      <c r="W324" s="3"/>
      <c r="X324" s="3"/>
      <c r="Y324" s="3"/>
      <c r="AA324" s="1760" t="s">
        <v>2708</v>
      </c>
      <c r="AB324" s="1497"/>
      <c r="AC324" s="1497"/>
      <c r="AD324" s="1497"/>
      <c r="AE324" s="1497"/>
      <c r="AF324" s="1497"/>
      <c r="AG324" s="4" t="s">
        <v>206</v>
      </c>
      <c r="AH324" s="4"/>
      <c r="AI324" s="1491"/>
      <c r="AJ324" s="1491"/>
      <c r="AK324" s="1491"/>
    </row>
    <row r="325" spans="2:37" ht="13" customHeight="1">
      <c r="B325" s="3" t="s">
        <v>89</v>
      </c>
      <c r="C325" s="3"/>
      <c r="D325" s="3"/>
      <c r="E325" s="3"/>
      <c r="F325" s="3"/>
      <c r="G325" s="3"/>
      <c r="H325" s="1455"/>
      <c r="I325" s="1455"/>
      <c r="J325" s="1455"/>
      <c r="K325" s="1455"/>
      <c r="L325" s="1455"/>
      <c r="M325" s="1455"/>
      <c r="N325" s="4"/>
      <c r="O325" s="4"/>
      <c r="P325" s="35"/>
      <c r="Q325" s="35"/>
      <c r="R325" s="35"/>
      <c r="S325" s="3"/>
      <c r="T325" s="3" t="s">
        <v>89</v>
      </c>
      <c r="V325" s="3"/>
      <c r="W325" s="3"/>
      <c r="X325" s="3"/>
      <c r="Y325" s="3"/>
      <c r="AA325" s="1455"/>
      <c r="AB325" s="1455"/>
      <c r="AC325" s="1455"/>
      <c r="AD325" s="1455"/>
      <c r="AE325" s="1455"/>
      <c r="AF325" s="1455"/>
      <c r="AG325" s="4"/>
      <c r="AH325" s="4"/>
      <c r="AI325" s="35"/>
      <c r="AJ325" s="35"/>
      <c r="AK325" s="35"/>
    </row>
    <row r="326" spans="2:37" ht="13" customHeight="1">
      <c r="B326" s="3" t="s">
        <v>76</v>
      </c>
      <c r="C326" s="3"/>
      <c r="D326" s="3"/>
      <c r="E326" s="3"/>
      <c r="F326" s="3"/>
      <c r="G326" s="3"/>
      <c r="H326" s="1478" t="s">
        <v>2684</v>
      </c>
      <c r="I326" s="1478"/>
      <c r="J326" s="1478"/>
      <c r="K326" s="1478"/>
      <c r="L326" s="1478"/>
      <c r="M326" s="1478"/>
      <c r="N326" s="1456"/>
      <c r="O326" s="1456"/>
      <c r="P326" s="1456"/>
      <c r="Q326" s="1456"/>
      <c r="R326" s="1456"/>
      <c r="S326" s="3"/>
      <c r="T326" s="3" t="s">
        <v>76</v>
      </c>
      <c r="V326" s="3"/>
      <c r="W326" s="3"/>
      <c r="X326" s="3"/>
      <c r="Y326" s="3"/>
      <c r="AA326" s="1383" t="s">
        <v>2710</v>
      </c>
      <c r="AB326" s="1478"/>
      <c r="AC326" s="1478"/>
      <c r="AD326" s="1478"/>
      <c r="AE326" s="1478"/>
      <c r="AF326" s="1478"/>
      <c r="AG326" s="1456"/>
      <c r="AH326" s="1456"/>
      <c r="AI326" s="1456"/>
      <c r="AJ326" s="1456"/>
      <c r="AK326" s="1456"/>
    </row>
    <row r="327" spans="2:37" ht="13" customHeight="1"/>
    <row r="328" spans="2:37" ht="13" customHeight="1">
      <c r="B328" s="4" t="s">
        <v>907</v>
      </c>
      <c r="C328" s="3"/>
      <c r="D328" s="3"/>
      <c r="E328" s="3"/>
      <c r="F328" s="3"/>
      <c r="H328" s="1456" t="s">
        <v>591</v>
      </c>
      <c r="I328" s="1456"/>
      <c r="J328" s="1456"/>
      <c r="K328" s="1456"/>
      <c r="L328" s="1456"/>
      <c r="M328" s="1456"/>
      <c r="N328" s="1456"/>
      <c r="O328" s="1456"/>
      <c r="P328" s="1456"/>
      <c r="Q328" s="1456"/>
      <c r="R328" s="1456"/>
      <c r="T328" s="3" t="s">
        <v>366</v>
      </c>
      <c r="V328" s="3"/>
      <c r="W328" s="3"/>
      <c r="X328" s="3"/>
      <c r="Y328" s="3"/>
      <c r="AA328" s="1456" t="s">
        <v>2688</v>
      </c>
      <c r="AB328" s="1456"/>
      <c r="AC328" s="1456"/>
      <c r="AD328" s="1456"/>
      <c r="AE328" s="1456"/>
      <c r="AF328" s="1456"/>
      <c r="AG328" s="1456"/>
      <c r="AH328" s="1456"/>
      <c r="AI328" s="1456"/>
      <c r="AJ328" s="1456"/>
      <c r="AK328" s="1456"/>
    </row>
    <row r="329" spans="2:37" ht="13" customHeight="1">
      <c r="B329" s="3" t="s">
        <v>471</v>
      </c>
      <c r="C329" s="3"/>
      <c r="D329" s="3"/>
      <c r="E329" s="3"/>
      <c r="F329" s="3"/>
      <c r="H329" s="1478"/>
      <c r="I329" s="1478"/>
      <c r="J329" s="1478"/>
      <c r="K329" s="1478"/>
      <c r="L329" s="1478"/>
      <c r="M329" s="1478"/>
      <c r="N329" s="1478"/>
      <c r="O329" s="1478"/>
      <c r="P329" s="1478"/>
      <c r="Q329" s="1478"/>
      <c r="R329" s="1478"/>
      <c r="T329" s="3" t="s">
        <v>471</v>
      </c>
      <c r="V329" s="3"/>
      <c r="W329" s="3"/>
      <c r="X329" s="3"/>
      <c r="Y329" s="3"/>
      <c r="AA329" s="1478" t="s">
        <v>2689</v>
      </c>
      <c r="AB329" s="1478"/>
      <c r="AC329" s="1478"/>
      <c r="AD329" s="1478"/>
      <c r="AE329" s="1478"/>
      <c r="AF329" s="1478"/>
      <c r="AG329" s="1478"/>
      <c r="AH329" s="1478"/>
      <c r="AI329" s="1478"/>
      <c r="AJ329" s="1478"/>
      <c r="AK329" s="1478"/>
    </row>
    <row r="330" spans="2:37" ht="13" customHeight="1">
      <c r="B330" s="3" t="s">
        <v>472</v>
      </c>
      <c r="C330" s="3"/>
      <c r="D330" s="3"/>
      <c r="E330" s="3"/>
      <c r="F330" s="3"/>
      <c r="H330" s="1478"/>
      <c r="I330" s="1478"/>
      <c r="J330" s="1478"/>
      <c r="K330" s="1478"/>
      <c r="L330" s="1478"/>
      <c r="M330" s="1478"/>
      <c r="N330" s="1478"/>
      <c r="O330" s="1478"/>
      <c r="P330" s="1478"/>
      <c r="Q330" s="1478"/>
      <c r="R330" s="1478"/>
      <c r="T330" s="3" t="s">
        <v>75</v>
      </c>
      <c r="V330" s="3"/>
      <c r="W330" s="3"/>
      <c r="X330" s="3"/>
      <c r="Y330" s="3"/>
      <c r="AA330" s="1478" t="s">
        <v>2690</v>
      </c>
      <c r="AB330" s="1478"/>
      <c r="AC330" s="1478"/>
      <c r="AD330" s="1478"/>
      <c r="AE330" s="1478"/>
      <c r="AF330" s="1478"/>
      <c r="AG330" s="1478"/>
      <c r="AH330" s="1478"/>
      <c r="AI330" s="1478"/>
      <c r="AJ330" s="1478"/>
      <c r="AK330" s="1478"/>
    </row>
    <row r="331" spans="2:37" ht="13" customHeight="1">
      <c r="B331" s="3" t="s">
        <v>87</v>
      </c>
      <c r="C331" s="3"/>
      <c r="D331" s="3"/>
      <c r="E331" s="3"/>
      <c r="F331" s="3"/>
      <c r="H331" s="1478"/>
      <c r="I331" s="1478"/>
      <c r="J331" s="1478"/>
      <c r="K331" s="1478"/>
      <c r="L331" s="1478"/>
      <c r="M331" s="1478"/>
      <c r="N331" s="1478"/>
      <c r="O331" s="1478"/>
      <c r="P331" s="1478"/>
      <c r="Q331" s="1478"/>
      <c r="R331" s="1478"/>
      <c r="T331" s="3" t="s">
        <v>87</v>
      </c>
      <c r="V331" s="3"/>
      <c r="W331" s="3"/>
      <c r="X331" s="3"/>
      <c r="Y331" s="3"/>
      <c r="AA331" s="1478" t="s">
        <v>2691</v>
      </c>
      <c r="AB331" s="1478"/>
      <c r="AC331" s="1478"/>
      <c r="AD331" s="1478"/>
      <c r="AE331" s="1478"/>
      <c r="AF331" s="1478"/>
      <c r="AG331" s="1478"/>
      <c r="AH331" s="1478"/>
      <c r="AI331" s="1478"/>
      <c r="AJ331" s="1478"/>
      <c r="AK331" s="1478"/>
    </row>
    <row r="332" spans="2:37" ht="13" customHeight="1">
      <c r="B332" s="3" t="s">
        <v>88</v>
      </c>
      <c r="C332" s="3"/>
      <c r="D332" s="3"/>
      <c r="E332" s="3"/>
      <c r="F332" s="3"/>
      <c r="G332" s="3"/>
      <c r="H332" s="1497"/>
      <c r="I332" s="1497"/>
      <c r="J332" s="1497"/>
      <c r="K332" s="1497"/>
      <c r="L332" s="1497"/>
      <c r="M332" s="1497"/>
      <c r="N332" s="4" t="s">
        <v>206</v>
      </c>
      <c r="O332" s="4"/>
      <c r="P332" s="1491"/>
      <c r="Q332" s="1491"/>
      <c r="R332" s="1491"/>
      <c r="S332" s="3"/>
      <c r="T332" s="3" t="s">
        <v>88</v>
      </c>
      <c r="V332" s="3"/>
      <c r="W332" s="3"/>
      <c r="X332" s="3"/>
      <c r="Y332" s="3"/>
      <c r="AA332" s="1497" t="s">
        <v>2692</v>
      </c>
      <c r="AB332" s="1497"/>
      <c r="AC332" s="1497"/>
      <c r="AD332" s="1497"/>
      <c r="AE332" s="1497"/>
      <c r="AF332" s="1497"/>
      <c r="AG332" s="4" t="s">
        <v>206</v>
      </c>
      <c r="AH332" s="4"/>
      <c r="AI332" s="1491"/>
      <c r="AJ332" s="1491"/>
      <c r="AK332" s="1491"/>
    </row>
    <row r="333" spans="2:37" ht="13" customHeight="1">
      <c r="B333" s="3" t="s">
        <v>89</v>
      </c>
      <c r="C333" s="3"/>
      <c r="D333" s="3"/>
      <c r="E333" s="3"/>
      <c r="F333" s="3"/>
      <c r="G333" s="3"/>
      <c r="H333" s="1455"/>
      <c r="I333" s="1455"/>
      <c r="J333" s="1455"/>
      <c r="K333" s="1455"/>
      <c r="L333" s="1455"/>
      <c r="M333" s="1455"/>
      <c r="N333" s="4"/>
      <c r="O333" s="4"/>
      <c r="P333" s="35"/>
      <c r="Q333" s="35"/>
      <c r="R333" s="35"/>
      <c r="S333" s="3"/>
      <c r="T333" s="3" t="s">
        <v>89</v>
      </c>
      <c r="V333" s="3"/>
      <c r="W333" s="3"/>
      <c r="X333" s="3"/>
      <c r="Y333" s="3"/>
      <c r="AA333" s="1455"/>
      <c r="AB333" s="1455"/>
      <c r="AC333" s="1455"/>
      <c r="AD333" s="1455"/>
      <c r="AE333" s="1455"/>
      <c r="AF333" s="1455"/>
      <c r="AG333" s="4"/>
      <c r="AH333" s="4"/>
      <c r="AI333" s="35"/>
      <c r="AJ333" s="35"/>
      <c r="AK333" s="35"/>
    </row>
    <row r="334" spans="2:37" ht="13" customHeight="1">
      <c r="B334" s="3" t="s">
        <v>76</v>
      </c>
      <c r="C334" s="3"/>
      <c r="D334" s="3"/>
      <c r="E334" s="3"/>
      <c r="F334" s="3"/>
      <c r="G334" s="3"/>
      <c r="H334" s="1478"/>
      <c r="I334" s="1478"/>
      <c r="J334" s="1478"/>
      <c r="K334" s="1478"/>
      <c r="L334" s="1478"/>
      <c r="M334" s="1478"/>
      <c r="N334" s="1456"/>
      <c r="O334" s="1456"/>
      <c r="P334" s="1456"/>
      <c r="Q334" s="1456"/>
      <c r="R334" s="1456"/>
      <c r="S334" s="3"/>
      <c r="T334" s="3" t="s">
        <v>76</v>
      </c>
      <c r="V334" s="3"/>
      <c r="W334" s="3"/>
      <c r="X334" s="3"/>
      <c r="Y334" s="3"/>
      <c r="AA334" s="1478" t="s">
        <v>2693</v>
      </c>
      <c r="AB334" s="1478"/>
      <c r="AC334" s="1478"/>
      <c r="AD334" s="1478"/>
      <c r="AE334" s="1478"/>
      <c r="AF334" s="1478"/>
      <c r="AG334" s="1456"/>
      <c r="AH334" s="1456"/>
      <c r="AI334" s="1456"/>
      <c r="AJ334" s="1456"/>
      <c r="AK334" s="1456"/>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56" t="s">
        <v>591</v>
      </c>
      <c r="I336" s="1456"/>
      <c r="J336" s="1456"/>
      <c r="K336" s="1456"/>
      <c r="L336" s="1456"/>
      <c r="M336" s="1456"/>
      <c r="N336" s="1456"/>
      <c r="O336" s="1456"/>
      <c r="P336" s="1456"/>
      <c r="Q336" s="1456"/>
      <c r="R336" s="1456"/>
      <c r="T336" s="3" t="s">
        <v>368</v>
      </c>
      <c r="V336" s="3"/>
      <c r="W336" s="3"/>
      <c r="X336" s="3"/>
      <c r="Y336" s="3"/>
      <c r="AA336" s="1490" t="s">
        <v>591</v>
      </c>
      <c r="AB336" s="1456"/>
      <c r="AC336" s="1456"/>
      <c r="AD336" s="1456"/>
      <c r="AE336" s="1456"/>
      <c r="AF336" s="1456"/>
      <c r="AG336" s="1456"/>
      <c r="AH336" s="1456"/>
      <c r="AI336" s="1456"/>
      <c r="AJ336" s="1456"/>
      <c r="AK336" s="1456"/>
    </row>
    <row r="337" spans="2:66" ht="13" customHeight="1">
      <c r="B337" s="3" t="s">
        <v>471</v>
      </c>
      <c r="C337" s="3"/>
      <c r="D337" s="3"/>
      <c r="E337" s="3"/>
      <c r="F337" s="3"/>
      <c r="H337" s="1478"/>
      <c r="I337" s="1478"/>
      <c r="J337" s="1478"/>
      <c r="K337" s="1478"/>
      <c r="L337" s="1478"/>
      <c r="M337" s="1478"/>
      <c r="N337" s="1478"/>
      <c r="O337" s="1478"/>
      <c r="P337" s="1478"/>
      <c r="Q337" s="1478"/>
      <c r="R337" s="1478"/>
      <c r="T337" s="3" t="s">
        <v>471</v>
      </c>
      <c r="V337" s="3"/>
      <c r="W337" s="3"/>
      <c r="X337" s="3"/>
      <c r="Y337" s="3"/>
      <c r="AA337" s="1478"/>
      <c r="AB337" s="1478"/>
      <c r="AC337" s="1478"/>
      <c r="AD337" s="1478"/>
      <c r="AE337" s="1478"/>
      <c r="AF337" s="1478"/>
      <c r="AG337" s="1478"/>
      <c r="AH337" s="1478"/>
      <c r="AI337" s="1478"/>
      <c r="AJ337" s="1478"/>
      <c r="AK337" s="1478"/>
    </row>
    <row r="338" spans="2:66" ht="13" customHeight="1">
      <c r="B338" s="3" t="s">
        <v>472</v>
      </c>
      <c r="C338" s="3"/>
      <c r="D338" s="3"/>
      <c r="E338" s="3"/>
      <c r="F338" s="3"/>
      <c r="H338" s="1478"/>
      <c r="I338" s="1478"/>
      <c r="J338" s="1478"/>
      <c r="K338" s="1478"/>
      <c r="L338" s="1478"/>
      <c r="M338" s="1478"/>
      <c r="N338" s="1478"/>
      <c r="O338" s="1478"/>
      <c r="P338" s="1478"/>
      <c r="Q338" s="1478"/>
      <c r="R338" s="1478"/>
      <c r="T338" s="3" t="s">
        <v>75</v>
      </c>
      <c r="V338" s="3"/>
      <c r="W338" s="3"/>
      <c r="X338" s="3"/>
      <c r="Y338" s="3"/>
      <c r="AA338" s="1478"/>
      <c r="AB338" s="1478"/>
      <c r="AC338" s="1478"/>
      <c r="AD338" s="1478"/>
      <c r="AE338" s="1478"/>
      <c r="AF338" s="1478"/>
      <c r="AG338" s="1478"/>
      <c r="AH338" s="1478"/>
      <c r="AI338" s="1478"/>
      <c r="AJ338" s="1478"/>
      <c r="AK338" s="1478"/>
    </row>
    <row r="339" spans="2:66" ht="13" customHeight="1">
      <c r="B339" s="3" t="s">
        <v>87</v>
      </c>
      <c r="C339" s="3"/>
      <c r="D339" s="3"/>
      <c r="E339" s="3"/>
      <c r="F339" s="3"/>
      <c r="H339" s="1478"/>
      <c r="I339" s="1478"/>
      <c r="J339" s="1478"/>
      <c r="K339" s="1478"/>
      <c r="L339" s="1478"/>
      <c r="M339" s="1478"/>
      <c r="N339" s="1478"/>
      <c r="O339" s="1478"/>
      <c r="P339" s="1478"/>
      <c r="Q339" s="1478"/>
      <c r="R339" s="1478"/>
      <c r="T339" s="3" t="s">
        <v>87</v>
      </c>
      <c r="V339" s="3"/>
      <c r="W339" s="3"/>
      <c r="X339" s="3"/>
      <c r="Y339" s="3"/>
      <c r="AA339" s="1478"/>
      <c r="AB339" s="1478"/>
      <c r="AC339" s="1478"/>
      <c r="AD339" s="1478"/>
      <c r="AE339" s="1478"/>
      <c r="AF339" s="1478"/>
      <c r="AG339" s="1478"/>
      <c r="AH339" s="1478"/>
      <c r="AI339" s="1478"/>
      <c r="AJ339" s="1478"/>
      <c r="AK339" s="1478"/>
    </row>
    <row r="340" spans="2:66" ht="13" customHeight="1">
      <c r="B340" s="3" t="s">
        <v>88</v>
      </c>
      <c r="C340" s="3"/>
      <c r="D340" s="3"/>
      <c r="E340" s="3"/>
      <c r="F340" s="3"/>
      <c r="G340" s="3"/>
      <c r="H340" s="1497"/>
      <c r="I340" s="1497"/>
      <c r="J340" s="1497"/>
      <c r="K340" s="1497"/>
      <c r="L340" s="1497"/>
      <c r="M340" s="1497"/>
      <c r="N340" s="4" t="s">
        <v>206</v>
      </c>
      <c r="O340" s="4"/>
      <c r="P340" s="1491"/>
      <c r="Q340" s="1491"/>
      <c r="R340" s="1491"/>
      <c r="S340" s="3"/>
      <c r="T340" s="3" t="s">
        <v>88</v>
      </c>
      <c r="V340" s="3"/>
      <c r="W340" s="3"/>
      <c r="X340" s="3"/>
      <c r="Y340" s="3"/>
      <c r="AA340" s="1497"/>
      <c r="AB340" s="1497"/>
      <c r="AC340" s="1497"/>
      <c r="AD340" s="1497"/>
      <c r="AE340" s="1497"/>
      <c r="AF340" s="1497"/>
      <c r="AG340" s="4" t="s">
        <v>206</v>
      </c>
      <c r="AH340" s="4"/>
      <c r="AI340" s="1491"/>
      <c r="AJ340" s="1491"/>
      <c r="AK340" s="1491"/>
    </row>
    <row r="341" spans="2:66" ht="13" customHeight="1">
      <c r="B341" s="3" t="s">
        <v>89</v>
      </c>
      <c r="C341" s="3"/>
      <c r="D341" s="3"/>
      <c r="E341" s="3"/>
      <c r="F341" s="3"/>
      <c r="G341" s="3"/>
      <c r="H341" s="1455"/>
      <c r="I341" s="1455"/>
      <c r="J341" s="1455"/>
      <c r="K341" s="1455"/>
      <c r="L341" s="1455"/>
      <c r="M341" s="1455"/>
      <c r="N341" s="4"/>
      <c r="O341" s="4"/>
      <c r="P341" s="35"/>
      <c r="Q341" s="35"/>
      <c r="R341" s="35"/>
      <c r="S341" s="3"/>
      <c r="T341" s="3" t="s">
        <v>89</v>
      </c>
      <c r="V341" s="3"/>
      <c r="W341" s="3"/>
      <c r="X341" s="3"/>
      <c r="Y341" s="3"/>
      <c r="AA341" s="1455"/>
      <c r="AB341" s="1455"/>
      <c r="AC341" s="1455"/>
      <c r="AD341" s="1455"/>
      <c r="AE341" s="1455"/>
      <c r="AF341" s="1455"/>
      <c r="AG341" s="4"/>
      <c r="AH341" s="4"/>
      <c r="AI341" s="35"/>
      <c r="AJ341" s="35"/>
      <c r="AK341" s="35"/>
    </row>
    <row r="342" spans="2:66" ht="13" customHeight="1">
      <c r="B342" s="3" t="s">
        <v>76</v>
      </c>
      <c r="C342" s="3"/>
      <c r="D342" s="3"/>
      <c r="E342" s="3"/>
      <c r="F342" s="3"/>
      <c r="G342" s="3"/>
      <c r="H342" s="1478"/>
      <c r="I342" s="1478"/>
      <c r="J342" s="1478"/>
      <c r="K342" s="1478"/>
      <c r="L342" s="1478"/>
      <c r="M342" s="1478"/>
      <c r="N342" s="1456"/>
      <c r="O342" s="1456"/>
      <c r="P342" s="1456"/>
      <c r="Q342" s="1456"/>
      <c r="R342" s="1456"/>
      <c r="S342" s="3"/>
      <c r="T342" s="3" t="s">
        <v>76</v>
      </c>
      <c r="V342" s="3"/>
      <c r="W342" s="3"/>
      <c r="X342" s="3"/>
      <c r="Y342" s="3"/>
      <c r="AA342" s="1478"/>
      <c r="AB342" s="1478"/>
      <c r="AC342" s="1478"/>
      <c r="AD342" s="1478"/>
      <c r="AE342" s="1478"/>
      <c r="AF342" s="1478"/>
      <c r="AG342" s="1456"/>
      <c r="AH342" s="1456"/>
      <c r="AI342" s="1456"/>
      <c r="AJ342" s="1456"/>
      <c r="AK342" s="1456"/>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56" t="s">
        <v>2694</v>
      </c>
      <c r="I344" s="1456"/>
      <c r="J344" s="1456"/>
      <c r="K344" s="1456"/>
      <c r="L344" s="1456"/>
      <c r="M344" s="1456"/>
      <c r="N344" s="1456"/>
      <c r="O344" s="1456"/>
      <c r="P344" s="1456"/>
      <c r="Q344" s="1456"/>
      <c r="R344" s="1456"/>
      <c r="T344" s="204" t="s">
        <v>885</v>
      </c>
      <c r="V344" s="3"/>
      <c r="W344" s="3"/>
      <c r="X344" s="3"/>
      <c r="Y344" s="3"/>
      <c r="AA344" s="1456" t="s">
        <v>2760</v>
      </c>
      <c r="AB344" s="1456"/>
      <c r="AC344" s="1456"/>
      <c r="AD344" s="1456"/>
      <c r="AE344" s="1456"/>
      <c r="AF344" s="1456"/>
      <c r="AG344" s="1456"/>
      <c r="AH344" s="1456"/>
      <c r="AI344" s="1456"/>
      <c r="AJ344" s="1456"/>
      <c r="AK344" s="1456"/>
    </row>
    <row r="345" spans="2:66" ht="13" customHeight="1">
      <c r="B345" s="3" t="s">
        <v>471</v>
      </c>
      <c r="C345" s="3"/>
      <c r="D345" s="3"/>
      <c r="E345" s="3"/>
      <c r="F345" s="3"/>
      <c r="H345" s="1478" t="s">
        <v>2695</v>
      </c>
      <c r="I345" s="1478"/>
      <c r="J345" s="1478"/>
      <c r="K345" s="1478"/>
      <c r="L345" s="1478"/>
      <c r="M345" s="1478"/>
      <c r="N345" s="1478"/>
      <c r="O345" s="1478"/>
      <c r="P345" s="1478"/>
      <c r="Q345" s="1478"/>
      <c r="R345" s="1478"/>
      <c r="T345" s="3" t="s">
        <v>471</v>
      </c>
      <c r="V345" s="3"/>
      <c r="W345" s="3"/>
      <c r="X345" s="3"/>
      <c r="Y345" s="3"/>
      <c r="AA345" s="1478" t="s">
        <v>2700</v>
      </c>
      <c r="AB345" s="1478"/>
      <c r="AC345" s="1478"/>
      <c r="AD345" s="1478"/>
      <c r="AE345" s="1478"/>
      <c r="AF345" s="1478"/>
      <c r="AG345" s="1478"/>
      <c r="AH345" s="1478"/>
      <c r="AI345" s="1478"/>
      <c r="AJ345" s="1478"/>
      <c r="AK345" s="1478"/>
    </row>
    <row r="346" spans="2:66" ht="13" customHeight="1">
      <c r="B346" s="3" t="s">
        <v>75</v>
      </c>
      <c r="C346" s="3"/>
      <c r="D346" s="3"/>
      <c r="E346" s="3"/>
      <c r="F346" s="3"/>
      <c r="H346" s="1478" t="s">
        <v>2696</v>
      </c>
      <c r="I346" s="1478"/>
      <c r="J346" s="1478"/>
      <c r="K346" s="1478"/>
      <c r="L346" s="1478"/>
      <c r="M346" s="1478"/>
      <c r="N346" s="1478"/>
      <c r="O346" s="1478"/>
      <c r="P346" s="1478"/>
      <c r="Q346" s="1478"/>
      <c r="R346" s="1478"/>
      <c r="T346" s="3" t="s">
        <v>75</v>
      </c>
      <c r="V346" s="3"/>
      <c r="W346" s="3"/>
      <c r="X346" s="3"/>
      <c r="Y346" s="3"/>
      <c r="AA346" s="1478" t="s">
        <v>2701</v>
      </c>
      <c r="AB346" s="1478"/>
      <c r="AC346" s="1478"/>
      <c r="AD346" s="1478"/>
      <c r="AE346" s="1478"/>
      <c r="AF346" s="1478"/>
      <c r="AG346" s="1478"/>
      <c r="AH346" s="1478"/>
      <c r="AI346" s="1478"/>
      <c r="AJ346" s="1478"/>
      <c r="AK346" s="1478"/>
    </row>
    <row r="347" spans="2:66" ht="13" customHeight="1">
      <c r="B347" s="3" t="s">
        <v>87</v>
      </c>
      <c r="C347" s="3"/>
      <c r="D347" s="3"/>
      <c r="E347" s="3"/>
      <c r="F347" s="3"/>
      <c r="G347" s="3"/>
      <c r="H347" s="1478" t="s">
        <v>2697</v>
      </c>
      <c r="I347" s="1478"/>
      <c r="J347" s="1478"/>
      <c r="K347" s="1478"/>
      <c r="L347" s="1478"/>
      <c r="M347" s="1478"/>
      <c r="N347" s="1478"/>
      <c r="O347" s="1478"/>
      <c r="P347" s="1478"/>
      <c r="Q347" s="1478"/>
      <c r="R347" s="1478"/>
      <c r="T347" s="3" t="s">
        <v>87</v>
      </c>
      <c r="V347" s="3"/>
      <c r="W347" s="3"/>
      <c r="X347" s="3"/>
      <c r="Y347" s="3"/>
      <c r="AA347" s="1478" t="s">
        <v>2702</v>
      </c>
      <c r="AB347" s="1478"/>
      <c r="AC347" s="1478"/>
      <c r="AD347" s="1478"/>
      <c r="AE347" s="1478"/>
      <c r="AF347" s="1478"/>
      <c r="AG347" s="1478"/>
      <c r="AH347" s="1478"/>
      <c r="AI347" s="1478"/>
      <c r="AJ347" s="1478"/>
      <c r="AK347" s="1478"/>
    </row>
    <row r="348" spans="2:66" ht="13" customHeight="1">
      <c r="B348" s="3" t="s">
        <v>88</v>
      </c>
      <c r="C348" s="3"/>
      <c r="D348" s="3"/>
      <c r="E348" s="3"/>
      <c r="F348" s="3"/>
      <c r="G348" s="3"/>
      <c r="H348" s="1760" t="s">
        <v>2698</v>
      </c>
      <c r="I348" s="1497"/>
      <c r="J348" s="1497"/>
      <c r="K348" s="1497"/>
      <c r="L348" s="1497"/>
      <c r="M348" s="1497"/>
      <c r="N348" s="4" t="s">
        <v>206</v>
      </c>
      <c r="O348" s="4"/>
      <c r="P348" s="1491"/>
      <c r="Q348" s="1491"/>
      <c r="R348" s="1491"/>
      <c r="S348" s="3"/>
      <c r="T348" s="3" t="s">
        <v>88</v>
      </c>
      <c r="V348" s="3"/>
      <c r="W348" s="3"/>
      <c r="X348" s="3"/>
      <c r="Y348" s="3"/>
      <c r="AA348" s="1760" t="s">
        <v>2703</v>
      </c>
      <c r="AB348" s="1497"/>
      <c r="AC348" s="1497"/>
      <c r="AD348" s="1497"/>
      <c r="AE348" s="1497"/>
      <c r="AF348" s="1497"/>
      <c r="AG348" s="4" t="s">
        <v>206</v>
      </c>
      <c r="AH348" s="4"/>
      <c r="AI348" s="1491"/>
      <c r="AJ348" s="1491"/>
      <c r="AK348" s="1491"/>
    </row>
    <row r="349" spans="2:66" ht="13" customHeight="1">
      <c r="B349" s="3" t="s">
        <v>89</v>
      </c>
      <c r="C349" s="3"/>
      <c r="D349" s="3"/>
      <c r="E349" s="3"/>
      <c r="F349" s="3"/>
      <c r="G349" s="3"/>
      <c r="H349" s="1455"/>
      <c r="I349" s="1455"/>
      <c r="J349" s="1455"/>
      <c r="K349" s="1455"/>
      <c r="L349" s="1455"/>
      <c r="M349" s="1455"/>
      <c r="N349" s="4"/>
      <c r="O349" s="4"/>
      <c r="P349" s="35"/>
      <c r="Q349" s="35"/>
      <c r="R349" s="35"/>
      <c r="S349" s="3"/>
      <c r="T349" s="3" t="s">
        <v>89</v>
      </c>
      <c r="V349" s="3"/>
      <c r="W349" s="3"/>
      <c r="X349" s="3"/>
      <c r="Y349" s="3"/>
      <c r="AA349" s="1480" t="s">
        <v>2704</v>
      </c>
      <c r="AB349" s="1455"/>
      <c r="AC349" s="1455"/>
      <c r="AD349" s="1455"/>
      <c r="AE349" s="1455"/>
      <c r="AF349" s="1455"/>
      <c r="AG349" s="4"/>
      <c r="AH349" s="4"/>
      <c r="AI349" s="35"/>
      <c r="AJ349" s="35"/>
      <c r="AK349" s="35"/>
    </row>
    <row r="350" spans="2:66" ht="13" customHeight="1">
      <c r="B350" s="3" t="s">
        <v>76</v>
      </c>
      <c r="C350" s="3"/>
      <c r="D350" s="3"/>
      <c r="E350" s="3"/>
      <c r="F350" s="3"/>
      <c r="G350" s="3"/>
      <c r="H350" s="1478" t="s">
        <v>2699</v>
      </c>
      <c r="I350" s="1478"/>
      <c r="J350" s="1478"/>
      <c r="K350" s="1478"/>
      <c r="L350" s="1478"/>
      <c r="M350" s="1478"/>
      <c r="N350" s="1456"/>
      <c r="O350" s="1456"/>
      <c r="P350" s="1456"/>
      <c r="Q350" s="1456"/>
      <c r="R350" s="1456"/>
      <c r="S350" s="3"/>
      <c r="T350" s="3" t="s">
        <v>76</v>
      </c>
      <c r="V350" s="3"/>
      <c r="W350" s="3"/>
      <c r="X350" s="3"/>
      <c r="Y350" s="3"/>
      <c r="AA350" s="1478" t="s">
        <v>2705</v>
      </c>
      <c r="AB350" s="1478"/>
      <c r="AC350" s="1478"/>
      <c r="AD350" s="1478"/>
      <c r="AE350" s="1478"/>
      <c r="AF350" s="1478"/>
      <c r="AG350" s="1456"/>
      <c r="AH350" s="1456"/>
      <c r="AI350" s="1456"/>
      <c r="AJ350" s="1456"/>
      <c r="AK350" s="1456"/>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886</v>
      </c>
      <c r="P352" s="1456"/>
      <c r="Q352" s="1456"/>
      <c r="R352" s="1456"/>
      <c r="S352" s="1456"/>
      <c r="T352" s="1456"/>
      <c r="U352" s="1456"/>
      <c r="V352" s="1456"/>
      <c r="W352" s="1456"/>
      <c r="X352" s="1456"/>
      <c r="Y352" s="1456"/>
      <c r="Z352" s="1456"/>
      <c r="AA352" s="1456"/>
      <c r="AB352" s="1456"/>
      <c r="AC352" s="1456"/>
      <c r="AD352" s="1456"/>
      <c r="AE352" s="1456"/>
      <c r="BN352" t="s">
        <v>668</v>
      </c>
    </row>
    <row r="353" spans="1:66" ht="13" customHeight="1">
      <c r="B353" s="4"/>
      <c r="C353" s="4"/>
      <c r="D353" s="4"/>
      <c r="E353" s="4"/>
      <c r="F353" s="4"/>
      <c r="I353" s="4" t="s">
        <v>471</v>
      </c>
      <c r="P353" s="1478"/>
      <c r="Q353" s="1478"/>
      <c r="R353" s="1478"/>
      <c r="S353" s="1478"/>
      <c r="T353" s="1478"/>
      <c r="U353" s="1478"/>
      <c r="V353" s="1478"/>
      <c r="W353" s="1478"/>
      <c r="X353" s="1478"/>
      <c r="Y353" s="1478"/>
      <c r="Z353" s="1478"/>
      <c r="AA353" s="1478"/>
      <c r="AB353" s="1478"/>
      <c r="AC353" s="1478"/>
      <c r="AD353" s="1478"/>
      <c r="AE353" s="1478"/>
      <c r="BN353" t="s">
        <v>545</v>
      </c>
    </row>
    <row r="354" spans="1:66" ht="13" customHeight="1">
      <c r="B354" s="4"/>
      <c r="C354" s="4"/>
      <c r="D354" s="4"/>
      <c r="E354" s="4"/>
      <c r="F354" s="4"/>
      <c r="I354" s="4" t="s">
        <v>75</v>
      </c>
      <c r="P354" s="1478"/>
      <c r="Q354" s="1478"/>
      <c r="R354" s="1478"/>
      <c r="S354" s="1478"/>
      <c r="T354" s="1478"/>
      <c r="U354" s="1478"/>
      <c r="V354" s="1478"/>
      <c r="W354" s="1478"/>
      <c r="X354" s="1478"/>
      <c r="Y354" s="1478"/>
      <c r="Z354" s="1478"/>
      <c r="AA354" s="1478"/>
      <c r="AB354" s="1478"/>
      <c r="AC354" s="1478"/>
      <c r="AD354" s="1478"/>
      <c r="AE354" s="1478"/>
    </row>
    <row r="355" spans="1:66" ht="13" customHeight="1">
      <c r="B355" s="4"/>
      <c r="C355" s="4"/>
      <c r="D355" s="4"/>
      <c r="E355" s="4"/>
      <c r="F355" s="4"/>
      <c r="G355" s="4"/>
      <c r="I355" s="4" t="s">
        <v>87</v>
      </c>
      <c r="P355" s="1478"/>
      <c r="Q355" s="1478"/>
      <c r="R355" s="1478"/>
      <c r="S355" s="1478"/>
      <c r="T355" s="1478"/>
      <c r="U355" s="1478"/>
      <c r="V355" s="1478"/>
      <c r="W355" s="1478"/>
      <c r="X355" s="1478"/>
      <c r="Y355" s="1478"/>
      <c r="Z355" s="1478"/>
      <c r="AA355" s="1478"/>
      <c r="AB355" s="1478"/>
      <c r="AC355" s="1478"/>
      <c r="AD355" s="1478"/>
      <c r="AE355" s="1478"/>
    </row>
    <row r="356" spans="1:66" ht="13" customHeight="1">
      <c r="B356" s="4"/>
      <c r="C356" s="4"/>
      <c r="D356" s="4"/>
      <c r="E356" s="4"/>
      <c r="F356" s="4"/>
      <c r="G356" s="4"/>
      <c r="H356" s="302"/>
      <c r="I356" s="4" t="s">
        <v>88</v>
      </c>
      <c r="P356" s="1455"/>
      <c r="Q356" s="1455"/>
      <c r="R356" s="1455"/>
      <c r="S356" s="1455"/>
      <c r="T356" s="1455"/>
      <c r="U356" s="1455"/>
      <c r="V356" s="1455"/>
      <c r="W356" s="1455"/>
      <c r="X356" s="1455"/>
      <c r="Y356" s="1455"/>
      <c r="Z356" s="1455"/>
      <c r="AA356" s="4" t="s">
        <v>206</v>
      </c>
      <c r="AB356" s="4"/>
      <c r="AC356" s="1447"/>
      <c r="AD356" s="1447"/>
      <c r="AE356" s="1447"/>
      <c r="AF356" s="302"/>
      <c r="AG356" s="4"/>
      <c r="AH356" s="4"/>
      <c r="AI356" s="4"/>
      <c r="AJ356" s="4"/>
      <c r="AK356" s="4"/>
    </row>
    <row r="357" spans="1:66" ht="13" customHeight="1">
      <c r="B357" s="4"/>
      <c r="C357" s="4"/>
      <c r="D357" s="4"/>
      <c r="E357" s="4"/>
      <c r="F357" s="4"/>
      <c r="G357" s="4"/>
      <c r="H357" s="302"/>
      <c r="I357" s="4" t="s">
        <v>89</v>
      </c>
      <c r="P357" s="1455"/>
      <c r="Q357" s="1455"/>
      <c r="R357" s="1455"/>
      <c r="S357" s="1455"/>
      <c r="T357" s="1455"/>
      <c r="U357" s="1455"/>
      <c r="V357" s="1455"/>
      <c r="W357" s="1455"/>
      <c r="X357" s="1455"/>
      <c r="Y357" s="1455"/>
      <c r="Z357" s="1455"/>
      <c r="AF357" s="302"/>
      <c r="AG357" s="4"/>
      <c r="AH357" s="4"/>
      <c r="AI357" s="35"/>
      <c r="AJ357" s="35"/>
      <c r="AK357" s="35"/>
    </row>
    <row r="358" spans="1:66" ht="13" customHeight="1">
      <c r="B358" s="4"/>
      <c r="C358" s="4"/>
      <c r="D358" s="4"/>
      <c r="E358" s="4"/>
      <c r="F358" s="4"/>
      <c r="G358" s="4"/>
      <c r="I358" s="4" t="s">
        <v>76</v>
      </c>
      <c r="P358" s="1456"/>
      <c r="Q358" s="1456"/>
      <c r="R358" s="1456"/>
      <c r="S358" s="1456"/>
      <c r="T358" s="1456"/>
      <c r="U358" s="1456"/>
      <c r="V358" s="1456"/>
      <c r="W358" s="1456"/>
      <c r="X358" s="1456"/>
      <c r="Y358" s="1456"/>
      <c r="Z358" s="1456"/>
      <c r="AA358" s="1456"/>
      <c r="AB358" s="1456"/>
      <c r="AC358" s="1456"/>
      <c r="AD358" s="1456"/>
      <c r="AE358" s="1456"/>
    </row>
    <row r="359" spans="1:66" ht="13" customHeight="1">
      <c r="T359" s="8"/>
      <c r="U359" s="8"/>
      <c r="V359" s="8"/>
      <c r="W359" s="8"/>
      <c r="X359" s="8"/>
      <c r="Y359" s="8"/>
      <c r="Z359" s="8"/>
      <c r="AU359" s="95"/>
      <c r="AV359" s="95"/>
      <c r="AW359" s="95"/>
      <c r="AX359" s="95"/>
      <c r="AY359" s="95"/>
    </row>
    <row r="360" spans="1:66" ht="13" customHeight="1">
      <c r="A360" s="1496" t="s">
        <v>542</v>
      </c>
      <c r="B360" s="1496"/>
      <c r="C360" s="1496"/>
      <c r="D360" s="1496"/>
      <c r="E360" s="1496"/>
      <c r="F360" s="1496"/>
      <c r="G360" s="1496"/>
      <c r="H360" s="1496"/>
      <c r="I360" s="1496"/>
      <c r="J360" s="1496"/>
      <c r="K360" s="1496"/>
      <c r="L360" s="1496"/>
      <c r="M360" s="1496"/>
      <c r="N360" s="1496"/>
      <c r="O360" s="1496"/>
      <c r="P360" s="1496"/>
      <c r="Q360" s="1496"/>
      <c r="R360" s="1496"/>
      <c r="S360" s="1496"/>
      <c r="T360" s="1496"/>
      <c r="U360" s="1496"/>
      <c r="V360" s="1496"/>
      <c r="W360" s="1496"/>
      <c r="X360" s="1496"/>
      <c r="Y360" s="1496"/>
      <c r="Z360" s="1496"/>
      <c r="AA360" s="1496"/>
      <c r="AB360" s="1496"/>
      <c r="AC360" s="1496"/>
      <c r="AD360" s="1496"/>
      <c r="AE360" s="1496"/>
      <c r="AF360" s="1496"/>
      <c r="AG360" s="1496"/>
      <c r="AH360" s="1496"/>
      <c r="AI360" s="1496"/>
      <c r="AJ360" s="1496"/>
      <c r="AK360" s="1496"/>
      <c r="AL360" s="1496"/>
      <c r="AM360" s="1496"/>
      <c r="AN360" s="1496"/>
      <c r="AO360" s="1496"/>
      <c r="AP360" s="1496"/>
      <c r="AQ360" s="1496"/>
      <c r="AR360" s="1496"/>
      <c r="AS360" s="1496"/>
      <c r="AT360" s="1496"/>
      <c r="AU360" s="95"/>
      <c r="AV360" s="95"/>
      <c r="AW360" s="95"/>
      <c r="AX360" s="95"/>
      <c r="AY360" s="95"/>
    </row>
    <row r="361" spans="1:66" ht="13" customHeight="1">
      <c r="A361" s="1496"/>
      <c r="B361" s="1496"/>
      <c r="C361" s="1496"/>
      <c r="D361" s="1496"/>
      <c r="E361" s="1496"/>
      <c r="F361" s="1496"/>
      <c r="G361" s="1496"/>
      <c r="H361" s="1496"/>
      <c r="I361" s="1496"/>
      <c r="J361" s="1496"/>
      <c r="K361" s="1496"/>
      <c r="L361" s="1496"/>
      <c r="M361" s="1496"/>
      <c r="N361" s="1496"/>
      <c r="O361" s="1496"/>
      <c r="P361" s="1496"/>
      <c r="Q361" s="1496"/>
      <c r="R361" s="1496"/>
      <c r="S361" s="1496"/>
      <c r="T361" s="1496"/>
      <c r="U361" s="1496"/>
      <c r="V361" s="1496"/>
      <c r="W361" s="1496"/>
      <c r="X361" s="1496"/>
      <c r="Y361" s="1496"/>
      <c r="Z361" s="1496"/>
      <c r="AA361" s="1496"/>
      <c r="AB361" s="1496"/>
      <c r="AC361" s="1496"/>
      <c r="AD361" s="1496"/>
      <c r="AE361" s="1496"/>
      <c r="AF361" s="1496"/>
      <c r="AG361" s="1496"/>
      <c r="AH361" s="1496"/>
      <c r="AI361" s="1496"/>
      <c r="AJ361" s="1496"/>
      <c r="AK361" s="1496"/>
      <c r="AL361" s="1496"/>
      <c r="AM361" s="1496"/>
      <c r="AN361" s="1496"/>
      <c r="AO361" s="1496"/>
      <c r="AP361" s="1496"/>
      <c r="AQ361" s="1496"/>
      <c r="AR361" s="1496"/>
      <c r="AS361" s="1496"/>
      <c r="AT361" s="1496"/>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781</v>
      </c>
    </row>
    <row r="364" spans="1:66" ht="13" customHeight="1">
      <c r="D364" s="3" t="s">
        <v>2052</v>
      </c>
      <c r="M364" s="1340" t="s">
        <v>545</v>
      </c>
      <c r="N364" s="1340"/>
      <c r="P364" t="s">
        <v>1638</v>
      </c>
      <c r="AJ364" s="1340" t="s">
        <v>545</v>
      </c>
      <c r="AK364" s="1340"/>
    </row>
    <row r="365" spans="1:66" ht="13" customHeight="1">
      <c r="D365" s="3" t="s">
        <v>1627</v>
      </c>
      <c r="M365" s="1340" t="s">
        <v>591</v>
      </c>
      <c r="N365" s="1340"/>
      <c r="P365" s="3" t="s">
        <v>1707</v>
      </c>
      <c r="AJ365" s="1469"/>
      <c r="AK365" s="1469"/>
    </row>
    <row r="366" spans="1:66" ht="13" customHeight="1">
      <c r="D366" s="3" t="s">
        <v>703</v>
      </c>
      <c r="M366" s="1340" t="s">
        <v>591</v>
      </c>
      <c r="N366" s="1340"/>
      <c r="P366" t="s">
        <v>1637</v>
      </c>
      <c r="AJ366" s="1340" t="s">
        <v>668</v>
      </c>
      <c r="AK366" s="1340"/>
    </row>
    <row r="367" spans="1:66" ht="13" customHeight="1">
      <c r="D367" s="3" t="s">
        <v>704</v>
      </c>
      <c r="M367" s="1340" t="s">
        <v>591</v>
      </c>
      <c r="N367" s="1340"/>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40" t="s">
        <v>591</v>
      </c>
      <c r="O372" s="1340"/>
      <c r="P372" s="40"/>
      <c r="Q372" s="40"/>
      <c r="R372" s="40"/>
      <c r="S372" s="40"/>
      <c r="T372" s="40"/>
      <c r="U372" s="40"/>
      <c r="V372" s="40"/>
      <c r="W372" s="40"/>
      <c r="X372" s="40"/>
      <c r="Y372" s="40"/>
      <c r="Z372" s="40"/>
      <c r="AC372" s="40"/>
      <c r="AD372" s="40"/>
      <c r="AE372" s="40"/>
    </row>
    <row r="373" spans="1:34" ht="13" customHeight="1">
      <c r="E373" t="s">
        <v>370</v>
      </c>
      <c r="Y373" s="1340" t="s">
        <v>591</v>
      </c>
      <c r="Z373" s="1340"/>
    </row>
    <row r="374" spans="1:34" ht="13" customHeight="1">
      <c r="D374" s="4" t="s">
        <v>977</v>
      </c>
      <c r="Q374" s="1456"/>
      <c r="R374" s="1456"/>
      <c r="S374" s="1456"/>
      <c r="T374" s="1456"/>
      <c r="U374" s="1456"/>
      <c r="V374" s="1456"/>
      <c r="W374" s="1456"/>
      <c r="X374" s="1456"/>
      <c r="Y374" s="1456"/>
      <c r="Z374" s="1456"/>
      <c r="AA374" s="1456"/>
      <c r="AB374" s="1456"/>
      <c r="AC374" s="1456"/>
      <c r="AD374" s="1456"/>
      <c r="AE374" s="1456"/>
      <c r="AF374" s="1456"/>
      <c r="AG374" s="1456"/>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40" t="s">
        <v>591</v>
      </c>
      <c r="K376" s="1340"/>
      <c r="L376" s="40"/>
      <c r="M376" s="40"/>
      <c r="N376" s="40"/>
      <c r="O376" s="40"/>
      <c r="P376" s="40"/>
      <c r="Q376" s="40"/>
      <c r="R376" s="40"/>
      <c r="S376" s="40"/>
      <c r="T376" s="40"/>
      <c r="U376" s="40"/>
      <c r="V376" s="40"/>
      <c r="W376" s="40"/>
      <c r="X376" s="40"/>
      <c r="Y376" s="40"/>
      <c r="Z376" s="40"/>
      <c r="AC376" s="40"/>
      <c r="AD376" s="40"/>
      <c r="AE376" s="40"/>
    </row>
    <row r="377" spans="1:34" ht="13" customHeight="1">
      <c r="E377" s="1489" t="s">
        <v>705</v>
      </c>
      <c r="F377" s="1489"/>
      <c r="G377" s="1489"/>
      <c r="H377" s="1489"/>
      <c r="I377" s="1489"/>
      <c r="J377" s="1489"/>
      <c r="K377" s="1489"/>
      <c r="L377" s="1489"/>
      <c r="M377" s="1489"/>
      <c r="N377" s="1489"/>
      <c r="O377" s="1489"/>
      <c r="P377" s="1489"/>
      <c r="Q377" s="1489"/>
      <c r="R377" s="1489"/>
      <c r="S377" s="1489"/>
      <c r="T377" s="1489"/>
      <c r="U377" s="1489"/>
      <c r="V377" s="1489"/>
      <c r="W377" s="1489"/>
      <c r="X377" s="1489"/>
      <c r="Y377" s="1489"/>
      <c r="Z377" s="1489"/>
      <c r="AA377" s="1489"/>
      <c r="AB377" s="1489"/>
      <c r="AC377" s="1489"/>
      <c r="AD377" s="1489"/>
      <c r="AE377" s="1489"/>
      <c r="AF377" s="1489"/>
      <c r="AG377" s="1489"/>
      <c r="AH377" s="1489"/>
    </row>
    <row r="378" spans="1:34" ht="13" customHeight="1">
      <c r="E378" s="1489"/>
      <c r="F378" s="1489"/>
      <c r="G378" s="1489"/>
      <c r="H378" s="1489"/>
      <c r="I378" s="1489"/>
      <c r="J378" s="1489"/>
      <c r="K378" s="1489"/>
      <c r="L378" s="1489"/>
      <c r="M378" s="1489"/>
      <c r="N378" s="1489"/>
      <c r="O378" s="1489"/>
      <c r="P378" s="1489"/>
      <c r="Q378" s="1489"/>
      <c r="R378" s="1489"/>
      <c r="S378" s="1489"/>
      <c r="T378" s="1489"/>
      <c r="U378" s="1489"/>
      <c r="V378" s="1489"/>
      <c r="W378" s="1489"/>
      <c r="X378" s="1489"/>
      <c r="Y378" s="1489"/>
      <c r="Z378" s="1489"/>
      <c r="AA378" s="1489"/>
      <c r="AB378" s="1489"/>
      <c r="AC378" s="1489"/>
      <c r="AD378" s="1489"/>
      <c r="AE378" s="1489"/>
      <c r="AF378" s="1489"/>
      <c r="AG378" s="1489"/>
      <c r="AH378" s="1489"/>
    </row>
    <row r="379" spans="1:34" ht="13" customHeight="1">
      <c r="E379" s="4" t="s">
        <v>448</v>
      </c>
      <c r="F379" s="4"/>
      <c r="G379" s="4"/>
      <c r="H379" s="4"/>
      <c r="I379" s="4"/>
      <c r="J379" s="4"/>
      <c r="K379" s="4"/>
      <c r="L379" s="4"/>
      <c r="N379" s="1475"/>
      <c r="O379" s="1475"/>
      <c r="P379" s="1475"/>
      <c r="Q379" s="1475"/>
      <c r="R379" s="4"/>
      <c r="U379" s="4" t="s">
        <v>449</v>
      </c>
      <c r="V379" s="4"/>
      <c r="W379" s="4"/>
      <c r="X379" s="4"/>
      <c r="Y379" s="4"/>
      <c r="Z379" s="4"/>
      <c r="AA379" s="4"/>
      <c r="AB379" s="4"/>
      <c r="AC379" s="1475"/>
      <c r="AD379" s="1475"/>
      <c r="AE379" s="1475"/>
      <c r="AF379" s="1475"/>
    </row>
    <row r="380" spans="1:34" ht="13" customHeight="1">
      <c r="E380" s="4" t="s">
        <v>450</v>
      </c>
      <c r="F380" s="4"/>
      <c r="G380" s="4"/>
      <c r="H380" s="4"/>
      <c r="I380" s="4"/>
      <c r="J380" s="4"/>
      <c r="K380" s="4"/>
      <c r="L380" s="4"/>
      <c r="N380" s="1475"/>
      <c r="O380" s="1475"/>
      <c r="P380" s="1475"/>
      <c r="Q380" s="1475"/>
      <c r="R380" s="4"/>
      <c r="U380" s="4" t="s">
        <v>0</v>
      </c>
      <c r="V380" s="4"/>
      <c r="W380" s="4"/>
      <c r="X380" s="4"/>
      <c r="Y380" s="4"/>
      <c r="Z380" s="4"/>
      <c r="AA380" s="4"/>
      <c r="AB380" s="4"/>
      <c r="AC380" s="1475"/>
      <c r="AD380" s="1475"/>
      <c r="AE380" s="1475"/>
      <c r="AF380" s="1475"/>
    </row>
    <row r="381" spans="1:34" ht="13" customHeight="1">
      <c r="E381" s="4" t="s">
        <v>1</v>
      </c>
      <c r="F381" s="4"/>
      <c r="G381" s="4"/>
      <c r="H381" s="4"/>
      <c r="I381" s="4"/>
      <c r="J381" s="4"/>
      <c r="K381" s="4"/>
      <c r="L381" s="4"/>
      <c r="N381" s="1475"/>
      <c r="O381" s="1475"/>
      <c r="P381" s="1475"/>
      <c r="Q381" s="1475"/>
      <c r="R381" s="4"/>
      <c r="V381" s="4"/>
      <c r="W381" s="4"/>
      <c r="X381" s="4"/>
      <c r="Y381" s="4"/>
      <c r="Z381" s="4"/>
      <c r="AA381" s="4"/>
      <c r="AB381" s="4"/>
    </row>
    <row r="382" spans="1:34" ht="13" customHeight="1">
      <c r="E382" s="4" t="s">
        <v>2</v>
      </c>
      <c r="F382" s="4"/>
      <c r="G382" s="4"/>
      <c r="H382" s="4"/>
      <c r="I382" s="4"/>
      <c r="J382" s="4"/>
      <c r="K382" s="4"/>
      <c r="L382" s="4"/>
      <c r="N382" s="1753"/>
      <c r="O382" s="1753"/>
      <c r="P382" s="1753"/>
      <c r="Q382" s="1753"/>
      <c r="R382" s="1753"/>
      <c r="S382" s="1753"/>
      <c r="T382" s="1753"/>
      <c r="U382" s="1753"/>
      <c r="V382" s="1753"/>
      <c r="W382" s="1753"/>
      <c r="X382" s="1753"/>
      <c r="Y382" s="1753"/>
      <c r="Z382" s="1753"/>
      <c r="AA382" s="1753"/>
      <c r="AB382" s="1753"/>
      <c r="AC382" s="1753"/>
      <c r="AD382" s="1753"/>
      <c r="AE382" s="1753"/>
      <c r="AF382" s="1753"/>
    </row>
    <row r="383" spans="1:34" ht="13" customHeight="1">
      <c r="E383" s="4"/>
      <c r="F383" s="4"/>
      <c r="G383" s="4"/>
      <c r="H383" s="4"/>
      <c r="I383" s="4"/>
      <c r="J383" s="4"/>
      <c r="K383" s="4"/>
      <c r="L383" s="4"/>
      <c r="N383" s="1754"/>
      <c r="O383" s="1754"/>
      <c r="P383" s="1754"/>
      <c r="Q383" s="1754"/>
      <c r="R383" s="1754"/>
      <c r="S383" s="1754"/>
      <c r="T383" s="1754"/>
      <c r="U383" s="1754"/>
      <c r="V383" s="1754"/>
      <c r="W383" s="1754"/>
      <c r="X383" s="1754"/>
      <c r="Y383" s="1754"/>
      <c r="Z383" s="1754"/>
      <c r="AA383" s="1754"/>
      <c r="AB383" s="1754"/>
      <c r="AC383" s="1754"/>
      <c r="AD383" s="1754"/>
      <c r="AE383" s="1754"/>
      <c r="AF383" s="1754"/>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2038</v>
      </c>
      <c r="F386" s="4"/>
      <c r="G386" s="4"/>
      <c r="H386" s="4"/>
      <c r="I386" s="4"/>
      <c r="J386" s="4"/>
      <c r="K386" s="4"/>
      <c r="L386" s="4"/>
      <c r="N386" t="s">
        <v>2034</v>
      </c>
      <c r="R386" s="27" t="s">
        <v>305</v>
      </c>
      <c r="S386" s="1761"/>
      <c r="T386" s="1761"/>
      <c r="U386" s="1" t="s">
        <v>306</v>
      </c>
      <c r="V386" s="1761"/>
      <c r="W386" s="1761"/>
      <c r="Y386" t="s">
        <v>2034</v>
      </c>
      <c r="AC386" s="27" t="s">
        <v>305</v>
      </c>
      <c r="AD386" s="1761"/>
      <c r="AE386" s="1761"/>
      <c r="AF386" s="1" t="s">
        <v>306</v>
      </c>
      <c r="AG386" s="1761"/>
      <c r="AH386" s="1761"/>
    </row>
    <row r="387" spans="1:36" ht="13" customHeight="1">
      <c r="E387" s="4" t="s">
        <v>986</v>
      </c>
      <c r="F387" s="4"/>
      <c r="G387" s="4"/>
      <c r="H387" s="4"/>
      <c r="I387" s="4"/>
      <c r="J387" s="4"/>
      <c r="K387" s="4"/>
      <c r="L387" s="4"/>
      <c r="N387" s="1761"/>
      <c r="O387" s="1761"/>
      <c r="P387" s="1761"/>
    </row>
    <row r="388" spans="1:36" ht="13" customHeight="1">
      <c r="E388" s="204" t="s">
        <v>2039</v>
      </c>
      <c r="F388" s="4"/>
      <c r="G388" s="4"/>
      <c r="H388" s="4"/>
      <c r="I388" s="4"/>
      <c r="J388" s="4"/>
      <c r="K388" s="4"/>
      <c r="L388" s="4"/>
      <c r="AG388" s="1767" t="s">
        <v>591</v>
      </c>
      <c r="AH388" s="1767"/>
    </row>
    <row r="389" spans="1:36" ht="13" customHeight="1">
      <c r="E389" s="4"/>
      <c r="F389" s="4"/>
      <c r="G389" s="4" t="s">
        <v>2040</v>
      </c>
      <c r="H389" s="4"/>
      <c r="I389" s="4"/>
      <c r="J389" s="4"/>
      <c r="K389" s="4"/>
      <c r="L389" s="4"/>
      <c r="AG389" s="1767" t="s">
        <v>591</v>
      </c>
      <c r="AH389" s="1767"/>
    </row>
    <row r="390" spans="1:36" ht="13" customHeight="1">
      <c r="E390" s="4"/>
      <c r="F390" s="4"/>
      <c r="G390" s="320" t="s">
        <v>987</v>
      </c>
      <c r="H390" s="4"/>
      <c r="I390" s="4"/>
      <c r="J390" s="4"/>
      <c r="K390" s="4"/>
      <c r="L390" s="4"/>
      <c r="V390" s="1340" t="s">
        <v>591</v>
      </c>
      <c r="W390" s="1340"/>
      <c r="Y390" s="22" t="s">
        <v>979</v>
      </c>
    </row>
    <row r="391" spans="1:36" ht="13" customHeight="1">
      <c r="E391" s="4" t="s">
        <v>980</v>
      </c>
      <c r="F391" s="4"/>
      <c r="G391" s="4"/>
      <c r="H391" s="4"/>
      <c r="I391" s="4"/>
      <c r="J391" s="4"/>
      <c r="K391" s="4"/>
      <c r="L391" s="4"/>
      <c r="V391" s="1340" t="s">
        <v>591</v>
      </c>
      <c r="W391" s="1340"/>
      <c r="Y391" s="4" t="s">
        <v>981</v>
      </c>
    </row>
    <row r="392" spans="1:36" ht="13" customHeight="1"/>
    <row r="393" spans="1:36" ht="13" customHeight="1">
      <c r="A393" s="2" t="s">
        <v>78</v>
      </c>
      <c r="B393" s="2"/>
    </row>
    <row r="394" spans="1:36" ht="13" customHeight="1">
      <c r="D394" t="s">
        <v>428</v>
      </c>
      <c r="J394" s="1490" t="s">
        <v>2712</v>
      </c>
      <c r="K394" s="1456"/>
      <c r="L394" s="1456"/>
      <c r="M394" s="1456"/>
      <c r="N394" s="1456"/>
      <c r="O394" s="1456"/>
      <c r="P394" s="1456"/>
      <c r="Q394" s="1456"/>
      <c r="R394" s="1456"/>
      <c r="S394" s="1456"/>
      <c r="T394" s="1456"/>
      <c r="U394" s="1456"/>
      <c r="V394" s="8" t="s">
        <v>83</v>
      </c>
      <c r="W394" s="8"/>
      <c r="X394" s="8"/>
      <c r="Y394" s="8"/>
      <c r="Z394" s="8"/>
      <c r="AA394" s="8"/>
      <c r="AB394" s="8"/>
      <c r="AC394" s="1490" t="s">
        <v>2713</v>
      </c>
      <c r="AD394" s="1456"/>
      <c r="AE394" s="1456"/>
      <c r="AF394" s="1456"/>
      <c r="AG394" s="1456"/>
      <c r="AH394" s="1456"/>
      <c r="AI394" s="1456"/>
      <c r="AJ394" s="1456"/>
    </row>
    <row r="395" spans="1:36" ht="13" customHeight="1">
      <c r="D395" s="3" t="s">
        <v>1181</v>
      </c>
      <c r="J395" s="1478"/>
      <c r="K395" s="1478"/>
      <c r="L395" s="1478"/>
      <c r="M395" s="1478"/>
      <c r="N395" s="1478"/>
      <c r="O395" s="1478"/>
      <c r="P395" s="1478"/>
      <c r="Q395" s="1478"/>
      <c r="R395" s="1478"/>
      <c r="S395" s="1478"/>
      <c r="T395" s="1478"/>
      <c r="U395" s="1478"/>
      <c r="V395" s="3" t="s">
        <v>1181</v>
      </c>
      <c r="W395" s="8"/>
      <c r="X395" s="8"/>
      <c r="Y395" s="8"/>
      <c r="Z395" s="8"/>
      <c r="AA395" s="8"/>
      <c r="AB395" s="8"/>
      <c r="AC395" s="1456"/>
      <c r="AD395" s="1456"/>
      <c r="AE395" s="1456"/>
      <c r="AF395" s="1456"/>
      <c r="AG395" s="1456"/>
      <c r="AH395" s="1456"/>
      <c r="AI395" s="1456"/>
      <c r="AJ395" s="1456"/>
    </row>
    <row r="396" spans="1:36" ht="13" customHeight="1">
      <c r="D396" s="3" t="s">
        <v>441</v>
      </c>
      <c r="J396" s="1478"/>
      <c r="K396" s="1478"/>
      <c r="L396" s="1478"/>
      <c r="M396" s="1478"/>
      <c r="N396" s="1478"/>
      <c r="O396" s="1478"/>
      <c r="P396" s="1478"/>
      <c r="Q396" s="1478"/>
      <c r="R396" s="1478"/>
      <c r="S396" s="1478"/>
      <c r="T396" s="1478"/>
      <c r="U396" s="1478"/>
      <c r="V396" s="3" t="s">
        <v>441</v>
      </c>
      <c r="W396" s="8"/>
      <c r="X396" s="8"/>
      <c r="Y396" s="8"/>
      <c r="Z396" s="8"/>
      <c r="AA396" s="8"/>
      <c r="AB396" s="8"/>
      <c r="AC396" s="1456"/>
      <c r="AD396" s="1456"/>
      <c r="AE396" s="1456"/>
      <c r="AF396" s="1456"/>
      <c r="AG396" s="1456"/>
      <c r="AH396" s="1456"/>
      <c r="AI396" s="1456"/>
      <c r="AJ396" s="1456"/>
    </row>
    <row r="397" spans="1:36" ht="13" customHeight="1">
      <c r="D397" t="s">
        <v>1177</v>
      </c>
      <c r="J397" s="1377"/>
      <c r="K397" s="1377"/>
      <c r="L397" s="1377"/>
      <c r="M397" s="1377"/>
      <c r="N397" s="1377"/>
      <c r="O397" s="1377"/>
      <c r="P397" s="1377"/>
      <c r="Q397" s="1377"/>
      <c r="R397" s="1377"/>
      <c r="S397" s="1377"/>
      <c r="T397" s="1377"/>
      <c r="U397" s="1377"/>
      <c r="V397" s="1456"/>
      <c r="W397" s="1456"/>
      <c r="X397" s="1456"/>
      <c r="Y397" s="1456"/>
      <c r="Z397" s="1456"/>
      <c r="AA397" s="1456"/>
      <c r="AB397" s="1456"/>
      <c r="AC397" s="1456"/>
      <c r="AD397" s="1456"/>
      <c r="AE397" s="1456"/>
      <c r="AF397" s="1456"/>
      <c r="AG397" s="1456"/>
      <c r="AH397" s="1456"/>
      <c r="AI397" s="1456"/>
      <c r="AJ397" s="1456"/>
    </row>
    <row r="398" spans="1:36" ht="13" customHeight="1">
      <c r="D398" t="s">
        <v>4</v>
      </c>
      <c r="Q398" s="1755">
        <v>46104</v>
      </c>
      <c r="R398" s="1755"/>
      <c r="S398" s="1755"/>
      <c r="T398" s="1755"/>
      <c r="U398" s="1755"/>
      <c r="V398" t="s">
        <v>309</v>
      </c>
      <c r="AI398" s="1340" t="s">
        <v>668</v>
      </c>
      <c r="AJ398" s="1340"/>
    </row>
    <row r="399" spans="1:36" ht="13" customHeight="1">
      <c r="D399" t="s">
        <v>5</v>
      </c>
      <c r="Q399" s="1621">
        <v>46752</v>
      </c>
      <c r="R399" s="1819"/>
      <c r="S399" s="1819"/>
      <c r="T399" s="1819"/>
      <c r="U399" s="1819"/>
      <c r="W399" s="21" t="s">
        <v>74</v>
      </c>
      <c r="AG399" s="1817"/>
      <c r="AH399" s="1817"/>
      <c r="AI399" s="1817"/>
      <c r="AJ399" s="1817"/>
    </row>
    <row r="400" spans="1:36" ht="13" customHeight="1">
      <c r="D400" t="s">
        <v>427</v>
      </c>
      <c r="Q400" s="1836">
        <v>5500000</v>
      </c>
      <c r="R400" s="1836"/>
      <c r="S400" s="1836"/>
      <c r="T400" s="1836"/>
      <c r="U400" s="1836"/>
      <c r="V400" s="3" t="s">
        <v>1180</v>
      </c>
      <c r="AG400" s="1818">
        <v>46402</v>
      </c>
      <c r="AH400" s="1818"/>
      <c r="AI400" s="1818"/>
      <c r="AJ400" s="1818"/>
    </row>
    <row r="401" spans="4:36" ht="13" customHeight="1">
      <c r="D401" t="s">
        <v>88</v>
      </c>
      <c r="I401" s="1497"/>
      <c r="J401" s="1497"/>
      <c r="K401" s="1497"/>
      <c r="L401" s="1497"/>
      <c r="M401" s="1497"/>
      <c r="N401" s="1497"/>
      <c r="Q401" s="4" t="s">
        <v>206</v>
      </c>
      <c r="S401" s="1835"/>
      <c r="T401" s="1835"/>
      <c r="U401" s="1835"/>
      <c r="V401" t="s">
        <v>73</v>
      </c>
      <c r="AI401" s="1340" t="s">
        <v>668</v>
      </c>
      <c r="AJ401" s="1340"/>
    </row>
    <row r="402" spans="4:36" ht="13" customHeight="1">
      <c r="D402" t="s">
        <v>310</v>
      </c>
      <c r="Q402" s="1430"/>
      <c r="R402" s="1430"/>
      <c r="S402" s="1430"/>
      <c r="T402" s="1430"/>
      <c r="U402" s="1430"/>
      <c r="V402" t="s">
        <v>311</v>
      </c>
      <c r="AG402" s="1817"/>
      <c r="AH402" s="1817"/>
      <c r="AI402" s="1817"/>
      <c r="AJ402" s="1817"/>
    </row>
    <row r="403" spans="4:36" ht="13" customHeight="1">
      <c r="D403" t="s">
        <v>312</v>
      </c>
      <c r="Q403" s="1778"/>
      <c r="R403" s="1778"/>
      <c r="S403" s="1778"/>
      <c r="T403" s="1778"/>
      <c r="U403" s="1778"/>
      <c r="V403" t="s">
        <v>1162</v>
      </c>
      <c r="AG403" s="1817"/>
      <c r="AH403" s="1817"/>
      <c r="AI403" s="1817"/>
      <c r="AJ403" s="1817"/>
    </row>
    <row r="404" spans="4:36" ht="13" customHeight="1">
      <c r="D404" t="s">
        <v>1161</v>
      </c>
      <c r="AG404" s="1817"/>
      <c r="AH404" s="1817"/>
      <c r="AI404" s="1817"/>
      <c r="AJ404" s="1817"/>
    </row>
    <row r="405" spans="4:36" ht="13" customHeight="1">
      <c r="AG405" s="456"/>
      <c r="AH405" s="456"/>
      <c r="AI405" s="456"/>
      <c r="AJ405" s="456"/>
    </row>
    <row r="406" spans="4:36" ht="13" customHeight="1">
      <c r="D406" s="3" t="s">
        <v>2096</v>
      </c>
      <c r="AG406" s="456"/>
      <c r="AH406" s="456"/>
      <c r="AI406" s="1340" t="s">
        <v>668</v>
      </c>
      <c r="AJ406" s="1340"/>
    </row>
    <row r="407" spans="4:36" ht="13" customHeight="1">
      <c r="D407" s="3" t="s">
        <v>1655</v>
      </c>
      <c r="T407" s="1482"/>
      <c r="U407" s="1482"/>
      <c r="V407" s="1482"/>
      <c r="W407" s="1482"/>
      <c r="X407" s="1482"/>
      <c r="Y407" s="1482"/>
      <c r="Z407" s="1482"/>
      <c r="AA407" s="1482"/>
      <c r="AB407" s="1482"/>
      <c r="AC407" s="1482"/>
      <c r="AD407" s="1482"/>
      <c r="AE407" s="1482"/>
      <c r="AF407" s="1482"/>
      <c r="AG407" s="1482"/>
      <c r="AH407" s="1482"/>
      <c r="AI407" s="1482"/>
      <c r="AJ407" s="1482"/>
    </row>
    <row r="408" spans="4:36" ht="13" customHeight="1">
      <c r="D408" s="3" t="s">
        <v>1654</v>
      </c>
      <c r="T408" s="1482"/>
      <c r="U408" s="1482"/>
      <c r="V408" s="1482"/>
      <c r="W408" s="1482"/>
      <c r="X408" s="1482"/>
      <c r="Y408" s="1482"/>
      <c r="Z408" s="1482"/>
      <c r="AA408" s="1482"/>
      <c r="AB408" s="1482"/>
      <c r="AC408" s="1482"/>
      <c r="AD408" s="1482"/>
      <c r="AE408" s="1482"/>
      <c r="AF408" s="1482"/>
      <c r="AG408" s="1482"/>
      <c r="AH408" s="1482"/>
      <c r="AI408" s="1482"/>
      <c r="AJ408" s="1482"/>
    </row>
    <row r="409" spans="4:36" ht="13" customHeight="1">
      <c r="AG409" s="456"/>
      <c r="AH409" s="456"/>
      <c r="AI409" s="456"/>
      <c r="AJ409" s="456"/>
    </row>
    <row r="410" spans="4:36" ht="13" customHeight="1">
      <c r="D410" s="3" t="s">
        <v>1648</v>
      </c>
      <c r="S410" s="1482" t="s">
        <v>668</v>
      </c>
      <c r="T410" s="1482"/>
      <c r="U410" s="1482"/>
      <c r="V410" t="s">
        <v>1649</v>
      </c>
      <c r="AG410" s="1821"/>
      <c r="AH410" s="1821"/>
      <c r="AI410" s="1821"/>
      <c r="AJ410" s="1821"/>
    </row>
    <row r="411" spans="4:36" ht="13" customHeight="1">
      <c r="D411" s="3" t="s">
        <v>1646</v>
      </c>
      <c r="S411" s="1482" t="s">
        <v>591</v>
      </c>
      <c r="T411" s="1482"/>
      <c r="U411" s="1482"/>
      <c r="V411" t="s">
        <v>1651</v>
      </c>
      <c r="AE411" s="1837"/>
      <c r="AF411" s="1837"/>
      <c r="AG411" s="1837"/>
      <c r="AH411" s="1837"/>
      <c r="AI411" s="1837"/>
      <c r="AJ411" s="1837"/>
    </row>
    <row r="412" spans="4:36" ht="13" customHeight="1">
      <c r="D412" s="3" t="s">
        <v>1647</v>
      </c>
      <c r="K412" s="1801"/>
      <c r="L412" s="1801"/>
      <c r="M412" s="1801"/>
      <c r="N412" s="1801"/>
      <c r="O412" s="1801"/>
      <c r="P412" s="1801"/>
      <c r="Q412" s="1801"/>
      <c r="R412" s="1801"/>
      <c r="S412" s="1801"/>
      <c r="T412" s="1801"/>
      <c r="U412" s="1801"/>
      <c r="V412" s="1801"/>
      <c r="W412" s="1801"/>
      <c r="X412" s="1801"/>
      <c r="Y412" s="1801"/>
      <c r="Z412" s="1801"/>
      <c r="AA412" s="1801"/>
      <c r="AB412" s="1801"/>
      <c r="AC412" s="1801"/>
      <c r="AD412" s="1801"/>
      <c r="AE412" s="1801"/>
      <c r="AF412" s="1801"/>
      <c r="AG412" s="1801"/>
      <c r="AH412" s="1801"/>
      <c r="AI412" s="1801"/>
      <c r="AJ412" s="1801"/>
    </row>
    <row r="413" spans="4:36" ht="13" customHeight="1">
      <c r="D413" s="3" t="s">
        <v>1650</v>
      </c>
      <c r="K413" s="1801"/>
      <c r="L413" s="1801"/>
      <c r="M413" s="1801"/>
      <c r="N413" s="1801"/>
      <c r="O413" s="1801"/>
      <c r="P413" s="1801"/>
      <c r="Q413" s="1801"/>
      <c r="R413" s="1801"/>
      <c r="S413" s="1801"/>
      <c r="T413" s="1801"/>
      <c r="U413" s="1801"/>
      <c r="V413" s="1801"/>
      <c r="W413" s="1801"/>
      <c r="X413" s="1801"/>
      <c r="Y413" s="1801"/>
      <c r="Z413" s="1801"/>
      <c r="AA413" s="1801"/>
      <c r="AB413" s="1801"/>
      <c r="AC413" s="1801"/>
      <c r="AD413" s="1801"/>
      <c r="AE413" s="1801"/>
      <c r="AF413" s="1801"/>
      <c r="AG413" s="1801"/>
      <c r="AH413" s="1801"/>
      <c r="AI413" s="1801"/>
      <c r="AJ413" s="1801"/>
    </row>
    <row r="414" spans="4:36" ht="13" customHeight="1">
      <c r="D414" s="3" t="s">
        <v>1653</v>
      </c>
      <c r="E414" s="477"/>
      <c r="F414" s="477"/>
      <c r="G414" s="477"/>
      <c r="H414" s="477"/>
      <c r="I414" s="477"/>
      <c r="J414" s="477"/>
      <c r="K414" s="477"/>
      <c r="L414" s="477"/>
      <c r="M414" s="477"/>
      <c r="N414" s="477"/>
      <c r="O414" s="477"/>
      <c r="P414" s="477"/>
      <c r="Q414" s="477"/>
      <c r="R414" s="477"/>
      <c r="S414" s="1834" t="s">
        <v>2711</v>
      </c>
      <c r="T414" s="1834"/>
      <c r="U414" s="1834"/>
      <c r="V414" s="1834"/>
      <c r="W414" s="1834"/>
      <c r="X414" s="1834"/>
      <c r="Y414" s="1834"/>
      <c r="Z414" s="1834"/>
      <c r="AA414" s="1834"/>
      <c r="AB414" s="1834"/>
      <c r="AC414" s="1834"/>
      <c r="AD414" s="1834"/>
      <c r="AE414" s="1834"/>
      <c r="AF414" s="1834"/>
      <c r="AG414" s="1834"/>
      <c r="AH414" s="1834"/>
      <c r="AI414" s="1834"/>
      <c r="AJ414" s="1834"/>
    </row>
    <row r="415" spans="4:36" ht="13" customHeight="1">
      <c r="D415" s="1267" t="s">
        <v>1652</v>
      </c>
      <c r="E415" s="1267"/>
      <c r="F415" s="1267"/>
      <c r="G415" s="1267"/>
      <c r="H415" s="1267"/>
      <c r="I415" s="1267"/>
      <c r="J415" s="1267"/>
      <c r="K415" s="1267"/>
      <c r="L415" s="1267"/>
      <c r="M415" s="1267"/>
      <c r="N415" s="1267"/>
      <c r="O415" s="1267"/>
      <c r="P415" s="1267"/>
      <c r="Q415" s="1267"/>
      <c r="R415" s="1267"/>
      <c r="S415" s="1267"/>
      <c r="T415" s="1267"/>
      <c r="U415" s="1267"/>
      <c r="V415" s="1267"/>
      <c r="W415" s="1267"/>
      <c r="X415" s="1267"/>
      <c r="Y415" s="1267"/>
      <c r="Z415" s="1267"/>
      <c r="AA415" s="1267"/>
      <c r="AB415" s="1267"/>
      <c r="AC415" s="1267"/>
      <c r="AD415" s="1267"/>
      <c r="AE415" s="1267"/>
      <c r="AF415" s="1267"/>
      <c r="AG415" s="1267"/>
      <c r="AH415" s="1267"/>
      <c r="AI415" s="1267"/>
      <c r="AJ415" s="1267"/>
    </row>
    <row r="416" spans="4:36" ht="13" customHeight="1">
      <c r="D416" s="1267"/>
      <c r="E416" s="1267"/>
      <c r="F416" s="1267"/>
      <c r="G416" s="1267"/>
      <c r="H416" s="1267"/>
      <c r="I416" s="1267"/>
      <c r="J416" s="1267"/>
      <c r="K416" s="1267"/>
      <c r="L416" s="1267"/>
      <c r="M416" s="1267"/>
      <c r="N416" s="1267"/>
      <c r="O416" s="1267"/>
      <c r="P416" s="1267"/>
      <c r="Q416" s="1267"/>
      <c r="R416" s="1267"/>
      <c r="S416" s="1267"/>
      <c r="T416" s="1267"/>
      <c r="U416" s="1267"/>
      <c r="V416" s="1267"/>
      <c r="W416" s="1267"/>
      <c r="X416" s="1267"/>
      <c r="Y416" s="1267"/>
      <c r="Z416" s="1267"/>
      <c r="AA416" s="1267"/>
      <c r="AB416" s="1267"/>
      <c r="AC416" s="1267"/>
      <c r="AD416" s="1267"/>
      <c r="AE416" s="1267"/>
      <c r="AF416" s="1267"/>
      <c r="AG416" s="1267"/>
      <c r="AH416" s="1267"/>
      <c r="AI416" s="1267"/>
      <c r="AJ416" s="1267"/>
    </row>
    <row r="417" spans="1:39" ht="13" customHeight="1">
      <c r="AG417" s="456"/>
      <c r="AH417" s="456"/>
      <c r="AI417" s="456"/>
      <c r="AJ417" s="456"/>
    </row>
    <row r="418" spans="1:39" ht="13" customHeight="1">
      <c r="A418" s="2" t="s">
        <v>589</v>
      </c>
      <c r="B418" s="2"/>
      <c r="C418" s="2" t="s">
        <v>111</v>
      </c>
    </row>
    <row r="419" spans="1:39" ht="13" customHeight="1">
      <c r="B419" s="2"/>
      <c r="C419" s="2"/>
      <c r="D419" s="2" t="s">
        <v>1203</v>
      </c>
      <c r="I419" s="1490" t="s">
        <v>2753</v>
      </c>
      <c r="J419" s="1490"/>
      <c r="K419" s="1490"/>
      <c r="L419" s="1490"/>
      <c r="M419" s="1490"/>
      <c r="N419" s="1490"/>
      <c r="O419" s="1490"/>
      <c r="P419" s="1490"/>
      <c r="Q419" s="1490"/>
      <c r="R419" s="1490"/>
      <c r="S419" s="1490"/>
      <c r="T419" s="1490"/>
      <c r="U419" s="1490"/>
      <c r="V419" s="1490"/>
      <c r="W419" s="1490"/>
      <c r="X419" s="1490"/>
      <c r="Y419" s="1490"/>
      <c r="Z419" s="1490"/>
      <c r="AA419" s="1490"/>
      <c r="AB419" s="1490"/>
      <c r="AC419" s="1490"/>
      <c r="AD419" s="1490"/>
      <c r="AE419" s="1490"/>
    </row>
    <row r="420" spans="1:39" ht="13" customHeight="1">
      <c r="E420" t="s">
        <v>106</v>
      </c>
      <c r="R420" s="1340" t="s">
        <v>545</v>
      </c>
      <c r="S420" s="1340"/>
      <c r="AC420" s="27" t="s">
        <v>570</v>
      </c>
      <c r="AD420" s="1475">
        <v>8</v>
      </c>
      <c r="AE420" s="1475"/>
    </row>
    <row r="421" spans="1:39" ht="13" customHeight="1">
      <c r="E421" t="s">
        <v>107</v>
      </c>
      <c r="R421" s="1340" t="s">
        <v>591</v>
      </c>
      <c r="S421" s="1340"/>
      <c r="AC421" s="27" t="s">
        <v>570</v>
      </c>
      <c r="AD421" s="1475"/>
      <c r="AE421" s="1475"/>
    </row>
    <row r="422" spans="1:39" ht="13" customHeight="1">
      <c r="E422" t="s">
        <v>108</v>
      </c>
      <c r="S422" s="1340" t="s">
        <v>545</v>
      </c>
      <c r="T422" s="1340"/>
    </row>
    <row r="423" spans="1:39" ht="13" customHeight="1">
      <c r="E423" t="s">
        <v>170</v>
      </c>
      <c r="H423" s="1779" t="s">
        <v>334</v>
      </c>
      <c r="I423" s="1779"/>
      <c r="J423" s="1779"/>
      <c r="K423" s="1779"/>
      <c r="L423" s="1779"/>
      <c r="M423" s="1779"/>
      <c r="N423" s="1779"/>
      <c r="O423" s="1779"/>
      <c r="P423" s="1779"/>
      <c r="Q423" s="1779"/>
      <c r="R423" s="1779"/>
      <c r="S423" s="1779"/>
      <c r="T423" s="1779"/>
      <c r="U423" s="1779"/>
      <c r="V423" s="1779"/>
      <c r="W423" s="1779"/>
      <c r="X423" s="1779"/>
      <c r="Y423" s="1779"/>
      <c r="Z423" s="1779"/>
      <c r="AA423" s="1779"/>
      <c r="AB423" s="1779"/>
      <c r="AC423" s="1779"/>
      <c r="AD423" s="1779"/>
      <c r="AE423" s="1779"/>
    </row>
    <row r="424" spans="1:39" ht="13" customHeight="1">
      <c r="H424" s="1780"/>
      <c r="I424" s="1780"/>
      <c r="J424" s="1780"/>
      <c r="K424" s="1780"/>
      <c r="L424" s="1780"/>
      <c r="M424" s="1780"/>
      <c r="N424" s="1780"/>
      <c r="O424" s="1780"/>
      <c r="P424" s="1780"/>
      <c r="Q424" s="1780"/>
      <c r="R424" s="1780"/>
      <c r="S424" s="1780"/>
      <c r="T424" s="1780"/>
      <c r="U424" s="1780"/>
      <c r="V424" s="1780"/>
      <c r="W424" s="1780"/>
      <c r="X424" s="1780"/>
      <c r="Y424" s="1780"/>
      <c r="Z424" s="1780"/>
      <c r="AA424" s="1780"/>
      <c r="AB424" s="1780"/>
      <c r="AC424" s="1780"/>
      <c r="AD424" s="1780"/>
      <c r="AE424" s="1780"/>
    </row>
    <row r="425" spans="1:39" ht="13" customHeight="1"/>
    <row r="426" spans="1:39" ht="13" customHeight="1">
      <c r="A426" s="2" t="s">
        <v>590</v>
      </c>
      <c r="B426" s="2"/>
      <c r="C426" s="2"/>
      <c r="D426" s="2" t="s">
        <v>114</v>
      </c>
      <c r="AF426" s="2" t="s">
        <v>956</v>
      </c>
    </row>
    <row r="427" spans="1:39" ht="13" customHeight="1">
      <c r="E427" s="1761"/>
      <c r="F427" s="1761"/>
      <c r="G427" s="1761"/>
      <c r="H427" s="13" t="s">
        <v>115</v>
      </c>
      <c r="I427" s="1761"/>
      <c r="J427" s="1761"/>
      <c r="K427" s="1761"/>
      <c r="L427" t="s">
        <v>116</v>
      </c>
      <c r="N427" s="27" t="s">
        <v>575</v>
      </c>
      <c r="P427" s="1832">
        <v>1.32</v>
      </c>
      <c r="Q427" s="1832"/>
      <c r="R427" s="1832"/>
      <c r="S427" t="s">
        <v>117</v>
      </c>
      <c r="W427" s="1831">
        <f>IF(E427&gt;0,(E427*I427),(P427*43560))</f>
        <v>57499.200000000004</v>
      </c>
      <c r="X427" s="1831"/>
      <c r="Y427" s="1831"/>
      <c r="Z427" t="s">
        <v>118</v>
      </c>
      <c r="AF427" s="1759">
        <f>IFERROR(IF(P427&gt;0,(AG446/P427),(AG446/(W427/43560))),0)</f>
        <v>72.72727272727272</v>
      </c>
      <c r="AG427" s="1759"/>
      <c r="AH427" s="1759"/>
      <c r="AM427" s="3"/>
    </row>
    <row r="428" spans="1:39" ht="13" customHeight="1">
      <c r="E428" t="s">
        <v>51</v>
      </c>
    </row>
    <row r="429" spans="1:39" ht="13" customHeight="1">
      <c r="E429" s="1822"/>
      <c r="F429" s="1822"/>
      <c r="G429" s="1822"/>
      <c r="H429" s="1822"/>
      <c r="I429" s="1822"/>
      <c r="J429" s="1822"/>
      <c r="K429" s="1822"/>
      <c r="L429" s="1822"/>
      <c r="M429" s="1822"/>
      <c r="N429" s="1822"/>
      <c r="O429" s="1822"/>
      <c r="P429" s="1822"/>
      <c r="Q429" s="1822"/>
      <c r="R429" s="1822"/>
      <c r="S429" s="1822"/>
      <c r="T429" s="1822"/>
      <c r="U429" s="1822"/>
      <c r="V429" s="1822"/>
      <c r="W429" s="1822"/>
      <c r="X429" s="1822"/>
      <c r="Y429" s="1822"/>
      <c r="Z429" s="1822"/>
      <c r="AA429" s="1822"/>
      <c r="AB429" s="1822"/>
      <c r="AC429" s="1822"/>
      <c r="AD429" s="1822"/>
      <c r="AE429" s="1822"/>
      <c r="AF429" s="1822"/>
      <c r="AG429" s="1822"/>
      <c r="AH429" s="1822"/>
      <c r="AI429" s="1822"/>
      <c r="AJ429" s="1822"/>
    </row>
    <row r="430" spans="1:39" ht="13" customHeight="1">
      <c r="E430" s="118" t="s">
        <v>1723</v>
      </c>
      <c r="F430" s="1008"/>
      <c r="G430" s="1008"/>
      <c r="H430" s="1008"/>
      <c r="I430" s="1838">
        <v>1.32</v>
      </c>
      <c r="J430" s="1838"/>
      <c r="K430" s="1838"/>
      <c r="L430" s="1008"/>
      <c r="M430" s="118"/>
      <c r="N430" s="1008"/>
      <c r="O430" s="1008"/>
      <c r="P430" s="1774">
        <f>(DU763+DU786+DU808)/I430</f>
        <v>192.42424242424241</v>
      </c>
      <c r="Q430" s="1774"/>
      <c r="R430" s="1774"/>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40">
        <v>1</v>
      </c>
      <c r="Q433" s="1340"/>
      <c r="S433" t="s">
        <v>189</v>
      </c>
      <c r="AE433" s="1340">
        <v>0</v>
      </c>
      <c r="AF433" s="1340"/>
    </row>
    <row r="434" spans="1:36" ht="13" customHeight="1">
      <c r="E434" t="s">
        <v>190</v>
      </c>
      <c r="P434" s="1340">
        <v>0</v>
      </c>
      <c r="Q434" s="1340"/>
      <c r="S434" t="s">
        <v>131</v>
      </c>
      <c r="AE434" s="1340" t="s">
        <v>591</v>
      </c>
      <c r="AF434" s="1340"/>
    </row>
    <row r="435" spans="1:36" ht="13" customHeight="1">
      <c r="F435" s="28" t="s">
        <v>132</v>
      </c>
    </row>
    <row r="436" spans="1:36" ht="13" customHeight="1">
      <c r="F436" s="1812"/>
      <c r="G436" s="1812"/>
      <c r="H436" s="1812"/>
      <c r="I436" s="1812"/>
      <c r="J436" s="1812"/>
      <c r="K436" s="1812"/>
      <c r="L436" s="1812"/>
      <c r="M436" s="1812"/>
      <c r="N436" s="1812"/>
      <c r="O436" s="1812"/>
      <c r="P436" s="1812"/>
      <c r="Q436" s="1812"/>
      <c r="R436" s="1812"/>
      <c r="S436" s="1812"/>
      <c r="T436" s="1812"/>
      <c r="U436" s="1812"/>
      <c r="V436" s="1812"/>
      <c r="W436" s="1812"/>
      <c r="X436" s="1812"/>
      <c r="Y436" s="1812"/>
      <c r="Z436" s="1812"/>
      <c r="AA436" s="1812"/>
      <c r="AB436" s="1812"/>
      <c r="AC436" s="1812"/>
      <c r="AD436" s="1812"/>
      <c r="AE436" s="1812"/>
      <c r="AF436" s="1812"/>
      <c r="AG436" s="1812"/>
      <c r="AH436" s="1812"/>
    </row>
    <row r="437" spans="1:36" ht="13" customHeight="1">
      <c r="F437" s="1813"/>
      <c r="G437" s="1813"/>
      <c r="H437" s="1813"/>
      <c r="I437" s="1813"/>
      <c r="J437" s="1813"/>
      <c r="K437" s="1813"/>
      <c r="L437" s="1813"/>
      <c r="M437" s="1813"/>
      <c r="N437" s="1813"/>
      <c r="O437" s="1813"/>
      <c r="P437" s="1813"/>
      <c r="Q437" s="1813"/>
      <c r="R437" s="1813"/>
      <c r="S437" s="1813"/>
      <c r="T437" s="1813"/>
      <c r="U437" s="1813"/>
      <c r="V437" s="1813"/>
      <c r="W437" s="1813"/>
      <c r="X437" s="1813"/>
      <c r="Y437" s="1813"/>
      <c r="Z437" s="1813"/>
      <c r="AA437" s="1813"/>
      <c r="AB437" s="1813"/>
      <c r="AC437" s="1813"/>
      <c r="AD437" s="1813"/>
      <c r="AE437" s="1813"/>
      <c r="AF437" s="1813"/>
      <c r="AG437" s="1813"/>
      <c r="AH437" s="1813"/>
    </row>
    <row r="438" spans="1:36" ht="13" customHeight="1">
      <c r="E438" t="s">
        <v>608</v>
      </c>
      <c r="P438" s="1"/>
      <c r="Q438" s="1340" t="s">
        <v>545</v>
      </c>
      <c r="R438" s="1340"/>
    </row>
    <row r="439" spans="1:36" ht="13" customHeight="1">
      <c r="F439" t="s">
        <v>609</v>
      </c>
      <c r="P439" s="1"/>
      <c r="Q439" s="1"/>
      <c r="AF439" s="1340" t="s">
        <v>591</v>
      </c>
      <c r="AG439" s="1829"/>
    </row>
    <row r="440" spans="1:36" ht="13" customHeight="1"/>
    <row r="441" spans="1:36" ht="13" customHeight="1">
      <c r="A441" s="2"/>
      <c r="B441" s="2"/>
      <c r="C441" s="2"/>
      <c r="E441" s="4" t="s">
        <v>308</v>
      </c>
      <c r="Z441" s="1340" t="s">
        <v>668</v>
      </c>
      <c r="AA441" s="1340"/>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40" t="s">
        <v>591</v>
      </c>
      <c r="AA443" s="1340"/>
    </row>
    <row r="444" spans="1:36" ht="13" customHeight="1"/>
    <row r="445" spans="1:36" ht="13" customHeight="1">
      <c r="A445" s="2" t="s">
        <v>467</v>
      </c>
      <c r="B445" s="2"/>
      <c r="C445" s="2"/>
      <c r="D445" s="2" t="s">
        <v>763</v>
      </c>
      <c r="AF445" s="48"/>
    </row>
    <row r="446" spans="1:36" ht="13" customHeight="1">
      <c r="D446" s="1676" t="s">
        <v>43</v>
      </c>
      <c r="E446" s="1675"/>
      <c r="F446" s="1675"/>
      <c r="G446" s="1675"/>
      <c r="H446" s="1675"/>
      <c r="I446" s="1675"/>
      <c r="J446" s="1675"/>
      <c r="K446" s="1675"/>
      <c r="L446" s="1675"/>
      <c r="M446" s="1675"/>
      <c r="N446" s="1675"/>
      <c r="O446" s="1675"/>
      <c r="P446" s="1675"/>
      <c r="Q446" s="1675"/>
      <c r="R446" s="1675"/>
      <c r="S446" s="1675"/>
      <c r="T446" s="1675"/>
      <c r="U446" s="1675"/>
      <c r="V446" s="1675"/>
      <c r="W446" s="1675"/>
      <c r="X446" s="1675"/>
      <c r="Y446" s="1675"/>
      <c r="Z446" s="1675"/>
      <c r="AA446" s="1675"/>
      <c r="AB446" s="1675"/>
      <c r="AC446" s="1675"/>
      <c r="AD446" s="1675"/>
      <c r="AE446" s="1675"/>
      <c r="AF446" s="1762"/>
      <c r="AG446" s="1820">
        <v>96</v>
      </c>
      <c r="AH446" s="1820"/>
      <c r="AI446" s="1820"/>
      <c r="AJ446" s="1820"/>
    </row>
    <row r="447" spans="1:36" ht="13" customHeight="1">
      <c r="D447" s="1756" t="s">
        <v>1221</v>
      </c>
      <c r="E447" s="1757"/>
      <c r="F447" s="1757"/>
      <c r="G447" s="1757"/>
      <c r="H447" s="1757"/>
      <c r="I447" s="1757"/>
      <c r="J447" s="1757"/>
      <c r="K447" s="1757"/>
      <c r="L447" s="1757"/>
      <c r="M447" s="1757"/>
      <c r="N447" s="1757"/>
      <c r="O447" s="1757"/>
      <c r="P447" s="1757"/>
      <c r="Q447" s="1757"/>
      <c r="R447" s="1757"/>
      <c r="S447" s="1757"/>
      <c r="T447" s="1757"/>
      <c r="U447" s="1757"/>
      <c r="V447" s="1757"/>
      <c r="W447" s="1757"/>
      <c r="X447" s="1757"/>
      <c r="Y447" s="1757"/>
      <c r="Z447" s="1757"/>
      <c r="AA447" s="1757"/>
      <c r="AB447" s="1757"/>
      <c r="AC447" s="1757"/>
      <c r="AD447" s="1757"/>
      <c r="AE447" s="1757"/>
      <c r="AF447" s="1758"/>
      <c r="AG447" s="1833">
        <v>0</v>
      </c>
      <c r="AH447" s="1393"/>
      <c r="AI447" s="1393"/>
      <c r="AJ447" s="1393"/>
    </row>
    <row r="448" spans="1:36" ht="13" customHeight="1">
      <c r="D448" s="1756" t="s">
        <v>1030</v>
      </c>
      <c r="E448" s="1757"/>
      <c r="F448" s="1757"/>
      <c r="G448" s="1757"/>
      <c r="H448" s="1757"/>
      <c r="I448" s="1757"/>
      <c r="J448" s="1757"/>
      <c r="K448" s="1757"/>
      <c r="L448" s="1757"/>
      <c r="M448" s="1757"/>
      <c r="N448" s="1757"/>
      <c r="O448" s="1757"/>
      <c r="P448" s="1757"/>
      <c r="Q448" s="1757"/>
      <c r="R448" s="1757"/>
      <c r="S448" s="1757"/>
      <c r="T448" s="1757"/>
      <c r="U448" s="1757"/>
      <c r="V448" s="1757"/>
      <c r="W448" s="1757"/>
      <c r="X448" s="1757"/>
      <c r="Y448" s="1757"/>
      <c r="Z448" s="1757"/>
      <c r="AA448" s="1757"/>
      <c r="AB448" s="1757"/>
      <c r="AC448" s="1757"/>
      <c r="AD448" s="1757"/>
      <c r="AE448" s="1757"/>
      <c r="AF448" s="1758"/>
      <c r="AG448" s="1820">
        <v>95</v>
      </c>
      <c r="AH448" s="1820"/>
      <c r="AI448" s="1820"/>
      <c r="AJ448" s="1820"/>
    </row>
    <row r="449" spans="4:55" ht="13" customHeight="1">
      <c r="D449" s="1756" t="s">
        <v>1031</v>
      </c>
      <c r="E449" s="1757"/>
      <c r="F449" s="1757"/>
      <c r="G449" s="1757"/>
      <c r="H449" s="1757"/>
      <c r="I449" s="1757"/>
      <c r="J449" s="1757"/>
      <c r="K449" s="1757"/>
      <c r="L449" s="1757"/>
      <c r="M449" s="1757"/>
      <c r="N449" s="1757"/>
      <c r="O449" s="1757"/>
      <c r="P449" s="1757"/>
      <c r="Q449" s="1757"/>
      <c r="R449" s="1757"/>
      <c r="S449" s="1757"/>
      <c r="T449" s="1757"/>
      <c r="U449" s="1757"/>
      <c r="V449" s="1757"/>
      <c r="W449" s="1757"/>
      <c r="X449" s="1757"/>
      <c r="Y449" s="1757"/>
      <c r="Z449" s="1757"/>
      <c r="AA449" s="1757"/>
      <c r="AB449" s="1757"/>
      <c r="AC449" s="1757"/>
      <c r="AD449" s="1757"/>
      <c r="AE449" s="1757"/>
      <c r="AF449" s="1758"/>
      <c r="AG449" s="1820">
        <v>95</v>
      </c>
      <c r="AH449" s="1820"/>
      <c r="AI449" s="1820"/>
      <c r="AJ449" s="1820"/>
    </row>
    <row r="450" spans="4:55" ht="13" customHeight="1">
      <c r="D450" s="1756" t="s">
        <v>1033</v>
      </c>
      <c r="E450" s="1757"/>
      <c r="F450" s="1757"/>
      <c r="G450" s="1757"/>
      <c r="H450" s="1757"/>
      <c r="I450" s="1757"/>
      <c r="J450" s="1757"/>
      <c r="K450" s="1757"/>
      <c r="L450" s="1757"/>
      <c r="M450" s="1757"/>
      <c r="N450" s="1757"/>
      <c r="O450" s="1757"/>
      <c r="P450" s="1757"/>
      <c r="Q450" s="1757"/>
      <c r="R450" s="1757"/>
      <c r="S450" s="1757"/>
      <c r="T450" s="1757"/>
      <c r="U450" s="1757"/>
      <c r="V450" s="1757"/>
      <c r="W450" s="1757"/>
      <c r="X450" s="1757"/>
      <c r="Y450" s="1757"/>
      <c r="Z450" s="1757"/>
      <c r="AA450" s="1757"/>
      <c r="AB450" s="1757"/>
      <c r="AC450" s="1757"/>
      <c r="AD450" s="1757"/>
      <c r="AE450" s="1757"/>
      <c r="AF450" s="1758"/>
      <c r="AG450" s="1830">
        <f>IF(ISERROR(AG449/AG448),0,AG449/AG448)</f>
        <v>1</v>
      </c>
      <c r="AH450" s="1830"/>
      <c r="AI450" s="1830"/>
      <c r="AJ450" s="1830"/>
    </row>
    <row r="451" spans="4:55" ht="13" customHeight="1">
      <c r="D451" s="1756" t="s">
        <v>1032</v>
      </c>
      <c r="E451" s="1757"/>
      <c r="F451" s="1757"/>
      <c r="G451" s="1757"/>
      <c r="H451" s="1757"/>
      <c r="I451" s="1757"/>
      <c r="J451" s="1757"/>
      <c r="K451" s="1757"/>
      <c r="L451" s="1757"/>
      <c r="M451" s="1757"/>
      <c r="N451" s="1757"/>
      <c r="O451" s="1757"/>
      <c r="P451" s="1757"/>
      <c r="Q451" s="1757"/>
      <c r="R451" s="1757"/>
      <c r="S451" s="1757"/>
      <c r="T451" s="1757"/>
      <c r="U451" s="1757"/>
      <c r="V451" s="1757"/>
      <c r="W451" s="1757"/>
      <c r="X451" s="1757"/>
      <c r="Y451" s="1757"/>
      <c r="Z451" s="1757"/>
      <c r="AA451" s="1757"/>
      <c r="AB451" s="1757"/>
      <c r="AC451" s="1757"/>
      <c r="AD451" s="1757"/>
      <c r="AE451" s="1757"/>
      <c r="AF451" s="1758"/>
      <c r="AG451" s="1719">
        <v>108819</v>
      </c>
      <c r="AH451" s="1719"/>
      <c r="AI451" s="1719"/>
      <c r="AJ451" s="1719"/>
    </row>
    <row r="452" spans="4:55" ht="13" customHeight="1">
      <c r="D452" s="1756" t="s">
        <v>1034</v>
      </c>
      <c r="E452" s="1757"/>
      <c r="F452" s="1757"/>
      <c r="G452" s="1757"/>
      <c r="H452" s="1757"/>
      <c r="I452" s="1757"/>
      <c r="J452" s="1757"/>
      <c r="K452" s="1757"/>
      <c r="L452" s="1757"/>
      <c r="M452" s="1757"/>
      <c r="N452" s="1757"/>
      <c r="O452" s="1757"/>
      <c r="P452" s="1757"/>
      <c r="Q452" s="1757"/>
      <c r="R452" s="1757"/>
      <c r="S452" s="1757"/>
      <c r="T452" s="1757"/>
      <c r="U452" s="1757"/>
      <c r="V452" s="1757"/>
      <c r="W452" s="1757"/>
      <c r="X452" s="1757"/>
      <c r="Y452" s="1757"/>
      <c r="Z452" s="1757"/>
      <c r="AA452" s="1757"/>
      <c r="AB452" s="1757"/>
      <c r="AC452" s="1757"/>
      <c r="AD452" s="1757"/>
      <c r="AE452" s="1757"/>
      <c r="AF452" s="1758"/>
      <c r="AG452" s="1719">
        <f>AG451</f>
        <v>108819</v>
      </c>
      <c r="AH452" s="1719"/>
      <c r="AI452" s="1719"/>
      <c r="AJ452" s="1719"/>
    </row>
    <row r="453" spans="4:55" ht="13" customHeight="1">
      <c r="D453" s="1756" t="s">
        <v>1035</v>
      </c>
      <c r="E453" s="1757"/>
      <c r="F453" s="1757"/>
      <c r="G453" s="1757"/>
      <c r="H453" s="1757"/>
      <c r="I453" s="1757"/>
      <c r="J453" s="1757"/>
      <c r="K453" s="1757"/>
      <c r="L453" s="1757"/>
      <c r="M453" s="1757"/>
      <c r="N453" s="1757"/>
      <c r="O453" s="1757"/>
      <c r="P453" s="1757"/>
      <c r="Q453" s="1757"/>
      <c r="R453" s="1757"/>
      <c r="S453" s="1757"/>
      <c r="T453" s="1757"/>
      <c r="U453" s="1757"/>
      <c r="V453" s="1757"/>
      <c r="W453" s="1757"/>
      <c r="X453" s="1757"/>
      <c r="Y453" s="1757"/>
      <c r="Z453" s="1757"/>
      <c r="AA453" s="1757"/>
      <c r="AB453" s="1757"/>
      <c r="AC453" s="1757"/>
      <c r="AD453" s="1757"/>
      <c r="AE453" s="1757"/>
      <c r="AF453" s="1758"/>
      <c r="AG453" s="1830">
        <f>IF(ISERROR(AG452/AG451),0,AG452/AG451)</f>
        <v>1</v>
      </c>
      <c r="AH453" s="1830"/>
      <c r="AI453" s="1830"/>
      <c r="AJ453" s="1830"/>
    </row>
    <row r="454" spans="4:55" ht="13" customHeight="1">
      <c r="D454" s="1756" t="s">
        <v>1036</v>
      </c>
      <c r="E454" s="1757"/>
      <c r="F454" s="1757"/>
      <c r="G454" s="1757"/>
      <c r="H454" s="1757"/>
      <c r="I454" s="1757"/>
      <c r="J454" s="1757"/>
      <c r="K454" s="1757"/>
      <c r="L454" s="1757"/>
      <c r="M454" s="1757"/>
      <c r="N454" s="1757"/>
      <c r="O454" s="1757"/>
      <c r="P454" s="1757"/>
      <c r="Q454" s="1757"/>
      <c r="R454" s="1757"/>
      <c r="S454" s="1757"/>
      <c r="T454" s="1757"/>
      <c r="U454" s="1757"/>
      <c r="V454" s="1757"/>
      <c r="W454" s="1757"/>
      <c r="X454" s="1757"/>
      <c r="Y454" s="1757"/>
      <c r="Z454" s="1757"/>
      <c r="AA454" s="1757"/>
      <c r="AB454" s="1757"/>
      <c r="AC454" s="1757"/>
      <c r="AD454" s="1757"/>
      <c r="AE454" s="1757"/>
      <c r="AF454" s="1758"/>
      <c r="AG454" s="1830">
        <f>MIN(IF(AG450&gt;AG453,AG453,AG450),1)</f>
        <v>1</v>
      </c>
      <c r="AH454" s="1830"/>
      <c r="AI454" s="1830"/>
      <c r="AJ454" s="1830"/>
    </row>
    <row r="455" spans="4:55" ht="13" customHeight="1">
      <c r="D455" s="1756" t="s">
        <v>2041</v>
      </c>
      <c r="E455" s="1675"/>
      <c r="F455" s="1675"/>
      <c r="G455" s="1675"/>
      <c r="H455" s="1675"/>
      <c r="I455" s="1675"/>
      <c r="J455" s="1675"/>
      <c r="K455" s="1675"/>
      <c r="L455" s="1675"/>
      <c r="M455" s="1675"/>
      <c r="N455" s="1675"/>
      <c r="O455" s="1675"/>
      <c r="P455" s="1675"/>
      <c r="Q455" s="1675"/>
      <c r="R455" s="1675"/>
      <c r="S455" s="1675"/>
      <c r="T455" s="1675"/>
      <c r="U455" s="1675"/>
      <c r="V455" s="1675"/>
      <c r="W455" s="1675"/>
      <c r="X455" s="1675"/>
      <c r="Y455" s="1675"/>
      <c r="Z455" s="1675"/>
      <c r="AA455" s="1675"/>
      <c r="AB455" s="1675"/>
      <c r="AC455" s="1675"/>
      <c r="AD455" s="1675"/>
      <c r="AE455" s="1675"/>
      <c r="AF455" s="1762"/>
      <c r="AG455" s="1719">
        <v>4860</v>
      </c>
      <c r="AH455" s="1719"/>
      <c r="AI455" s="1719"/>
      <c r="AJ455" s="1719"/>
      <c r="AZ455" s="34"/>
      <c r="BA455" s="34"/>
      <c r="BB455" s="34"/>
      <c r="BC455" s="34"/>
    </row>
    <row r="456" spans="4:55" ht="13" customHeight="1">
      <c r="D456" s="1676" t="s">
        <v>569</v>
      </c>
      <c r="E456" s="1675"/>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762"/>
      <c r="AG456" s="1719">
        <v>0</v>
      </c>
      <c r="AH456" s="1719"/>
      <c r="AI456" s="1719"/>
      <c r="AJ456" s="1719"/>
      <c r="AZ456" s="3"/>
      <c r="BA456" s="3"/>
      <c r="BB456" s="3"/>
      <c r="BC456" s="3"/>
    </row>
    <row r="457" spans="4:55" ht="13" customHeight="1">
      <c r="D457" s="1756" t="s">
        <v>1204</v>
      </c>
      <c r="E457" s="1675"/>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1762"/>
      <c r="AG457" s="1719">
        <v>27884</v>
      </c>
      <c r="AH457" s="1719"/>
      <c r="AI457" s="1719"/>
      <c r="AJ457" s="1719"/>
      <c r="AZ457" s="3"/>
      <c r="BA457" s="3"/>
      <c r="BB457" s="3"/>
      <c r="BC457" s="3"/>
    </row>
    <row r="458" spans="4:55" ht="13" customHeight="1">
      <c r="D458" s="1756" t="s">
        <v>1037</v>
      </c>
      <c r="E458" s="1675"/>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1675"/>
      <c r="AD458" s="1675"/>
      <c r="AE458" s="1675"/>
      <c r="AF458" s="1762"/>
      <c r="AG458" s="1719">
        <f>40898</f>
        <v>40898</v>
      </c>
      <c r="AH458" s="1719"/>
      <c r="AI458" s="1719"/>
      <c r="AJ458" s="1719"/>
      <c r="BB458" s="3"/>
      <c r="BC458" s="3"/>
    </row>
    <row r="459" spans="4:55" ht="13" customHeight="1">
      <c r="D459" s="1771" t="s">
        <v>1038</v>
      </c>
      <c r="E459" s="1772"/>
      <c r="F459" s="1772"/>
      <c r="G459" s="1772"/>
      <c r="H459" s="1772"/>
      <c r="I459" s="1772"/>
      <c r="J459" s="1772"/>
      <c r="K459" s="1772"/>
      <c r="L459" s="1772"/>
      <c r="M459" s="1772"/>
      <c r="N459" s="1772"/>
      <c r="O459" s="1772"/>
      <c r="P459" s="1772"/>
      <c r="Q459" s="1772"/>
      <c r="R459" s="1772"/>
      <c r="S459" s="1772"/>
      <c r="T459" s="1772"/>
      <c r="U459" s="1772"/>
      <c r="V459" s="1772"/>
      <c r="W459" s="1772"/>
      <c r="X459" s="1772"/>
      <c r="Y459" s="1772"/>
      <c r="Z459" s="1772"/>
      <c r="AA459" s="1772"/>
      <c r="AB459" s="1772"/>
      <c r="AC459" s="1772"/>
      <c r="AD459" s="1772"/>
      <c r="AE459" s="1772"/>
      <c r="AF459" s="1773"/>
      <c r="AG459" s="1853">
        <f>AG451+AG455+AG457+AG458</f>
        <v>182461</v>
      </c>
      <c r="AH459" s="1853"/>
      <c r="AI459" s="1853"/>
      <c r="AJ459" s="1853"/>
      <c r="AZ459" s="3"/>
      <c r="BA459" s="3"/>
      <c r="BB459" s="3"/>
      <c r="BC459" s="3"/>
    </row>
    <row r="460" spans="4:55" ht="13" customHeight="1">
      <c r="D460" s="1764" t="s">
        <v>1205</v>
      </c>
      <c r="E460" s="1764"/>
      <c r="F460" s="1764"/>
      <c r="G460" s="1764"/>
      <c r="H460" s="1764"/>
      <c r="I460" s="1764"/>
      <c r="J460" s="1764"/>
      <c r="K460" s="1764"/>
      <c r="L460" s="1764"/>
      <c r="M460" s="1764"/>
      <c r="N460" s="1764"/>
      <c r="O460" s="1764"/>
      <c r="P460" s="1764"/>
      <c r="Q460" s="1764"/>
      <c r="R460" s="1764"/>
      <c r="S460" s="1764"/>
      <c r="T460" s="1764"/>
      <c r="U460" s="1764"/>
      <c r="V460" s="1764"/>
      <c r="W460" s="1764"/>
      <c r="X460" s="1764"/>
      <c r="Y460" s="1764"/>
      <c r="Z460" s="1764"/>
      <c r="AA460" s="1764"/>
      <c r="AB460" s="1764"/>
      <c r="AC460" s="1764"/>
      <c r="AD460" s="1764"/>
      <c r="AE460" s="1764"/>
      <c r="AF460" s="1764"/>
      <c r="AG460" s="1764"/>
      <c r="AH460" s="1764"/>
      <c r="AI460" s="1764"/>
      <c r="AJ460" s="1764"/>
      <c r="AZ460" s="3"/>
      <c r="BA460" s="3"/>
      <c r="BB460" s="3"/>
      <c r="BC460" s="3"/>
    </row>
    <row r="461" spans="4:55" ht="13" customHeight="1">
      <c r="D461" s="1765"/>
      <c r="E461" s="1765"/>
      <c r="F461" s="1765"/>
      <c r="G461" s="1765"/>
      <c r="H461" s="1765"/>
      <c r="I461" s="1765"/>
      <c r="J461" s="1765"/>
      <c r="K461" s="1765"/>
      <c r="L461" s="1765"/>
      <c r="M461" s="1765"/>
      <c r="N461" s="1765"/>
      <c r="O461" s="1765"/>
      <c r="P461" s="1765"/>
      <c r="Q461" s="1765"/>
      <c r="R461" s="1765"/>
      <c r="S461" s="1765"/>
      <c r="T461" s="1765"/>
      <c r="U461" s="1765"/>
      <c r="V461" s="1765"/>
      <c r="W461" s="1765"/>
      <c r="X461" s="1765"/>
      <c r="Y461" s="1765"/>
      <c r="Z461" s="1765"/>
      <c r="AA461" s="1765"/>
      <c r="AB461" s="1765"/>
      <c r="AC461" s="1765"/>
      <c r="AD461" s="1765"/>
      <c r="AE461" s="1765"/>
      <c r="AF461" s="1765"/>
      <c r="AG461" s="1765"/>
      <c r="AH461" s="1765"/>
      <c r="AI461" s="1765"/>
      <c r="AJ461" s="1765"/>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6">
        <f>IF(AG446=0,"",'Sources and Uses Budget'!B105/Application!AG446)</f>
        <v>807754.6875</v>
      </c>
      <c r="AD463" s="1766"/>
      <c r="AE463" s="1766"/>
      <c r="AF463" s="1766"/>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6">
        <f>IF(AG446=0,"",'Sources and Uses Budget'!C105/Application!AG446)</f>
        <v>807754.6875</v>
      </c>
      <c r="AD464" s="1766"/>
      <c r="AE464" s="1766"/>
      <c r="AF464" s="1766"/>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6">
        <f>IF(AG446=0,"",('Sources and Uses Budget'!$S$107+'Sources and Uses Budget'!$T$107)/Application!AG446)</f>
        <v>707219.38541666663</v>
      </c>
      <c r="AD465" s="1766"/>
      <c r="AE465" s="1766"/>
      <c r="AF465" s="1766"/>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84" t="s">
        <v>2053</v>
      </c>
      <c r="E473" s="1776"/>
      <c r="F473" s="1776"/>
      <c r="G473" s="1776"/>
      <c r="H473" s="1776"/>
      <c r="I473" s="1776"/>
      <c r="J473" s="1776"/>
      <c r="K473" s="1776"/>
      <c r="L473" s="1776"/>
      <c r="M473" s="1776"/>
      <c r="N473" s="1776"/>
      <c r="O473" s="1776"/>
      <c r="P473" s="1776"/>
      <c r="Q473" s="1776"/>
      <c r="R473" s="1776"/>
      <c r="S473" s="1776"/>
      <c r="T473" s="1776"/>
      <c r="U473" s="1776"/>
      <c r="V473" s="1777"/>
      <c r="W473" s="1461">
        <v>0</v>
      </c>
      <c r="X473" s="1462"/>
      <c r="Y473" s="146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75" t="s">
        <v>692</v>
      </c>
      <c r="E474" s="1776"/>
      <c r="F474" s="1776"/>
      <c r="G474" s="1776"/>
      <c r="H474" s="1776"/>
      <c r="I474" s="1776"/>
      <c r="J474" s="1776"/>
      <c r="K474" s="1776"/>
      <c r="L474" s="1776"/>
      <c r="M474" s="1776"/>
      <c r="N474" s="1776"/>
      <c r="O474" s="1776"/>
      <c r="P474" s="1776"/>
      <c r="Q474" s="1776"/>
      <c r="R474" s="1776"/>
      <c r="S474" s="1776"/>
      <c r="T474" s="1776"/>
      <c r="U474" s="1776"/>
      <c r="V474" s="1777"/>
      <c r="W474" s="1461">
        <v>0</v>
      </c>
      <c r="X474" s="1462"/>
      <c r="Y474" s="146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75" t="s">
        <v>693</v>
      </c>
      <c r="E475" s="1776"/>
      <c r="F475" s="1776"/>
      <c r="G475" s="1776"/>
      <c r="H475" s="1776"/>
      <c r="I475" s="1776"/>
      <c r="J475" s="1776"/>
      <c r="K475" s="1776"/>
      <c r="L475" s="1776"/>
      <c r="M475" s="1776"/>
      <c r="N475" s="1776"/>
      <c r="O475" s="1776"/>
      <c r="P475" s="1776"/>
      <c r="Q475" s="1776"/>
      <c r="R475" s="1776"/>
      <c r="S475" s="1776"/>
      <c r="T475" s="1776"/>
      <c r="U475" s="1776"/>
      <c r="V475" s="1777"/>
      <c r="W475" s="1461">
        <v>0</v>
      </c>
      <c r="X475" s="1462"/>
      <c r="Y475" s="1463"/>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75" t="s">
        <v>694</v>
      </c>
      <c r="E476" s="1776"/>
      <c r="F476" s="1776"/>
      <c r="G476" s="1776"/>
      <c r="H476" s="1776"/>
      <c r="I476" s="1776"/>
      <c r="J476" s="1776"/>
      <c r="K476" s="1776"/>
      <c r="L476" s="1776"/>
      <c r="M476" s="1776"/>
      <c r="N476" s="1776"/>
      <c r="O476" s="1776"/>
      <c r="P476" s="1776"/>
      <c r="Q476" s="1776"/>
      <c r="R476" s="1776"/>
      <c r="S476" s="1776"/>
      <c r="T476" s="1776"/>
      <c r="U476" s="1776"/>
      <c r="V476" s="1777"/>
      <c r="W476" s="1461">
        <v>0</v>
      </c>
      <c r="X476" s="1462"/>
      <c r="Y476" s="146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75" t="s">
        <v>880</v>
      </c>
      <c r="E477" s="1776"/>
      <c r="F477" s="1776"/>
      <c r="G477" s="1776"/>
      <c r="H477" s="1776"/>
      <c r="I477" s="1776"/>
      <c r="J477" s="1776"/>
      <c r="K477" s="1776"/>
      <c r="L477" s="1776"/>
      <c r="M477" s="1776"/>
      <c r="N477" s="1776"/>
      <c r="O477" s="1776"/>
      <c r="P477" s="1776"/>
      <c r="Q477" s="1776"/>
      <c r="R477" s="1776"/>
      <c r="S477" s="1776"/>
      <c r="T477" s="1776"/>
      <c r="U477" s="1776"/>
      <c r="V477" s="1777"/>
      <c r="W477" s="1461">
        <v>0</v>
      </c>
      <c r="X477" s="1462"/>
      <c r="Y477" s="1463"/>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75" t="s">
        <v>695</v>
      </c>
      <c r="E478" s="1776"/>
      <c r="F478" s="1776"/>
      <c r="G478" s="1776"/>
      <c r="H478" s="1776"/>
      <c r="I478" s="1776"/>
      <c r="J478" s="1776"/>
      <c r="K478" s="1776"/>
      <c r="L478" s="1776"/>
      <c r="M478" s="1776"/>
      <c r="N478" s="1776"/>
      <c r="O478" s="1776"/>
      <c r="P478" s="1776"/>
      <c r="Q478" s="1776"/>
      <c r="R478" s="1776"/>
      <c r="S478" s="1776"/>
      <c r="T478" s="1776"/>
      <c r="U478" s="1776"/>
      <c r="V478" s="1777"/>
      <c r="W478" s="1461">
        <v>0</v>
      </c>
      <c r="X478" s="1462"/>
      <c r="Y478" s="1463"/>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75" t="s">
        <v>1011</v>
      </c>
      <c r="E479" s="1776"/>
      <c r="F479" s="1776"/>
      <c r="G479" s="1776"/>
      <c r="H479" s="1776"/>
      <c r="I479" s="1776"/>
      <c r="J479" s="1776"/>
      <c r="K479" s="1776"/>
      <c r="L479" s="1776"/>
      <c r="M479" s="1776"/>
      <c r="N479" s="1776"/>
      <c r="O479" s="1776"/>
      <c r="P479" s="1776"/>
      <c r="Q479" s="1776"/>
      <c r="R479" s="1776"/>
      <c r="S479" s="1776"/>
      <c r="T479" s="1776"/>
      <c r="U479" s="1776"/>
      <c r="V479" s="1777"/>
      <c r="W479" s="1461">
        <v>0</v>
      </c>
      <c r="X479" s="1462"/>
      <c r="Y479" s="1463"/>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84" t="s">
        <v>2143</v>
      </c>
      <c r="E480" s="1857"/>
      <c r="F480" s="1857"/>
      <c r="G480" s="1857"/>
      <c r="H480" s="1857"/>
      <c r="I480" s="1857"/>
      <c r="J480" s="1857"/>
      <c r="K480" s="1857"/>
      <c r="L480" s="1857"/>
      <c r="M480" s="1857"/>
      <c r="N480" s="1857"/>
      <c r="O480" s="1857"/>
      <c r="P480" s="1857"/>
      <c r="Q480" s="1857"/>
      <c r="R480" s="1857"/>
      <c r="S480" s="1857"/>
      <c r="T480" s="1857"/>
      <c r="U480" s="1857"/>
      <c r="V480" s="1858"/>
      <c r="W480" s="1461">
        <v>0</v>
      </c>
      <c r="X480" s="1462"/>
      <c r="Y480" s="1463"/>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84" t="s">
        <v>1642</v>
      </c>
      <c r="E481" s="1776"/>
      <c r="F481" s="1776"/>
      <c r="G481" s="1776"/>
      <c r="H481" s="1776"/>
      <c r="I481" s="1776"/>
      <c r="J481" s="1776"/>
      <c r="K481" s="1776"/>
      <c r="L481" s="1776"/>
      <c r="M481" s="1776"/>
      <c r="N481" s="1776"/>
      <c r="O481" s="1776"/>
      <c r="P481" s="1776"/>
      <c r="Q481" s="1776"/>
      <c r="R481" s="1776"/>
      <c r="S481" s="1776"/>
      <c r="T481" s="1776"/>
      <c r="U481" s="1776"/>
      <c r="V481" s="1777"/>
      <c r="W481" s="1461">
        <v>8</v>
      </c>
      <c r="X481" s="1462"/>
      <c r="Y481" s="1463"/>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435"/>
      <c r="H482" s="1436"/>
      <c r="I482" s="1436"/>
      <c r="J482" s="1436"/>
      <c r="K482" s="1436"/>
      <c r="L482" s="1436"/>
      <c r="M482" s="1436"/>
      <c r="N482" s="1436"/>
      <c r="O482" s="1436"/>
      <c r="P482" s="1436"/>
      <c r="Q482" s="1436"/>
      <c r="R482" s="1436"/>
      <c r="S482" s="1436"/>
      <c r="T482" s="1436"/>
      <c r="U482" s="1436"/>
      <c r="V482" s="1437"/>
      <c r="W482" s="1461">
        <v>0</v>
      </c>
      <c r="X482" s="1462"/>
      <c r="Y482" s="1463"/>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496" t="s">
        <v>809</v>
      </c>
      <c r="B488" s="1496"/>
      <c r="C488" s="1496"/>
      <c r="D488" s="1496"/>
      <c r="E488" s="1496"/>
      <c r="F488" s="1496"/>
      <c r="G488" s="1496"/>
      <c r="H488" s="1496"/>
      <c r="I488" s="1496"/>
      <c r="J488" s="1496"/>
      <c r="K488" s="1496"/>
      <c r="L488" s="1496"/>
      <c r="M488" s="1496"/>
      <c r="N488" s="1496"/>
      <c r="O488" s="1496"/>
      <c r="P488" s="1496"/>
      <c r="Q488" s="1496"/>
      <c r="R488" s="1496"/>
      <c r="S488" s="1496"/>
      <c r="T488" s="1496"/>
      <c r="U488" s="1496"/>
      <c r="V488" s="1496"/>
      <c r="W488" s="1496"/>
      <c r="X488" s="1496"/>
      <c r="Y488" s="1496"/>
      <c r="Z488" s="1496"/>
      <c r="AA488" s="1496"/>
      <c r="AB488" s="1496"/>
      <c r="AC488" s="1496"/>
      <c r="AD488" s="1496"/>
      <c r="AE488" s="1496"/>
      <c r="AF488" s="1496"/>
      <c r="AG488" s="1496"/>
      <c r="AH488" s="1496"/>
      <c r="AI488" s="1496"/>
      <c r="AJ488" s="1496"/>
      <c r="AK488" s="1496"/>
      <c r="AL488" s="1496"/>
      <c r="AM488" s="1496"/>
      <c r="AN488" s="1496"/>
      <c r="AO488" s="1496"/>
      <c r="AP488" s="1496"/>
      <c r="AQ488" s="1496"/>
      <c r="AR488" s="1496"/>
      <c r="AS488" s="1496"/>
      <c r="AT488" s="1496"/>
      <c r="AU488" s="95"/>
      <c r="AV488" s="95"/>
      <c r="AW488" s="95"/>
      <c r="AX488" s="95"/>
      <c r="AY488" s="95"/>
      <c r="AZ488" s="3"/>
      <c r="BB488" s="3"/>
      <c r="BC488" s="3"/>
    </row>
    <row r="489" spans="1:55" ht="13" customHeight="1">
      <c r="A489" s="1496"/>
      <c r="B489" s="1496"/>
      <c r="C489" s="1496"/>
      <c r="D489" s="1496"/>
      <c r="E489" s="1496"/>
      <c r="F489" s="1496"/>
      <c r="G489" s="1496"/>
      <c r="H489" s="1496"/>
      <c r="I489" s="1496"/>
      <c r="J489" s="1496"/>
      <c r="K489" s="1496"/>
      <c r="L489" s="1496"/>
      <c r="M489" s="1496"/>
      <c r="N489" s="1496"/>
      <c r="O489" s="1496"/>
      <c r="P489" s="1496"/>
      <c r="Q489" s="1496"/>
      <c r="R489" s="1496"/>
      <c r="S489" s="1496"/>
      <c r="T489" s="1496"/>
      <c r="U489" s="1496"/>
      <c r="V489" s="1496"/>
      <c r="W489" s="1496"/>
      <c r="X489" s="1496"/>
      <c r="Y489" s="1496"/>
      <c r="Z489" s="1496"/>
      <c r="AA489" s="1496"/>
      <c r="AB489" s="1496"/>
      <c r="AC489" s="1496"/>
      <c r="AD489" s="1496"/>
      <c r="AE489" s="1496"/>
      <c r="AF489" s="1496"/>
      <c r="AG489" s="1496"/>
      <c r="AH489" s="1496"/>
      <c r="AI489" s="1496"/>
      <c r="AJ489" s="1496"/>
      <c r="AK489" s="1496"/>
      <c r="AL489" s="1496"/>
      <c r="AM489" s="1496"/>
      <c r="AN489" s="1496"/>
      <c r="AO489" s="1496"/>
      <c r="AP489" s="1496"/>
      <c r="AQ489" s="1496"/>
      <c r="AR489" s="1496"/>
      <c r="AS489" s="1496"/>
      <c r="AT489" s="1496"/>
      <c r="AZ489" s="3"/>
      <c r="BB489" s="3"/>
      <c r="BC489" s="3"/>
    </row>
    <row r="490" spans="1:55" ht="13" customHeight="1">
      <c r="AZ490" s="3"/>
      <c r="BB490" s="3"/>
      <c r="BC490" s="3"/>
    </row>
    <row r="491" spans="1:55" ht="13" customHeight="1">
      <c r="A491" s="2" t="s">
        <v>319</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68" t="s">
        <v>393</v>
      </c>
      <c r="R493" s="1769"/>
      <c r="S493" s="1769"/>
      <c r="T493" s="1769"/>
      <c r="U493" s="1769"/>
      <c r="V493" s="1769"/>
      <c r="W493" s="1769"/>
      <c r="X493" s="1769"/>
      <c r="Y493" s="1769"/>
      <c r="Z493" s="1769"/>
      <c r="AA493" s="1769"/>
      <c r="AB493" s="1769"/>
      <c r="AC493" s="1769"/>
      <c r="AD493" s="1769"/>
      <c r="AE493" s="1769"/>
      <c r="AF493" s="1769"/>
      <c r="AG493" s="1769"/>
      <c r="AH493" s="1769"/>
      <c r="AI493" s="1769"/>
      <c r="AJ493" s="1769"/>
      <c r="AK493" s="1770"/>
      <c r="AZ493" s="3"/>
      <c r="BB493" s="3"/>
      <c r="BC493" s="3"/>
    </row>
    <row r="494" spans="1:55" ht="13" customHeight="1">
      <c r="B494" s="45" t="s">
        <v>394</v>
      </c>
      <c r="C494" s="5"/>
      <c r="D494" s="5"/>
      <c r="E494" s="5"/>
      <c r="F494" s="5"/>
      <c r="G494" s="5"/>
      <c r="H494" s="5"/>
      <c r="I494" s="5"/>
      <c r="J494" s="5"/>
      <c r="K494" s="5"/>
      <c r="L494" s="5"/>
      <c r="M494" s="5"/>
      <c r="N494" s="5"/>
      <c r="O494" s="5"/>
      <c r="P494" s="5"/>
      <c r="Q494" s="1382" t="s">
        <v>2714</v>
      </c>
      <c r="R494" s="1478"/>
      <c r="S494" s="1478"/>
      <c r="T494" s="1478"/>
      <c r="U494" s="1478"/>
      <c r="V494" s="1478"/>
      <c r="W494" s="1478"/>
      <c r="X494" s="1478"/>
      <c r="Y494" s="1478"/>
      <c r="Z494" s="1478"/>
      <c r="AA494" s="1478"/>
      <c r="AB494" s="1478"/>
      <c r="AC494" s="1478"/>
      <c r="AD494" s="1478"/>
      <c r="AE494" s="1478"/>
      <c r="AF494" s="1478"/>
      <c r="AG494" s="1478"/>
      <c r="AH494" s="1478"/>
      <c r="AI494" s="1478"/>
      <c r="AJ494" s="1478"/>
      <c r="AK494" s="1567"/>
      <c r="AZ494" s="3"/>
      <c r="BB494" s="3"/>
      <c r="BC494" s="3"/>
    </row>
    <row r="495" spans="1:55" ht="13" customHeight="1">
      <c r="B495" s="45" t="s">
        <v>395</v>
      </c>
      <c r="C495" s="5"/>
      <c r="D495" s="5"/>
      <c r="E495" s="5"/>
      <c r="F495" s="5"/>
      <c r="G495" s="5"/>
      <c r="H495" s="5"/>
      <c r="I495" s="5"/>
      <c r="J495" s="5"/>
      <c r="K495" s="5"/>
      <c r="L495" s="5"/>
      <c r="M495" s="5"/>
      <c r="N495" s="5"/>
      <c r="O495" s="5"/>
      <c r="P495" s="5"/>
      <c r="Q495" s="1566" t="s">
        <v>2755</v>
      </c>
      <c r="R495" s="1478"/>
      <c r="S495" s="1478"/>
      <c r="T495" s="1478"/>
      <c r="U495" s="1478"/>
      <c r="V495" s="1478"/>
      <c r="W495" s="1478"/>
      <c r="X495" s="1478"/>
      <c r="Y495" s="1478"/>
      <c r="Z495" s="1478"/>
      <c r="AA495" s="1478"/>
      <c r="AB495" s="1478"/>
      <c r="AC495" s="1478"/>
      <c r="AD495" s="1478"/>
      <c r="AE495" s="1478"/>
      <c r="AF495" s="1478"/>
      <c r="AG495" s="1478"/>
      <c r="AH495" s="1478"/>
      <c r="AI495" s="1478"/>
      <c r="AJ495" s="1478"/>
      <c r="AK495" s="1567"/>
      <c r="AZ495" s="3"/>
      <c r="BB495" s="3"/>
      <c r="BC495" s="3"/>
    </row>
    <row r="496" spans="1:55" ht="13" customHeight="1">
      <c r="B496" s="45" t="s">
        <v>396</v>
      </c>
      <c r="C496" s="5"/>
      <c r="D496" s="5"/>
      <c r="E496" s="5"/>
      <c r="F496" s="5"/>
      <c r="G496" s="5"/>
      <c r="H496" s="5"/>
      <c r="I496" s="5"/>
      <c r="J496" s="5"/>
      <c r="K496" s="5"/>
      <c r="L496" s="5"/>
      <c r="M496" s="5"/>
      <c r="N496" s="5"/>
      <c r="O496" s="5"/>
      <c r="P496" s="5"/>
      <c r="Q496" s="1566" t="s">
        <v>2756</v>
      </c>
      <c r="R496" s="1478"/>
      <c r="S496" s="1478"/>
      <c r="T496" s="1478"/>
      <c r="U496" s="1478"/>
      <c r="V496" s="1478"/>
      <c r="W496" s="1478"/>
      <c r="X496" s="1478"/>
      <c r="Y496" s="1478"/>
      <c r="Z496" s="1478"/>
      <c r="AA496" s="1478"/>
      <c r="AB496" s="1478"/>
      <c r="AC496" s="1478"/>
      <c r="AD496" s="1478"/>
      <c r="AE496" s="1478"/>
      <c r="AF496" s="1478"/>
      <c r="AG496" s="1478"/>
      <c r="AH496" s="1478"/>
      <c r="AI496" s="1478"/>
      <c r="AJ496" s="1478"/>
      <c r="AK496" s="1567"/>
      <c r="AZ496" s="3"/>
      <c r="BA496" s="3"/>
      <c r="BB496" s="3"/>
      <c r="BC496" s="3"/>
    </row>
    <row r="497" spans="1:66" ht="13" customHeight="1">
      <c r="B497" s="1842" t="s">
        <v>397</v>
      </c>
      <c r="C497" s="1843"/>
      <c r="D497" s="1843"/>
      <c r="E497" s="1843"/>
      <c r="F497" s="1843"/>
      <c r="G497" s="1843"/>
      <c r="H497" s="1843"/>
      <c r="I497" s="1843"/>
      <c r="J497" s="1843"/>
      <c r="K497" s="1843"/>
      <c r="L497" s="1843"/>
      <c r="M497" s="1843"/>
      <c r="N497" s="1843"/>
      <c r="O497" s="1843"/>
      <c r="P497" s="1844"/>
      <c r="Q497" s="1848" t="s">
        <v>668</v>
      </c>
      <c r="R497" s="1849"/>
      <c r="S497" s="1823" t="s">
        <v>166</v>
      </c>
      <c r="T497" s="1824"/>
      <c r="U497" s="1824"/>
      <c r="V497" s="1824"/>
      <c r="W497" s="1824"/>
      <c r="X497" s="1824"/>
      <c r="Y497" s="1824"/>
      <c r="Z497" s="1824"/>
      <c r="AA497" s="1824"/>
      <c r="AB497" s="1824"/>
      <c r="AC497" s="1824"/>
      <c r="AD497" s="1824"/>
      <c r="AE497" s="1824"/>
      <c r="AF497" s="1824"/>
      <c r="AG497" s="1824"/>
      <c r="AH497" s="1824"/>
      <c r="AI497" s="1824"/>
      <c r="AJ497" s="1824"/>
      <c r="AK497" s="1825"/>
      <c r="AZ497" s="3"/>
      <c r="BA497" s="3"/>
      <c r="BB497" s="3"/>
      <c r="BC497" s="3"/>
    </row>
    <row r="498" spans="1:66" ht="13" customHeight="1">
      <c r="B498" s="1845"/>
      <c r="C498" s="1846"/>
      <c r="D498" s="1846"/>
      <c r="E498" s="1846"/>
      <c r="F498" s="1846"/>
      <c r="G498" s="1846"/>
      <c r="H498" s="1846"/>
      <c r="I498" s="1846"/>
      <c r="J498" s="1846"/>
      <c r="K498" s="1846"/>
      <c r="L498" s="1846"/>
      <c r="M498" s="1846"/>
      <c r="N498" s="1846"/>
      <c r="O498" s="1846"/>
      <c r="P498" s="1847"/>
      <c r="Q498" s="1850"/>
      <c r="R498" s="1851"/>
      <c r="S498" s="1826"/>
      <c r="T498" s="1813"/>
      <c r="U498" s="1813"/>
      <c r="V498" s="1813"/>
      <c r="W498" s="1813"/>
      <c r="X498" s="1813"/>
      <c r="Y498" s="1813"/>
      <c r="Z498" s="1813"/>
      <c r="AA498" s="1813"/>
      <c r="AB498" s="1813"/>
      <c r="AC498" s="1813"/>
      <c r="AD498" s="1813"/>
      <c r="AE498" s="1813"/>
      <c r="AF498" s="1813"/>
      <c r="AG498" s="1813"/>
      <c r="AH498" s="1813"/>
      <c r="AI498" s="1813"/>
      <c r="AJ498" s="1813"/>
      <c r="AK498" s="1827"/>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854" t="s">
        <v>2757</v>
      </c>
      <c r="R499" s="1855"/>
      <c r="S499" s="1855"/>
      <c r="T499" s="1855"/>
      <c r="U499" s="1855"/>
      <c r="V499" s="1855"/>
      <c r="W499" s="1855"/>
      <c r="X499" s="1855"/>
      <c r="Y499" s="1855"/>
      <c r="Z499" s="1855"/>
      <c r="AA499" s="1855"/>
      <c r="AB499" s="1855"/>
      <c r="AC499" s="1855"/>
      <c r="AD499" s="1855"/>
      <c r="AE499" s="1855"/>
      <c r="AF499" s="1855"/>
      <c r="AG499" s="1855"/>
      <c r="AH499" s="1855"/>
      <c r="AI499" s="1855"/>
      <c r="AJ499" s="1855"/>
      <c r="AK499" s="1856"/>
      <c r="AZ499" s="3"/>
      <c r="BA499" s="3"/>
      <c r="BB499" s="3"/>
      <c r="BC499" s="3"/>
    </row>
    <row r="500" spans="1:66" ht="13" customHeight="1">
      <c r="B500" s="45" t="s">
        <v>398</v>
      </c>
      <c r="C500" s="5"/>
      <c r="D500" s="5"/>
      <c r="E500" s="5"/>
      <c r="F500" s="5"/>
      <c r="G500" s="5"/>
      <c r="H500" s="5"/>
      <c r="I500" s="5"/>
      <c r="J500" s="5"/>
      <c r="K500" s="5"/>
      <c r="L500" s="5"/>
      <c r="M500" s="5"/>
      <c r="N500" s="5"/>
      <c r="O500" s="5"/>
      <c r="P500" s="5"/>
      <c r="Q500" s="1566" t="s">
        <v>2758</v>
      </c>
      <c r="R500" s="1478"/>
      <c r="S500" s="1478"/>
      <c r="T500" s="1478"/>
      <c r="U500" s="1478"/>
      <c r="V500" s="1478"/>
      <c r="W500" s="1478"/>
      <c r="X500" s="1478"/>
      <c r="Y500" s="1478"/>
      <c r="Z500" s="1478"/>
      <c r="AA500" s="1478"/>
      <c r="AB500" s="1478"/>
      <c r="AC500" s="1478"/>
      <c r="AD500" s="1478"/>
      <c r="AE500" s="1478"/>
      <c r="AF500" s="1478"/>
      <c r="AG500" s="1478"/>
      <c r="AH500" s="1478"/>
      <c r="AI500" s="1478"/>
      <c r="AJ500" s="1478"/>
      <c r="AK500" s="1567"/>
      <c r="AZ500" s="3"/>
      <c r="BA500" s="3"/>
      <c r="BB500" s="3"/>
      <c r="BC500" s="3"/>
    </row>
    <row r="501" spans="1:66" ht="13" customHeight="1">
      <c r="B501" s="45" t="s">
        <v>399</v>
      </c>
      <c r="C501" s="5"/>
      <c r="D501" s="5"/>
      <c r="E501" s="5"/>
      <c r="F501" s="5"/>
      <c r="G501" s="5"/>
      <c r="H501" s="5"/>
      <c r="I501" s="5"/>
      <c r="J501" s="5"/>
      <c r="K501" s="5"/>
      <c r="L501" s="5"/>
      <c r="M501" s="5"/>
      <c r="N501" s="5"/>
      <c r="O501" s="5"/>
      <c r="P501" s="5"/>
      <c r="Q501" s="1763" t="s">
        <v>2759</v>
      </c>
      <c r="R501" s="1478"/>
      <c r="S501" s="1478"/>
      <c r="T501" s="1478"/>
      <c r="U501" s="1478"/>
      <c r="V501" s="1478"/>
      <c r="W501" s="1478"/>
      <c r="X501" s="1478"/>
      <c r="Y501" s="1478"/>
      <c r="Z501" s="1478"/>
      <c r="AA501" s="1478"/>
      <c r="AB501" s="1478"/>
      <c r="AC501" s="1478"/>
      <c r="AD501" s="1478"/>
      <c r="AE501" s="1478"/>
      <c r="AF501" s="1478"/>
      <c r="AG501" s="1478"/>
      <c r="AH501" s="1478"/>
      <c r="AI501" s="1478"/>
      <c r="AJ501" s="1478"/>
      <c r="AK501" s="1567"/>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66">
        <v>106</v>
      </c>
      <c r="R502" s="1478"/>
      <c r="S502" s="1478"/>
      <c r="T502" s="1478"/>
      <c r="U502" s="1478"/>
      <c r="V502" s="1478"/>
      <c r="W502" s="1478"/>
      <c r="X502" s="1478"/>
      <c r="Y502" s="1478"/>
      <c r="Z502" s="1478"/>
      <c r="AA502" s="1478"/>
      <c r="AB502" s="1478"/>
      <c r="AC502" s="1478"/>
      <c r="AD502" s="1478"/>
      <c r="AE502" s="1478"/>
      <c r="AF502" s="1478"/>
      <c r="AG502" s="1478"/>
      <c r="AH502" s="1478"/>
      <c r="AI502" s="1478"/>
      <c r="AJ502" s="1478"/>
      <c r="AK502" s="1567"/>
      <c r="AZ502" s="3"/>
      <c r="BA502" s="3"/>
      <c r="BB502" s="3"/>
      <c r="BC502" s="3"/>
    </row>
    <row r="503" spans="1:66" ht="13" customHeight="1">
      <c r="B503" s="121" t="s">
        <v>1657</v>
      </c>
      <c r="C503" s="5"/>
      <c r="D503" s="5"/>
      <c r="E503" s="5"/>
      <c r="F503" s="5"/>
      <c r="G503" s="5"/>
      <c r="H503" s="5"/>
      <c r="I503" s="5"/>
      <c r="J503" s="5"/>
      <c r="K503" s="5"/>
      <c r="L503" s="5"/>
      <c r="M503" s="1468">
        <v>106</v>
      </c>
      <c r="N503" s="1469"/>
      <c r="O503" s="1469"/>
      <c r="P503" s="1470"/>
      <c r="Q503" s="121" t="s">
        <v>1658</v>
      </c>
      <c r="R503" s="5"/>
      <c r="S503" s="5"/>
      <c r="T503" s="5"/>
      <c r="U503" s="5"/>
      <c r="V503" s="5"/>
      <c r="W503" s="5"/>
      <c r="X503" s="5"/>
      <c r="Y503" s="5"/>
      <c r="Z503" s="5"/>
      <c r="AA503" s="5"/>
      <c r="AB503" s="5"/>
      <c r="AC503" s="5"/>
      <c r="AD503" s="5"/>
      <c r="AE503" s="5"/>
      <c r="AF503" s="5"/>
      <c r="AG503" s="5"/>
      <c r="AH503" s="1468">
        <v>0</v>
      </c>
      <c r="AI503" s="1469"/>
      <c r="AJ503" s="1469"/>
      <c r="AK503" s="1470"/>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8" t="s">
        <v>401</v>
      </c>
      <c r="AD507" s="1769"/>
      <c r="AE507" s="1769"/>
      <c r="AF507" s="1769"/>
      <c r="AG507" s="1769"/>
      <c r="AH507" s="1769"/>
      <c r="AI507" s="1769"/>
      <c r="AJ507" s="1769"/>
      <c r="AK507" s="1770"/>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8" t="s">
        <v>402</v>
      </c>
      <c r="AD508" s="1769"/>
      <c r="AE508" s="1769"/>
      <c r="AF508" s="1769"/>
      <c r="AG508" s="50" t="s">
        <v>403</v>
      </c>
      <c r="AH508" s="1769" t="s">
        <v>404</v>
      </c>
      <c r="AI508" s="1769"/>
      <c r="AJ508" s="1769"/>
      <c r="AK508" s="1770"/>
      <c r="AZ508" s="3"/>
      <c r="BA508" s="3"/>
      <c r="BB508" s="3"/>
      <c r="BC508" s="3"/>
      <c r="BD508" s="3"/>
      <c r="BE508" s="3"/>
      <c r="BF508" s="3"/>
      <c r="BG508" s="3"/>
      <c r="BH508" s="3"/>
      <c r="BI508" s="3"/>
      <c r="BJ508" s="3"/>
      <c r="BK508" s="3"/>
      <c r="BL508" s="3"/>
      <c r="BM508" s="3"/>
      <c r="BN508" s="3"/>
    </row>
    <row r="509" spans="1:66" ht="13" customHeight="1">
      <c r="B509" s="1709" t="s">
        <v>405</v>
      </c>
      <c r="C509" s="1498"/>
      <c r="D509" s="1498"/>
      <c r="E509" s="1498"/>
      <c r="F509" s="1498"/>
      <c r="G509" s="1498"/>
      <c r="H509" s="1499"/>
      <c r="I509" s="42" t="s">
        <v>406</v>
      </c>
      <c r="J509" s="42"/>
      <c r="K509" s="42"/>
      <c r="L509" s="42"/>
      <c r="M509" s="42"/>
      <c r="N509" s="42"/>
      <c r="O509" s="42"/>
      <c r="P509" s="42"/>
      <c r="Q509" s="42"/>
      <c r="R509" s="42"/>
      <c r="S509" s="42"/>
      <c r="T509" s="42"/>
      <c r="U509" s="42"/>
      <c r="V509" s="42"/>
      <c r="W509" s="42"/>
      <c r="AC509" s="1474" t="s">
        <v>591</v>
      </c>
      <c r="AD509" s="1475"/>
      <c r="AE509" s="1475"/>
      <c r="AF509" s="1475"/>
      <c r="AG509" s="13" t="s">
        <v>403</v>
      </c>
      <c r="AH509" s="1377">
        <v>0</v>
      </c>
      <c r="AI509" s="1377"/>
      <c r="AJ509" s="1377"/>
      <c r="AK509" s="1378"/>
      <c r="AZ509" s="3"/>
      <c r="BA509" s="3"/>
      <c r="BB509" s="3"/>
      <c r="BC509" s="3"/>
      <c r="BD509" s="3"/>
      <c r="BE509" s="3"/>
      <c r="BF509" s="3"/>
      <c r="BG509" s="3"/>
      <c r="BH509" s="3"/>
      <c r="BI509" s="3"/>
      <c r="BJ509" s="3"/>
      <c r="BK509" s="3"/>
      <c r="BL509" s="3"/>
      <c r="BM509" s="3"/>
      <c r="BN509" s="3"/>
    </row>
    <row r="510" spans="1:66" ht="13" customHeight="1">
      <c r="B510" s="1710"/>
      <c r="C510" s="1500"/>
      <c r="D510" s="1500"/>
      <c r="E510" s="1500"/>
      <c r="F510" s="1500"/>
      <c r="G510" s="1500"/>
      <c r="H510" s="1501"/>
      <c r="I510" s="48" t="s">
        <v>407</v>
      </c>
      <c r="J510" s="48"/>
      <c r="K510" s="48"/>
      <c r="L510" s="48"/>
      <c r="M510" s="48"/>
      <c r="N510" s="48"/>
      <c r="O510" s="48"/>
      <c r="P510" s="48"/>
      <c r="Q510" s="48"/>
      <c r="R510" s="48"/>
      <c r="S510" s="48"/>
      <c r="T510" s="48"/>
      <c r="U510" s="48"/>
      <c r="V510" s="48"/>
      <c r="W510" s="48"/>
      <c r="X510" s="48"/>
      <c r="Y510" s="48"/>
      <c r="Z510" s="48"/>
      <c r="AA510" s="48"/>
      <c r="AB510" s="48"/>
      <c r="AC510" s="1474">
        <v>1</v>
      </c>
      <c r="AD510" s="1475"/>
      <c r="AE510" s="1475"/>
      <c r="AF510" s="1475"/>
      <c r="AG510" s="38" t="s">
        <v>403</v>
      </c>
      <c r="AH510" s="1377">
        <v>2027</v>
      </c>
      <c r="AI510" s="1377"/>
      <c r="AJ510" s="1377"/>
      <c r="AK510" s="1378"/>
      <c r="AZ510" s="3"/>
      <c r="BA510" s="3"/>
      <c r="BB510" s="3"/>
      <c r="BC510" s="3"/>
      <c r="BD510" s="3"/>
      <c r="BE510" s="3"/>
      <c r="BF510" s="3"/>
      <c r="BG510" s="3"/>
      <c r="BH510" s="3"/>
      <c r="BI510" s="3"/>
      <c r="BJ510" s="3"/>
      <c r="BK510" s="3"/>
      <c r="BL510" s="3"/>
      <c r="BM510" s="3"/>
      <c r="BN510" s="3"/>
    </row>
    <row r="511" spans="1:66" ht="13" customHeight="1">
      <c r="B511" s="1709" t="s">
        <v>408</v>
      </c>
      <c r="C511" s="1498"/>
      <c r="D511" s="1498"/>
      <c r="E511" s="1498"/>
      <c r="F511" s="1498"/>
      <c r="G511" s="1498"/>
      <c r="H511" s="1499"/>
      <c r="I511" s="42" t="s">
        <v>409</v>
      </c>
      <c r="J511" s="42"/>
      <c r="K511" s="42"/>
      <c r="L511" s="42"/>
      <c r="M511" s="42"/>
      <c r="N511" s="42"/>
      <c r="O511" s="42"/>
      <c r="P511" s="42"/>
      <c r="Q511" s="42"/>
      <c r="R511" s="42"/>
      <c r="S511" s="42"/>
      <c r="T511" s="42"/>
      <c r="U511" s="42"/>
      <c r="V511" s="42"/>
      <c r="W511" s="42"/>
      <c r="AC511" s="1474" t="s">
        <v>591</v>
      </c>
      <c r="AD511" s="1475"/>
      <c r="AE511" s="1475"/>
      <c r="AF511" s="1475"/>
      <c r="AG511" s="13" t="s">
        <v>403</v>
      </c>
      <c r="AH511" s="1377"/>
      <c r="AI511" s="1377"/>
      <c r="AJ511" s="1377"/>
      <c r="AK511" s="1378"/>
      <c r="AZ511" s="3"/>
      <c r="BA511" s="3"/>
      <c r="BB511" s="3"/>
      <c r="BC511" s="3"/>
      <c r="BD511" s="3"/>
      <c r="BE511" s="3"/>
      <c r="BF511" s="3"/>
      <c r="BG511" s="3"/>
      <c r="BH511" s="3"/>
      <c r="BI511" s="3"/>
      <c r="BJ511" s="3"/>
      <c r="BK511" s="3"/>
      <c r="BL511" s="3"/>
      <c r="BM511" s="3"/>
      <c r="BN511" s="3"/>
    </row>
    <row r="512" spans="1:66" ht="13" customHeight="1">
      <c r="B512" s="1710"/>
      <c r="C512" s="1500"/>
      <c r="D512" s="1500"/>
      <c r="E512" s="1500"/>
      <c r="F512" s="1500"/>
      <c r="G512" s="1500"/>
      <c r="H512" s="1501"/>
      <c r="I512" t="s">
        <v>410</v>
      </c>
      <c r="AC512" s="1474" t="s">
        <v>591</v>
      </c>
      <c r="AD512" s="1475"/>
      <c r="AE512" s="1475"/>
      <c r="AF512" s="1475"/>
      <c r="AG512" s="13" t="s">
        <v>403</v>
      </c>
      <c r="AH512" s="1377"/>
      <c r="AI512" s="1377"/>
      <c r="AJ512" s="1377"/>
      <c r="AK512" s="1378"/>
      <c r="AZ512" s="3"/>
      <c r="BA512" s="3"/>
      <c r="BB512" s="3"/>
      <c r="BC512" s="3"/>
      <c r="BD512" s="3"/>
      <c r="BE512" s="3"/>
      <c r="BF512" s="3"/>
      <c r="BG512" s="3"/>
      <c r="BH512" s="3"/>
      <c r="BI512" s="3"/>
      <c r="BJ512" s="3"/>
      <c r="BK512" s="3"/>
      <c r="BL512" s="3"/>
      <c r="BM512" s="3"/>
      <c r="BN512" s="3"/>
    </row>
    <row r="513" spans="2:66" ht="13" customHeight="1">
      <c r="B513" s="1710"/>
      <c r="C513" s="1500"/>
      <c r="D513" s="1500"/>
      <c r="E513" s="1500"/>
      <c r="F513" s="1500"/>
      <c r="G513" s="1500"/>
      <c r="H513" s="1501"/>
      <c r="I513" t="s">
        <v>411</v>
      </c>
      <c r="AC513" s="1474" t="s">
        <v>591</v>
      </c>
      <c r="AD513" s="1475"/>
      <c r="AE513" s="1475"/>
      <c r="AF513" s="1475"/>
      <c r="AG513" s="13" t="s">
        <v>403</v>
      </c>
      <c r="AH513" s="1377"/>
      <c r="AI513" s="1377"/>
      <c r="AJ513" s="1377"/>
      <c r="AK513" s="1378"/>
      <c r="AZ513" s="3"/>
      <c r="BA513" s="3"/>
      <c r="BB513" s="3"/>
      <c r="BC513" s="3"/>
      <c r="BD513" s="3"/>
      <c r="BE513" s="3"/>
      <c r="BF513" s="3"/>
      <c r="BG513" s="3"/>
      <c r="BH513" s="3"/>
      <c r="BI513" s="3"/>
      <c r="BJ513" s="3"/>
      <c r="BK513" s="3"/>
      <c r="BL513" s="3"/>
      <c r="BM513" s="3"/>
      <c r="BN513" s="3"/>
    </row>
    <row r="514" spans="2:66" ht="13" customHeight="1">
      <c r="B514" s="1710"/>
      <c r="C514" s="1500"/>
      <c r="D514" s="1500"/>
      <c r="E514" s="1500"/>
      <c r="F514" s="1500"/>
      <c r="G514" s="1500"/>
      <c r="H514" s="1501"/>
      <c r="I514" t="s">
        <v>412</v>
      </c>
      <c r="AC514" s="1474" t="s">
        <v>591</v>
      </c>
      <c r="AD514" s="1475"/>
      <c r="AE514" s="1475"/>
      <c r="AF514" s="1475"/>
      <c r="AG514" s="13" t="s">
        <v>403</v>
      </c>
      <c r="AH514" s="1377"/>
      <c r="AI514" s="1377"/>
      <c r="AJ514" s="1377"/>
      <c r="AK514" s="1378"/>
      <c r="AZ514" s="3"/>
      <c r="BA514" s="3"/>
      <c r="BB514" s="3"/>
      <c r="BC514" s="3"/>
      <c r="BD514" s="3"/>
      <c r="BE514" s="3"/>
      <c r="BF514" s="3"/>
      <c r="BG514" s="3"/>
      <c r="BH514" s="3"/>
      <c r="BI514" s="3"/>
      <c r="BJ514" s="3"/>
      <c r="BK514" s="3"/>
      <c r="BL514" s="3"/>
      <c r="BM514" s="3"/>
      <c r="BN514" s="3"/>
    </row>
    <row r="515" spans="2:66" ht="13" customHeight="1">
      <c r="B515" s="1710"/>
      <c r="C515" s="1500"/>
      <c r="D515" s="1500"/>
      <c r="E515" s="1500"/>
      <c r="F515" s="1500"/>
      <c r="G515" s="1500"/>
      <c r="H515" s="1501"/>
      <c r="I515" s="3" t="s">
        <v>413</v>
      </c>
      <c r="AC515" s="1364">
        <v>1</v>
      </c>
      <c r="AD515" s="1365"/>
      <c r="AE515" s="1365"/>
      <c r="AF515" s="1365"/>
      <c r="AG515" s="13" t="s">
        <v>403</v>
      </c>
      <c r="AH515" s="1377">
        <v>2027</v>
      </c>
      <c r="AI515" s="1377"/>
      <c r="AJ515" s="1377"/>
      <c r="AK515" s="1378"/>
      <c r="AZ515" s="3"/>
      <c r="BA515" s="3"/>
      <c r="BB515" s="3"/>
      <c r="BC515" s="3"/>
      <c r="BD515" s="3"/>
      <c r="BE515" s="3"/>
      <c r="BF515" s="3"/>
      <c r="BG515" s="3"/>
      <c r="BH515" s="3"/>
      <c r="BI515" s="3"/>
      <c r="BJ515" s="3"/>
      <c r="BK515" s="3"/>
      <c r="BL515" s="3"/>
      <c r="BM515" s="3"/>
      <c r="BN515" s="3"/>
    </row>
    <row r="516" spans="2:66" ht="13" customHeight="1">
      <c r="B516" s="1710"/>
      <c r="C516" s="1500"/>
      <c r="D516" s="1500"/>
      <c r="E516" s="1500"/>
      <c r="F516" s="1500"/>
      <c r="G516" s="1500"/>
      <c r="H516" s="1501"/>
      <c r="I516" s="892" t="s">
        <v>170</v>
      </c>
      <c r="J516" s="48"/>
      <c r="K516" s="48"/>
      <c r="L516" s="1481" t="s">
        <v>334</v>
      </c>
      <c r="M516" s="1482"/>
      <c r="N516" s="1482"/>
      <c r="O516" s="1482"/>
      <c r="P516" s="1482"/>
      <c r="Q516" s="1482"/>
      <c r="R516" s="1482"/>
      <c r="S516" s="1482"/>
      <c r="T516" s="1482"/>
      <c r="U516" s="1482"/>
      <c r="V516" s="1482"/>
      <c r="W516" s="1482"/>
      <c r="X516" s="1482"/>
      <c r="Y516" s="1482"/>
      <c r="Z516" s="1482"/>
      <c r="AA516" s="1482"/>
      <c r="AB516" s="1483"/>
      <c r="AC516" s="1474" t="s">
        <v>591</v>
      </c>
      <c r="AD516" s="1475"/>
      <c r="AE516" s="1475"/>
      <c r="AF516" s="1475"/>
      <c r="AG516" s="38" t="s">
        <v>403</v>
      </c>
      <c r="AH516" s="1377"/>
      <c r="AI516" s="1377"/>
      <c r="AJ516" s="1377"/>
      <c r="AK516" s="1378"/>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820" t="s">
        <v>1183</v>
      </c>
      <c r="AD517" s="1820"/>
      <c r="AE517" s="1820"/>
      <c r="AF517" s="1820"/>
      <c r="AG517" s="13"/>
      <c r="AH517" s="1342"/>
      <c r="AI517" s="1342"/>
      <c r="AJ517" s="1342"/>
      <c r="AK517" s="1519"/>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4"/>
      <c r="AD518" s="1365"/>
      <c r="AE518" s="1365"/>
      <c r="AF518" s="1366"/>
      <c r="AG518" s="13"/>
      <c r="AH518" s="1342"/>
      <c r="AI518" s="1342"/>
      <c r="AJ518" s="1342"/>
      <c r="AK518" s="1519"/>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39"/>
      <c r="AD520" s="1840"/>
      <c r="AE520" s="1840"/>
      <c r="AF520" s="1841"/>
      <c r="AG520" s="38"/>
      <c r="AH520" s="1530"/>
      <c r="AI520" s="1530"/>
      <c r="AJ520" s="1530"/>
      <c r="AK520" s="1531"/>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76" t="s">
        <v>402</v>
      </c>
      <c r="AD521" s="1477"/>
      <c r="AE521" s="1477"/>
      <c r="AF521" s="1477"/>
      <c r="AG521" s="38" t="s">
        <v>403</v>
      </c>
      <c r="AH521" s="1477" t="s">
        <v>404</v>
      </c>
      <c r="AI521" s="1477"/>
      <c r="AJ521" s="1477"/>
      <c r="AK521" s="1852"/>
      <c r="AZ521" s="3"/>
      <c r="BA521" s="3"/>
      <c r="BB521" s="3"/>
      <c r="BC521" s="3"/>
      <c r="BD521" s="3"/>
      <c r="BE521" s="3"/>
      <c r="BF521" s="3"/>
      <c r="BG521" s="3"/>
      <c r="BH521" s="3"/>
      <c r="BI521" s="3"/>
      <c r="BJ521" s="3"/>
      <c r="BK521" s="3"/>
      <c r="BL521" s="3"/>
      <c r="BM521" s="3"/>
      <c r="BN521" s="3" t="s">
        <v>2058</v>
      </c>
    </row>
    <row r="522" spans="2:66" ht="13" customHeight="1">
      <c r="B522" s="1709" t="s">
        <v>414</v>
      </c>
      <c r="C522" s="1498"/>
      <c r="D522" s="1498"/>
      <c r="E522" s="1498"/>
      <c r="F522" s="1498"/>
      <c r="G522" s="1498"/>
      <c r="H522" s="1499"/>
      <c r="I522" s="42" t="s">
        <v>415</v>
      </c>
      <c r="J522" s="42"/>
      <c r="K522" s="42"/>
      <c r="L522" s="42"/>
      <c r="M522" s="42"/>
      <c r="N522" s="42"/>
      <c r="O522" s="42"/>
      <c r="P522" s="42"/>
      <c r="Q522" s="42"/>
      <c r="R522" s="42"/>
      <c r="S522" s="42"/>
      <c r="T522" s="42"/>
      <c r="U522" s="42"/>
      <c r="V522" s="42"/>
      <c r="W522" s="42"/>
      <c r="AC522" s="1474">
        <v>5</v>
      </c>
      <c r="AD522" s="1475"/>
      <c r="AE522" s="1475"/>
      <c r="AF522" s="1475"/>
      <c r="AG522" s="13" t="s">
        <v>403</v>
      </c>
      <c r="AH522" s="1377">
        <v>2026</v>
      </c>
      <c r="AI522" s="1377"/>
      <c r="AJ522" s="1377"/>
      <c r="AK522" s="1378"/>
      <c r="AZ522" s="3"/>
      <c r="BA522" s="3"/>
      <c r="BB522" s="3"/>
      <c r="BC522" s="3"/>
      <c r="BD522" s="3"/>
      <c r="BE522" s="3"/>
      <c r="BF522" s="3"/>
      <c r="BG522" s="3"/>
      <c r="BH522" s="3"/>
      <c r="BI522" s="3"/>
      <c r="BJ522" s="3"/>
      <c r="BK522" s="3"/>
      <c r="BL522" s="3"/>
      <c r="BM522" s="3"/>
      <c r="BN522" s="3" t="s">
        <v>2059</v>
      </c>
    </row>
    <row r="523" spans="2:66" ht="13" customHeight="1">
      <c r="B523" s="1710"/>
      <c r="C523" s="1500"/>
      <c r="D523" s="1500"/>
      <c r="E523" s="1500"/>
      <c r="F523" s="1500"/>
      <c r="G523" s="1500"/>
      <c r="H523" s="1501"/>
      <c r="I523" t="s">
        <v>416</v>
      </c>
      <c r="AC523" s="1474">
        <v>5</v>
      </c>
      <c r="AD523" s="1475"/>
      <c r="AE523" s="1475"/>
      <c r="AF523" s="1475"/>
      <c r="AG523" s="13" t="s">
        <v>403</v>
      </c>
      <c r="AH523" s="1377">
        <v>2026</v>
      </c>
      <c r="AI523" s="1377"/>
      <c r="AJ523" s="1377"/>
      <c r="AK523" s="1378"/>
      <c r="AZ523" s="3"/>
      <c r="BA523" s="3"/>
      <c r="BB523" s="3"/>
      <c r="BC523" s="3"/>
      <c r="BD523" s="3"/>
      <c r="BE523" s="3"/>
      <c r="BF523" s="3"/>
      <c r="BG523" s="3"/>
      <c r="BH523" s="3"/>
      <c r="BI523" s="3"/>
      <c r="BJ523" s="3"/>
      <c r="BK523" s="3"/>
      <c r="BL523" s="3"/>
      <c r="BM523" s="3"/>
      <c r="BN523" s="3" t="s">
        <v>2060</v>
      </c>
    </row>
    <row r="524" spans="2:66" ht="13" customHeight="1">
      <c r="B524" s="1710"/>
      <c r="C524" s="1500"/>
      <c r="D524" s="1500"/>
      <c r="E524" s="1500"/>
      <c r="F524" s="1500"/>
      <c r="G524" s="1500"/>
      <c r="H524" s="1501"/>
      <c r="I524" s="48" t="s">
        <v>417</v>
      </c>
      <c r="J524" s="48"/>
      <c r="K524" s="48"/>
      <c r="L524" s="48"/>
      <c r="M524" s="48"/>
      <c r="N524" s="48"/>
      <c r="O524" s="48"/>
      <c r="P524" s="48"/>
      <c r="Q524" s="48"/>
      <c r="R524" s="48"/>
      <c r="S524" s="48"/>
      <c r="T524" s="48"/>
      <c r="U524" s="48"/>
      <c r="V524" s="48"/>
      <c r="W524" s="48"/>
      <c r="X524" s="48"/>
      <c r="Y524" s="48"/>
      <c r="Z524" s="48"/>
      <c r="AA524" s="48"/>
      <c r="AB524" s="48"/>
      <c r="AC524" s="1474">
        <v>1</v>
      </c>
      <c r="AD524" s="1475"/>
      <c r="AE524" s="1475"/>
      <c r="AF524" s="1475"/>
      <c r="AG524" s="38" t="s">
        <v>403</v>
      </c>
      <c r="AH524" s="1377">
        <v>2027</v>
      </c>
      <c r="AI524" s="1377"/>
      <c r="AJ524" s="1377"/>
      <c r="AK524" s="1378"/>
      <c r="AZ524" s="3"/>
      <c r="BA524" s="3"/>
      <c r="BB524" s="3"/>
      <c r="BC524" s="3"/>
      <c r="BD524" s="3"/>
      <c r="BE524" s="3"/>
      <c r="BF524" s="3"/>
      <c r="BG524" s="3"/>
      <c r="BH524" s="3"/>
      <c r="BI524" s="3"/>
      <c r="BJ524" s="3"/>
      <c r="BK524" s="3"/>
      <c r="BL524" s="3"/>
      <c r="BM524" s="3"/>
      <c r="BN524" s="3" t="s">
        <v>2061</v>
      </c>
    </row>
    <row r="525" spans="2:66" ht="13" customHeight="1">
      <c r="B525" s="1709" t="s">
        <v>418</v>
      </c>
      <c r="C525" s="1498"/>
      <c r="D525" s="1498"/>
      <c r="E525" s="1498"/>
      <c r="F525" s="1498"/>
      <c r="G525" s="1498"/>
      <c r="H525" s="1499"/>
      <c r="I525" s="42" t="s">
        <v>415</v>
      </c>
      <c r="J525" s="42"/>
      <c r="K525" s="42"/>
      <c r="L525" s="42"/>
      <c r="M525" s="42"/>
      <c r="N525" s="42"/>
      <c r="O525" s="42"/>
      <c r="P525" s="42"/>
      <c r="Q525" s="42"/>
      <c r="R525" s="42"/>
      <c r="S525" s="42"/>
      <c r="T525" s="42"/>
      <c r="U525" s="42"/>
      <c r="V525" s="42"/>
      <c r="W525" s="42"/>
      <c r="X525" s="42"/>
      <c r="Y525" s="42"/>
      <c r="Z525" s="42"/>
      <c r="AA525" s="42"/>
      <c r="AB525" s="42"/>
      <c r="AC525" s="1364">
        <v>5</v>
      </c>
      <c r="AD525" s="1365"/>
      <c r="AE525" s="1365"/>
      <c r="AF525" s="1365"/>
      <c r="AG525" s="129" t="s">
        <v>403</v>
      </c>
      <c r="AH525" s="1377">
        <v>2026</v>
      </c>
      <c r="AI525" s="1377"/>
      <c r="AJ525" s="1377"/>
      <c r="AK525" s="1378"/>
      <c r="AZ525" s="3"/>
      <c r="BB525" s="3"/>
      <c r="BC525" s="3"/>
      <c r="BD525" s="3"/>
      <c r="BE525" s="3"/>
      <c r="BF525" s="3"/>
      <c r="BG525" s="3"/>
      <c r="BH525" s="3"/>
      <c r="BI525" s="3"/>
      <c r="BJ525" s="3"/>
      <c r="BK525" s="3"/>
      <c r="BL525" s="3"/>
      <c r="BM525" s="3"/>
      <c r="BN525" s="3" t="s">
        <v>2062</v>
      </c>
    </row>
    <row r="526" spans="2:66" ht="13" customHeight="1">
      <c r="B526" s="1710"/>
      <c r="C526" s="1500"/>
      <c r="D526" s="1500"/>
      <c r="E526" s="1500"/>
      <c r="F526" s="1500"/>
      <c r="G526" s="1500"/>
      <c r="H526" s="1501"/>
      <c r="I526" t="s">
        <v>416</v>
      </c>
      <c r="AC526" s="1474">
        <v>5</v>
      </c>
      <c r="AD526" s="1475"/>
      <c r="AE526" s="1475"/>
      <c r="AF526" s="1475"/>
      <c r="AG526" s="13" t="s">
        <v>403</v>
      </c>
      <c r="AH526" s="1377">
        <v>2026</v>
      </c>
      <c r="AI526" s="1377"/>
      <c r="AJ526" s="1377"/>
      <c r="AK526" s="1378"/>
      <c r="BB526" s="3"/>
      <c r="BC526" s="3"/>
      <c r="BD526" s="3"/>
      <c r="BE526" s="3"/>
      <c r="BF526" s="3"/>
      <c r="BG526" s="3"/>
      <c r="BH526" s="3"/>
      <c r="BI526" s="3"/>
      <c r="BJ526" s="3"/>
      <c r="BK526" s="3"/>
      <c r="BL526" s="3"/>
      <c r="BM526" s="3"/>
      <c r="BN526" s="3" t="s">
        <v>2063</v>
      </c>
    </row>
    <row r="527" spans="2:66" ht="13" customHeight="1">
      <c r="B527" s="1711"/>
      <c r="C527" s="1502"/>
      <c r="D527" s="1502"/>
      <c r="E527" s="1502"/>
      <c r="F527" s="1502"/>
      <c r="G527" s="1502"/>
      <c r="H527" s="1503"/>
      <c r="I527" s="48" t="s">
        <v>417</v>
      </c>
      <c r="J527" s="48"/>
      <c r="K527" s="48"/>
      <c r="L527" s="48"/>
      <c r="M527" s="48"/>
      <c r="N527" s="48"/>
      <c r="O527" s="48"/>
      <c r="P527" s="48"/>
      <c r="Q527" s="48"/>
      <c r="R527" s="48"/>
      <c r="S527" s="48"/>
      <c r="T527" s="48"/>
      <c r="U527" s="48"/>
      <c r="V527" s="48"/>
      <c r="W527" s="48"/>
      <c r="X527" s="48"/>
      <c r="Y527" s="48"/>
      <c r="Z527" s="48"/>
      <c r="AA527" s="48"/>
      <c r="AB527" s="48"/>
      <c r="AC527" s="1474">
        <v>7</v>
      </c>
      <c r="AD527" s="1475"/>
      <c r="AE527" s="1475"/>
      <c r="AF527" s="1475"/>
      <c r="AG527" s="38" t="s">
        <v>403</v>
      </c>
      <c r="AH527" s="1377">
        <v>2030</v>
      </c>
      <c r="AI527" s="1377"/>
      <c r="AJ527" s="1377"/>
      <c r="AK527" s="1378"/>
      <c r="BB527" s="3"/>
      <c r="BC527" s="3"/>
      <c r="BD527" s="3"/>
      <c r="BE527" s="3"/>
      <c r="BF527" s="3"/>
      <c r="BG527" s="3"/>
      <c r="BH527" s="3"/>
      <c r="BI527" s="3"/>
      <c r="BJ527" s="3"/>
      <c r="BK527" s="3"/>
      <c r="BL527" s="3"/>
      <c r="BM527" s="3"/>
      <c r="BN527" s="3" t="s">
        <v>2064</v>
      </c>
    </row>
    <row r="528" spans="2:66" ht="13" customHeight="1">
      <c r="B528" s="1709" t="s">
        <v>419</v>
      </c>
      <c r="C528" s="1498"/>
      <c r="D528" s="1498"/>
      <c r="E528" s="1498"/>
      <c r="F528" s="1498"/>
      <c r="G528" s="1498"/>
      <c r="H528" s="1499"/>
      <c r="I528" s="41" t="s">
        <v>420</v>
      </c>
      <c r="J528" s="42"/>
      <c r="K528" s="42"/>
      <c r="L528" s="42"/>
      <c r="M528" s="42"/>
      <c r="N528" s="42"/>
      <c r="O528" s="1481" t="s">
        <v>334</v>
      </c>
      <c r="P528" s="1482"/>
      <c r="Q528" s="1482"/>
      <c r="R528" s="1482"/>
      <c r="S528" s="1482"/>
      <c r="T528" s="1482"/>
      <c r="U528" s="1482"/>
      <c r="V528" s="1482"/>
      <c r="W528" s="1482"/>
      <c r="X528" s="1482"/>
      <c r="Y528" s="1482"/>
      <c r="Z528" s="1482"/>
      <c r="AA528" s="1482"/>
      <c r="AB528" s="58"/>
      <c r="AC528" s="1364" t="s">
        <v>591</v>
      </c>
      <c r="AD528" s="1365"/>
      <c r="AE528" s="1365"/>
      <c r="AF528" s="1365"/>
      <c r="AG528" s="129" t="s">
        <v>403</v>
      </c>
      <c r="AH528" s="1377"/>
      <c r="AI528" s="1377"/>
      <c r="AJ528" s="1377"/>
      <c r="AK528" s="1378"/>
      <c r="AZ528" s="3"/>
      <c r="BB528" s="3"/>
      <c r="BC528" s="3"/>
      <c r="BD528" s="3"/>
      <c r="BE528" s="3"/>
      <c r="BF528" s="3"/>
      <c r="BG528" s="3"/>
      <c r="BH528" s="3"/>
      <c r="BI528" s="3"/>
      <c r="BJ528" s="3"/>
      <c r="BK528" s="3"/>
      <c r="BL528" s="3"/>
      <c r="BM528" s="3"/>
      <c r="BN528" s="3" t="s">
        <v>2065</v>
      </c>
    </row>
    <row r="529" spans="2:66" ht="13" customHeight="1">
      <c r="B529" s="1710"/>
      <c r="C529" s="1500"/>
      <c r="D529" s="1500"/>
      <c r="E529" s="1500"/>
      <c r="F529" s="1500"/>
      <c r="G529" s="1500"/>
      <c r="H529" s="1501"/>
      <c r="I529" s="114" t="s">
        <v>421</v>
      </c>
      <c r="AB529" s="65"/>
      <c r="AC529" s="1474" t="s">
        <v>591</v>
      </c>
      <c r="AD529" s="1475"/>
      <c r="AE529" s="1475"/>
      <c r="AF529" s="1475"/>
      <c r="AG529" s="13" t="s">
        <v>403</v>
      </c>
      <c r="AH529" s="1377"/>
      <c r="AI529" s="1377"/>
      <c r="AJ529" s="1377"/>
      <c r="AK529" s="1378"/>
      <c r="AZ529" s="3"/>
      <c r="BB529" s="3"/>
      <c r="BC529" s="3"/>
      <c r="BD529" s="3"/>
      <c r="BE529" s="3"/>
      <c r="BF529" s="3"/>
      <c r="BG529" s="3"/>
      <c r="BH529" s="3"/>
      <c r="BI529" s="3"/>
      <c r="BJ529" s="3"/>
      <c r="BK529" s="3"/>
      <c r="BL529" s="3"/>
      <c r="BM529" s="3"/>
      <c r="BN529" s="3" t="s">
        <v>2066</v>
      </c>
    </row>
    <row r="530" spans="2:66" ht="13" customHeight="1">
      <c r="B530" s="1710"/>
      <c r="C530" s="1500"/>
      <c r="D530" s="1500"/>
      <c r="E530" s="1500"/>
      <c r="F530" s="1500"/>
      <c r="G530" s="1500"/>
      <c r="H530" s="1501"/>
      <c r="I530" s="47" t="s">
        <v>422</v>
      </c>
      <c r="J530" s="48"/>
      <c r="K530" s="48"/>
      <c r="L530" s="48"/>
      <c r="M530" s="48"/>
      <c r="N530" s="48"/>
      <c r="O530" s="48"/>
      <c r="P530" s="48"/>
      <c r="Q530" s="48"/>
      <c r="R530" s="48"/>
      <c r="S530" s="48"/>
      <c r="T530" s="48"/>
      <c r="U530" s="48"/>
      <c r="V530" s="48"/>
      <c r="W530" s="48"/>
      <c r="X530" s="48"/>
      <c r="Y530" s="48"/>
      <c r="Z530" s="48"/>
      <c r="AA530" s="48"/>
      <c r="AB530" s="49"/>
      <c r="AC530" s="1474" t="s">
        <v>591</v>
      </c>
      <c r="AD530" s="1475"/>
      <c r="AE530" s="1475"/>
      <c r="AF530" s="1475"/>
      <c r="AG530" s="38" t="s">
        <v>403</v>
      </c>
      <c r="AH530" s="1377"/>
      <c r="AI530" s="1377"/>
      <c r="AJ530" s="1377"/>
      <c r="AK530" s="1378"/>
      <c r="AZ530" s="3"/>
      <c r="BA530" s="3"/>
      <c r="BB530" s="3"/>
      <c r="BC530" s="3"/>
      <c r="BD530" s="3"/>
      <c r="BE530" s="3"/>
      <c r="BF530" s="3"/>
      <c r="BG530" s="3"/>
      <c r="BH530" s="3"/>
      <c r="BI530" s="3"/>
      <c r="BJ530" s="3"/>
      <c r="BK530" s="3"/>
      <c r="BL530" s="3"/>
      <c r="BM530" s="3"/>
      <c r="BN530" s="3" t="s">
        <v>2067</v>
      </c>
    </row>
    <row r="531" spans="2:66" ht="13" customHeight="1">
      <c r="B531" s="1710"/>
      <c r="C531" s="1500"/>
      <c r="D531" s="1500"/>
      <c r="E531" s="1500"/>
      <c r="F531" s="1500"/>
      <c r="G531" s="1500"/>
      <c r="H531" s="1501"/>
      <c r="I531" s="42" t="s">
        <v>423</v>
      </c>
      <c r="J531" s="42"/>
      <c r="K531" s="42"/>
      <c r="L531" s="42"/>
      <c r="M531" s="42"/>
      <c r="N531" s="42"/>
      <c r="O531" s="1481" t="s">
        <v>334</v>
      </c>
      <c r="P531" s="1482"/>
      <c r="Q531" s="1482"/>
      <c r="R531" s="1482"/>
      <c r="S531" s="1482"/>
      <c r="T531" s="1482"/>
      <c r="U531" s="1482"/>
      <c r="V531" s="1482"/>
      <c r="W531" s="1482"/>
      <c r="X531" s="1482"/>
      <c r="Y531" s="1482"/>
      <c r="Z531" s="1482"/>
      <c r="AA531" s="1482"/>
      <c r="AC531" s="1474" t="s">
        <v>591</v>
      </c>
      <c r="AD531" s="1475"/>
      <c r="AE531" s="1475"/>
      <c r="AF531" s="1475"/>
      <c r="AG531" s="13" t="s">
        <v>403</v>
      </c>
      <c r="AH531" s="1377"/>
      <c r="AI531" s="1377"/>
      <c r="AJ531" s="1377"/>
      <c r="AK531" s="1378"/>
      <c r="AZ531" s="3"/>
      <c r="BA531" s="3"/>
      <c r="BB531" s="3"/>
      <c r="BC531" s="3"/>
      <c r="BD531" s="3"/>
      <c r="BE531" s="3"/>
      <c r="BF531" s="3"/>
      <c r="BG531" s="3"/>
      <c r="BH531" s="3"/>
      <c r="BI531" s="3"/>
      <c r="BJ531" s="3"/>
      <c r="BK531" s="3"/>
      <c r="BL531" s="3"/>
      <c r="BM531" s="3"/>
      <c r="BN531" s="3" t="s">
        <v>2068</v>
      </c>
    </row>
    <row r="532" spans="2:66" ht="13" customHeight="1">
      <c r="B532" s="1710"/>
      <c r="C532" s="1500"/>
      <c r="D532" s="1500"/>
      <c r="E532" s="1500"/>
      <c r="F532" s="1500"/>
      <c r="G532" s="1500"/>
      <c r="H532" s="1501"/>
      <c r="I532" t="s">
        <v>421</v>
      </c>
      <c r="AC532" s="1474" t="s">
        <v>591</v>
      </c>
      <c r="AD532" s="1475"/>
      <c r="AE532" s="1475"/>
      <c r="AF532" s="1475"/>
      <c r="AG532" s="13" t="s">
        <v>403</v>
      </c>
      <c r="AH532" s="1377"/>
      <c r="AI532" s="1377"/>
      <c r="AJ532" s="1377"/>
      <c r="AK532" s="1378"/>
      <c r="AZ532" s="3"/>
      <c r="BA532" s="3"/>
      <c r="BB532" s="3"/>
      <c r="BC532" s="3"/>
      <c r="BD532" s="3"/>
      <c r="BE532" s="3"/>
      <c r="BF532" s="3"/>
      <c r="BG532" s="3"/>
      <c r="BH532" s="3"/>
      <c r="BI532" s="3"/>
      <c r="BJ532" s="3"/>
      <c r="BK532" s="3"/>
      <c r="BL532" s="3"/>
      <c r="BM532" s="3"/>
      <c r="BN532" s="3" t="s">
        <v>2069</v>
      </c>
    </row>
    <row r="533" spans="2:66" ht="13" customHeight="1">
      <c r="B533" s="1710"/>
      <c r="C533" s="1500"/>
      <c r="D533" s="1500"/>
      <c r="E533" s="1500"/>
      <c r="F533" s="1500"/>
      <c r="G533" s="1500"/>
      <c r="H533" s="1501"/>
      <c r="I533" s="48" t="s">
        <v>422</v>
      </c>
      <c r="J533" s="48"/>
      <c r="K533" s="48"/>
      <c r="L533" s="48"/>
      <c r="M533" s="48"/>
      <c r="N533" s="48"/>
      <c r="O533" s="48"/>
      <c r="P533" s="48"/>
      <c r="Q533" s="48"/>
      <c r="R533" s="48"/>
      <c r="S533" s="48"/>
      <c r="T533" s="48"/>
      <c r="U533" s="48"/>
      <c r="V533" s="48"/>
      <c r="W533" s="48"/>
      <c r="X533" s="48"/>
      <c r="Y533" s="48"/>
      <c r="Z533" s="48"/>
      <c r="AA533" s="48"/>
      <c r="AB533" s="48"/>
      <c r="AC533" s="1474" t="s">
        <v>591</v>
      </c>
      <c r="AD533" s="1475"/>
      <c r="AE533" s="1475"/>
      <c r="AF533" s="1475"/>
      <c r="AG533" s="38" t="s">
        <v>403</v>
      </c>
      <c r="AH533" s="1377"/>
      <c r="AI533" s="1377"/>
      <c r="AJ533" s="1377"/>
      <c r="AK533" s="1378"/>
      <c r="AZ533" s="3"/>
      <c r="BA533" s="3"/>
      <c r="BB533" s="3"/>
      <c r="BC533" s="3"/>
      <c r="BD533" s="3"/>
      <c r="BE533" s="3"/>
      <c r="BF533" s="3"/>
      <c r="BG533" s="3"/>
      <c r="BH533" s="3"/>
      <c r="BI533" s="3"/>
      <c r="BJ533" s="3"/>
      <c r="BK533" s="3"/>
      <c r="BL533" s="3"/>
      <c r="BM533" s="3"/>
      <c r="BN533" s="3" t="s">
        <v>2070</v>
      </c>
    </row>
    <row r="534" spans="2:66" ht="13" customHeight="1">
      <c r="B534" s="1710"/>
      <c r="C534" s="1500"/>
      <c r="D534" s="1500"/>
      <c r="E534" s="1500"/>
      <c r="F534" s="1500"/>
      <c r="G534" s="1500"/>
      <c r="H534" s="1501"/>
      <c r="I534" s="42" t="s">
        <v>423</v>
      </c>
      <c r="J534" s="42"/>
      <c r="K534" s="42"/>
      <c r="L534" s="42"/>
      <c r="M534" s="42"/>
      <c r="N534" s="42"/>
      <c r="O534" s="1481" t="s">
        <v>334</v>
      </c>
      <c r="P534" s="1482"/>
      <c r="Q534" s="1482"/>
      <c r="R534" s="1482"/>
      <c r="S534" s="1482"/>
      <c r="T534" s="1482"/>
      <c r="U534" s="1482"/>
      <c r="V534" s="1482"/>
      <c r="W534" s="1482"/>
      <c r="X534" s="1482"/>
      <c r="Y534" s="1482"/>
      <c r="Z534" s="1482"/>
      <c r="AA534" s="1482"/>
      <c r="AC534" s="1474" t="s">
        <v>591</v>
      </c>
      <c r="AD534" s="1475"/>
      <c r="AE534" s="1475"/>
      <c r="AF534" s="1475"/>
      <c r="AG534" s="13" t="s">
        <v>403</v>
      </c>
      <c r="AH534" s="1377"/>
      <c r="AI534" s="1377"/>
      <c r="AJ534" s="1377"/>
      <c r="AK534" s="1378"/>
      <c r="AZ534" s="3"/>
      <c r="BA534" s="3"/>
      <c r="BB534" s="3"/>
      <c r="BC534" s="3"/>
      <c r="BD534" s="3"/>
      <c r="BE534" s="3"/>
      <c r="BF534" s="3"/>
      <c r="BG534" s="3"/>
      <c r="BH534" s="3"/>
      <c r="BI534" s="3"/>
      <c r="BJ534" s="3"/>
      <c r="BK534" s="3"/>
      <c r="BL534" s="3"/>
      <c r="BM534" s="3"/>
      <c r="BN534" s="3" t="s">
        <v>2071</v>
      </c>
    </row>
    <row r="535" spans="2:66" ht="13" customHeight="1">
      <c r="B535" s="1710"/>
      <c r="C535" s="1500"/>
      <c r="D535" s="1500"/>
      <c r="E535" s="1500"/>
      <c r="F535" s="1500"/>
      <c r="G535" s="1500"/>
      <c r="H535" s="1501"/>
      <c r="I535" t="s">
        <v>421</v>
      </c>
      <c r="AC535" s="1474" t="s">
        <v>591</v>
      </c>
      <c r="AD535" s="1475"/>
      <c r="AE535" s="1475"/>
      <c r="AF535" s="1475"/>
      <c r="AG535" s="13" t="s">
        <v>403</v>
      </c>
      <c r="AH535" s="1377"/>
      <c r="AI535" s="1377"/>
      <c r="AJ535" s="1377"/>
      <c r="AK535" s="1378"/>
      <c r="AZ535" s="3"/>
      <c r="BA535" s="3"/>
      <c r="BB535" s="3"/>
      <c r="BC535" s="3"/>
      <c r="BD535" s="3"/>
      <c r="BE535" s="3"/>
      <c r="BF535" s="3"/>
      <c r="BG535" s="3"/>
      <c r="BH535" s="3"/>
      <c r="BI535" s="3"/>
      <c r="BJ535" s="3"/>
      <c r="BK535" s="3"/>
      <c r="BL535" s="3"/>
      <c r="BM535" s="3"/>
      <c r="BN535" s="3" t="s">
        <v>2072</v>
      </c>
    </row>
    <row r="536" spans="2:66" ht="13" customHeight="1">
      <c r="B536" s="1710"/>
      <c r="C536" s="1500"/>
      <c r="D536" s="1500"/>
      <c r="E536" s="1500"/>
      <c r="F536" s="1500"/>
      <c r="G536" s="1500"/>
      <c r="H536" s="1501"/>
      <c r="I536" s="48" t="s">
        <v>422</v>
      </c>
      <c r="J536" s="48"/>
      <c r="K536" s="48"/>
      <c r="L536" s="48"/>
      <c r="M536" s="48"/>
      <c r="N536" s="48"/>
      <c r="O536" s="48"/>
      <c r="P536" s="48"/>
      <c r="Q536" s="48"/>
      <c r="R536" s="48"/>
      <c r="S536" s="48"/>
      <c r="T536" s="48"/>
      <c r="U536" s="48"/>
      <c r="V536" s="48"/>
      <c r="W536" s="48"/>
      <c r="X536" s="48"/>
      <c r="Y536" s="48"/>
      <c r="Z536" s="48"/>
      <c r="AA536" s="48"/>
      <c r="AB536" s="48"/>
      <c r="AC536" s="1474" t="s">
        <v>591</v>
      </c>
      <c r="AD536" s="1475"/>
      <c r="AE536" s="1475"/>
      <c r="AF536" s="1475"/>
      <c r="AG536" s="38" t="s">
        <v>403</v>
      </c>
      <c r="AH536" s="1377"/>
      <c r="AI536" s="1377"/>
      <c r="AJ536" s="1377"/>
      <c r="AK536" s="1378"/>
      <c r="AZ536" s="3"/>
      <c r="BA536" s="3"/>
      <c r="BB536" s="3"/>
      <c r="BC536" s="3"/>
      <c r="BD536" s="3"/>
      <c r="BE536" s="3"/>
      <c r="BF536" s="3"/>
      <c r="BG536" s="3"/>
      <c r="BH536" s="3"/>
      <c r="BI536" s="3"/>
      <c r="BJ536" s="3"/>
      <c r="BK536" s="3"/>
      <c r="BL536" s="3"/>
      <c r="BM536" s="3"/>
      <c r="BN536" s="3" t="s">
        <v>2073</v>
      </c>
    </row>
    <row r="537" spans="2:66" ht="13" customHeight="1">
      <c r="B537" s="1710"/>
      <c r="C537" s="1500"/>
      <c r="D537" s="1500"/>
      <c r="E537" s="1500"/>
      <c r="F537" s="1500"/>
      <c r="G537" s="1500"/>
      <c r="H537" s="1501"/>
      <c r="I537" s="42" t="s">
        <v>423</v>
      </c>
      <c r="J537" s="42"/>
      <c r="K537" s="42"/>
      <c r="L537" s="42"/>
      <c r="M537" s="42"/>
      <c r="N537" s="42"/>
      <c r="O537" s="1481" t="s">
        <v>334</v>
      </c>
      <c r="P537" s="1482"/>
      <c r="Q537" s="1482"/>
      <c r="R537" s="1482"/>
      <c r="S537" s="1482"/>
      <c r="T537" s="1482"/>
      <c r="U537" s="1482"/>
      <c r="V537" s="1482"/>
      <c r="W537" s="1482"/>
      <c r="X537" s="1482"/>
      <c r="Y537" s="1482"/>
      <c r="Z537" s="1482"/>
      <c r="AA537" s="1482"/>
      <c r="AC537" s="1474" t="s">
        <v>591</v>
      </c>
      <c r="AD537" s="1475"/>
      <c r="AE537" s="1475"/>
      <c r="AF537" s="1475"/>
      <c r="AG537" s="13" t="s">
        <v>403</v>
      </c>
      <c r="AH537" s="1377"/>
      <c r="AI537" s="1377"/>
      <c r="AJ537" s="1377"/>
      <c r="AK537" s="1378"/>
      <c r="AZ537" s="3"/>
      <c r="BA537" s="3"/>
      <c r="BB537" s="3"/>
      <c r="BC537" s="3"/>
      <c r="BD537" s="3"/>
      <c r="BE537" s="3"/>
      <c r="BF537" s="3"/>
      <c r="BG537" s="3"/>
      <c r="BH537" s="3"/>
      <c r="BI537" s="3"/>
      <c r="BJ537" s="3"/>
      <c r="BK537" s="3"/>
      <c r="BL537" s="3"/>
      <c r="BM537" s="3"/>
      <c r="BN537" s="3" t="s">
        <v>2074</v>
      </c>
    </row>
    <row r="538" spans="2:66" ht="13" customHeight="1">
      <c r="B538" s="1710"/>
      <c r="C538" s="1500"/>
      <c r="D538" s="1500"/>
      <c r="E538" s="1500"/>
      <c r="F538" s="1500"/>
      <c r="G538" s="1500"/>
      <c r="H538" s="1501"/>
      <c r="I538" t="s">
        <v>421</v>
      </c>
      <c r="AC538" s="1474" t="s">
        <v>591</v>
      </c>
      <c r="AD538" s="1475"/>
      <c r="AE538" s="1475"/>
      <c r="AF538" s="1475"/>
      <c r="AG538" s="13" t="s">
        <v>403</v>
      </c>
      <c r="AH538" s="1377"/>
      <c r="AI538" s="1377"/>
      <c r="AJ538" s="1377"/>
      <c r="AK538" s="1378"/>
      <c r="AZ538" s="3"/>
      <c r="BA538" s="3"/>
      <c r="BB538" s="3"/>
      <c r="BC538" s="3"/>
      <c r="BD538" s="3"/>
      <c r="BE538" s="3"/>
      <c r="BF538" s="3"/>
      <c r="BG538" s="3"/>
      <c r="BH538" s="3"/>
      <c r="BI538" s="3"/>
      <c r="BJ538" s="3"/>
      <c r="BK538" s="3"/>
      <c r="BL538" s="3"/>
      <c r="BM538" s="3"/>
      <c r="BN538" s="3" t="s">
        <v>2075</v>
      </c>
    </row>
    <row r="539" spans="2:66" ht="13" customHeight="1">
      <c r="B539" s="1710"/>
      <c r="C539" s="1500"/>
      <c r="D539" s="1500"/>
      <c r="E539" s="1500"/>
      <c r="F539" s="1500"/>
      <c r="G539" s="1500"/>
      <c r="H539" s="1501"/>
      <c r="I539" s="48" t="s">
        <v>422</v>
      </c>
      <c r="J539" s="48"/>
      <c r="K539" s="48"/>
      <c r="L539" s="48"/>
      <c r="M539" s="48"/>
      <c r="N539" s="48"/>
      <c r="O539" s="48"/>
      <c r="P539" s="48"/>
      <c r="Q539" s="48"/>
      <c r="R539" s="48"/>
      <c r="S539" s="48"/>
      <c r="T539" s="48"/>
      <c r="U539" s="48"/>
      <c r="V539" s="48"/>
      <c r="W539" s="48"/>
      <c r="X539" s="48"/>
      <c r="Y539" s="48"/>
      <c r="Z539" s="48"/>
      <c r="AA539" s="48"/>
      <c r="AB539" s="48"/>
      <c r="AC539" s="1474" t="s">
        <v>591</v>
      </c>
      <c r="AD539" s="1475"/>
      <c r="AE539" s="1475"/>
      <c r="AF539" s="1475"/>
      <c r="AG539" s="38" t="s">
        <v>403</v>
      </c>
      <c r="AH539" s="1377"/>
      <c r="AI539" s="1377"/>
      <c r="AJ539" s="1377"/>
      <c r="AK539" s="1378"/>
      <c r="AZ539" s="3"/>
      <c r="BA539" s="3"/>
      <c r="BB539" s="3"/>
      <c r="BC539" s="3"/>
      <c r="BD539" s="3"/>
      <c r="BE539" s="3"/>
      <c r="BF539" s="3"/>
      <c r="BG539" s="3"/>
      <c r="BH539" s="3"/>
      <c r="BI539" s="3"/>
      <c r="BJ539" s="3"/>
      <c r="BK539" s="3"/>
      <c r="BL539" s="3"/>
      <c r="BM539" s="3"/>
      <c r="BN539" s="3" t="s">
        <v>2076</v>
      </c>
    </row>
    <row r="540" spans="2:66" ht="13" customHeight="1">
      <c r="B540" s="1710"/>
      <c r="C540" s="1500"/>
      <c r="D540" s="1500"/>
      <c r="E540" s="1500"/>
      <c r="F540" s="1500"/>
      <c r="G540" s="1500"/>
      <c r="H540" s="1501"/>
      <c r="I540" s="42" t="s">
        <v>423</v>
      </c>
      <c r="J540" s="42"/>
      <c r="K540" s="42"/>
      <c r="L540" s="42"/>
      <c r="M540" s="42"/>
      <c r="N540" s="42"/>
      <c r="O540" s="1481" t="s">
        <v>334</v>
      </c>
      <c r="P540" s="1482"/>
      <c r="Q540" s="1482"/>
      <c r="R540" s="1482"/>
      <c r="S540" s="1482"/>
      <c r="T540" s="1482"/>
      <c r="U540" s="1482"/>
      <c r="V540" s="1482"/>
      <c r="W540" s="1482"/>
      <c r="X540" s="1482"/>
      <c r="Y540" s="1482"/>
      <c r="Z540" s="1482"/>
      <c r="AA540" s="1482"/>
      <c r="AC540" s="1474" t="s">
        <v>591</v>
      </c>
      <c r="AD540" s="1475"/>
      <c r="AE540" s="1475"/>
      <c r="AF540" s="1475"/>
      <c r="AG540" s="13" t="s">
        <v>403</v>
      </c>
      <c r="AH540" s="1377"/>
      <c r="AI540" s="1377"/>
      <c r="AJ540" s="1377"/>
      <c r="AK540" s="1378"/>
      <c r="AZ540" s="3"/>
      <c r="BA540" s="3"/>
      <c r="BB540" s="3"/>
      <c r="BC540" s="3"/>
      <c r="BD540" s="3"/>
      <c r="BE540" s="3"/>
      <c r="BF540" s="3"/>
      <c r="BG540" s="3"/>
      <c r="BH540" s="3"/>
      <c r="BI540" s="3"/>
      <c r="BJ540" s="3"/>
      <c r="BK540" s="3"/>
      <c r="BL540" s="3"/>
      <c r="BM540" s="3"/>
      <c r="BN540" s="3" t="s">
        <v>2077</v>
      </c>
    </row>
    <row r="541" spans="2:66" ht="13" customHeight="1">
      <c r="B541" s="1710"/>
      <c r="C541" s="1500"/>
      <c r="D541" s="1500"/>
      <c r="E541" s="1500"/>
      <c r="F541" s="1500"/>
      <c r="G541" s="1500"/>
      <c r="H541" s="1501"/>
      <c r="I541" t="s">
        <v>421</v>
      </c>
      <c r="AC541" s="1474" t="s">
        <v>591</v>
      </c>
      <c r="AD541" s="1475"/>
      <c r="AE541" s="1475"/>
      <c r="AF541" s="1475"/>
      <c r="AG541" s="38" t="s">
        <v>403</v>
      </c>
      <c r="AH541" s="1377"/>
      <c r="AI541" s="1377"/>
      <c r="AJ541" s="1377"/>
      <c r="AK541" s="1378"/>
      <c r="AZ541" s="3"/>
      <c r="BA541" s="3"/>
      <c r="BB541" s="3"/>
      <c r="BC541" s="3"/>
      <c r="BD541" s="3"/>
      <c r="BE541" s="3"/>
      <c r="BF541" s="3"/>
      <c r="BG541" s="3"/>
      <c r="BH541" s="3"/>
      <c r="BI541" s="3"/>
      <c r="BJ541" s="3"/>
      <c r="BK541" s="3"/>
      <c r="BL541" s="3"/>
      <c r="BM541" s="3"/>
      <c r="BN541" s="3" t="s">
        <v>2078</v>
      </c>
    </row>
    <row r="542" spans="2:66" ht="13" customHeight="1">
      <c r="B542" s="1710"/>
      <c r="C542" s="1500"/>
      <c r="D542" s="1500"/>
      <c r="E542" s="1500"/>
      <c r="F542" s="1500"/>
      <c r="G542" s="1500"/>
      <c r="H542" s="1501"/>
      <c r="I542" s="48" t="s">
        <v>422</v>
      </c>
      <c r="J542" s="48"/>
      <c r="K542" s="48"/>
      <c r="L542" s="48"/>
      <c r="M542" s="48"/>
      <c r="N542" s="48"/>
      <c r="O542" s="48"/>
      <c r="P542" s="48"/>
      <c r="Q542" s="48"/>
      <c r="R542" s="48"/>
      <c r="S542" s="48"/>
      <c r="T542" s="48"/>
      <c r="U542" s="48"/>
      <c r="V542" s="48"/>
      <c r="W542" s="48"/>
      <c r="X542" s="48"/>
      <c r="Y542" s="48"/>
      <c r="Z542" s="48"/>
      <c r="AA542" s="48"/>
      <c r="AB542" s="48"/>
      <c r="AC542" s="1474" t="s">
        <v>591</v>
      </c>
      <c r="AD542" s="1475"/>
      <c r="AE542" s="1475"/>
      <c r="AF542" s="1475"/>
      <c r="AG542" s="13" t="s">
        <v>403</v>
      </c>
      <c r="AH542" s="1377"/>
      <c r="AI542" s="1377"/>
      <c r="AJ542" s="1377"/>
      <c r="AK542" s="1378"/>
      <c r="AZ542" s="3"/>
      <c r="BA542" s="3"/>
      <c r="BB542" s="3"/>
      <c r="BC542" s="3"/>
      <c r="BD542" s="3"/>
      <c r="BE542" s="3"/>
      <c r="BF542" s="3"/>
      <c r="BG542" s="3"/>
      <c r="BH542" s="3"/>
      <c r="BI542" s="3"/>
      <c r="BJ542" s="3"/>
      <c r="BK542" s="3"/>
      <c r="BL542" s="3"/>
      <c r="BM542" s="3"/>
      <c r="BN542" s="3" t="s">
        <v>2079</v>
      </c>
    </row>
    <row r="543" spans="2:66" ht="13" customHeight="1">
      <c r="B543" s="1710"/>
      <c r="C543" s="1500"/>
      <c r="D543" s="1500"/>
      <c r="E543" s="1500"/>
      <c r="F543" s="1500"/>
      <c r="G543" s="1500"/>
      <c r="H543" s="1501"/>
      <c r="I543" s="42" t="s">
        <v>423</v>
      </c>
      <c r="J543" s="42"/>
      <c r="K543" s="42"/>
      <c r="L543" s="42"/>
      <c r="M543" s="42"/>
      <c r="N543" s="42"/>
      <c r="O543" s="1481" t="s">
        <v>334</v>
      </c>
      <c r="P543" s="1482"/>
      <c r="Q543" s="1482"/>
      <c r="R543" s="1482"/>
      <c r="S543" s="1482"/>
      <c r="T543" s="1482"/>
      <c r="U543" s="1482"/>
      <c r="V543" s="1482"/>
      <c r="W543" s="1482"/>
      <c r="X543" s="1482"/>
      <c r="Y543" s="1482"/>
      <c r="Z543" s="1482"/>
      <c r="AA543" s="1482"/>
      <c r="AC543" s="1474" t="s">
        <v>591</v>
      </c>
      <c r="AD543" s="1475"/>
      <c r="AE543" s="1475"/>
      <c r="AF543" s="1475"/>
      <c r="AG543" s="38" t="s">
        <v>403</v>
      </c>
      <c r="AH543" s="1377"/>
      <c r="AI543" s="1377"/>
      <c r="AJ543" s="1377"/>
      <c r="AK543" s="1378"/>
      <c r="AZ543" s="3"/>
      <c r="BA543" s="3"/>
      <c r="BB543" s="3"/>
      <c r="BC543" s="3"/>
      <c r="BD543" s="3"/>
      <c r="BE543" s="3"/>
      <c r="BF543" s="3"/>
      <c r="BG543" s="3"/>
      <c r="BH543" s="3"/>
      <c r="BI543" s="3"/>
      <c r="BJ543" s="3"/>
      <c r="BK543" s="3"/>
      <c r="BL543" s="3"/>
      <c r="BM543" s="3"/>
      <c r="BN543" s="3" t="s">
        <v>2080</v>
      </c>
    </row>
    <row r="544" spans="2:66" ht="13" customHeight="1">
      <c r="B544" s="1710"/>
      <c r="C544" s="1500"/>
      <c r="D544" s="1500"/>
      <c r="E544" s="1500"/>
      <c r="F544" s="1500"/>
      <c r="G544" s="1500"/>
      <c r="H544" s="1501"/>
      <c r="I544" t="s">
        <v>421</v>
      </c>
      <c r="AC544" s="1474" t="s">
        <v>591</v>
      </c>
      <c r="AD544" s="1475"/>
      <c r="AE544" s="1475"/>
      <c r="AF544" s="1475"/>
      <c r="AG544" s="13" t="s">
        <v>403</v>
      </c>
      <c r="AH544" s="1377"/>
      <c r="AI544" s="1377"/>
      <c r="AJ544" s="1377"/>
      <c r="AK544" s="1378"/>
      <c r="AZ544" s="3"/>
      <c r="BA544" s="3"/>
      <c r="BB544" s="3"/>
      <c r="BC544" s="3"/>
      <c r="BD544" s="3"/>
      <c r="BE544" s="3"/>
      <c r="BF544" s="3"/>
      <c r="BG544" s="3"/>
      <c r="BH544" s="3"/>
      <c r="BI544" s="3"/>
      <c r="BJ544" s="3"/>
      <c r="BK544" s="3"/>
      <c r="BL544" s="3"/>
      <c r="BM544" s="3"/>
      <c r="BN544" s="3" t="s">
        <v>2081</v>
      </c>
    </row>
    <row r="545" spans="1:66" ht="13" customHeight="1">
      <c r="B545" s="1710"/>
      <c r="C545" s="1500"/>
      <c r="D545" s="1500"/>
      <c r="E545" s="1500"/>
      <c r="F545" s="1500"/>
      <c r="G545" s="1500"/>
      <c r="H545" s="1501"/>
      <c r="I545" s="48" t="s">
        <v>422</v>
      </c>
      <c r="J545" s="48"/>
      <c r="K545" s="48"/>
      <c r="L545" s="48"/>
      <c r="M545" s="48"/>
      <c r="N545" s="48"/>
      <c r="O545" s="48"/>
      <c r="P545" s="48"/>
      <c r="Q545" s="48"/>
      <c r="R545" s="48"/>
      <c r="S545" s="48"/>
      <c r="T545" s="48"/>
      <c r="U545" s="48"/>
      <c r="V545" s="48"/>
      <c r="W545" s="48"/>
      <c r="X545" s="48"/>
      <c r="Y545" s="48"/>
      <c r="Z545" s="48"/>
      <c r="AA545" s="48"/>
      <c r="AB545" s="48"/>
      <c r="AC545" s="1474" t="s">
        <v>591</v>
      </c>
      <c r="AD545" s="1475"/>
      <c r="AE545" s="1475"/>
      <c r="AF545" s="1475"/>
      <c r="AG545" s="38" t="s">
        <v>403</v>
      </c>
      <c r="AH545" s="1377"/>
      <c r="AI545" s="1377"/>
      <c r="AJ545" s="1377"/>
      <c r="AK545" s="1378"/>
      <c r="AZ545" s="3"/>
      <c r="BA545" s="3"/>
      <c r="BB545" s="3"/>
      <c r="BC545" s="3"/>
      <c r="BD545" s="3"/>
      <c r="BE545" s="3"/>
      <c r="BF545" s="3"/>
      <c r="BG545" s="3"/>
      <c r="BH545" s="3"/>
      <c r="BI545" s="3"/>
      <c r="BJ545" s="3"/>
      <c r="BK545" s="3"/>
      <c r="BL545" s="3"/>
      <c r="BM545" s="3"/>
      <c r="BN545" s="3" t="s">
        <v>2082</v>
      </c>
    </row>
    <row r="546" spans="1:66" ht="13" customHeight="1">
      <c r="B546" s="1710"/>
      <c r="C546" s="1500"/>
      <c r="D546" s="1500"/>
      <c r="E546" s="1500"/>
      <c r="F546" s="1500"/>
      <c r="G546" s="1500"/>
      <c r="H546" s="1501"/>
      <c r="I546" s="42" t="s">
        <v>562</v>
      </c>
      <c r="J546" s="42"/>
      <c r="K546" s="42"/>
      <c r="L546" s="42"/>
      <c r="M546" s="42"/>
      <c r="N546" s="42"/>
      <c r="O546" s="42"/>
      <c r="P546" s="42"/>
      <c r="Q546" s="42"/>
      <c r="R546" s="42"/>
      <c r="S546" s="42"/>
      <c r="T546" s="42"/>
      <c r="U546" s="42"/>
      <c r="V546" s="42"/>
      <c r="W546" s="42"/>
      <c r="AC546" s="1474" t="s">
        <v>591</v>
      </c>
      <c r="AD546" s="1475"/>
      <c r="AE546" s="1475"/>
      <c r="AF546" s="1475"/>
      <c r="AG546" s="38" t="s">
        <v>403</v>
      </c>
      <c r="AH546" s="1377"/>
      <c r="AI546" s="1377"/>
      <c r="AJ546" s="1377"/>
      <c r="AK546" s="1378"/>
      <c r="AZ546" s="3"/>
      <c r="BA546" s="3"/>
      <c r="BB546" s="3"/>
      <c r="BC546" s="3"/>
      <c r="BD546" s="3"/>
      <c r="BE546" s="3"/>
      <c r="BF546" s="3"/>
      <c r="BG546" s="3"/>
      <c r="BH546" s="3"/>
      <c r="BI546" s="3"/>
      <c r="BJ546" s="3"/>
      <c r="BK546" s="3"/>
      <c r="BL546" s="3"/>
      <c r="BM546" s="3"/>
      <c r="BN546" s="3"/>
    </row>
    <row r="547" spans="1:66" ht="13" customHeight="1">
      <c r="B547" s="1710"/>
      <c r="C547" s="1500"/>
      <c r="D547" s="1500"/>
      <c r="E547" s="1500"/>
      <c r="F547" s="1500"/>
      <c r="G547" s="1500"/>
      <c r="H547" s="1501"/>
      <c r="I547" t="s">
        <v>563</v>
      </c>
      <c r="AC547" s="1474">
        <v>1</v>
      </c>
      <c r="AD547" s="1475"/>
      <c r="AE547" s="1475"/>
      <c r="AF547" s="1475"/>
      <c r="AG547" s="13" t="s">
        <v>403</v>
      </c>
      <c r="AH547" s="1377">
        <v>2027</v>
      </c>
      <c r="AI547" s="1377"/>
      <c r="AJ547" s="1377"/>
      <c r="AK547" s="1378"/>
      <c r="AZ547" s="3"/>
      <c r="BA547" s="3"/>
      <c r="BB547" s="3"/>
      <c r="BC547" s="3"/>
      <c r="BD547" s="3"/>
      <c r="BE547" s="3"/>
      <c r="BF547" s="3"/>
      <c r="BG547" s="3"/>
      <c r="BH547" s="3"/>
      <c r="BI547" s="3"/>
      <c r="BJ547" s="3"/>
      <c r="BK547" s="3"/>
      <c r="BL547" s="3"/>
      <c r="BM547" s="3"/>
      <c r="BN547" s="3"/>
    </row>
    <row r="548" spans="1:66" ht="13" customHeight="1">
      <c r="B548" s="1710"/>
      <c r="C548" s="1500"/>
      <c r="D548" s="1500"/>
      <c r="E548" s="1500"/>
      <c r="F548" s="1500"/>
      <c r="G548" s="1500"/>
      <c r="H548" s="1501"/>
      <c r="I548" t="s">
        <v>564</v>
      </c>
      <c r="AC548" s="1474">
        <v>1</v>
      </c>
      <c r="AD548" s="1475"/>
      <c r="AE548" s="1475"/>
      <c r="AF548" s="1475"/>
      <c r="AG548" s="38" t="s">
        <v>403</v>
      </c>
      <c r="AH548" s="1377">
        <v>2029</v>
      </c>
      <c r="AI548" s="1377"/>
      <c r="AJ548" s="1377"/>
      <c r="AK548" s="1378"/>
      <c r="AZ548" s="3"/>
      <c r="BA548" s="3"/>
      <c r="BB548" s="3"/>
      <c r="BC548" s="3"/>
      <c r="BD548" s="3"/>
      <c r="BE548" s="3"/>
      <c r="BF548" s="3"/>
      <c r="BG548" s="3"/>
      <c r="BH548" s="3"/>
      <c r="BI548" s="3"/>
      <c r="BJ548" s="3"/>
      <c r="BK548" s="3"/>
      <c r="BL548" s="3"/>
      <c r="BM548" s="3"/>
      <c r="BN548" s="3"/>
    </row>
    <row r="549" spans="1:66" ht="13" customHeight="1">
      <c r="B549" s="1710"/>
      <c r="C549" s="1500"/>
      <c r="D549" s="1500"/>
      <c r="E549" s="1500"/>
      <c r="F549" s="1500"/>
      <c r="G549" s="1500"/>
      <c r="H549" s="1501"/>
      <c r="I549" t="s">
        <v>565</v>
      </c>
      <c r="AC549" s="1474">
        <v>1</v>
      </c>
      <c r="AD549" s="1475"/>
      <c r="AE549" s="1475"/>
      <c r="AF549" s="1475"/>
      <c r="AG549" s="38" t="s">
        <v>403</v>
      </c>
      <c r="AH549" s="1377">
        <v>2029</v>
      </c>
      <c r="AI549" s="1377"/>
      <c r="AJ549" s="1377"/>
      <c r="AK549" s="1378"/>
      <c r="AZ549" s="3"/>
      <c r="BA549" s="3"/>
      <c r="BB549" s="3"/>
      <c r="BC549" s="3"/>
      <c r="BD549" s="3"/>
      <c r="BE549" s="3"/>
      <c r="BF549" s="3"/>
      <c r="BG549" s="3"/>
      <c r="BH549" s="3"/>
      <c r="BI549" s="3"/>
      <c r="BJ549" s="3"/>
      <c r="BK549" s="3"/>
      <c r="BL549" s="3"/>
      <c r="BM549" s="3"/>
      <c r="BN549" s="3"/>
    </row>
    <row r="550" spans="1:66" ht="13" customHeight="1">
      <c r="B550" s="1711"/>
      <c r="C550" s="1502"/>
      <c r="D550" s="1502"/>
      <c r="E550" s="1502"/>
      <c r="F550" s="1502"/>
      <c r="G550" s="1502"/>
      <c r="H550" s="1503"/>
      <c r="I550" s="48" t="s">
        <v>451</v>
      </c>
      <c r="J550" s="48"/>
      <c r="K550" s="48"/>
      <c r="L550" s="48"/>
      <c r="M550" s="48"/>
      <c r="N550" s="48"/>
      <c r="O550" s="48"/>
      <c r="P550" s="48"/>
      <c r="Q550" s="48"/>
      <c r="R550" s="48"/>
      <c r="S550" s="48"/>
      <c r="T550" s="48"/>
      <c r="U550" s="48"/>
      <c r="V550" s="48"/>
      <c r="W550" s="48"/>
      <c r="X550" s="48"/>
      <c r="Y550" s="48"/>
      <c r="Z550" s="48"/>
      <c r="AA550" s="48"/>
      <c r="AB550" s="48"/>
      <c r="AC550" s="1474">
        <v>4</v>
      </c>
      <c r="AD550" s="1475"/>
      <c r="AE550" s="1475"/>
      <c r="AF550" s="1475"/>
      <c r="AG550" s="38" t="s">
        <v>403</v>
      </c>
      <c r="AH550" s="1377">
        <v>2029</v>
      </c>
      <c r="AI550" s="1377"/>
      <c r="AJ550" s="1377"/>
      <c r="AK550" s="1378"/>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326" t="s">
        <v>543</v>
      </c>
      <c r="B552" s="1326"/>
      <c r="C552" s="1326"/>
      <c r="D552" s="1326"/>
      <c r="E552" s="1326"/>
      <c r="F552" s="1326"/>
      <c r="G552" s="1326"/>
      <c r="H552" s="1326"/>
      <c r="I552" s="1326"/>
      <c r="J552" s="1326"/>
      <c r="K552" s="1326"/>
      <c r="L552" s="1326"/>
      <c r="M552" s="1326"/>
      <c r="N552" s="1326"/>
      <c r="O552" s="1326"/>
      <c r="P552" s="1326"/>
      <c r="Q552" s="1326"/>
      <c r="R552" s="1326"/>
      <c r="S552" s="1326"/>
      <c r="T552" s="1326"/>
      <c r="U552" s="1326"/>
      <c r="V552" s="1326"/>
      <c r="W552" s="1326"/>
      <c r="X552" s="1326"/>
      <c r="Y552" s="1326"/>
      <c r="Z552" s="1326"/>
      <c r="AA552" s="1326"/>
      <c r="AB552" s="1326"/>
      <c r="AC552" s="1326"/>
      <c r="AD552" s="1326"/>
      <c r="AE552" s="1326"/>
      <c r="AF552" s="1326"/>
      <c r="AG552" s="1326"/>
      <c r="AH552" s="1326"/>
      <c r="AI552" s="1326"/>
      <c r="AJ552" s="1326"/>
      <c r="AK552" s="1326"/>
      <c r="AL552" s="1326"/>
      <c r="AM552" s="1326"/>
      <c r="AN552" s="1326"/>
      <c r="AO552" s="1326"/>
      <c r="AP552" s="1326"/>
      <c r="AQ552" s="1326"/>
      <c r="AR552" s="1326"/>
      <c r="AS552" s="1326"/>
      <c r="AT552" s="1326"/>
      <c r="AU552" s="895"/>
      <c r="AV552" s="895"/>
      <c r="AW552" s="895"/>
      <c r="AX552" s="895"/>
      <c r="AY552" s="895"/>
      <c r="BB552" s="3"/>
      <c r="BC552" s="3"/>
      <c r="BD552" s="3"/>
      <c r="BE552" s="3"/>
      <c r="BF552" s="3"/>
      <c r="BG552" s="3"/>
      <c r="BH552" s="3"/>
      <c r="BI552" s="3"/>
      <c r="BJ552" s="3"/>
      <c r="BK552" s="3"/>
      <c r="BL552" s="3"/>
      <c r="BM552" s="3"/>
      <c r="BN552" s="3"/>
    </row>
    <row r="553" spans="1:66" ht="13" customHeight="1">
      <c r="A553" s="1326"/>
      <c r="B553" s="1326"/>
      <c r="C553" s="1326"/>
      <c r="D553" s="1326"/>
      <c r="E553" s="1326"/>
      <c r="F553" s="1326"/>
      <c r="G553" s="1326"/>
      <c r="H553" s="1326"/>
      <c r="I553" s="1326"/>
      <c r="J553" s="1326"/>
      <c r="K553" s="1326"/>
      <c r="L553" s="1326"/>
      <c r="M553" s="1326"/>
      <c r="N553" s="1326"/>
      <c r="O553" s="1326"/>
      <c r="P553" s="1326"/>
      <c r="Q553" s="1326"/>
      <c r="R553" s="1326"/>
      <c r="S553" s="1326"/>
      <c r="T553" s="1326"/>
      <c r="U553" s="1326"/>
      <c r="V553" s="1326"/>
      <c r="W553" s="1326"/>
      <c r="X553" s="1326"/>
      <c r="Y553" s="1326"/>
      <c r="Z553" s="1326"/>
      <c r="AA553" s="1326"/>
      <c r="AB553" s="1326"/>
      <c r="AC553" s="1326"/>
      <c r="AD553" s="1326"/>
      <c r="AE553" s="1326"/>
      <c r="AF553" s="1326"/>
      <c r="AG553" s="1326"/>
      <c r="AH553" s="1326"/>
      <c r="AI553" s="1326"/>
      <c r="AJ553" s="1326"/>
      <c r="AK553" s="1326"/>
      <c r="AL553" s="1326"/>
      <c r="AM553" s="1326"/>
      <c r="AN553" s="1326"/>
      <c r="AO553" s="1326"/>
      <c r="AP553" s="1326"/>
      <c r="AQ553" s="1326"/>
      <c r="AR553" s="1326"/>
      <c r="AS553" s="1326"/>
      <c r="AT553" s="132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No</v>
      </c>
    </row>
    <row r="559" spans="1:66" ht="13" customHeight="1">
      <c r="B559" s="1709" t="s">
        <v>2056</v>
      </c>
      <c r="C559" s="1498"/>
      <c r="D559" s="1498"/>
      <c r="E559" s="1498"/>
      <c r="F559" s="1498"/>
      <c r="G559" s="1498"/>
      <c r="H559" s="1498"/>
      <c r="I559" s="1498"/>
      <c r="J559" s="1498"/>
      <c r="K559" s="1498"/>
      <c r="L559" s="1499"/>
      <c r="M559" s="1709" t="s">
        <v>2057</v>
      </c>
      <c r="N559" s="1498"/>
      <c r="O559" s="1498"/>
      <c r="P559" s="1499"/>
      <c r="Q559" s="1709" t="s">
        <v>2083</v>
      </c>
      <c r="R559" s="1498"/>
      <c r="S559" s="1499"/>
      <c r="T559" s="1709" t="s">
        <v>2084</v>
      </c>
      <c r="U559" s="1498"/>
      <c r="V559" s="1499"/>
      <c r="W559" s="1709" t="s">
        <v>453</v>
      </c>
      <c r="X559" s="1498"/>
      <c r="Y559" s="1499"/>
      <c r="Z559" s="1709" t="s">
        <v>1826</v>
      </c>
      <c r="AA559" s="1498"/>
      <c r="AB559" s="1498"/>
      <c r="AC559" s="1498"/>
      <c r="AD559" s="1499"/>
      <c r="AE559" s="1709" t="s">
        <v>1664</v>
      </c>
      <c r="AF559" s="1498"/>
      <c r="AG559" s="1498"/>
      <c r="AH559" s="1499"/>
      <c r="AI559" s="1709" t="s">
        <v>1665</v>
      </c>
      <c r="AJ559" s="1498"/>
      <c r="AK559" s="1498"/>
      <c r="AL559" s="1499"/>
      <c r="AM559" s="1709" t="s">
        <v>454</v>
      </c>
      <c r="AN559" s="1498"/>
      <c r="AO559" s="1498"/>
      <c r="AP559" s="1498"/>
      <c r="AQ559" s="1498"/>
      <c r="AR559" s="1498"/>
      <c r="AS559" s="1499"/>
      <c r="BB559" s="3"/>
      <c r="BC559" s="3"/>
      <c r="BD559" s="3"/>
      <c r="BE559" s="3"/>
      <c r="BF559" s="3"/>
      <c r="BG559" s="3"/>
      <c r="BH559" s="3" t="s">
        <v>581</v>
      </c>
      <c r="BI559" s="3" t="str">
        <f>AG665</f>
        <v>No</v>
      </c>
    </row>
    <row r="560" spans="1:66" ht="13" customHeight="1">
      <c r="B560" s="1710"/>
      <c r="C560" s="1500"/>
      <c r="D560" s="1500"/>
      <c r="E560" s="1500"/>
      <c r="F560" s="1500"/>
      <c r="G560" s="1500"/>
      <c r="H560" s="1500"/>
      <c r="I560" s="1500"/>
      <c r="J560" s="1500"/>
      <c r="K560" s="1500"/>
      <c r="L560" s="1501"/>
      <c r="M560" s="1710"/>
      <c r="N560" s="1500"/>
      <c r="O560" s="1500"/>
      <c r="P560" s="1501"/>
      <c r="Q560" s="1710"/>
      <c r="R560" s="1500"/>
      <c r="S560" s="1501"/>
      <c r="T560" s="1710"/>
      <c r="U560" s="1500"/>
      <c r="V560" s="1501"/>
      <c r="W560" s="1710"/>
      <c r="X560" s="1500"/>
      <c r="Y560" s="1501"/>
      <c r="Z560" s="1710"/>
      <c r="AA560" s="1500"/>
      <c r="AB560" s="1500"/>
      <c r="AC560" s="1500"/>
      <c r="AD560" s="1501"/>
      <c r="AE560" s="1710"/>
      <c r="AF560" s="1500"/>
      <c r="AG560" s="1500"/>
      <c r="AH560" s="1501"/>
      <c r="AI560" s="1710"/>
      <c r="AJ560" s="1500"/>
      <c r="AK560" s="1500"/>
      <c r="AL560" s="1501"/>
      <c r="AM560" s="1710"/>
      <c r="AN560" s="1500"/>
      <c r="AO560" s="1500"/>
      <c r="AP560" s="1500"/>
      <c r="AQ560" s="1500"/>
      <c r="AR560" s="1500"/>
      <c r="AS560" s="1501"/>
      <c r="AU560" s="1141"/>
      <c r="BB560" s="3"/>
      <c r="BC560" s="3"/>
      <c r="BD560" s="3"/>
      <c r="BE560" s="3"/>
      <c r="BF560" s="3"/>
      <c r="BG560" s="3"/>
      <c r="BH560" s="3"/>
      <c r="BI560" s="3"/>
    </row>
    <row r="561" spans="1:61" ht="13" customHeight="1">
      <c r="B561" s="1711"/>
      <c r="C561" s="1502"/>
      <c r="D561" s="1502"/>
      <c r="E561" s="1502"/>
      <c r="F561" s="1502"/>
      <c r="G561" s="1502"/>
      <c r="H561" s="1502"/>
      <c r="I561" s="1502"/>
      <c r="J561" s="1502"/>
      <c r="K561" s="1502"/>
      <c r="L561" s="1503"/>
      <c r="M561" s="1711"/>
      <c r="N561" s="1502"/>
      <c r="O561" s="1502"/>
      <c r="P561" s="1503"/>
      <c r="Q561" s="1711"/>
      <c r="R561" s="1502"/>
      <c r="S561" s="1503"/>
      <c r="T561" s="1711"/>
      <c r="U561" s="1502"/>
      <c r="V561" s="1503"/>
      <c r="W561" s="1711"/>
      <c r="X561" s="1502"/>
      <c r="Y561" s="1503"/>
      <c r="Z561" s="1711"/>
      <c r="AA561" s="1502"/>
      <c r="AB561" s="1502"/>
      <c r="AC561" s="1502"/>
      <c r="AD561" s="1503"/>
      <c r="AE561" s="1711"/>
      <c r="AF561" s="1502"/>
      <c r="AG561" s="1502"/>
      <c r="AH561" s="1503"/>
      <c r="AI561" s="1711"/>
      <c r="AJ561" s="1502"/>
      <c r="AK561" s="1502"/>
      <c r="AL561" s="1503"/>
      <c r="AM561" s="1711"/>
      <c r="AN561" s="1502"/>
      <c r="AO561" s="1502"/>
      <c r="AP561" s="1502"/>
      <c r="AQ561" s="1502"/>
      <c r="AR561" s="1502"/>
      <c r="AS561" s="1503"/>
      <c r="AU561" s="1141"/>
      <c r="BB561" s="3"/>
      <c r="BC561" s="3"/>
      <c r="BD561" s="3"/>
      <c r="BE561" s="3"/>
      <c r="BF561" s="3"/>
      <c r="BG561" s="3"/>
      <c r="BH561" s="3"/>
      <c r="BI561" s="3"/>
    </row>
    <row r="562" spans="1:61" ht="13" customHeight="1">
      <c r="B562" s="51" t="s">
        <v>112</v>
      </c>
      <c r="C562" s="1438" t="s">
        <v>2715</v>
      </c>
      <c r="D562" s="1438"/>
      <c r="E562" s="1438"/>
      <c r="F562" s="1438"/>
      <c r="G562" s="1438"/>
      <c r="H562" s="1438"/>
      <c r="I562" s="1438"/>
      <c r="J562" s="1438"/>
      <c r="K562" s="1438"/>
      <c r="L562" s="1438"/>
      <c r="M562" s="1438" t="s">
        <v>2073</v>
      </c>
      <c r="N562" s="1438"/>
      <c r="O562" s="1438"/>
      <c r="P562" s="1438"/>
      <c r="Q562" s="1528">
        <v>30</v>
      </c>
      <c r="R562" s="1528"/>
      <c r="S562" s="1529"/>
      <c r="T562" s="1527"/>
      <c r="U562" s="1528"/>
      <c r="V562" s="1529"/>
      <c r="W562" s="1440">
        <v>6.2E-2</v>
      </c>
      <c r="X562" s="1441"/>
      <c r="Y562" s="1442"/>
      <c r="Z562" s="1479" t="s">
        <v>1183</v>
      </c>
      <c r="AA562" s="1479"/>
      <c r="AB562" s="1479"/>
      <c r="AC562" s="1479"/>
      <c r="AD562" s="1479"/>
      <c r="AE562" s="1443"/>
      <c r="AF562" s="1444"/>
      <c r="AG562" s="1444"/>
      <c r="AH562" s="1445"/>
      <c r="AI562" s="1471"/>
      <c r="AJ562" s="1472"/>
      <c r="AK562" s="1472"/>
      <c r="AL562" s="1473"/>
      <c r="AM562" s="1464">
        <v>21287300</v>
      </c>
      <c r="AN562" s="1465"/>
      <c r="AO562" s="1465"/>
      <c r="AP562" s="1465"/>
      <c r="AQ562" s="1465"/>
      <c r="AR562" s="1465"/>
      <c r="AS562" s="1466"/>
      <c r="AT562" s="1142"/>
      <c r="AU562" s="1141"/>
      <c r="BB562" s="3"/>
      <c r="BC562" s="3"/>
      <c r="BD562" s="3"/>
      <c r="BE562" s="3"/>
      <c r="BF562" s="3"/>
      <c r="BG562" s="3"/>
      <c r="BH562" s="3"/>
      <c r="BI562" s="3"/>
    </row>
    <row r="563" spans="1:61" ht="13" customHeight="1">
      <c r="B563" s="52" t="s">
        <v>113</v>
      </c>
      <c r="C563" s="1439" t="s">
        <v>2715</v>
      </c>
      <c r="D563" s="1439"/>
      <c r="E563" s="1439"/>
      <c r="F563" s="1439"/>
      <c r="G563" s="1439"/>
      <c r="H563" s="1439"/>
      <c r="I563" s="1439"/>
      <c r="J563" s="1439"/>
      <c r="K563" s="1439"/>
      <c r="L563" s="1439"/>
      <c r="M563" s="1438" t="s">
        <v>2074</v>
      </c>
      <c r="N563" s="1438"/>
      <c r="O563" s="1438"/>
      <c r="P563" s="1438"/>
      <c r="Q563" s="1527">
        <v>30</v>
      </c>
      <c r="R563" s="1528"/>
      <c r="S563" s="1529"/>
      <c r="T563" s="1527"/>
      <c r="U563" s="1528"/>
      <c r="V563" s="1529"/>
      <c r="W563" s="1440">
        <v>6.2E-2</v>
      </c>
      <c r="X563" s="1441"/>
      <c r="Y563" s="1442"/>
      <c r="Z563" s="1479" t="s">
        <v>1183</v>
      </c>
      <c r="AA563" s="1479"/>
      <c r="AB563" s="1479"/>
      <c r="AC563" s="1479"/>
      <c r="AD563" s="1479"/>
      <c r="AE563" s="1443"/>
      <c r="AF563" s="1444"/>
      <c r="AG563" s="1444"/>
      <c r="AH563" s="1445"/>
      <c r="AI563" s="1471"/>
      <c r="AJ563" s="1472"/>
      <c r="AK563" s="1472"/>
      <c r="AL563" s="1473"/>
      <c r="AM563" s="1464">
        <v>7702700</v>
      </c>
      <c r="AN563" s="1465"/>
      <c r="AO563" s="1465"/>
      <c r="AP563" s="1465"/>
      <c r="AQ563" s="1465"/>
      <c r="AR563" s="1465"/>
      <c r="AS563" s="1466"/>
      <c r="AT563" s="1142" t="str">
        <f>IF(AND(NOT(C562=""),C563="",NOT(C564="")),"!","")</f>
        <v/>
      </c>
      <c r="AU563" s="1141"/>
      <c r="BB563" s="3"/>
      <c r="BC563" s="3"/>
      <c r="BD563" s="3"/>
      <c r="BE563" s="3"/>
      <c r="BF563" s="3"/>
      <c r="BG563" s="3"/>
      <c r="BH563" s="3"/>
      <c r="BI563" s="3"/>
    </row>
    <row r="564" spans="1:61" ht="13" customHeight="1">
      <c r="B564" s="52" t="s">
        <v>119</v>
      </c>
      <c r="C564" s="1439" t="s">
        <v>2716</v>
      </c>
      <c r="D564" s="1439"/>
      <c r="E564" s="1439"/>
      <c r="F564" s="1439"/>
      <c r="G564" s="1439"/>
      <c r="H564" s="1439"/>
      <c r="I564" s="1439"/>
      <c r="J564" s="1439"/>
      <c r="K564" s="1439"/>
      <c r="L564" s="1439"/>
      <c r="M564" s="1438" t="s">
        <v>2064</v>
      </c>
      <c r="N564" s="1438"/>
      <c r="O564" s="1438"/>
      <c r="P564" s="1438"/>
      <c r="Q564" s="1527"/>
      <c r="R564" s="1528"/>
      <c r="S564" s="1529"/>
      <c r="T564" s="1527"/>
      <c r="U564" s="1528"/>
      <c r="V564" s="1529"/>
      <c r="W564" s="1440">
        <v>7.1499999999999994E-2</v>
      </c>
      <c r="X564" s="1441"/>
      <c r="Y564" s="1442"/>
      <c r="Z564" s="1479" t="s">
        <v>1183</v>
      </c>
      <c r="AA564" s="1479"/>
      <c r="AB564" s="1479"/>
      <c r="AC564" s="1479"/>
      <c r="AD564" s="1479"/>
      <c r="AE564" s="1443"/>
      <c r="AF564" s="1444"/>
      <c r="AG564" s="1444"/>
      <c r="AH564" s="1445"/>
      <c r="AI564" s="1471"/>
      <c r="AJ564" s="1472"/>
      <c r="AK564" s="1472"/>
      <c r="AL564" s="1473"/>
      <c r="AM564" s="1464">
        <v>29226330</v>
      </c>
      <c r="AN564" s="1465"/>
      <c r="AO564" s="1465"/>
      <c r="AP564" s="1465"/>
      <c r="AQ564" s="1465"/>
      <c r="AR564" s="1465"/>
      <c r="AS564" s="1466"/>
      <c r="AT564" s="1142" t="str">
        <f>IF(AND(NOT(C563=""),C564="",NOT(C565="")),"!","")</f>
        <v/>
      </c>
      <c r="AU564" s="1141"/>
      <c r="BB564" s="3"/>
      <c r="BC564" s="3"/>
      <c r="BD564" s="3"/>
      <c r="BE564" s="3"/>
      <c r="BF564" s="3"/>
      <c r="BG564" s="3"/>
      <c r="BH564" s="3"/>
      <c r="BI564" s="3"/>
    </row>
    <row r="565" spans="1:61" ht="13" customHeight="1">
      <c r="B565" s="52" t="s">
        <v>581</v>
      </c>
      <c r="C565" s="1439" t="s">
        <v>2717</v>
      </c>
      <c r="D565" s="1439"/>
      <c r="E565" s="1439"/>
      <c r="F565" s="1439"/>
      <c r="G565" s="1439"/>
      <c r="H565" s="1439"/>
      <c r="I565" s="1439"/>
      <c r="J565" s="1439"/>
      <c r="K565" s="1439"/>
      <c r="L565" s="1439"/>
      <c r="M565" s="1438" t="s">
        <v>2064</v>
      </c>
      <c r="N565" s="1438"/>
      <c r="O565" s="1438"/>
      <c r="P565" s="1438"/>
      <c r="Q565" s="1527"/>
      <c r="R565" s="1528"/>
      <c r="S565" s="1529"/>
      <c r="T565" s="1527"/>
      <c r="U565" s="1528"/>
      <c r="V565" s="1529"/>
      <c r="W565" s="1440"/>
      <c r="X565" s="1441"/>
      <c r="Y565" s="1442"/>
      <c r="Z565" s="1479" t="s">
        <v>1183</v>
      </c>
      <c r="AA565" s="1479"/>
      <c r="AB565" s="1479"/>
      <c r="AC565" s="1479"/>
      <c r="AD565" s="1479"/>
      <c r="AE565" s="1443"/>
      <c r="AF565" s="1444"/>
      <c r="AG565" s="1444"/>
      <c r="AH565" s="1445"/>
      <c r="AI565" s="1471"/>
      <c r="AJ565" s="1472"/>
      <c r="AK565" s="1472"/>
      <c r="AL565" s="1473"/>
      <c r="AM565" s="1464">
        <v>10194430</v>
      </c>
      <c r="AN565" s="1465"/>
      <c r="AO565" s="1465"/>
      <c r="AP565" s="1465"/>
      <c r="AQ565" s="1465"/>
      <c r="AR565" s="1465"/>
      <c r="AS565" s="1466"/>
      <c r="AT565" s="1142" t="str">
        <f>IF(AND(NOT(C564=""),C565="",NOT(C566="")),"!","")</f>
        <v/>
      </c>
      <c r="AU565" s="1141"/>
      <c r="BB565" s="3"/>
      <c r="BC565" s="3"/>
      <c r="BD565" s="3"/>
      <c r="BE565" s="3"/>
      <c r="BF565" s="3"/>
      <c r="BG565" s="3"/>
      <c r="BH565" s="3"/>
      <c r="BI565" s="3"/>
    </row>
    <row r="566" spans="1:61" ht="13" customHeight="1">
      <c r="B566" s="52" t="s">
        <v>762</v>
      </c>
      <c r="C566" s="1439" t="s">
        <v>2718</v>
      </c>
      <c r="D566" s="1439"/>
      <c r="E566" s="1439"/>
      <c r="F566" s="1439"/>
      <c r="G566" s="1439"/>
      <c r="H566" s="1439"/>
      <c r="I566" s="1439"/>
      <c r="J566" s="1439"/>
      <c r="K566" s="1439"/>
      <c r="L566" s="1439"/>
      <c r="M566" s="1438" t="s">
        <v>2059</v>
      </c>
      <c r="N566" s="1438"/>
      <c r="O566" s="1438"/>
      <c r="P566" s="1438"/>
      <c r="Q566" s="1527"/>
      <c r="R566" s="1528"/>
      <c r="S566" s="1529"/>
      <c r="T566" s="1527"/>
      <c r="U566" s="1528"/>
      <c r="V566" s="1529"/>
      <c r="W566" s="1440"/>
      <c r="X566" s="1441"/>
      <c r="Y566" s="1442"/>
      <c r="Z566" s="1479" t="s">
        <v>1183</v>
      </c>
      <c r="AA566" s="1479"/>
      <c r="AB566" s="1479"/>
      <c r="AC566" s="1479"/>
      <c r="AD566" s="1479"/>
      <c r="AE566" s="1443"/>
      <c r="AF566" s="1444"/>
      <c r="AG566" s="1444"/>
      <c r="AH566" s="1445"/>
      <c r="AI566" s="1471"/>
      <c r="AJ566" s="1472"/>
      <c r="AK566" s="1472"/>
      <c r="AL566" s="1473"/>
      <c r="AM566" s="1464"/>
      <c r="AN566" s="1465"/>
      <c r="AO566" s="1465"/>
      <c r="AP566" s="1465"/>
      <c r="AQ566" s="1465"/>
      <c r="AR566" s="1465"/>
      <c r="AS566" s="1466"/>
      <c r="AT566" s="1142" t="str">
        <f t="shared" ref="AT566:AT573" si="2">IF(AND(NOT(C565=""),C566="",NOT(C567="")),"!","")</f>
        <v/>
      </c>
      <c r="AU566" s="1141"/>
      <c r="BB566" s="3"/>
      <c r="BC566" s="3"/>
      <c r="BD566" s="3"/>
      <c r="BE566" s="3"/>
      <c r="BF566" s="3"/>
      <c r="BG566" s="3"/>
      <c r="BH566" s="3" t="s">
        <v>762</v>
      </c>
      <c r="BI566" s="3" t="str">
        <f>N673</f>
        <v>No</v>
      </c>
    </row>
    <row r="567" spans="1:61" ht="13" customHeight="1">
      <c r="B567" s="52" t="s">
        <v>584</v>
      </c>
      <c r="C567" s="1439" t="s">
        <v>2719</v>
      </c>
      <c r="D567" s="1439"/>
      <c r="E567" s="1439"/>
      <c r="F567" s="1439"/>
      <c r="G567" s="1439"/>
      <c r="H567" s="1439"/>
      <c r="I567" s="1439"/>
      <c r="J567" s="1439"/>
      <c r="K567" s="1439"/>
      <c r="L567" s="1439"/>
      <c r="M567" s="1438" t="s">
        <v>1183</v>
      </c>
      <c r="N567" s="1438"/>
      <c r="O567" s="1438"/>
      <c r="P567" s="1438"/>
      <c r="Q567" s="1527"/>
      <c r="R567" s="1528"/>
      <c r="S567" s="1529"/>
      <c r="T567" s="1527"/>
      <c r="U567" s="1528"/>
      <c r="V567" s="1529"/>
      <c r="W567" s="1440"/>
      <c r="X567" s="1441"/>
      <c r="Y567" s="1442"/>
      <c r="Z567" s="1479" t="s">
        <v>1183</v>
      </c>
      <c r="AA567" s="1479"/>
      <c r="AB567" s="1479"/>
      <c r="AC567" s="1479"/>
      <c r="AD567" s="1479"/>
      <c r="AE567" s="1443"/>
      <c r="AF567" s="1444"/>
      <c r="AG567" s="1444"/>
      <c r="AH567" s="1445"/>
      <c r="AI567" s="1471"/>
      <c r="AJ567" s="1472"/>
      <c r="AK567" s="1472"/>
      <c r="AL567" s="1473"/>
      <c r="AM567" s="1464">
        <f>9133689+1</f>
        <v>9133690</v>
      </c>
      <c r="AN567" s="1465"/>
      <c r="AO567" s="1465"/>
      <c r="AP567" s="1465"/>
      <c r="AQ567" s="1465"/>
      <c r="AR567" s="1465"/>
      <c r="AS567" s="1466"/>
      <c r="AT567" s="1142" t="str">
        <f t="shared" si="2"/>
        <v/>
      </c>
      <c r="AU567" s="1141"/>
      <c r="BB567" s="3"/>
      <c r="BC567" s="3"/>
      <c r="BD567" s="3"/>
      <c r="BE567" s="3"/>
      <c r="BF567" s="3"/>
      <c r="BG567" s="3"/>
      <c r="BH567" s="3" t="s">
        <v>584</v>
      </c>
      <c r="BI567" s="3" t="str">
        <f>AG673</f>
        <v>No</v>
      </c>
    </row>
    <row r="568" spans="1:61" ht="13" customHeight="1">
      <c r="B568" s="52" t="s">
        <v>455</v>
      </c>
      <c r="C568" s="1439"/>
      <c r="D568" s="1439"/>
      <c r="E568" s="1439"/>
      <c r="F568" s="1439"/>
      <c r="G568" s="1439"/>
      <c r="H568" s="1439"/>
      <c r="I568" s="1439"/>
      <c r="J568" s="1439"/>
      <c r="K568" s="1439"/>
      <c r="L568" s="1439"/>
      <c r="M568" s="1438" t="s">
        <v>1183</v>
      </c>
      <c r="N568" s="1438"/>
      <c r="O568" s="1438"/>
      <c r="P568" s="1438"/>
      <c r="Q568" s="1527"/>
      <c r="R568" s="1528"/>
      <c r="S568" s="1529"/>
      <c r="T568" s="1527"/>
      <c r="U568" s="1528"/>
      <c r="V568" s="1529"/>
      <c r="W568" s="1440"/>
      <c r="X568" s="1441"/>
      <c r="Y568" s="1442"/>
      <c r="Z568" s="1479" t="s">
        <v>1183</v>
      </c>
      <c r="AA568" s="1479"/>
      <c r="AB568" s="1479"/>
      <c r="AC568" s="1479"/>
      <c r="AD568" s="1479"/>
      <c r="AE568" s="1443"/>
      <c r="AF568" s="1444"/>
      <c r="AG568" s="1444"/>
      <c r="AH568" s="1445"/>
      <c r="AI568" s="1471"/>
      <c r="AJ568" s="1472"/>
      <c r="AK568" s="1472"/>
      <c r="AL568" s="1473"/>
      <c r="AM568" s="1464"/>
      <c r="AN568" s="1465"/>
      <c r="AO568" s="1465"/>
      <c r="AP568" s="1465"/>
      <c r="AQ568" s="1465"/>
      <c r="AR568" s="1465"/>
      <c r="AS568" s="1466"/>
      <c r="AT568" s="1142" t="str">
        <f t="shared" si="2"/>
        <v/>
      </c>
      <c r="AU568" s="1141"/>
      <c r="BB568" s="3"/>
      <c r="BC568" s="3"/>
      <c r="BD568" s="3"/>
      <c r="BE568" s="3"/>
      <c r="BF568" s="3"/>
      <c r="BG568" s="3"/>
      <c r="BH568" s="3"/>
      <c r="BI568" s="3"/>
    </row>
    <row r="569" spans="1:61" ht="13" customHeight="1">
      <c r="B569" s="52" t="s">
        <v>456</v>
      </c>
      <c r="C569" s="1439"/>
      <c r="D569" s="1439"/>
      <c r="E569" s="1439"/>
      <c r="F569" s="1439"/>
      <c r="G569" s="1439"/>
      <c r="H569" s="1439"/>
      <c r="I569" s="1439"/>
      <c r="J569" s="1439"/>
      <c r="K569" s="1439"/>
      <c r="L569" s="1439"/>
      <c r="M569" s="1438" t="s">
        <v>1183</v>
      </c>
      <c r="N569" s="1438"/>
      <c r="O569" s="1438"/>
      <c r="P569" s="1438"/>
      <c r="Q569" s="1527"/>
      <c r="R569" s="1528"/>
      <c r="S569" s="1529"/>
      <c r="T569" s="1527"/>
      <c r="U569" s="1528"/>
      <c r="V569" s="1529"/>
      <c r="W569" s="1440"/>
      <c r="X569" s="1441"/>
      <c r="Y569" s="1442"/>
      <c r="Z569" s="1479" t="s">
        <v>1183</v>
      </c>
      <c r="AA569" s="1479"/>
      <c r="AB569" s="1479"/>
      <c r="AC569" s="1479"/>
      <c r="AD569" s="1479"/>
      <c r="AE569" s="1443"/>
      <c r="AF569" s="1444"/>
      <c r="AG569" s="1444"/>
      <c r="AH569" s="1445"/>
      <c r="AI569" s="1471"/>
      <c r="AJ569" s="1472"/>
      <c r="AK569" s="1472"/>
      <c r="AL569" s="1473"/>
      <c r="AM569" s="1464"/>
      <c r="AN569" s="1465"/>
      <c r="AO569" s="1465"/>
      <c r="AP569" s="1465"/>
      <c r="AQ569" s="1465"/>
      <c r="AR569" s="1465"/>
      <c r="AS569" s="1466"/>
      <c r="AT569" s="1142" t="str">
        <f t="shared" si="2"/>
        <v/>
      </c>
      <c r="AU569" s="1141"/>
      <c r="BB569" s="3"/>
      <c r="BC569" s="3"/>
      <c r="BD569" s="3"/>
      <c r="BE569" s="3"/>
      <c r="BF569" s="3"/>
      <c r="BG569" s="3"/>
      <c r="BH569" s="3"/>
      <c r="BI569" s="3"/>
    </row>
    <row r="570" spans="1:61" ht="13" customHeight="1">
      <c r="B570" s="52" t="s">
        <v>461</v>
      </c>
      <c r="C570" s="1439"/>
      <c r="D570" s="1439"/>
      <c r="E570" s="1439"/>
      <c r="F570" s="1439"/>
      <c r="G570" s="1439"/>
      <c r="H570" s="1439"/>
      <c r="I570" s="1439"/>
      <c r="J570" s="1439"/>
      <c r="K570" s="1439"/>
      <c r="L570" s="1439"/>
      <c r="M570" s="1438" t="s">
        <v>1183</v>
      </c>
      <c r="N570" s="1438"/>
      <c r="O570" s="1438"/>
      <c r="P570" s="1438"/>
      <c r="Q570" s="1527"/>
      <c r="R570" s="1528"/>
      <c r="S570" s="1529"/>
      <c r="T570" s="1527"/>
      <c r="U570" s="1528"/>
      <c r="V570" s="1529"/>
      <c r="W570" s="1440"/>
      <c r="X570" s="1441"/>
      <c r="Y570" s="1442"/>
      <c r="Z570" s="1479" t="s">
        <v>1183</v>
      </c>
      <c r="AA570" s="1479"/>
      <c r="AB570" s="1479"/>
      <c r="AC570" s="1479"/>
      <c r="AD570" s="1479"/>
      <c r="AE570" s="1443"/>
      <c r="AF570" s="1444"/>
      <c r="AG570" s="1444"/>
      <c r="AH570" s="1445"/>
      <c r="AI570" s="1471"/>
      <c r="AJ570" s="1472"/>
      <c r="AK570" s="1472"/>
      <c r="AL570" s="1473"/>
      <c r="AM570" s="1464"/>
      <c r="AN570" s="1465"/>
      <c r="AO570" s="1465"/>
      <c r="AP570" s="1465"/>
      <c r="AQ570" s="1465"/>
      <c r="AR570" s="1465"/>
      <c r="AS570" s="1466"/>
      <c r="AT570" s="1142" t="str">
        <f t="shared" si="2"/>
        <v/>
      </c>
      <c r="AU570" s="1141"/>
      <c r="BB570" s="3"/>
      <c r="BC570" s="3"/>
      <c r="BD570" s="3"/>
      <c r="BE570" s="3"/>
      <c r="BF570" s="3"/>
      <c r="BG570" s="3"/>
      <c r="BH570" s="3"/>
      <c r="BI570" s="3"/>
    </row>
    <row r="571" spans="1:61" ht="13" customHeight="1">
      <c r="B571" s="52" t="s">
        <v>645</v>
      </c>
      <c r="C571" s="1439"/>
      <c r="D571" s="1439"/>
      <c r="E571" s="1439"/>
      <c r="F571" s="1439"/>
      <c r="G571" s="1439"/>
      <c r="H571" s="1439"/>
      <c r="I571" s="1439"/>
      <c r="J571" s="1439"/>
      <c r="K571" s="1439"/>
      <c r="L571" s="1439"/>
      <c r="M571" s="1438" t="s">
        <v>1183</v>
      </c>
      <c r="N571" s="1438"/>
      <c r="O571" s="1438"/>
      <c r="P571" s="1438"/>
      <c r="Q571" s="1527"/>
      <c r="R571" s="1528"/>
      <c r="S571" s="1529"/>
      <c r="T571" s="1527"/>
      <c r="U571" s="1528"/>
      <c r="V571" s="1529"/>
      <c r="W571" s="1440"/>
      <c r="X571" s="1441"/>
      <c r="Y571" s="1442"/>
      <c r="Z571" s="1479" t="s">
        <v>1183</v>
      </c>
      <c r="AA571" s="1479"/>
      <c r="AB571" s="1479"/>
      <c r="AC571" s="1479"/>
      <c r="AD571" s="1479"/>
      <c r="AE571" s="1443"/>
      <c r="AF571" s="1444"/>
      <c r="AG571" s="1444"/>
      <c r="AH571" s="1445"/>
      <c r="AI571" s="1471"/>
      <c r="AJ571" s="1472"/>
      <c r="AK571" s="1472"/>
      <c r="AL571" s="1473"/>
      <c r="AM571" s="1464"/>
      <c r="AN571" s="1465"/>
      <c r="AO571" s="1465"/>
      <c r="AP571" s="1465"/>
      <c r="AQ571" s="1465"/>
      <c r="AR571" s="1465"/>
      <c r="AS571" s="1466"/>
      <c r="AT571" s="1142" t="str">
        <f t="shared" si="2"/>
        <v/>
      </c>
      <c r="BB571" s="3"/>
      <c r="BC571" s="3"/>
      <c r="BD571" s="3"/>
      <c r="BE571" s="3"/>
      <c r="BF571" s="3"/>
      <c r="BG571" s="3"/>
      <c r="BH571" s="3"/>
      <c r="BI571" s="3"/>
    </row>
    <row r="572" spans="1:61" ht="13" customHeight="1">
      <c r="B572" s="52" t="s">
        <v>362</v>
      </c>
      <c r="C572" s="1439"/>
      <c r="D572" s="1439"/>
      <c r="E572" s="1439"/>
      <c r="F572" s="1439"/>
      <c r="G572" s="1439"/>
      <c r="H572" s="1439"/>
      <c r="I572" s="1439"/>
      <c r="J572" s="1439"/>
      <c r="K572" s="1439"/>
      <c r="L572" s="1439"/>
      <c r="M572" s="1438" t="s">
        <v>1183</v>
      </c>
      <c r="N572" s="1438"/>
      <c r="O572" s="1438"/>
      <c r="P572" s="1438"/>
      <c r="Q572" s="1527"/>
      <c r="R572" s="1528"/>
      <c r="S572" s="1529"/>
      <c r="T572" s="1527"/>
      <c r="U572" s="1528"/>
      <c r="V572" s="1529"/>
      <c r="W572" s="1440"/>
      <c r="X572" s="1441"/>
      <c r="Y572" s="1442"/>
      <c r="Z572" s="1479" t="s">
        <v>1183</v>
      </c>
      <c r="AA572" s="1479"/>
      <c r="AB572" s="1479"/>
      <c r="AC572" s="1479"/>
      <c r="AD572" s="1479"/>
      <c r="AE572" s="1443"/>
      <c r="AF572" s="1444"/>
      <c r="AG572" s="1444"/>
      <c r="AH572" s="1445"/>
      <c r="AI572" s="1471"/>
      <c r="AJ572" s="1472"/>
      <c r="AK572" s="1472"/>
      <c r="AL572" s="1473"/>
      <c r="AM572" s="1464"/>
      <c r="AN572" s="1465"/>
      <c r="AO572" s="1465"/>
      <c r="AP572" s="1465"/>
      <c r="AQ572" s="1465"/>
      <c r="AR572" s="1465"/>
      <c r="AS572" s="1466"/>
      <c r="AT572" s="1142" t="str">
        <f t="shared" si="2"/>
        <v/>
      </c>
      <c r="BB572" s="3"/>
      <c r="BC572" s="3"/>
      <c r="BD572" s="3"/>
      <c r="BE572" s="3"/>
      <c r="BF572" s="3"/>
      <c r="BG572" s="3"/>
      <c r="BH572" s="3"/>
      <c r="BI572" s="3"/>
    </row>
    <row r="573" spans="1:61" ht="13" customHeight="1">
      <c r="B573" s="52" t="s">
        <v>363</v>
      </c>
      <c r="C573" s="1439"/>
      <c r="D573" s="1439"/>
      <c r="E573" s="1439"/>
      <c r="F573" s="1439"/>
      <c r="G573" s="1439"/>
      <c r="H573" s="1439"/>
      <c r="I573" s="1439"/>
      <c r="J573" s="1439"/>
      <c r="K573" s="1439"/>
      <c r="L573" s="1439"/>
      <c r="M573" s="1438" t="s">
        <v>1183</v>
      </c>
      <c r="N573" s="1438"/>
      <c r="O573" s="1438"/>
      <c r="P573" s="1438"/>
      <c r="Q573" s="1527"/>
      <c r="R573" s="1528"/>
      <c r="S573" s="1529"/>
      <c r="T573" s="1527"/>
      <c r="U573" s="1528"/>
      <c r="V573" s="1529"/>
      <c r="W573" s="1440"/>
      <c r="X573" s="1441"/>
      <c r="Y573" s="1442"/>
      <c r="Z573" s="1479" t="s">
        <v>1183</v>
      </c>
      <c r="AA573" s="1479"/>
      <c r="AB573" s="1479"/>
      <c r="AC573" s="1479"/>
      <c r="AD573" s="1479"/>
      <c r="AE573" s="1443"/>
      <c r="AF573" s="1444"/>
      <c r="AG573" s="1444"/>
      <c r="AH573" s="1445"/>
      <c r="AI573" s="1471"/>
      <c r="AJ573" s="1472"/>
      <c r="AK573" s="1472"/>
      <c r="AL573" s="1473"/>
      <c r="AM573" s="1464"/>
      <c r="AN573" s="1465"/>
      <c r="AO573" s="1465"/>
      <c r="AP573" s="1465"/>
      <c r="AQ573" s="1465"/>
      <c r="AR573" s="1465"/>
      <c r="AS573" s="1466"/>
      <c r="AT573" s="1142" t="str">
        <f t="shared" si="2"/>
        <v/>
      </c>
      <c r="BB573" s="3"/>
      <c r="BC573" s="3"/>
      <c r="BD573" s="3"/>
      <c r="BE573" s="3"/>
      <c r="BF573" s="3"/>
      <c r="BG573" s="3"/>
      <c r="BH573" s="3"/>
      <c r="BI573" s="3"/>
    </row>
    <row r="574" spans="1:61" ht="13" customHeight="1">
      <c r="B574" s="1524" t="s">
        <v>127</v>
      </c>
      <c r="C574" s="1525"/>
      <c r="D574" s="1525"/>
      <c r="E574" s="1525"/>
      <c r="F574" s="1525"/>
      <c r="G574" s="1525"/>
      <c r="H574" s="1525"/>
      <c r="I574" s="1525"/>
      <c r="J574" s="1525"/>
      <c r="K574" s="1525"/>
      <c r="L574" s="1525"/>
      <c r="M574" s="1525"/>
      <c r="N574" s="1525"/>
      <c r="O574" s="1525"/>
      <c r="P574" s="1525"/>
      <c r="Q574" s="1525"/>
      <c r="R574" s="1525"/>
      <c r="S574" s="1525"/>
      <c r="T574" s="1525"/>
      <c r="U574" s="1713"/>
      <c r="V574" s="1525"/>
      <c r="W574" s="1525"/>
      <c r="X574" s="1525"/>
      <c r="Y574" s="1525"/>
      <c r="Z574" s="1525"/>
      <c r="AA574" s="1525"/>
      <c r="AB574" s="1525"/>
      <c r="AC574" s="1525"/>
      <c r="AD574" s="1525"/>
      <c r="AE574" s="1525"/>
      <c r="AF574" s="1525"/>
      <c r="AG574" s="1525"/>
      <c r="AH574" s="1525"/>
      <c r="AI574" s="1525"/>
      <c r="AJ574" s="1525"/>
      <c r="AK574" s="1525"/>
      <c r="AL574" s="1526"/>
      <c r="AM574" s="1520">
        <f>SUM(AM562:AS573)</f>
        <v>77544450</v>
      </c>
      <c r="AN574" s="1521"/>
      <c r="AO574" s="1521"/>
      <c r="AP574" s="1521"/>
      <c r="AQ574" s="1521"/>
      <c r="AR574" s="1521"/>
      <c r="AS574" s="1522"/>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446" t="str">
        <f>C562</f>
        <v>Construction Loan (Tax- Exempt)</v>
      </c>
      <c r="H576" s="1446"/>
      <c r="I576" s="1446"/>
      <c r="J576" s="1446"/>
      <c r="K576" s="1446"/>
      <c r="L576" s="1446"/>
      <c r="M576" s="1446"/>
      <c r="N576" s="1446"/>
      <c r="O576" s="1446"/>
      <c r="P576" s="1446"/>
      <c r="Q576" s="1446"/>
      <c r="R576" s="1446"/>
      <c r="S576" s="8"/>
      <c r="T576" s="55" t="s">
        <v>113</v>
      </c>
      <c r="U576" t="s">
        <v>463</v>
      </c>
      <c r="Z576" s="1446" t="str">
        <f>C563</f>
        <v>Construction Loan (Tax- Exempt)</v>
      </c>
      <c r="AA576" s="1446"/>
      <c r="AB576" s="1446"/>
      <c r="AC576" s="1446"/>
      <c r="AD576" s="1446"/>
      <c r="AE576" s="1446"/>
      <c r="AF576" s="1446"/>
      <c r="AG576" s="1446"/>
      <c r="AH576" s="1446"/>
      <c r="AI576" s="1446"/>
      <c r="AJ576" s="1446"/>
      <c r="AK576" s="1446"/>
      <c r="BB576" s="3"/>
      <c r="BC576" s="3"/>
      <c r="BD576" s="3"/>
      <c r="BE576" s="3"/>
      <c r="BF576" s="3"/>
      <c r="BG576" s="3"/>
      <c r="BH576" s="3"/>
      <c r="BI576" s="3"/>
    </row>
    <row r="577" spans="1:61" ht="13" customHeight="1">
      <c r="A577" s="22"/>
      <c r="B577" t="s">
        <v>85</v>
      </c>
      <c r="G577" s="1456" t="s">
        <v>2720</v>
      </c>
      <c r="H577" s="1456"/>
      <c r="I577" s="1456"/>
      <c r="J577" s="1456"/>
      <c r="K577" s="1456"/>
      <c r="L577" s="1456"/>
      <c r="M577" s="1456"/>
      <c r="N577" s="1456"/>
      <c r="O577" s="1456"/>
      <c r="P577" s="1456"/>
      <c r="Q577" s="1456"/>
      <c r="R577" s="1456"/>
      <c r="S577" s="8"/>
      <c r="T577" s="22"/>
      <c r="U577" t="s">
        <v>85</v>
      </c>
      <c r="Z577" s="1456" t="s">
        <v>2720</v>
      </c>
      <c r="AA577" s="1456"/>
      <c r="AB577" s="1456"/>
      <c r="AC577" s="1456"/>
      <c r="AD577" s="1456"/>
      <c r="AE577" s="1456"/>
      <c r="AF577" s="1456"/>
      <c r="AG577" s="1456"/>
      <c r="AH577" s="1456"/>
      <c r="AI577" s="1456"/>
      <c r="AJ577" s="1456"/>
      <c r="AK577" s="1456"/>
      <c r="BB577" s="3"/>
      <c r="BC577" s="3"/>
      <c r="BD577" s="3"/>
      <c r="BE577" s="3"/>
      <c r="BF577" s="3"/>
      <c r="BG577" s="3"/>
      <c r="BH577" s="3"/>
      <c r="BI577" s="3"/>
    </row>
    <row r="578" spans="1:61" ht="13" customHeight="1">
      <c r="A578" s="22"/>
      <c r="B578" t="s">
        <v>580</v>
      </c>
      <c r="G578" s="1456" t="s">
        <v>2721</v>
      </c>
      <c r="H578" s="1456"/>
      <c r="I578" s="1456"/>
      <c r="J578" s="1456"/>
      <c r="K578" s="1456"/>
      <c r="L578" s="1456"/>
      <c r="M578" s="1456"/>
      <c r="N578" s="1456"/>
      <c r="O578" s="1456"/>
      <c r="P578" s="1456"/>
      <c r="Q578" s="1456"/>
      <c r="R578" s="1456"/>
      <c r="T578" s="22"/>
      <c r="U578" t="s">
        <v>580</v>
      </c>
      <c r="Z578" s="1478" t="s">
        <v>2721</v>
      </c>
      <c r="AA578" s="1478"/>
      <c r="AB578" s="1478"/>
      <c r="AC578" s="1478"/>
      <c r="AD578" s="1478"/>
      <c r="AE578" s="1478"/>
      <c r="AF578" s="1478"/>
      <c r="AG578" s="1478"/>
      <c r="AH578" s="1478"/>
      <c r="AI578" s="1478"/>
      <c r="AJ578" s="1478"/>
      <c r="AK578" s="1478"/>
      <c r="BB578" s="3"/>
      <c r="BC578" s="3"/>
      <c r="BD578" s="3"/>
      <c r="BE578" s="3"/>
      <c r="BF578" s="3"/>
      <c r="BG578" s="3"/>
      <c r="BH578" s="3"/>
      <c r="BI578" s="3"/>
    </row>
    <row r="579" spans="1:61" ht="13" customHeight="1">
      <c r="A579" s="22"/>
      <c r="B579" t="s">
        <v>17</v>
      </c>
      <c r="G579" s="1456" t="s">
        <v>2722</v>
      </c>
      <c r="H579" s="1456"/>
      <c r="I579" s="1456"/>
      <c r="J579" s="1456"/>
      <c r="K579" s="1456"/>
      <c r="L579" s="1456"/>
      <c r="M579" s="1456"/>
      <c r="N579" s="1456"/>
      <c r="O579" s="1456"/>
      <c r="P579" s="1456"/>
      <c r="Q579" s="1456"/>
      <c r="R579" s="1456"/>
      <c r="S579" s="8"/>
      <c r="T579" s="22"/>
      <c r="U579" t="s">
        <v>17</v>
      </c>
      <c r="Z579" s="1478" t="s">
        <v>2722</v>
      </c>
      <c r="AA579" s="1478"/>
      <c r="AB579" s="1478"/>
      <c r="AC579" s="1478"/>
      <c r="AD579" s="1478"/>
      <c r="AE579" s="1478"/>
      <c r="AF579" s="1478"/>
      <c r="AG579" s="1478"/>
      <c r="AH579" s="1478"/>
      <c r="AI579" s="1478"/>
      <c r="AJ579" s="1478"/>
      <c r="AK579" s="1478"/>
      <c r="BB579" s="3"/>
      <c r="BC579" s="3"/>
      <c r="BD579" s="3"/>
      <c r="BE579" s="3"/>
      <c r="BF579" s="3"/>
      <c r="BG579" s="3"/>
      <c r="BH579" s="3"/>
      <c r="BI579" s="3"/>
    </row>
    <row r="580" spans="1:61" ht="13" customHeight="1">
      <c r="A580" s="22"/>
      <c r="B580" t="s">
        <v>316</v>
      </c>
      <c r="G580" s="1455" t="s">
        <v>2723</v>
      </c>
      <c r="H580" s="1455"/>
      <c r="I580" s="1455"/>
      <c r="J580" s="1455"/>
      <c r="K580" s="1455"/>
      <c r="L580" s="1455"/>
      <c r="O580" s="33" t="s">
        <v>206</v>
      </c>
      <c r="P580" s="1447"/>
      <c r="Q580" s="1447"/>
      <c r="R580" s="1447"/>
      <c r="S580" s="10"/>
      <c r="T580" s="22"/>
      <c r="U580" t="s">
        <v>316</v>
      </c>
      <c r="Z580" s="1455" t="s">
        <v>2723</v>
      </c>
      <c r="AA580" s="1455"/>
      <c r="AB580" s="1455"/>
      <c r="AC580" s="1455"/>
      <c r="AD580" s="1455"/>
      <c r="AE580" s="1455"/>
      <c r="AH580" s="33" t="s">
        <v>206</v>
      </c>
      <c r="AI580" s="1447"/>
      <c r="AJ580" s="1447"/>
      <c r="AK580" s="1447"/>
      <c r="BB580" s="3"/>
      <c r="BC580" s="3"/>
      <c r="BD580" s="3"/>
      <c r="BE580" s="3"/>
      <c r="BF580" s="3"/>
      <c r="BG580" s="3"/>
      <c r="BH580" s="3"/>
      <c r="BI580" s="3"/>
    </row>
    <row r="581" spans="1:61" ht="13" customHeight="1">
      <c r="A581" s="22"/>
      <c r="B581" t="s">
        <v>18</v>
      </c>
      <c r="H581" s="1490" t="s">
        <v>2726</v>
      </c>
      <c r="I581" s="1456"/>
      <c r="J581" s="1456"/>
      <c r="K581" s="1456"/>
      <c r="L581" s="1456"/>
      <c r="M581" s="1456"/>
      <c r="N581" s="1456"/>
      <c r="O581" s="1456"/>
      <c r="P581" s="1456"/>
      <c r="Q581" s="1456"/>
      <c r="R581" s="1456"/>
      <c r="S581" s="8"/>
      <c r="T581" s="22"/>
      <c r="U581" t="s">
        <v>18</v>
      </c>
      <c r="AA581" s="1456" t="s">
        <v>2726</v>
      </c>
      <c r="AB581" s="1456"/>
      <c r="AC581" s="1456"/>
      <c r="AD581" s="1456"/>
      <c r="AE581" s="1456"/>
      <c r="AF581" s="1456"/>
      <c r="AG581" s="1456"/>
      <c r="AH581" s="1456"/>
      <c r="AI581" s="1456"/>
      <c r="AJ581" s="1456"/>
      <c r="AK581" s="1456"/>
      <c r="BB581" s="3"/>
      <c r="BC581" s="3"/>
      <c r="BD581" s="3"/>
      <c r="BE581" s="3"/>
      <c r="BF581" s="3"/>
      <c r="BG581" s="3"/>
      <c r="BH581" s="3"/>
      <c r="BI581" s="3"/>
    </row>
    <row r="582" spans="1:61" ht="13" customHeight="1">
      <c r="A582" s="22"/>
      <c r="B582" s="320" t="s">
        <v>1184</v>
      </c>
      <c r="H582" s="8"/>
      <c r="I582" s="8"/>
      <c r="J582" s="8"/>
      <c r="K582" s="8"/>
      <c r="L582" s="8"/>
      <c r="M582" s="1695"/>
      <c r="N582" s="1695"/>
      <c r="O582" s="1695"/>
      <c r="P582" s="1695"/>
      <c r="Q582" s="1695"/>
      <c r="R582" s="1695"/>
      <c r="S582" s="8"/>
      <c r="T582" s="22"/>
      <c r="U582" s="320" t="s">
        <v>1184</v>
      </c>
      <c r="AA582" s="8"/>
      <c r="AB582" s="8"/>
      <c r="AC582" s="8"/>
      <c r="AD582" s="8"/>
      <c r="AE582" s="8"/>
      <c r="AF582" s="1695"/>
      <c r="AG582" s="1695"/>
      <c r="AH582" s="1695"/>
      <c r="AI582" s="1695"/>
      <c r="AJ582" s="1695"/>
      <c r="AK582" s="1695"/>
      <c r="BB582" s="3"/>
      <c r="BC582" s="3"/>
      <c r="BD582" s="3"/>
      <c r="BE582" s="3"/>
      <c r="BF582" s="3"/>
      <c r="BG582" s="3"/>
      <c r="BH582" s="3"/>
      <c r="BI582" s="3"/>
    </row>
    <row r="583" spans="1:61" ht="13" customHeight="1">
      <c r="A583" s="22"/>
      <c r="B583" t="s">
        <v>20</v>
      </c>
      <c r="N583" s="1340" t="s">
        <v>545</v>
      </c>
      <c r="O583" s="1340"/>
      <c r="T583" s="22"/>
      <c r="U583" t="s">
        <v>20</v>
      </c>
      <c r="AG583" s="1340" t="s">
        <v>545</v>
      </c>
      <c r="AH583" s="1340"/>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46" t="str">
        <f>C564</f>
        <v>Construction Loan (Taxable)</v>
      </c>
      <c r="H585" s="1446"/>
      <c r="I585" s="1446"/>
      <c r="J585" s="1446"/>
      <c r="K585" s="1446"/>
      <c r="L585" s="1446"/>
      <c r="M585" s="1446"/>
      <c r="N585" s="1446"/>
      <c r="O585" s="1446"/>
      <c r="P585" s="1446"/>
      <c r="Q585" s="1446"/>
      <c r="R585" s="1446"/>
      <c r="T585" s="55" t="s">
        <v>581</v>
      </c>
      <c r="U585" t="s">
        <v>463</v>
      </c>
      <c r="Z585" s="1446" t="str">
        <f>C565</f>
        <v>Federal LIHTC Equity</v>
      </c>
      <c r="AA585" s="1446"/>
      <c r="AB585" s="1446"/>
      <c r="AC585" s="1446"/>
      <c r="AD585" s="1446"/>
      <c r="AE585" s="1446"/>
      <c r="AF585" s="1446"/>
      <c r="AG585" s="1446"/>
      <c r="AH585" s="1446"/>
      <c r="AI585" s="1446"/>
      <c r="AJ585" s="1446"/>
      <c r="AK585" s="1446"/>
      <c r="BB585" s="3"/>
      <c r="BC585" s="3"/>
    </row>
    <row r="586" spans="1:61" ht="13" customHeight="1">
      <c r="A586" s="22"/>
      <c r="B586" t="s">
        <v>85</v>
      </c>
      <c r="G586" s="1456" t="s">
        <v>2720</v>
      </c>
      <c r="H586" s="1456"/>
      <c r="I586" s="1456"/>
      <c r="J586" s="1456"/>
      <c r="K586" s="1456"/>
      <c r="L586" s="1456"/>
      <c r="M586" s="1456"/>
      <c r="N586" s="1456"/>
      <c r="O586" s="1456"/>
      <c r="P586" s="1456"/>
      <c r="Q586" s="1456"/>
      <c r="R586" s="1456"/>
      <c r="T586" s="22"/>
      <c r="U586" t="s">
        <v>85</v>
      </c>
      <c r="Z586" s="1490" t="s">
        <v>2686</v>
      </c>
      <c r="AA586" s="1456"/>
      <c r="AB586" s="1456"/>
      <c r="AC586" s="1456"/>
      <c r="AD586" s="1456"/>
      <c r="AE586" s="1456"/>
      <c r="AF586" s="1456"/>
      <c r="AG586" s="1456"/>
      <c r="AH586" s="1456"/>
      <c r="AI586" s="1456"/>
      <c r="AJ586" s="1456"/>
      <c r="AK586" s="1456"/>
      <c r="BB586" s="3"/>
      <c r="BC586" s="3"/>
    </row>
    <row r="587" spans="1:61" ht="13" customHeight="1">
      <c r="A587" s="22"/>
      <c r="B587" t="s">
        <v>580</v>
      </c>
      <c r="G587" s="1478" t="s">
        <v>2721</v>
      </c>
      <c r="H587" s="1478"/>
      <c r="I587" s="1478"/>
      <c r="J587" s="1478"/>
      <c r="K587" s="1478"/>
      <c r="L587" s="1478"/>
      <c r="M587" s="1478"/>
      <c r="N587" s="1478"/>
      <c r="O587" s="1478"/>
      <c r="P587" s="1478"/>
      <c r="Q587" s="1478"/>
      <c r="R587" s="1478"/>
      <c r="T587" s="22"/>
      <c r="U587" t="s">
        <v>580</v>
      </c>
      <c r="Z587" s="1478" t="s">
        <v>2687</v>
      </c>
      <c r="AA587" s="1478"/>
      <c r="AB587" s="1478"/>
      <c r="AC587" s="1478"/>
      <c r="AD587" s="1478"/>
      <c r="AE587" s="1478"/>
      <c r="AF587" s="1478"/>
      <c r="AG587" s="1478"/>
      <c r="AH587" s="1478"/>
      <c r="AI587" s="1478"/>
      <c r="AJ587" s="1478"/>
      <c r="AK587" s="1478"/>
      <c r="BB587" s="3"/>
      <c r="BC587" s="3"/>
    </row>
    <row r="588" spans="1:61" ht="13" customHeight="1">
      <c r="A588" s="22"/>
      <c r="B588" t="s">
        <v>17</v>
      </c>
      <c r="G588" s="1478" t="s">
        <v>2722</v>
      </c>
      <c r="H588" s="1478"/>
      <c r="I588" s="1478"/>
      <c r="J588" s="1478"/>
      <c r="K588" s="1478"/>
      <c r="L588" s="1478"/>
      <c r="M588" s="1478"/>
      <c r="N588" s="1478"/>
      <c r="O588" s="1478"/>
      <c r="P588" s="1478"/>
      <c r="Q588" s="1478"/>
      <c r="R588" s="1478"/>
      <c r="T588" s="22"/>
      <c r="U588" t="s">
        <v>17</v>
      </c>
      <c r="Z588" s="1478" t="s">
        <v>2709</v>
      </c>
      <c r="AA588" s="1478"/>
      <c r="AB588" s="1478"/>
      <c r="AC588" s="1478"/>
      <c r="AD588" s="1478"/>
      <c r="AE588" s="1478"/>
      <c r="AF588" s="1478"/>
      <c r="AG588" s="1478"/>
      <c r="AH588" s="1478"/>
      <c r="AI588" s="1478"/>
      <c r="AJ588" s="1478"/>
      <c r="AK588" s="1478"/>
      <c r="BB588" s="3"/>
      <c r="BC588" s="3"/>
    </row>
    <row r="589" spans="1:61" ht="13" customHeight="1">
      <c r="A589" s="22"/>
      <c r="B589" t="s">
        <v>316</v>
      </c>
      <c r="G589" s="1455" t="s">
        <v>2723</v>
      </c>
      <c r="H589" s="1455"/>
      <c r="I589" s="1455"/>
      <c r="J589" s="1455"/>
      <c r="K589" s="1455"/>
      <c r="L589" s="1455"/>
      <c r="O589" s="33" t="s">
        <v>206</v>
      </c>
      <c r="P589" s="1447"/>
      <c r="Q589" s="1447"/>
      <c r="R589" s="1447"/>
      <c r="T589" s="22"/>
      <c r="U589" t="s">
        <v>316</v>
      </c>
      <c r="Z589" s="1455" t="s">
        <v>2708</v>
      </c>
      <c r="AA589" s="1455"/>
      <c r="AB589" s="1455"/>
      <c r="AC589" s="1455"/>
      <c r="AD589" s="1455"/>
      <c r="AE589" s="1455"/>
      <c r="AH589" s="33" t="s">
        <v>206</v>
      </c>
      <c r="AI589" s="1447"/>
      <c r="AJ589" s="1447"/>
      <c r="AK589" s="1447"/>
      <c r="BB589" s="3"/>
      <c r="BC589" s="3"/>
    </row>
    <row r="590" spans="1:61" ht="13" customHeight="1">
      <c r="A590" s="22"/>
      <c r="B590" t="s">
        <v>18</v>
      </c>
      <c r="H590" s="1490" t="s">
        <v>2727</v>
      </c>
      <c r="I590" s="1456"/>
      <c r="J590" s="1456"/>
      <c r="K590" s="1456"/>
      <c r="L590" s="1456"/>
      <c r="M590" s="1456"/>
      <c r="N590" s="1456"/>
      <c r="O590" s="1456"/>
      <c r="P590" s="1456"/>
      <c r="Q590" s="1456"/>
      <c r="R590" s="1456"/>
      <c r="T590" s="22"/>
      <c r="U590" t="s">
        <v>18</v>
      </c>
      <c r="AA590" s="1490" t="s">
        <v>2728</v>
      </c>
      <c r="AB590" s="1456"/>
      <c r="AC590" s="1456"/>
      <c r="AD590" s="1456"/>
      <c r="AE590" s="1456"/>
      <c r="AF590" s="1456"/>
      <c r="AG590" s="1456"/>
      <c r="AH590" s="1456"/>
      <c r="AI590" s="1456"/>
      <c r="AJ590" s="1456"/>
      <c r="AK590" s="1456"/>
      <c r="BB590" s="3"/>
      <c r="BC590" s="3"/>
    </row>
    <row r="591" spans="1:61" ht="13" customHeight="1">
      <c r="A591" s="22"/>
      <c r="B591" t="s">
        <v>20</v>
      </c>
      <c r="N591" s="1340" t="s">
        <v>545</v>
      </c>
      <c r="O591" s="1340"/>
      <c r="T591" s="22"/>
      <c r="U591" t="s">
        <v>20</v>
      </c>
      <c r="AG591" s="1340" t="s">
        <v>545</v>
      </c>
      <c r="AH591" s="1340"/>
      <c r="BB591" s="3"/>
      <c r="BC591" s="3"/>
    </row>
    <row r="592" spans="1:61" ht="13" customHeight="1">
      <c r="A592" s="22"/>
      <c r="T592" s="22"/>
      <c r="BB592" s="3"/>
      <c r="BC592" s="3"/>
    </row>
    <row r="593" spans="1:55" ht="13" customHeight="1">
      <c r="A593" s="55" t="s">
        <v>762</v>
      </c>
      <c r="B593" t="s">
        <v>463</v>
      </c>
      <c r="G593" s="1446" t="str">
        <f>C566</f>
        <v>State LIHTC Equity</v>
      </c>
      <c r="H593" s="1446"/>
      <c r="I593" s="1446"/>
      <c r="J593" s="1446"/>
      <c r="K593" s="1446"/>
      <c r="L593" s="1446"/>
      <c r="M593" s="1446"/>
      <c r="N593" s="1446"/>
      <c r="O593" s="1446"/>
      <c r="P593" s="1446"/>
      <c r="Q593" s="1446"/>
      <c r="R593" s="1446"/>
      <c r="T593" s="55" t="s">
        <v>584</v>
      </c>
      <c r="U593" t="s">
        <v>463</v>
      </c>
      <c r="Z593" s="1446" t="str">
        <f>C567</f>
        <v>Deferred Costs</v>
      </c>
      <c r="AA593" s="1446"/>
      <c r="AB593" s="1446"/>
      <c r="AC593" s="1446"/>
      <c r="AD593" s="1446"/>
      <c r="AE593" s="1446"/>
      <c r="AF593" s="1446"/>
      <c r="AG593" s="1446"/>
      <c r="AH593" s="1446"/>
      <c r="AI593" s="1446"/>
      <c r="AJ593" s="1446"/>
      <c r="AK593" s="1446"/>
      <c r="BB593" s="3"/>
      <c r="BC593" s="3"/>
    </row>
    <row r="594" spans="1:55" ht="13" customHeight="1">
      <c r="A594" s="22"/>
      <c r="B594" t="s">
        <v>85</v>
      </c>
      <c r="G594" s="1456" t="s">
        <v>2686</v>
      </c>
      <c r="H594" s="1456"/>
      <c r="I594" s="1456"/>
      <c r="J594" s="1456"/>
      <c r="K594" s="1456"/>
      <c r="L594" s="1456"/>
      <c r="M594" s="1456"/>
      <c r="N594" s="1456"/>
      <c r="O594" s="1456"/>
      <c r="P594" s="1456"/>
      <c r="Q594" s="1456"/>
      <c r="R594" s="1456"/>
      <c r="T594" s="22"/>
      <c r="U594" t="s">
        <v>85</v>
      </c>
      <c r="Z594" s="1490" t="s">
        <v>2729</v>
      </c>
      <c r="AA594" s="1456"/>
      <c r="AB594" s="1456"/>
      <c r="AC594" s="1456"/>
      <c r="AD594" s="1456"/>
      <c r="AE594" s="1456"/>
      <c r="AF594" s="1456"/>
      <c r="AG594" s="1456"/>
      <c r="AH594" s="1456"/>
      <c r="AI594" s="1456"/>
      <c r="AJ594" s="1456"/>
      <c r="AK594" s="1456"/>
      <c r="BB594" s="3"/>
      <c r="BC594" s="3"/>
    </row>
    <row r="595" spans="1:55" ht="13" customHeight="1">
      <c r="A595" s="22"/>
      <c r="B595" t="s">
        <v>580</v>
      </c>
      <c r="G595" s="1456" t="s">
        <v>2687</v>
      </c>
      <c r="H595" s="1456"/>
      <c r="I595" s="1456"/>
      <c r="J595" s="1456"/>
      <c r="K595" s="1456"/>
      <c r="L595" s="1456"/>
      <c r="M595" s="1456"/>
      <c r="N595" s="1456"/>
      <c r="O595" s="1456"/>
      <c r="P595" s="1456"/>
      <c r="Q595" s="1456"/>
      <c r="R595" s="1456"/>
      <c r="T595" s="22"/>
      <c r="U595" t="s">
        <v>580</v>
      </c>
      <c r="Z595" s="1383" t="s">
        <v>2668</v>
      </c>
      <c r="AA595" s="1478"/>
      <c r="AB595" s="1478"/>
      <c r="AC595" s="1478"/>
      <c r="AD595" s="1478"/>
      <c r="AE595" s="1478"/>
      <c r="AF595" s="1478"/>
      <c r="AG595" s="1478"/>
      <c r="AH595" s="1478"/>
      <c r="AI595" s="1478"/>
      <c r="AJ595" s="1478"/>
      <c r="AK595" s="1478"/>
      <c r="BB595" s="3"/>
      <c r="BC595" s="3"/>
    </row>
    <row r="596" spans="1:55" ht="13" customHeight="1">
      <c r="A596" s="22"/>
      <c r="B596" t="s">
        <v>17</v>
      </c>
      <c r="G596" s="1456" t="s">
        <v>2709</v>
      </c>
      <c r="H596" s="1456"/>
      <c r="I596" s="1456"/>
      <c r="J596" s="1456"/>
      <c r="K596" s="1456"/>
      <c r="L596" s="1456"/>
      <c r="M596" s="1456"/>
      <c r="N596" s="1456"/>
      <c r="O596" s="1456"/>
      <c r="P596" s="1456"/>
      <c r="Q596" s="1456"/>
      <c r="R596" s="1456"/>
      <c r="T596" s="22"/>
      <c r="U596" t="s">
        <v>17</v>
      </c>
      <c r="Z596" s="1383" t="s">
        <v>2670</v>
      </c>
      <c r="AA596" s="1478"/>
      <c r="AB596" s="1478"/>
      <c r="AC596" s="1478"/>
      <c r="AD596" s="1478"/>
      <c r="AE596" s="1478"/>
      <c r="AF596" s="1478"/>
      <c r="AG596" s="1478"/>
      <c r="AH596" s="1478"/>
      <c r="AI596" s="1478"/>
      <c r="AJ596" s="1478"/>
      <c r="AK596" s="1478"/>
    </row>
    <row r="597" spans="1:55" ht="13" customHeight="1">
      <c r="A597" s="22"/>
      <c r="B597" t="s">
        <v>316</v>
      </c>
      <c r="G597" s="1455" t="s">
        <v>2708</v>
      </c>
      <c r="H597" s="1455"/>
      <c r="I597" s="1455"/>
      <c r="J597" s="1455"/>
      <c r="K597" s="1455"/>
      <c r="L597" s="1455"/>
      <c r="O597" s="33" t="s">
        <v>206</v>
      </c>
      <c r="P597" s="1447"/>
      <c r="Q597" s="1447"/>
      <c r="R597" s="1447"/>
      <c r="T597" s="22"/>
      <c r="U597" t="s">
        <v>316</v>
      </c>
      <c r="Z597" s="1480" t="s">
        <v>2706</v>
      </c>
      <c r="AA597" s="1455"/>
      <c r="AB597" s="1455"/>
      <c r="AC597" s="1455"/>
      <c r="AD597" s="1455"/>
      <c r="AE597" s="1455"/>
      <c r="AH597" s="33" t="s">
        <v>206</v>
      </c>
      <c r="AI597" s="1447"/>
      <c r="AJ597" s="1447"/>
      <c r="AK597" s="1447"/>
      <c r="AZ597" s="3"/>
      <c r="BA597" s="3"/>
      <c r="BB597" s="3"/>
      <c r="BC597" s="3"/>
    </row>
    <row r="598" spans="1:55" ht="13" customHeight="1">
      <c r="A598" s="22"/>
      <c r="B598" t="s">
        <v>18</v>
      </c>
      <c r="H598" s="1456" t="s">
        <v>2728</v>
      </c>
      <c r="I598" s="1456"/>
      <c r="J598" s="1456"/>
      <c r="K598" s="1456"/>
      <c r="L598" s="1456"/>
      <c r="M598" s="1456"/>
      <c r="N598" s="1456"/>
      <c r="O598" s="1456"/>
      <c r="P598" s="1456"/>
      <c r="Q598" s="1456"/>
      <c r="R598" s="1456"/>
      <c r="T598" s="22"/>
      <c r="U598" t="s">
        <v>18</v>
      </c>
      <c r="AA598" s="1490" t="s">
        <v>2719</v>
      </c>
      <c r="AB598" s="1456"/>
      <c r="AC598" s="1456"/>
      <c r="AD598" s="1456"/>
      <c r="AE598" s="1456"/>
      <c r="AF598" s="1456"/>
      <c r="AG598" s="1456"/>
      <c r="AH598" s="1456"/>
      <c r="AI598" s="1456"/>
      <c r="AJ598" s="1456"/>
      <c r="AK598" s="1456"/>
      <c r="AZ598" s="3"/>
      <c r="BA598" s="3"/>
      <c r="BB598" s="3"/>
      <c r="BC598" s="3"/>
    </row>
    <row r="599" spans="1:55" ht="13" customHeight="1">
      <c r="A599" s="22"/>
      <c r="B599" t="s">
        <v>20</v>
      </c>
      <c r="N599" s="1340" t="s">
        <v>545</v>
      </c>
      <c r="O599" s="1340"/>
      <c r="T599" s="22"/>
      <c r="U599" t="s">
        <v>20</v>
      </c>
      <c r="AG599" s="1340" t="s">
        <v>545</v>
      </c>
      <c r="AH599" s="1340"/>
      <c r="AZ599" s="3"/>
      <c r="BA599" s="3"/>
      <c r="BB599" s="3"/>
      <c r="BC599" s="3"/>
    </row>
    <row r="600" spans="1:55" ht="13" customHeight="1">
      <c r="A600" s="22"/>
      <c r="T600" s="22"/>
      <c r="AZ600" s="3"/>
      <c r="BA600" s="3"/>
      <c r="BB600" s="3"/>
      <c r="BC600" s="3"/>
    </row>
    <row r="601" spans="1:55" ht="13" customHeight="1">
      <c r="A601" s="55" t="s">
        <v>455</v>
      </c>
      <c r="B601" t="s">
        <v>463</v>
      </c>
      <c r="G601" s="1446">
        <f>C568</f>
        <v>0</v>
      </c>
      <c r="H601" s="1446"/>
      <c r="I601" s="1446"/>
      <c r="J601" s="1446"/>
      <c r="K601" s="1446"/>
      <c r="L601" s="1446"/>
      <c r="M601" s="1446"/>
      <c r="N601" s="1446"/>
      <c r="O601" s="1446"/>
      <c r="P601" s="1446"/>
      <c r="Q601" s="1446"/>
      <c r="R601" s="1446"/>
      <c r="T601" s="55" t="s">
        <v>456</v>
      </c>
      <c r="U601" t="s">
        <v>463</v>
      </c>
      <c r="Z601" s="1446">
        <f>C569</f>
        <v>0</v>
      </c>
      <c r="AA601" s="1446"/>
      <c r="AB601" s="1446"/>
      <c r="AC601" s="1446"/>
      <c r="AD601" s="1446"/>
      <c r="AE601" s="1446"/>
      <c r="AF601" s="1446"/>
      <c r="AG601" s="1446"/>
      <c r="AH601" s="1446"/>
      <c r="AI601" s="1446"/>
      <c r="AJ601" s="1446"/>
      <c r="AK601" s="1446"/>
      <c r="AZ601" s="3"/>
      <c r="BA601" s="3"/>
      <c r="BB601" s="3"/>
      <c r="BC601" s="3"/>
    </row>
    <row r="602" spans="1:55" s="4" customFormat="1" ht="13" customHeight="1">
      <c r="A602" s="22"/>
      <c r="B602" t="s">
        <v>85</v>
      </c>
      <c r="C602"/>
      <c r="D602"/>
      <c r="E602"/>
      <c r="F602"/>
      <c r="G602" s="1456"/>
      <c r="H602" s="1456"/>
      <c r="I602" s="1456"/>
      <c r="J602" s="1456"/>
      <c r="K602" s="1456"/>
      <c r="L602" s="1456"/>
      <c r="M602" s="1456"/>
      <c r="N602" s="1456"/>
      <c r="O602" s="1456"/>
      <c r="P602" s="1456"/>
      <c r="Q602" s="1456"/>
      <c r="R602" s="1456"/>
      <c r="S602"/>
      <c r="T602" s="22"/>
      <c r="U602" t="s">
        <v>85</v>
      </c>
      <c r="V602"/>
      <c r="W602"/>
      <c r="X602"/>
      <c r="Y602"/>
      <c r="Z602" s="1456"/>
      <c r="AA602" s="1456"/>
      <c r="AB602" s="1456"/>
      <c r="AC602" s="1456"/>
      <c r="AD602" s="1456"/>
      <c r="AE602" s="1456"/>
      <c r="AF602" s="1456"/>
      <c r="AG602" s="1456"/>
      <c r="AH602" s="1456"/>
      <c r="AI602" s="1456"/>
      <c r="AJ602" s="1456"/>
      <c r="AK602" s="1456"/>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56"/>
      <c r="H603" s="1456"/>
      <c r="I603" s="1456"/>
      <c r="J603" s="1456"/>
      <c r="K603" s="1456"/>
      <c r="L603" s="1456"/>
      <c r="M603" s="1456"/>
      <c r="N603" s="1456"/>
      <c r="O603" s="1456"/>
      <c r="P603" s="1456"/>
      <c r="Q603" s="1456"/>
      <c r="R603" s="1456"/>
      <c r="S603"/>
      <c r="T603" s="22"/>
      <c r="U603" t="s">
        <v>580</v>
      </c>
      <c r="V603"/>
      <c r="W603"/>
      <c r="X603"/>
      <c r="Y603"/>
      <c r="Z603" s="1478"/>
      <c r="AA603" s="1478"/>
      <c r="AB603" s="1478"/>
      <c r="AC603" s="1478"/>
      <c r="AD603" s="1478"/>
      <c r="AE603" s="1478"/>
      <c r="AF603" s="1478"/>
      <c r="AG603" s="1478"/>
      <c r="AH603" s="1478"/>
      <c r="AI603" s="1478"/>
      <c r="AJ603" s="1478"/>
      <c r="AK603" s="1478"/>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56"/>
      <c r="H604" s="1456"/>
      <c r="I604" s="1456"/>
      <c r="J604" s="1456"/>
      <c r="K604" s="1456"/>
      <c r="L604" s="1456"/>
      <c r="M604" s="1456"/>
      <c r="N604" s="1456"/>
      <c r="O604" s="1456"/>
      <c r="P604" s="1456"/>
      <c r="Q604" s="1456"/>
      <c r="R604" s="1456"/>
      <c r="S604"/>
      <c r="T604" s="22"/>
      <c r="U604" t="s">
        <v>17</v>
      </c>
      <c r="V604"/>
      <c r="W604"/>
      <c r="X604"/>
      <c r="Y604"/>
      <c r="Z604" s="1478"/>
      <c r="AA604" s="1478"/>
      <c r="AB604" s="1478"/>
      <c r="AC604" s="1478"/>
      <c r="AD604" s="1478"/>
      <c r="AE604" s="1478"/>
      <c r="AF604" s="1478"/>
      <c r="AG604" s="1478"/>
      <c r="AH604" s="1478"/>
      <c r="AI604" s="1478"/>
      <c r="AJ604" s="1478"/>
      <c r="AK604" s="1478"/>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55"/>
      <c r="H605" s="1455"/>
      <c r="I605" s="1455"/>
      <c r="J605" s="1455"/>
      <c r="K605" s="1455"/>
      <c r="L605" s="1455"/>
      <c r="M605"/>
      <c r="N605"/>
      <c r="O605" s="33" t="s">
        <v>206</v>
      </c>
      <c r="P605" s="1447"/>
      <c r="Q605" s="1447"/>
      <c r="R605" s="1447"/>
      <c r="S605"/>
      <c r="T605" s="22"/>
      <c r="U605" t="s">
        <v>316</v>
      </c>
      <c r="V605"/>
      <c r="W605"/>
      <c r="X605"/>
      <c r="Y605"/>
      <c r="Z605" s="1455"/>
      <c r="AA605" s="1455"/>
      <c r="AB605" s="1455"/>
      <c r="AC605" s="1455"/>
      <c r="AD605" s="1455"/>
      <c r="AE605" s="1455"/>
      <c r="AF605"/>
      <c r="AG605"/>
      <c r="AH605" s="33" t="s">
        <v>206</v>
      </c>
      <c r="AI605" s="1447"/>
      <c r="AJ605" s="1447"/>
      <c r="AK605" s="1447"/>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56"/>
      <c r="I606" s="1456"/>
      <c r="J606" s="1456"/>
      <c r="K606" s="1456"/>
      <c r="L606" s="1456"/>
      <c r="M606" s="1456"/>
      <c r="N606" s="1456"/>
      <c r="O606" s="1456"/>
      <c r="P606" s="1456"/>
      <c r="Q606" s="1456"/>
      <c r="R606" s="1456"/>
      <c r="S606"/>
      <c r="T606" s="22"/>
      <c r="U606" t="s">
        <v>18</v>
      </c>
      <c r="V606"/>
      <c r="W606"/>
      <c r="X606"/>
      <c r="Y606"/>
      <c r="Z606"/>
      <c r="AA606" s="1456"/>
      <c r="AB606" s="1456"/>
      <c r="AC606" s="1456"/>
      <c r="AD606" s="1456"/>
      <c r="AE606" s="1456"/>
      <c r="AF606" s="1456"/>
      <c r="AG606" s="1456"/>
      <c r="AH606" s="1456"/>
      <c r="AI606" s="1456"/>
      <c r="AJ606" s="1456"/>
      <c r="AK606" s="1456"/>
      <c r="AL606"/>
      <c r="AM606"/>
      <c r="AN606"/>
      <c r="AO606"/>
      <c r="AP606"/>
      <c r="AQ606"/>
      <c r="AR606"/>
      <c r="AS606"/>
      <c r="AT606"/>
      <c r="AU606"/>
      <c r="AV606"/>
      <c r="AW606"/>
      <c r="AX606"/>
      <c r="AY606"/>
      <c r="BB606" s="3"/>
      <c r="BC606" s="3"/>
    </row>
    <row r="607" spans="1:55" ht="13" customHeight="1">
      <c r="A607" s="22"/>
      <c r="B607" t="s">
        <v>20</v>
      </c>
      <c r="N607" s="1340" t="s">
        <v>668</v>
      </c>
      <c r="O607" s="1340"/>
      <c r="T607" s="22"/>
      <c r="U607" t="s">
        <v>20</v>
      </c>
      <c r="AG607" s="1340" t="s">
        <v>668</v>
      </c>
      <c r="AH607" s="1340"/>
      <c r="BB607" s="3"/>
      <c r="BC607" s="3"/>
    </row>
    <row r="608" spans="1:55" ht="13" customHeight="1">
      <c r="A608" s="22"/>
      <c r="T608" s="22"/>
      <c r="BB608" s="3"/>
      <c r="BC608" s="3"/>
    </row>
    <row r="609" spans="1:55" ht="13" customHeight="1">
      <c r="A609" s="55" t="s">
        <v>461</v>
      </c>
      <c r="B609" t="s">
        <v>463</v>
      </c>
      <c r="G609" s="1446">
        <f>C570</f>
        <v>0</v>
      </c>
      <c r="H609" s="1446"/>
      <c r="I609" s="1446"/>
      <c r="J609" s="1446"/>
      <c r="K609" s="1446"/>
      <c r="L609" s="1446"/>
      <c r="M609" s="1446"/>
      <c r="N609" s="1446"/>
      <c r="O609" s="1446"/>
      <c r="P609" s="1446"/>
      <c r="Q609" s="1446"/>
      <c r="R609" s="1446"/>
      <c r="T609" s="55" t="s">
        <v>645</v>
      </c>
      <c r="U609" t="s">
        <v>463</v>
      </c>
      <c r="Z609" s="1446">
        <f>C571</f>
        <v>0</v>
      </c>
      <c r="AA609" s="1446"/>
      <c r="AB609" s="1446"/>
      <c r="AC609" s="1446"/>
      <c r="AD609" s="1446"/>
      <c r="AE609" s="1446"/>
      <c r="AF609" s="1446"/>
      <c r="AG609" s="1446"/>
      <c r="AH609" s="1446"/>
      <c r="AI609" s="1446"/>
      <c r="AJ609" s="1446"/>
      <c r="AK609" s="1446"/>
      <c r="BB609" s="3"/>
      <c r="BC609" s="3"/>
    </row>
    <row r="610" spans="1:55" ht="13" customHeight="1">
      <c r="A610" s="22"/>
      <c r="B610" t="s">
        <v>85</v>
      </c>
      <c r="G610" s="1456"/>
      <c r="H610" s="1456"/>
      <c r="I610" s="1456"/>
      <c r="J610" s="1456"/>
      <c r="K610" s="1456"/>
      <c r="L610" s="1456"/>
      <c r="M610" s="1456"/>
      <c r="N610" s="1456"/>
      <c r="O610" s="1456"/>
      <c r="P610" s="1456"/>
      <c r="Q610" s="1456"/>
      <c r="R610" s="1456"/>
      <c r="T610" s="22"/>
      <c r="U610" t="s">
        <v>85</v>
      </c>
      <c r="Z610" s="1456"/>
      <c r="AA610" s="1456"/>
      <c r="AB610" s="1456"/>
      <c r="AC610" s="1456"/>
      <c r="AD610" s="1456"/>
      <c r="AE610" s="1456"/>
      <c r="AF610" s="1456"/>
      <c r="AG610" s="1456"/>
      <c r="AH610" s="1456"/>
      <c r="AI610" s="1456"/>
      <c r="AJ610" s="1456"/>
      <c r="AK610" s="1456"/>
      <c r="AZ610" s="3"/>
      <c r="BA610" s="3"/>
      <c r="BB610" s="3"/>
      <c r="BC610" s="3"/>
    </row>
    <row r="611" spans="1:55" ht="13" customHeight="1">
      <c r="A611" s="22"/>
      <c r="B611" t="s">
        <v>580</v>
      </c>
      <c r="G611" s="1456"/>
      <c r="H611" s="1456"/>
      <c r="I611" s="1456"/>
      <c r="J611" s="1456"/>
      <c r="K611" s="1456"/>
      <c r="L611" s="1456"/>
      <c r="M611" s="1456"/>
      <c r="N611" s="1456"/>
      <c r="O611" s="1456"/>
      <c r="P611" s="1456"/>
      <c r="Q611" s="1456"/>
      <c r="R611" s="1456"/>
      <c r="T611" s="22"/>
      <c r="U611" t="s">
        <v>580</v>
      </c>
      <c r="Z611" s="1478"/>
      <c r="AA611" s="1478"/>
      <c r="AB611" s="1478"/>
      <c r="AC611" s="1478"/>
      <c r="AD611" s="1478"/>
      <c r="AE611" s="1478"/>
      <c r="AF611" s="1478"/>
      <c r="AG611" s="1478"/>
      <c r="AH611" s="1478"/>
      <c r="AI611" s="1478"/>
      <c r="AJ611" s="1478"/>
      <c r="AK611" s="1478"/>
      <c r="AZ611" s="3"/>
      <c r="BA611" s="3"/>
      <c r="BB611" s="3"/>
      <c r="BC611" s="3"/>
    </row>
    <row r="612" spans="1:55" ht="13" customHeight="1">
      <c r="A612" s="22"/>
      <c r="B612" t="s">
        <v>17</v>
      </c>
      <c r="G612" s="1456"/>
      <c r="H612" s="1456"/>
      <c r="I612" s="1456"/>
      <c r="J612" s="1456"/>
      <c r="K612" s="1456"/>
      <c r="L612" s="1456"/>
      <c r="M612" s="1456"/>
      <c r="N612" s="1456"/>
      <c r="O612" s="1456"/>
      <c r="P612" s="1456"/>
      <c r="Q612" s="1456"/>
      <c r="R612" s="1456"/>
      <c r="T612" s="22"/>
      <c r="U612" t="s">
        <v>17</v>
      </c>
      <c r="Z612" s="1478"/>
      <c r="AA612" s="1478"/>
      <c r="AB612" s="1478"/>
      <c r="AC612" s="1478"/>
      <c r="AD612" s="1478"/>
      <c r="AE612" s="1478"/>
      <c r="AF612" s="1478"/>
      <c r="AG612" s="1478"/>
      <c r="AH612" s="1478"/>
      <c r="AI612" s="1478"/>
      <c r="AJ612" s="1478"/>
      <c r="AK612" s="1478"/>
      <c r="AZ612" s="3"/>
      <c r="BA612" s="3"/>
      <c r="BB612" s="3"/>
      <c r="BC612" s="3"/>
    </row>
    <row r="613" spans="1:55" s="4" customFormat="1" ht="13" customHeight="1">
      <c r="A613" s="22"/>
      <c r="B613" t="s">
        <v>316</v>
      </c>
      <c r="C613"/>
      <c r="D613"/>
      <c r="E613"/>
      <c r="F613"/>
      <c r="G613" s="1455"/>
      <c r="H613" s="1455"/>
      <c r="I613" s="1455"/>
      <c r="J613" s="1455"/>
      <c r="K613" s="1455"/>
      <c r="L613" s="1455"/>
      <c r="M613"/>
      <c r="N613"/>
      <c r="O613" s="33" t="s">
        <v>206</v>
      </c>
      <c r="P613" s="1447"/>
      <c r="Q613" s="1447"/>
      <c r="R613" s="1447"/>
      <c r="S613"/>
      <c r="T613" s="22"/>
      <c r="U613" t="s">
        <v>316</v>
      </c>
      <c r="V613"/>
      <c r="W613"/>
      <c r="X613"/>
      <c r="Y613"/>
      <c r="Z613" s="1455"/>
      <c r="AA613" s="1455"/>
      <c r="AB613" s="1455"/>
      <c r="AC613" s="1455"/>
      <c r="AD613" s="1455"/>
      <c r="AE613" s="1455"/>
      <c r="AF613"/>
      <c r="AG613"/>
      <c r="AH613" s="33" t="s">
        <v>206</v>
      </c>
      <c r="AI613" s="1447"/>
      <c r="AJ613" s="1447"/>
      <c r="AK613" s="1447"/>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56"/>
      <c r="I614" s="1456"/>
      <c r="J614" s="1456"/>
      <c r="K614" s="1456"/>
      <c r="L614" s="1456"/>
      <c r="M614" s="1456"/>
      <c r="N614" s="1456"/>
      <c r="O614" s="1456"/>
      <c r="P614" s="1456"/>
      <c r="Q614" s="1456"/>
      <c r="R614" s="1456"/>
      <c r="S614"/>
      <c r="T614" s="22"/>
      <c r="U614" t="s">
        <v>18</v>
      </c>
      <c r="V614"/>
      <c r="W614"/>
      <c r="X614"/>
      <c r="Y614"/>
      <c r="Z614"/>
      <c r="AA614" s="1456"/>
      <c r="AB614" s="1456"/>
      <c r="AC614" s="1456"/>
      <c r="AD614" s="1456"/>
      <c r="AE614" s="1456"/>
      <c r="AF614" s="1456"/>
      <c r="AG614" s="1456"/>
      <c r="AH614" s="1456"/>
      <c r="AI614" s="1456"/>
      <c r="AJ614" s="1456"/>
      <c r="AK614" s="1456"/>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40" t="s">
        <v>668</v>
      </c>
      <c r="O615" s="1340"/>
      <c r="P615"/>
      <c r="Q615"/>
      <c r="R615"/>
      <c r="S615"/>
      <c r="T615" s="22"/>
      <c r="U615" t="s">
        <v>20</v>
      </c>
      <c r="V615"/>
      <c r="W615"/>
      <c r="X615"/>
      <c r="Y615"/>
      <c r="Z615"/>
      <c r="AA615"/>
      <c r="AB615"/>
      <c r="AC615"/>
      <c r="AD615"/>
      <c r="AE615"/>
      <c r="AF615"/>
      <c r="AG615" s="1340" t="s">
        <v>668</v>
      </c>
      <c r="AH615" s="1340"/>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46">
        <f>C572</f>
        <v>0</v>
      </c>
      <c r="H617" s="1446"/>
      <c r="I617" s="1446"/>
      <c r="J617" s="1446"/>
      <c r="K617" s="1446"/>
      <c r="L617" s="1446"/>
      <c r="M617" s="1446"/>
      <c r="N617" s="1446"/>
      <c r="O617" s="1446"/>
      <c r="P617" s="1446"/>
      <c r="Q617" s="1446"/>
      <c r="R617" s="1446"/>
      <c r="T617" s="55" t="s">
        <v>363</v>
      </c>
      <c r="U617" t="s">
        <v>463</v>
      </c>
      <c r="Z617" s="1446">
        <f>C573</f>
        <v>0</v>
      </c>
      <c r="AA617" s="1446"/>
      <c r="AB617" s="1446"/>
      <c r="AC617" s="1446"/>
      <c r="AD617" s="1446"/>
      <c r="AE617" s="1446"/>
      <c r="AF617" s="1446"/>
      <c r="AG617" s="1446"/>
      <c r="AH617" s="1446"/>
      <c r="AI617" s="1446"/>
      <c r="AJ617" s="1446"/>
      <c r="AK617" s="1446"/>
      <c r="AZ617" s="3"/>
      <c r="BA617" s="3"/>
      <c r="BB617" s="3"/>
      <c r="BC617" s="3"/>
    </row>
    <row r="618" spans="1:55" ht="13" customHeight="1">
      <c r="B618" t="s">
        <v>85</v>
      </c>
      <c r="G618" s="1456"/>
      <c r="H618" s="1456"/>
      <c r="I618" s="1456"/>
      <c r="J618" s="1456"/>
      <c r="K618" s="1456"/>
      <c r="L618" s="1456"/>
      <c r="M618" s="1456"/>
      <c r="N618" s="1456"/>
      <c r="O618" s="1456"/>
      <c r="P618" s="1456"/>
      <c r="Q618" s="1456"/>
      <c r="R618" s="1456"/>
      <c r="U618" t="s">
        <v>85</v>
      </c>
      <c r="Z618" s="1456"/>
      <c r="AA618" s="1456"/>
      <c r="AB618" s="1456"/>
      <c r="AC618" s="1456"/>
      <c r="AD618" s="1456"/>
      <c r="AE618" s="1456"/>
      <c r="AF618" s="1456"/>
      <c r="AG618" s="1456"/>
      <c r="AH618" s="1456"/>
      <c r="AI618" s="1456"/>
      <c r="AJ618" s="1456"/>
      <c r="AK618" s="1456"/>
      <c r="AZ618" s="3"/>
      <c r="BA618" s="3"/>
      <c r="BB618" s="3"/>
      <c r="BC618" s="3"/>
    </row>
    <row r="619" spans="1:55" ht="13" customHeight="1">
      <c r="B619" t="s">
        <v>580</v>
      </c>
      <c r="G619" s="1456"/>
      <c r="H619" s="1456"/>
      <c r="I619" s="1456"/>
      <c r="J619" s="1456"/>
      <c r="K619" s="1456"/>
      <c r="L619" s="1456"/>
      <c r="M619" s="1456"/>
      <c r="N619" s="1456"/>
      <c r="O619" s="1456"/>
      <c r="P619" s="1456"/>
      <c r="Q619" s="1456"/>
      <c r="R619" s="1456"/>
      <c r="U619" t="s">
        <v>580</v>
      </c>
      <c r="Z619" s="1478"/>
      <c r="AA619" s="1478"/>
      <c r="AB619" s="1478"/>
      <c r="AC619" s="1478"/>
      <c r="AD619" s="1478"/>
      <c r="AE619" s="1478"/>
      <c r="AF619" s="1478"/>
      <c r="AG619" s="1478"/>
      <c r="AH619" s="1478"/>
      <c r="AI619" s="1478"/>
      <c r="AJ619" s="1478"/>
      <c r="AK619" s="1478"/>
      <c r="AZ619" s="3"/>
      <c r="BA619" s="3"/>
      <c r="BB619" s="3"/>
      <c r="BC619" s="3"/>
    </row>
    <row r="620" spans="1:55" ht="13" customHeight="1">
      <c r="B620" t="s">
        <v>17</v>
      </c>
      <c r="G620" s="1456"/>
      <c r="H620" s="1456"/>
      <c r="I620" s="1456"/>
      <c r="J620" s="1456"/>
      <c r="K620" s="1456"/>
      <c r="L620" s="1456"/>
      <c r="M620" s="1456"/>
      <c r="N620" s="1456"/>
      <c r="O620" s="1456"/>
      <c r="P620" s="1456"/>
      <c r="Q620" s="1456"/>
      <c r="R620" s="1456"/>
      <c r="U620" t="s">
        <v>17</v>
      </c>
      <c r="Z620" s="1478"/>
      <c r="AA620" s="1478"/>
      <c r="AB620" s="1478"/>
      <c r="AC620" s="1478"/>
      <c r="AD620" s="1478"/>
      <c r="AE620" s="1478"/>
      <c r="AF620" s="1478"/>
      <c r="AG620" s="1478"/>
      <c r="AH620" s="1478"/>
      <c r="AI620" s="1478"/>
      <c r="AJ620" s="1478"/>
      <c r="AK620" s="1478"/>
      <c r="AZ620" s="3"/>
      <c r="BA620" s="3"/>
      <c r="BB620" s="3"/>
      <c r="BC620" s="3"/>
    </row>
    <row r="621" spans="1:55" ht="13" customHeight="1">
      <c r="B621" t="s">
        <v>316</v>
      </c>
      <c r="G621" s="1455"/>
      <c r="H621" s="1455"/>
      <c r="I621" s="1455"/>
      <c r="J621" s="1455"/>
      <c r="K621" s="1455"/>
      <c r="L621" s="1455"/>
      <c r="O621" s="33" t="s">
        <v>206</v>
      </c>
      <c r="P621" s="1447"/>
      <c r="Q621" s="1447"/>
      <c r="R621" s="1447"/>
      <c r="U621" t="s">
        <v>316</v>
      </c>
      <c r="Z621" s="1455"/>
      <c r="AA621" s="1455"/>
      <c r="AB621" s="1455"/>
      <c r="AC621" s="1455"/>
      <c r="AD621" s="1455"/>
      <c r="AE621" s="1455"/>
      <c r="AH621" s="33" t="s">
        <v>206</v>
      </c>
      <c r="AI621" s="1447"/>
      <c r="AJ621" s="1447"/>
      <c r="AK621" s="1447"/>
      <c r="AZ621" s="3"/>
      <c r="BA621" s="3"/>
      <c r="BB621" s="3"/>
      <c r="BC621" s="3"/>
    </row>
    <row r="622" spans="1:55" ht="13" customHeight="1">
      <c r="B622" t="s">
        <v>18</v>
      </c>
      <c r="H622" s="1456"/>
      <c r="I622" s="1456"/>
      <c r="J622" s="1456"/>
      <c r="K622" s="1456"/>
      <c r="L622" s="1456"/>
      <c r="M622" s="1456"/>
      <c r="N622" s="1456"/>
      <c r="O622" s="1456"/>
      <c r="P622" s="1456"/>
      <c r="Q622" s="1456"/>
      <c r="R622" s="1456"/>
      <c r="U622" t="s">
        <v>18</v>
      </c>
      <c r="AA622" s="1456"/>
      <c r="AB622" s="1456"/>
      <c r="AC622" s="1456"/>
      <c r="AD622" s="1456"/>
      <c r="AE622" s="1456"/>
      <c r="AF622" s="1456"/>
      <c r="AG622" s="1456"/>
      <c r="AH622" s="1456"/>
      <c r="AI622" s="1456"/>
      <c r="AJ622" s="1456"/>
      <c r="AK622" s="1456"/>
      <c r="AU622" s="895"/>
      <c r="AV622" s="895"/>
      <c r="AW622" s="895"/>
      <c r="AX622" s="895"/>
      <c r="AY622" s="895"/>
      <c r="AZ622" s="3"/>
      <c r="BA622" s="3"/>
      <c r="BB622" s="3"/>
      <c r="BC622" s="3"/>
    </row>
    <row r="623" spans="1:55" ht="13" customHeight="1">
      <c r="B623" t="s">
        <v>20</v>
      </c>
      <c r="N623" s="1340" t="s">
        <v>668</v>
      </c>
      <c r="O623" s="1340"/>
      <c r="U623" t="s">
        <v>20</v>
      </c>
      <c r="AG623" s="1340" t="s">
        <v>668</v>
      </c>
      <c r="AH623" s="1340"/>
      <c r="AU623" s="895"/>
      <c r="AV623" s="895"/>
      <c r="AW623" s="895"/>
      <c r="AX623" s="895"/>
      <c r="AY623" s="895"/>
      <c r="AZ623" s="3"/>
      <c r="BA623" s="3"/>
      <c r="BB623" s="3"/>
      <c r="BC623" s="3"/>
    </row>
    <row r="624" spans="1:55" ht="13" customHeight="1">
      <c r="AZ624" s="3"/>
      <c r="BA624" s="3"/>
      <c r="BB624" s="3"/>
      <c r="BC624" s="3"/>
    </row>
    <row r="625" spans="1:56" ht="13" customHeight="1">
      <c r="A625" s="1326" t="s">
        <v>544</v>
      </c>
      <c r="B625" s="1326"/>
      <c r="C625" s="1326"/>
      <c r="D625" s="1326"/>
      <c r="E625" s="1326"/>
      <c r="F625" s="1326"/>
      <c r="G625" s="1326"/>
      <c r="H625" s="1326"/>
      <c r="I625" s="1326"/>
      <c r="J625" s="1326"/>
      <c r="K625" s="1326"/>
      <c r="L625" s="1326"/>
      <c r="M625" s="1326"/>
      <c r="N625" s="1326"/>
      <c r="O625" s="1326"/>
      <c r="P625" s="1326"/>
      <c r="Q625" s="1326"/>
      <c r="R625" s="1326"/>
      <c r="S625" s="1326"/>
      <c r="T625" s="1326"/>
      <c r="U625" s="1326"/>
      <c r="V625" s="1326"/>
      <c r="W625" s="1326"/>
      <c r="X625" s="1326"/>
      <c r="Y625" s="1326"/>
      <c r="Z625" s="1326"/>
      <c r="AA625" s="1326"/>
      <c r="AB625" s="1326"/>
      <c r="AC625" s="1326"/>
      <c r="AD625" s="1326"/>
      <c r="AE625" s="1326"/>
      <c r="AF625" s="1326"/>
      <c r="AG625" s="1326"/>
      <c r="AH625" s="1326"/>
      <c r="AI625" s="1326"/>
      <c r="AJ625" s="1326"/>
      <c r="AK625" s="1326"/>
      <c r="AL625" s="1326"/>
      <c r="AM625" s="1326"/>
      <c r="AN625" s="1326"/>
      <c r="AO625" s="1326"/>
      <c r="AP625" s="1326"/>
      <c r="AQ625" s="1326"/>
      <c r="AR625" s="1326"/>
      <c r="AS625" s="1326"/>
      <c r="AT625" s="1326"/>
      <c r="AZ625" s="3"/>
      <c r="BA625" s="3"/>
      <c r="BB625" s="3"/>
      <c r="BC625" s="3"/>
    </row>
    <row r="626" spans="1:56" ht="13" customHeight="1">
      <c r="A626" s="1326"/>
      <c r="B626" s="1326"/>
      <c r="C626" s="1326"/>
      <c r="D626" s="1326"/>
      <c r="E626" s="1326"/>
      <c r="F626" s="1326"/>
      <c r="G626" s="1326"/>
      <c r="H626" s="1326"/>
      <c r="I626" s="1326"/>
      <c r="J626" s="1326"/>
      <c r="K626" s="1326"/>
      <c r="L626" s="1326"/>
      <c r="M626" s="1326"/>
      <c r="N626" s="1326"/>
      <c r="O626" s="1326"/>
      <c r="P626" s="1326"/>
      <c r="Q626" s="1326"/>
      <c r="R626" s="1326"/>
      <c r="S626" s="1326"/>
      <c r="T626" s="1326"/>
      <c r="U626" s="1326"/>
      <c r="V626" s="1326"/>
      <c r="W626" s="1326"/>
      <c r="X626" s="1326"/>
      <c r="Y626" s="1326"/>
      <c r="Z626" s="1326"/>
      <c r="AA626" s="1326"/>
      <c r="AB626" s="1326"/>
      <c r="AC626" s="1326"/>
      <c r="AD626" s="1326"/>
      <c r="AE626" s="1326"/>
      <c r="AF626" s="1326"/>
      <c r="AG626" s="1326"/>
      <c r="AH626" s="1326"/>
      <c r="AI626" s="1326"/>
      <c r="AJ626" s="1326"/>
      <c r="AK626" s="1326"/>
      <c r="AL626" s="1326"/>
      <c r="AM626" s="1326"/>
      <c r="AN626" s="1326"/>
      <c r="AO626" s="1326"/>
      <c r="AP626" s="1326"/>
      <c r="AQ626" s="1326"/>
      <c r="AR626" s="1326"/>
      <c r="AS626" s="1326"/>
      <c r="AT626" s="132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448" t="s">
        <v>2056</v>
      </c>
      <c r="C632" s="1448"/>
      <c r="D632" s="1448"/>
      <c r="E632" s="1448"/>
      <c r="F632" s="1448"/>
      <c r="G632" s="1448"/>
      <c r="H632" s="1448"/>
      <c r="I632" s="1448"/>
      <c r="J632" s="1448"/>
      <c r="K632" s="1448"/>
      <c r="L632" s="1448"/>
      <c r="M632" s="1467" t="s">
        <v>2057</v>
      </c>
      <c r="N632" s="1467"/>
      <c r="O632" s="1467"/>
      <c r="P632" s="1467"/>
      <c r="Q632" s="1467" t="s">
        <v>1827</v>
      </c>
      <c r="R632" s="1467"/>
      <c r="S632" s="1467"/>
      <c r="T632" s="1467" t="s">
        <v>1825</v>
      </c>
      <c r="U632" s="1467"/>
      <c r="V632" s="1467"/>
      <c r="W632" s="1720" t="s">
        <v>453</v>
      </c>
      <c r="X632" s="1720"/>
      <c r="Y632" s="1720"/>
      <c r="Z632" s="1498" t="s">
        <v>2086</v>
      </c>
      <c r="AA632" s="1498"/>
      <c r="AB632" s="1499"/>
      <c r="AC632" s="1510" t="s">
        <v>1664</v>
      </c>
      <c r="AD632" s="1511"/>
      <c r="AE632" s="1512"/>
      <c r="AF632" s="1709" t="s">
        <v>1902</v>
      </c>
      <c r="AG632" s="1498"/>
      <c r="AH632" s="1498"/>
      <c r="AI632" s="1498"/>
      <c r="AJ632" s="1499"/>
      <c r="AK632" s="1721" t="s">
        <v>1903</v>
      </c>
      <c r="AL632" s="1722"/>
      <c r="AM632" s="1722"/>
      <c r="AN632" s="1723"/>
      <c r="AO632" s="1467" t="s">
        <v>454</v>
      </c>
      <c r="AP632" s="1467"/>
      <c r="AQ632" s="1467"/>
      <c r="AR632" s="1467"/>
      <c r="AS632" s="1467"/>
      <c r="AU632" s="3"/>
      <c r="AZ632" s="3"/>
      <c r="BA632" s="3"/>
      <c r="BB632" s="3"/>
      <c r="BC632" s="3"/>
    </row>
    <row r="633" spans="1:56" ht="13" customHeight="1">
      <c r="B633" s="1448"/>
      <c r="C633" s="1448"/>
      <c r="D633" s="1448"/>
      <c r="E633" s="1448"/>
      <c r="F633" s="1448"/>
      <c r="G633" s="1448"/>
      <c r="H633" s="1448"/>
      <c r="I633" s="1448"/>
      <c r="J633" s="1448"/>
      <c r="K633" s="1448"/>
      <c r="L633" s="1448"/>
      <c r="M633" s="1467"/>
      <c r="N633" s="1467"/>
      <c r="O633" s="1467"/>
      <c r="P633" s="1467"/>
      <c r="Q633" s="1467"/>
      <c r="R633" s="1467"/>
      <c r="S633" s="1467"/>
      <c r="T633" s="1467"/>
      <c r="U633" s="1467"/>
      <c r="V633" s="1467"/>
      <c r="W633" s="1720"/>
      <c r="X633" s="1720"/>
      <c r="Y633" s="1720"/>
      <c r="Z633" s="1500"/>
      <c r="AA633" s="1500"/>
      <c r="AB633" s="1501"/>
      <c r="AC633" s="1513"/>
      <c r="AD633" s="1514"/>
      <c r="AE633" s="1515"/>
      <c r="AF633" s="1710"/>
      <c r="AG633" s="1500"/>
      <c r="AH633" s="1500"/>
      <c r="AI633" s="1500"/>
      <c r="AJ633" s="1501"/>
      <c r="AK633" s="1724"/>
      <c r="AL633" s="1725"/>
      <c r="AM633" s="1725"/>
      <c r="AN633" s="1726"/>
      <c r="AO633" s="1467"/>
      <c r="AP633" s="1467"/>
      <c r="AQ633" s="1467"/>
      <c r="AR633" s="1467"/>
      <c r="AS633" s="1467"/>
      <c r="AU633" s="3"/>
      <c r="AZ633" s="3"/>
      <c r="BA633" s="3"/>
      <c r="BB633" s="3"/>
      <c r="BC633" s="3"/>
      <c r="BD633" s="3"/>
    </row>
    <row r="634" spans="1:56" ht="13" customHeight="1">
      <c r="B634" s="1448"/>
      <c r="C634" s="1448"/>
      <c r="D634" s="1448"/>
      <c r="E634" s="1448"/>
      <c r="F634" s="1448"/>
      <c r="G634" s="1448"/>
      <c r="H634" s="1448"/>
      <c r="I634" s="1448"/>
      <c r="J634" s="1448"/>
      <c r="K634" s="1448"/>
      <c r="L634" s="1448"/>
      <c r="M634" s="1467"/>
      <c r="N634" s="1467"/>
      <c r="O634" s="1467"/>
      <c r="P634" s="1467"/>
      <c r="Q634" s="1467"/>
      <c r="R634" s="1467"/>
      <c r="S634" s="1467"/>
      <c r="T634" s="1467"/>
      <c r="U634" s="1467"/>
      <c r="V634" s="1467"/>
      <c r="W634" s="1720"/>
      <c r="X634" s="1720"/>
      <c r="Y634" s="1720"/>
      <c r="Z634" s="1502"/>
      <c r="AA634" s="1502"/>
      <c r="AB634" s="1503"/>
      <c r="AC634" s="1516"/>
      <c r="AD634" s="1517"/>
      <c r="AE634" s="1518"/>
      <c r="AF634" s="1711"/>
      <c r="AG634" s="1502"/>
      <c r="AH634" s="1502"/>
      <c r="AI634" s="1502"/>
      <c r="AJ634" s="1503"/>
      <c r="AK634" s="1727"/>
      <c r="AL634" s="1728"/>
      <c r="AM634" s="1728"/>
      <c r="AN634" s="1729"/>
      <c r="AO634" s="1467"/>
      <c r="AP634" s="1467"/>
      <c r="AQ634" s="1467"/>
      <c r="AR634" s="1467"/>
      <c r="AS634" s="1467"/>
      <c r="AT634" s="3"/>
      <c r="AU634" s="3"/>
      <c r="AZ634" s="3"/>
      <c r="BA634" s="3"/>
      <c r="BB634" s="3"/>
      <c r="BC634" s="3"/>
      <c r="BD634" s="3"/>
    </row>
    <row r="635" spans="1:56" ht="13" customHeight="1">
      <c r="B635" s="51" t="s">
        <v>112</v>
      </c>
      <c r="C635" s="1717" t="s">
        <v>2724</v>
      </c>
      <c r="D635" s="1717"/>
      <c r="E635" s="1717"/>
      <c r="F635" s="1717"/>
      <c r="G635" s="1717"/>
      <c r="H635" s="1717"/>
      <c r="I635" s="1717"/>
      <c r="J635" s="1717"/>
      <c r="K635" s="1717"/>
      <c r="L635" s="1717"/>
      <c r="M635" s="1715" t="s">
        <v>1183</v>
      </c>
      <c r="N635" s="1715"/>
      <c r="O635" s="1715"/>
      <c r="P635" s="1715"/>
      <c r="Q635" s="1433">
        <f>18*12</f>
        <v>216</v>
      </c>
      <c r="R635" s="1433"/>
      <c r="S635" s="1434"/>
      <c r="T635" s="1432">
        <f>40*12</f>
        <v>480</v>
      </c>
      <c r="U635" s="1433"/>
      <c r="V635" s="1434"/>
      <c r="W635" s="1504">
        <v>6.25E-2</v>
      </c>
      <c r="X635" s="1505"/>
      <c r="Y635" s="1506"/>
      <c r="Z635" s="1507" t="s">
        <v>1183</v>
      </c>
      <c r="AA635" s="1508"/>
      <c r="AB635" s="1509"/>
      <c r="AC635" s="1468">
        <v>1</v>
      </c>
      <c r="AD635" s="1469"/>
      <c r="AE635" s="1470"/>
      <c r="AF635" s="1544">
        <f>-PMT(W635/12,T635,AO635)*12</f>
        <v>1975052.4275828556</v>
      </c>
      <c r="AG635" s="1545"/>
      <c r="AH635" s="1545"/>
      <c r="AI635" s="1545"/>
      <c r="AJ635" s="1546"/>
      <c r="AK635" s="1452"/>
      <c r="AL635" s="1453"/>
      <c r="AM635" s="1453"/>
      <c r="AN635" s="1454"/>
      <c r="AO635" s="1550">
        <v>28990000</v>
      </c>
      <c r="AP635" s="1550"/>
      <c r="AQ635" s="1550"/>
      <c r="AR635" s="1550"/>
      <c r="AS635" s="1550"/>
      <c r="AT635" s="3"/>
      <c r="AU635" s="3"/>
      <c r="AZ635" s="3"/>
      <c r="BA635" s="3"/>
      <c r="BB635" s="3"/>
      <c r="BC635" s="3"/>
      <c r="BD635" s="3"/>
    </row>
    <row r="636" spans="1:56" ht="13" customHeight="1">
      <c r="B636" s="52" t="s">
        <v>113</v>
      </c>
      <c r="C636" s="1717" t="s">
        <v>2260</v>
      </c>
      <c r="D636" s="1717"/>
      <c r="E636" s="1717"/>
      <c r="F636" s="1717"/>
      <c r="G636" s="1717"/>
      <c r="H636" s="1717"/>
      <c r="I636" s="1717"/>
      <c r="J636" s="1717"/>
      <c r="K636" s="1717"/>
      <c r="L636" s="1717"/>
      <c r="M636" s="1715" t="s">
        <v>1183</v>
      </c>
      <c r="N636" s="1715"/>
      <c r="O636" s="1715"/>
      <c r="P636" s="1715"/>
      <c r="Q636" s="1432"/>
      <c r="R636" s="1433"/>
      <c r="S636" s="1434"/>
      <c r="T636" s="1432"/>
      <c r="U636" s="1433"/>
      <c r="V636" s="1434"/>
      <c r="W636" s="1504"/>
      <c r="X636" s="1505"/>
      <c r="Y636" s="1506"/>
      <c r="Z636" s="1507" t="s">
        <v>1183</v>
      </c>
      <c r="AA636" s="1508"/>
      <c r="AB636" s="1509"/>
      <c r="AC636" s="1468"/>
      <c r="AD636" s="1469"/>
      <c r="AE636" s="1470"/>
      <c r="AF636" s="1544"/>
      <c r="AG636" s="1545"/>
      <c r="AH636" s="1545"/>
      <c r="AI636" s="1545"/>
      <c r="AJ636" s="1546"/>
      <c r="AK636" s="1452"/>
      <c r="AL636" s="1453"/>
      <c r="AM636" s="1453"/>
      <c r="AN636" s="1454"/>
      <c r="AO636" s="1395">
        <v>7776725</v>
      </c>
      <c r="AP636" s="1396"/>
      <c r="AQ636" s="1396"/>
      <c r="AR636" s="1396"/>
      <c r="AS636" s="1397"/>
      <c r="AT636" s="1142" t="str">
        <f>IF(AND(NOT(C635=""),C636="",NOT(C637="")),"!","")</f>
        <v/>
      </c>
      <c r="AU636" s="3"/>
      <c r="AZ636" s="3"/>
      <c r="BA636" s="3"/>
      <c r="BB636" s="3"/>
      <c r="BC636" s="3"/>
      <c r="BD636" s="3"/>
    </row>
    <row r="637" spans="1:56" ht="13" customHeight="1">
      <c r="B637" s="52" t="s">
        <v>119</v>
      </c>
      <c r="C637" s="1717"/>
      <c r="D637" s="1717"/>
      <c r="E637" s="1717"/>
      <c r="F637" s="1717"/>
      <c r="G637" s="1717"/>
      <c r="H637" s="1717"/>
      <c r="I637" s="1717"/>
      <c r="J637" s="1717"/>
      <c r="K637" s="1717"/>
      <c r="L637" s="1717"/>
      <c r="M637" s="1715" t="s">
        <v>1183</v>
      </c>
      <c r="N637" s="1715"/>
      <c r="O637" s="1715"/>
      <c r="P637" s="1715"/>
      <c r="Q637" s="1432"/>
      <c r="R637" s="1433"/>
      <c r="S637" s="1434"/>
      <c r="T637" s="1432"/>
      <c r="U637" s="1433"/>
      <c r="V637" s="1434"/>
      <c r="W637" s="1504"/>
      <c r="X637" s="1505"/>
      <c r="Y637" s="1506"/>
      <c r="Z637" s="1507" t="s">
        <v>1183</v>
      </c>
      <c r="AA637" s="1508"/>
      <c r="AB637" s="1509"/>
      <c r="AC637" s="1468"/>
      <c r="AD637" s="1469"/>
      <c r="AE637" s="1470"/>
      <c r="AF637" s="1544"/>
      <c r="AG637" s="1545"/>
      <c r="AH637" s="1545"/>
      <c r="AI637" s="1545"/>
      <c r="AJ637" s="1546"/>
      <c r="AK637" s="1452"/>
      <c r="AL637" s="1453"/>
      <c r="AM637" s="1453"/>
      <c r="AN637" s="1454"/>
      <c r="AO637" s="1395"/>
      <c r="AP637" s="1396"/>
      <c r="AQ637" s="1396"/>
      <c r="AR637" s="1396"/>
      <c r="AS637" s="1397"/>
      <c r="AT637" s="1142" t="str">
        <f t="shared" ref="AT637:AT646" si="3">IF(AND(NOT(C636=""),C637="",NOT(C638="")),"!","")</f>
        <v/>
      </c>
      <c r="AU637" s="3"/>
      <c r="AZ637" s="3"/>
      <c r="BA637" s="3"/>
      <c r="BB637" s="3"/>
      <c r="BC637" s="3"/>
      <c r="BD637" s="3"/>
    </row>
    <row r="638" spans="1:56" ht="13" customHeight="1">
      <c r="B638" s="52" t="s">
        <v>581</v>
      </c>
      <c r="C638" s="1392"/>
      <c r="D638" s="1392"/>
      <c r="E638" s="1392"/>
      <c r="F638" s="1392"/>
      <c r="G638" s="1392"/>
      <c r="H638" s="1392"/>
      <c r="I638" s="1392"/>
      <c r="J638" s="1392"/>
      <c r="K638" s="1392"/>
      <c r="L638" s="1392"/>
      <c r="M638" s="1715" t="s">
        <v>1183</v>
      </c>
      <c r="N638" s="1715"/>
      <c r="O638" s="1715"/>
      <c r="P638" s="1715"/>
      <c r="Q638" s="1432"/>
      <c r="R638" s="1433"/>
      <c r="S638" s="1434"/>
      <c r="T638" s="1432"/>
      <c r="U638" s="1433"/>
      <c r="V638" s="1434"/>
      <c r="W638" s="1504"/>
      <c r="X638" s="1505"/>
      <c r="Y638" s="1506"/>
      <c r="Z638" s="1507" t="s">
        <v>1183</v>
      </c>
      <c r="AA638" s="1508"/>
      <c r="AB638" s="1509"/>
      <c r="AC638" s="1468"/>
      <c r="AD638" s="1469"/>
      <c r="AE638" s="1470"/>
      <c r="AF638" s="1544"/>
      <c r="AG638" s="1545"/>
      <c r="AH638" s="1545"/>
      <c r="AI638" s="1545"/>
      <c r="AJ638" s="1546"/>
      <c r="AK638" s="1452"/>
      <c r="AL638" s="1453"/>
      <c r="AM638" s="1453"/>
      <c r="AN638" s="1454"/>
      <c r="AO638" s="1395"/>
      <c r="AP638" s="1396"/>
      <c r="AQ638" s="1396"/>
      <c r="AR638" s="1396"/>
      <c r="AS638" s="1397"/>
      <c r="AT638" s="1142" t="str">
        <f>IF(AND(NOT(C637=""),C638="",NOT(C639="")),"!","")</f>
        <v/>
      </c>
      <c r="AU638" s="3"/>
      <c r="AZ638" s="3"/>
      <c r="BA638" s="3"/>
      <c r="BB638" s="3"/>
      <c r="BC638" s="3"/>
      <c r="BD638" s="3"/>
    </row>
    <row r="639" spans="1:56" ht="13" customHeight="1">
      <c r="B639" s="52" t="s">
        <v>762</v>
      </c>
      <c r="C639" s="1392"/>
      <c r="D639" s="1392"/>
      <c r="E639" s="1392"/>
      <c r="F639" s="1392"/>
      <c r="G639" s="1392"/>
      <c r="H639" s="1392"/>
      <c r="I639" s="1392"/>
      <c r="J639" s="1392"/>
      <c r="K639" s="1392"/>
      <c r="L639" s="1392"/>
      <c r="M639" s="1715" t="s">
        <v>1183</v>
      </c>
      <c r="N639" s="1715"/>
      <c r="O639" s="1715"/>
      <c r="P639" s="1715"/>
      <c r="Q639" s="1432"/>
      <c r="R639" s="1433"/>
      <c r="S639" s="1434"/>
      <c r="T639" s="1432"/>
      <c r="U639" s="1433"/>
      <c r="V639" s="1434"/>
      <c r="W639" s="1504"/>
      <c r="X639" s="1505"/>
      <c r="Y639" s="1506"/>
      <c r="Z639" s="1507" t="s">
        <v>1183</v>
      </c>
      <c r="AA639" s="1508"/>
      <c r="AB639" s="1509"/>
      <c r="AC639" s="1468"/>
      <c r="AD639" s="1469"/>
      <c r="AE639" s="1470"/>
      <c r="AF639" s="1544"/>
      <c r="AG639" s="1545"/>
      <c r="AH639" s="1545"/>
      <c r="AI639" s="1545"/>
      <c r="AJ639" s="1546"/>
      <c r="AK639" s="1452"/>
      <c r="AL639" s="1453"/>
      <c r="AM639" s="1453"/>
      <c r="AN639" s="1454"/>
      <c r="AO639" s="1395"/>
      <c r="AP639" s="1396"/>
      <c r="AQ639" s="1396"/>
      <c r="AR639" s="1396"/>
      <c r="AS639" s="1397"/>
      <c r="AT639" s="1142" t="str">
        <f>IF(AND(NOT(C638=""),C639="",NOT(C640="")),"!","")</f>
        <v/>
      </c>
      <c r="AU639" s="3"/>
      <c r="AZ639" s="3"/>
      <c r="BA639" s="3"/>
      <c r="BB639" s="3"/>
      <c r="BC639" s="3"/>
      <c r="BD639" s="3"/>
    </row>
    <row r="640" spans="1:56" ht="13" customHeight="1">
      <c r="B640" s="52" t="s">
        <v>584</v>
      </c>
      <c r="C640" s="1392"/>
      <c r="D640" s="1392"/>
      <c r="E640" s="1392"/>
      <c r="F640" s="1392"/>
      <c r="G640" s="1392"/>
      <c r="H640" s="1392"/>
      <c r="I640" s="1392"/>
      <c r="J640" s="1392"/>
      <c r="K640" s="1392"/>
      <c r="L640" s="1716"/>
      <c r="M640" s="1715" t="s">
        <v>1183</v>
      </c>
      <c r="N640" s="1715"/>
      <c r="O640" s="1715"/>
      <c r="P640" s="1715"/>
      <c r="Q640" s="1432"/>
      <c r="R640" s="1433"/>
      <c r="S640" s="1434"/>
      <c r="T640" s="1432"/>
      <c r="U640" s="1433"/>
      <c r="V640" s="1434"/>
      <c r="W640" s="1504"/>
      <c r="X640" s="1505"/>
      <c r="Y640" s="1506"/>
      <c r="Z640" s="1507" t="s">
        <v>1183</v>
      </c>
      <c r="AA640" s="1508"/>
      <c r="AB640" s="1509"/>
      <c r="AC640" s="1468"/>
      <c r="AD640" s="1469"/>
      <c r="AE640" s="1470"/>
      <c r="AF640" s="1544"/>
      <c r="AG640" s="1545"/>
      <c r="AH640" s="1545"/>
      <c r="AI640" s="1545"/>
      <c r="AJ640" s="1546"/>
      <c r="AK640" s="1452"/>
      <c r="AL640" s="1453"/>
      <c r="AM640" s="1453"/>
      <c r="AN640" s="1454"/>
      <c r="AO640" s="1395"/>
      <c r="AP640" s="1396"/>
      <c r="AQ640" s="1396"/>
      <c r="AR640" s="1396"/>
      <c r="AS640" s="1397"/>
      <c r="AT640" s="1142" t="str">
        <f>IF(AND(NOT(C639=""),C640="",NOT(C641="")),"!","")</f>
        <v/>
      </c>
      <c r="AU640" s="3"/>
      <c r="AZ640" s="3"/>
      <c r="BA640" s="3"/>
      <c r="BB640" s="3"/>
      <c r="BC640" s="3"/>
      <c r="BD640" s="3"/>
    </row>
    <row r="641" spans="1:157" ht="13" customHeight="1">
      <c r="B641" s="52" t="s">
        <v>455</v>
      </c>
      <c r="C641" s="1392"/>
      <c r="D641" s="1392"/>
      <c r="E641" s="1392"/>
      <c r="F641" s="1392"/>
      <c r="G641" s="1392"/>
      <c r="H641" s="1392"/>
      <c r="I641" s="1392"/>
      <c r="J641" s="1392"/>
      <c r="K641" s="1392"/>
      <c r="L641" s="1392"/>
      <c r="M641" s="1715" t="s">
        <v>1183</v>
      </c>
      <c r="N641" s="1715"/>
      <c r="O641" s="1715"/>
      <c r="P641" s="1715"/>
      <c r="Q641" s="1432"/>
      <c r="R641" s="1433"/>
      <c r="S641" s="1434"/>
      <c r="T641" s="1432"/>
      <c r="U641" s="1433"/>
      <c r="V641" s="1434"/>
      <c r="W641" s="1504"/>
      <c r="X641" s="1505"/>
      <c r="Y641" s="1506"/>
      <c r="Z641" s="1507" t="s">
        <v>1183</v>
      </c>
      <c r="AA641" s="1508"/>
      <c r="AB641" s="1509"/>
      <c r="AC641" s="1468"/>
      <c r="AD641" s="1469"/>
      <c r="AE641" s="1470"/>
      <c r="AF641" s="1544"/>
      <c r="AG641" s="1545"/>
      <c r="AH641" s="1545"/>
      <c r="AI641" s="1545"/>
      <c r="AJ641" s="1546"/>
      <c r="AK641" s="1452"/>
      <c r="AL641" s="1453"/>
      <c r="AM641" s="1453"/>
      <c r="AN641" s="1454"/>
      <c r="AO641" s="1395"/>
      <c r="AP641" s="1396"/>
      <c r="AQ641" s="1396"/>
      <c r="AR641" s="1396"/>
      <c r="AS641" s="1397"/>
      <c r="AT641" s="1142" t="str">
        <f>IF(AND(NOT(C640=""),C641="",NOT(C642="")),"!","")</f>
        <v/>
      </c>
      <c r="AU641" s="3"/>
      <c r="AV641" s="3"/>
      <c r="AW641" s="3"/>
      <c r="AX641" s="3"/>
      <c r="AY641" s="3"/>
      <c r="AZ641" s="3"/>
      <c r="BA641" s="3"/>
      <c r="BB641" s="3"/>
      <c r="BC641" s="3"/>
      <c r="BD641" s="3"/>
    </row>
    <row r="642" spans="1:157" ht="13" customHeight="1">
      <c r="B642" s="52" t="s">
        <v>456</v>
      </c>
      <c r="C642" s="1392"/>
      <c r="D642" s="1392"/>
      <c r="E642" s="1392"/>
      <c r="F642" s="1392"/>
      <c r="G642" s="1392"/>
      <c r="H642" s="1392"/>
      <c r="I642" s="1392"/>
      <c r="J642" s="1392"/>
      <c r="K642" s="1392"/>
      <c r="L642" s="1392"/>
      <c r="M642" s="1715" t="s">
        <v>1183</v>
      </c>
      <c r="N642" s="1715"/>
      <c r="O642" s="1715"/>
      <c r="P642" s="1715"/>
      <c r="Q642" s="1432"/>
      <c r="R642" s="1433"/>
      <c r="S642" s="1434"/>
      <c r="T642" s="1432"/>
      <c r="U642" s="1433"/>
      <c r="V642" s="1434"/>
      <c r="W642" s="1504"/>
      <c r="X642" s="1505"/>
      <c r="Y642" s="1506"/>
      <c r="Z642" s="1507" t="s">
        <v>1183</v>
      </c>
      <c r="AA642" s="1508"/>
      <c r="AB642" s="1509"/>
      <c r="AC642" s="1468"/>
      <c r="AD642" s="1469"/>
      <c r="AE642" s="1470"/>
      <c r="AF642" s="1544"/>
      <c r="AG642" s="1545"/>
      <c r="AH642" s="1545"/>
      <c r="AI642" s="1545"/>
      <c r="AJ642" s="1546"/>
      <c r="AK642" s="1452"/>
      <c r="AL642" s="1453"/>
      <c r="AM642" s="1453"/>
      <c r="AN642" s="1454"/>
      <c r="AO642" s="1395"/>
      <c r="AP642" s="1396"/>
      <c r="AQ642" s="1396"/>
      <c r="AR642" s="1396"/>
      <c r="AS642" s="1397"/>
      <c r="AT642" s="1142" t="str">
        <f t="shared" si="3"/>
        <v/>
      </c>
      <c r="AU642" s="3"/>
      <c r="AV642" s="3"/>
      <c r="AW642" s="3"/>
      <c r="AX642" s="3"/>
      <c r="AY642" s="3"/>
      <c r="AZ642" s="3"/>
      <c r="BA642" s="3" t="s">
        <v>1183</v>
      </c>
      <c r="BB642" s="3"/>
      <c r="BC642" s="3"/>
      <c r="BD642" s="3"/>
    </row>
    <row r="643" spans="1:157" ht="13" customHeight="1">
      <c r="B643" s="52" t="s">
        <v>461</v>
      </c>
      <c r="C643" s="1392"/>
      <c r="D643" s="1392"/>
      <c r="E643" s="1392"/>
      <c r="F643" s="1392"/>
      <c r="G643" s="1392"/>
      <c r="H643" s="1392"/>
      <c r="I643" s="1392"/>
      <c r="J643" s="1392"/>
      <c r="K643" s="1392"/>
      <c r="L643" s="1392"/>
      <c r="M643" s="1715" t="s">
        <v>1183</v>
      </c>
      <c r="N643" s="1715"/>
      <c r="O643" s="1715"/>
      <c r="P643" s="1715"/>
      <c r="Q643" s="1432"/>
      <c r="R643" s="1433"/>
      <c r="S643" s="1434"/>
      <c r="T643" s="1432"/>
      <c r="U643" s="1433"/>
      <c r="V643" s="1434"/>
      <c r="W643" s="1504"/>
      <c r="X643" s="1505"/>
      <c r="Y643" s="1506"/>
      <c r="Z643" s="1507" t="s">
        <v>1183</v>
      </c>
      <c r="AA643" s="1508"/>
      <c r="AB643" s="1509"/>
      <c r="AC643" s="1468"/>
      <c r="AD643" s="1469"/>
      <c r="AE643" s="1470"/>
      <c r="AF643" s="1544"/>
      <c r="AG643" s="1545"/>
      <c r="AH643" s="1545"/>
      <c r="AI643" s="1545"/>
      <c r="AJ643" s="1546"/>
      <c r="AK643" s="1452"/>
      <c r="AL643" s="1453"/>
      <c r="AM643" s="1453"/>
      <c r="AN643" s="1454"/>
      <c r="AO643" s="1395"/>
      <c r="AP643" s="1396"/>
      <c r="AQ643" s="1396"/>
      <c r="AR643" s="1396"/>
      <c r="AS643" s="1397"/>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3" t="e">
        <f t="shared" ref="DX643:DX677" si="4">EZ726*(CP726/$CP$761)</f>
        <v>#VALUE!</v>
      </c>
      <c r="DY643" s="1523"/>
      <c r="DZ643" s="1523"/>
      <c r="EA643" s="1523"/>
      <c r="EB643" s="1523"/>
      <c r="EC643" s="1523" t="e">
        <f t="shared" ref="EC643:EC677" si="5">FE726*(CU726/$CU$761)</f>
        <v>#VALUE!</v>
      </c>
      <c r="ED643" s="1523"/>
      <c r="EE643" s="1523"/>
      <c r="EF643" s="1523"/>
      <c r="EG643" s="1523"/>
      <c r="EH643" s="1523">
        <f t="shared" ref="EH643:EH677" si="6">FJ726*(CZ726/$CZ$761)</f>
        <v>135.64705882352942</v>
      </c>
      <c r="EI643" s="1523"/>
      <c r="EJ643" s="1523"/>
      <c r="EK643" s="1523"/>
      <c r="EL643" s="1523"/>
      <c r="EM643" s="1523" t="e">
        <f t="shared" ref="EM643:EM677" si="7">FO726*(DE726/$DE$761)</f>
        <v>#VALUE!</v>
      </c>
      <c r="EN643" s="1523"/>
      <c r="EO643" s="1523"/>
      <c r="EP643" s="1523"/>
      <c r="EQ643" s="1523"/>
      <c r="ER643" s="1523" t="e">
        <f t="shared" ref="ER643:ER677" si="8">FT726*(DJ726/$DJ$761)</f>
        <v>#VALUE!</v>
      </c>
      <c r="ES643" s="1523"/>
      <c r="ET643" s="1523"/>
      <c r="EU643" s="1523"/>
      <c r="EV643" s="1523"/>
      <c r="EW643" s="1523" t="e">
        <f t="shared" ref="EW643:EW677" si="9">FY726*(DO726/$DO$761)</f>
        <v>#VALUE!</v>
      </c>
      <c r="EX643" s="1523"/>
      <c r="EY643" s="1523"/>
      <c r="EZ643" s="1523"/>
      <c r="FA643" s="1523"/>
    </row>
    <row r="644" spans="1:157" ht="13" customHeight="1">
      <c r="B644" s="52" t="s">
        <v>645</v>
      </c>
      <c r="C644" s="1392"/>
      <c r="D644" s="1392"/>
      <c r="E644" s="1392"/>
      <c r="F644" s="1392"/>
      <c r="G644" s="1392"/>
      <c r="H644" s="1392"/>
      <c r="I644" s="1392"/>
      <c r="J644" s="1392"/>
      <c r="K644" s="1392"/>
      <c r="L644" s="1392"/>
      <c r="M644" s="1715" t="s">
        <v>1183</v>
      </c>
      <c r="N644" s="1715"/>
      <c r="O644" s="1715"/>
      <c r="P644" s="1715"/>
      <c r="Q644" s="1432"/>
      <c r="R644" s="1433"/>
      <c r="S644" s="1434"/>
      <c r="T644" s="1432"/>
      <c r="U644" s="1433"/>
      <c r="V644" s="1434"/>
      <c r="W644" s="1504"/>
      <c r="X644" s="1505"/>
      <c r="Y644" s="1506"/>
      <c r="Z644" s="1507" t="s">
        <v>1183</v>
      </c>
      <c r="AA644" s="1508"/>
      <c r="AB644" s="1509"/>
      <c r="AC644" s="1468"/>
      <c r="AD644" s="1469"/>
      <c r="AE644" s="1470"/>
      <c r="AF644" s="1544"/>
      <c r="AG644" s="1545"/>
      <c r="AH644" s="1545"/>
      <c r="AI644" s="1545"/>
      <c r="AJ644" s="1546"/>
      <c r="AK644" s="1452"/>
      <c r="AL644" s="1453"/>
      <c r="AM644" s="1453"/>
      <c r="AN644" s="1454"/>
      <c r="AO644" s="1395"/>
      <c r="AP644" s="1396"/>
      <c r="AQ644" s="1396"/>
      <c r="AR644" s="1396"/>
      <c r="AS644" s="1397"/>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3" t="e">
        <f t="shared" si="4"/>
        <v>#VALUE!</v>
      </c>
      <c r="DY644" s="1523"/>
      <c r="DZ644" s="1523"/>
      <c r="EA644" s="1523"/>
      <c r="EB644" s="1523"/>
      <c r="EC644" s="1523" t="e">
        <f t="shared" si="5"/>
        <v>#VALUE!</v>
      </c>
      <c r="ED644" s="1523"/>
      <c r="EE644" s="1523"/>
      <c r="EF644" s="1523"/>
      <c r="EG644" s="1523"/>
      <c r="EH644" s="1523">
        <f t="shared" si="6"/>
        <v>240.35294117647058</v>
      </c>
      <c r="EI644" s="1523"/>
      <c r="EJ644" s="1523"/>
      <c r="EK644" s="1523"/>
      <c r="EL644" s="1523"/>
      <c r="EM644" s="1523" t="e">
        <f t="shared" si="7"/>
        <v>#VALUE!</v>
      </c>
      <c r="EN644" s="1523"/>
      <c r="EO644" s="1523"/>
      <c r="EP644" s="1523"/>
      <c r="EQ644" s="1523"/>
      <c r="ER644" s="1523" t="e">
        <f t="shared" si="8"/>
        <v>#VALUE!</v>
      </c>
      <c r="ES644" s="1523"/>
      <c r="ET644" s="1523"/>
      <c r="EU644" s="1523"/>
      <c r="EV644" s="1523"/>
      <c r="EW644" s="1523" t="e">
        <f t="shared" si="9"/>
        <v>#VALUE!</v>
      </c>
      <c r="EX644" s="1523"/>
      <c r="EY644" s="1523"/>
      <c r="EZ644" s="1523"/>
      <c r="FA644" s="1523"/>
    </row>
    <row r="645" spans="1:157" ht="13" customHeight="1">
      <c r="B645" s="52" t="s">
        <v>362</v>
      </c>
      <c r="C645" s="1392"/>
      <c r="D645" s="1392"/>
      <c r="E645" s="1392"/>
      <c r="F645" s="1392"/>
      <c r="G645" s="1392"/>
      <c r="H645" s="1392"/>
      <c r="I645" s="1392"/>
      <c r="J645" s="1392"/>
      <c r="K645" s="1392"/>
      <c r="L645" s="1392"/>
      <c r="M645" s="1715" t="s">
        <v>1183</v>
      </c>
      <c r="N645" s="1715"/>
      <c r="O645" s="1715"/>
      <c r="P645" s="1715"/>
      <c r="Q645" s="1432"/>
      <c r="R645" s="1433"/>
      <c r="S645" s="1434"/>
      <c r="T645" s="1432"/>
      <c r="U645" s="1433"/>
      <c r="V645" s="1434"/>
      <c r="W645" s="1504"/>
      <c r="X645" s="1505"/>
      <c r="Y645" s="1506"/>
      <c r="Z645" s="1507" t="s">
        <v>1183</v>
      </c>
      <c r="AA645" s="1508"/>
      <c r="AB645" s="1509"/>
      <c r="AC645" s="1468"/>
      <c r="AD645" s="1469"/>
      <c r="AE645" s="1470"/>
      <c r="AF645" s="1544"/>
      <c r="AG645" s="1545"/>
      <c r="AH645" s="1545"/>
      <c r="AI645" s="1545"/>
      <c r="AJ645" s="1546"/>
      <c r="AK645" s="1452"/>
      <c r="AL645" s="1453"/>
      <c r="AM645" s="1453"/>
      <c r="AN645" s="1454"/>
      <c r="AO645" s="1395"/>
      <c r="AP645" s="1396"/>
      <c r="AQ645" s="1396"/>
      <c r="AR645" s="1396"/>
      <c r="AS645" s="1397"/>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23" t="e">
        <f t="shared" si="4"/>
        <v>#VALUE!</v>
      </c>
      <c r="DY645" s="1523"/>
      <c r="DZ645" s="1523"/>
      <c r="EA645" s="1523"/>
      <c r="EB645" s="1523"/>
      <c r="EC645" s="1523" t="e">
        <f t="shared" si="5"/>
        <v>#VALUE!</v>
      </c>
      <c r="ED645" s="1523"/>
      <c r="EE645" s="1523"/>
      <c r="EF645" s="1523"/>
      <c r="EG645" s="1523"/>
      <c r="EH645" s="1523">
        <f t="shared" si="6"/>
        <v>878.11764705882354</v>
      </c>
      <c r="EI645" s="1523"/>
      <c r="EJ645" s="1523"/>
      <c r="EK645" s="1523"/>
      <c r="EL645" s="1523"/>
      <c r="EM645" s="1523" t="e">
        <f t="shared" si="7"/>
        <v>#VALUE!</v>
      </c>
      <c r="EN645" s="1523"/>
      <c r="EO645" s="1523"/>
      <c r="EP645" s="1523"/>
      <c r="EQ645" s="1523"/>
      <c r="ER645" s="1523" t="e">
        <f t="shared" si="8"/>
        <v>#VALUE!</v>
      </c>
      <c r="ES645" s="1523"/>
      <c r="ET645" s="1523"/>
      <c r="EU645" s="1523"/>
      <c r="EV645" s="1523"/>
      <c r="EW645" s="1523" t="e">
        <f t="shared" si="9"/>
        <v>#VALUE!</v>
      </c>
      <c r="EX645" s="1523"/>
      <c r="EY645" s="1523"/>
      <c r="EZ645" s="1523"/>
      <c r="FA645" s="1523"/>
    </row>
    <row r="646" spans="1:157" ht="13" customHeight="1">
      <c r="B646" s="52" t="s">
        <v>363</v>
      </c>
      <c r="C646" s="1392"/>
      <c r="D646" s="1392"/>
      <c r="E646" s="1392"/>
      <c r="F646" s="1392"/>
      <c r="G646" s="1392"/>
      <c r="H646" s="1392"/>
      <c r="I646" s="1392"/>
      <c r="J646" s="1392"/>
      <c r="K646" s="1392"/>
      <c r="L646" s="1392"/>
      <c r="M646" s="1715" t="s">
        <v>1183</v>
      </c>
      <c r="N646" s="1715"/>
      <c r="O646" s="1715"/>
      <c r="P646" s="1715"/>
      <c r="Q646" s="1432"/>
      <c r="R646" s="1433"/>
      <c r="S646" s="1434"/>
      <c r="T646" s="1432"/>
      <c r="U646" s="1433"/>
      <c r="V646" s="1434"/>
      <c r="W646" s="1504"/>
      <c r="X646" s="1505"/>
      <c r="Y646" s="1506"/>
      <c r="Z646" s="1507" t="s">
        <v>1183</v>
      </c>
      <c r="AA646" s="1508"/>
      <c r="AB646" s="1509"/>
      <c r="AC646" s="1468"/>
      <c r="AD646" s="1469"/>
      <c r="AE646" s="1470"/>
      <c r="AF646" s="1544"/>
      <c r="AG646" s="1545"/>
      <c r="AH646" s="1545"/>
      <c r="AI646" s="1545"/>
      <c r="AJ646" s="1546"/>
      <c r="AK646" s="1452"/>
      <c r="AL646" s="1453"/>
      <c r="AM646" s="1453"/>
      <c r="AN646" s="1454"/>
      <c r="AO646" s="1395"/>
      <c r="AP646" s="1396"/>
      <c r="AQ646" s="1396"/>
      <c r="AR646" s="1396"/>
      <c r="AS646" s="139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3" t="e">
        <f t="shared" si="4"/>
        <v>#VALUE!</v>
      </c>
      <c r="DY646" s="1523"/>
      <c r="DZ646" s="1523"/>
      <c r="EA646" s="1523"/>
      <c r="EB646" s="1523"/>
      <c r="EC646" s="1523" t="e">
        <f t="shared" si="5"/>
        <v>#VALUE!</v>
      </c>
      <c r="ED646" s="1523"/>
      <c r="EE646" s="1523"/>
      <c r="EF646" s="1523"/>
      <c r="EG646" s="1523"/>
      <c r="EH646" s="1523">
        <f t="shared" si="6"/>
        <v>1207.7058823529412</v>
      </c>
      <c r="EI646" s="1523"/>
      <c r="EJ646" s="1523"/>
      <c r="EK646" s="1523"/>
      <c r="EL646" s="1523"/>
      <c r="EM646" s="1523" t="e">
        <f t="shared" si="7"/>
        <v>#VALUE!</v>
      </c>
      <c r="EN646" s="1523"/>
      <c r="EO646" s="1523"/>
      <c r="EP646" s="1523"/>
      <c r="EQ646" s="1523"/>
      <c r="ER646" s="1523" t="e">
        <f t="shared" si="8"/>
        <v>#VALUE!</v>
      </c>
      <c r="ES646" s="1523"/>
      <c r="ET646" s="1523"/>
      <c r="EU646" s="1523"/>
      <c r="EV646" s="1523"/>
      <c r="EW646" s="1523" t="e">
        <f t="shared" si="9"/>
        <v>#VALUE!</v>
      </c>
      <c r="EX646" s="1523"/>
      <c r="EY646" s="1523"/>
      <c r="EZ646" s="1523"/>
      <c r="FA646" s="1523"/>
    </row>
    <row r="647" spans="1:157" ht="13" customHeight="1">
      <c r="B647" s="1524" t="s">
        <v>128</v>
      </c>
      <c r="C647" s="1525"/>
      <c r="D647" s="1525"/>
      <c r="E647" s="1525"/>
      <c r="F647" s="1525"/>
      <c r="G647" s="1525"/>
      <c r="H647" s="1525"/>
      <c r="I647" s="1525"/>
      <c r="J647" s="1525"/>
      <c r="K647" s="1525"/>
      <c r="L647" s="1525"/>
      <c r="M647" s="1525"/>
      <c r="N647" s="1525"/>
      <c r="O647" s="1525"/>
      <c r="P647" s="1525"/>
      <c r="Q647" s="1525"/>
      <c r="R647" s="1525"/>
      <c r="S647" s="1525"/>
      <c r="T647" s="1525"/>
      <c r="U647" s="1525"/>
      <c r="V647" s="1525"/>
      <c r="W647" s="1525"/>
      <c r="X647" s="1525"/>
      <c r="Y647" s="1525"/>
      <c r="Z647" s="1525"/>
      <c r="AA647" s="1525"/>
      <c r="AB647" s="1525"/>
      <c r="AC647" s="1525"/>
      <c r="AD647" s="1525"/>
      <c r="AE647" s="1525"/>
      <c r="AF647" s="1525"/>
      <c r="AG647" s="1525"/>
      <c r="AH647" s="1525"/>
      <c r="AI647" s="1525"/>
      <c r="AJ647" s="1525"/>
      <c r="AK647" s="1525"/>
      <c r="AL647" s="1525"/>
      <c r="AM647" s="1525"/>
      <c r="AN647" s="1526"/>
      <c r="AO647" s="1520">
        <f>SUM(AO635:AR646)</f>
        <v>36766725</v>
      </c>
      <c r="AP647" s="1521"/>
      <c r="AQ647" s="1521"/>
      <c r="AR647" s="1521"/>
      <c r="AS647" s="152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3" t="e">
        <f t="shared" si="4"/>
        <v>#VALUE!</v>
      </c>
      <c r="DY647" s="1523"/>
      <c r="DZ647" s="1523"/>
      <c r="EA647" s="1523"/>
      <c r="EB647" s="1523"/>
      <c r="EC647" s="1523" t="e">
        <f t="shared" si="5"/>
        <v>#VALUE!</v>
      </c>
      <c r="ED647" s="1523"/>
      <c r="EE647" s="1523"/>
      <c r="EF647" s="1523"/>
      <c r="EG647" s="1523"/>
      <c r="EH647" s="1523" t="e">
        <f t="shared" si="6"/>
        <v>#VALUE!</v>
      </c>
      <c r="EI647" s="1523"/>
      <c r="EJ647" s="1523"/>
      <c r="EK647" s="1523"/>
      <c r="EL647" s="1523"/>
      <c r="EM647" s="1523">
        <f t="shared" si="7"/>
        <v>149.86885245901641</v>
      </c>
      <c r="EN647" s="1523"/>
      <c r="EO647" s="1523"/>
      <c r="EP647" s="1523"/>
      <c r="EQ647" s="1523"/>
      <c r="ER647" s="1523" t="e">
        <f t="shared" si="8"/>
        <v>#VALUE!</v>
      </c>
      <c r="ES647" s="1523"/>
      <c r="ET647" s="1523"/>
      <c r="EU647" s="1523"/>
      <c r="EV647" s="1523"/>
      <c r="EW647" s="1523" t="e">
        <f t="shared" si="9"/>
        <v>#VALUE!</v>
      </c>
      <c r="EX647" s="1523"/>
      <c r="EY647" s="1523"/>
      <c r="EZ647" s="1523"/>
      <c r="FA647" s="1523"/>
    </row>
    <row r="648" spans="1:157" ht="13" customHeight="1">
      <c r="B648" s="1524" t="s">
        <v>267</v>
      </c>
      <c r="C648" s="1525"/>
      <c r="D648" s="1525"/>
      <c r="E648" s="1525"/>
      <c r="F648" s="1525"/>
      <c r="G648" s="1525"/>
      <c r="H648" s="1525"/>
      <c r="I648" s="1525"/>
      <c r="J648" s="1525"/>
      <c r="K648" s="1525"/>
      <c r="L648" s="1525"/>
      <c r="M648" s="1525"/>
      <c r="N648" s="1525"/>
      <c r="O648" s="1525"/>
      <c r="P648" s="1525"/>
      <c r="Q648" s="1525"/>
      <c r="R648" s="1525"/>
      <c r="S648" s="1525"/>
      <c r="T648" s="1525"/>
      <c r="U648" s="1525"/>
      <c r="V648" s="1525"/>
      <c r="W648" s="1525"/>
      <c r="X648" s="1525"/>
      <c r="Y648" s="1525"/>
      <c r="Z648" s="1525"/>
      <c r="AA648" s="1525"/>
      <c r="AB648" s="1525"/>
      <c r="AC648" s="1525"/>
      <c r="AD648" s="1525"/>
      <c r="AE648" s="1525"/>
      <c r="AF648" s="1525"/>
      <c r="AG648" s="1525"/>
      <c r="AH648" s="1525"/>
      <c r="AI648" s="1525"/>
      <c r="AJ648" s="1525"/>
      <c r="AK648" s="1525"/>
      <c r="AL648" s="1525"/>
      <c r="AM648" s="1525"/>
      <c r="AN648" s="1526"/>
      <c r="AO648" s="1395">
        <v>40777725</v>
      </c>
      <c r="AP648" s="1396"/>
      <c r="AQ648" s="1396"/>
      <c r="AR648" s="1396"/>
      <c r="AS648" s="139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3" t="e">
        <f t="shared" si="4"/>
        <v>#VALUE!</v>
      </c>
      <c r="DY648" s="1523"/>
      <c r="DZ648" s="1523"/>
      <c r="EA648" s="1523"/>
      <c r="EB648" s="1523"/>
      <c r="EC648" s="1523" t="e">
        <f t="shared" si="5"/>
        <v>#VALUE!</v>
      </c>
      <c r="ED648" s="1523"/>
      <c r="EE648" s="1523"/>
      <c r="EF648" s="1523"/>
      <c r="EG648" s="1523"/>
      <c r="EH648" s="1523" t="e">
        <f t="shared" si="6"/>
        <v>#VALUE!</v>
      </c>
      <c r="EI648" s="1523"/>
      <c r="EJ648" s="1523"/>
      <c r="EK648" s="1523"/>
      <c r="EL648" s="1523"/>
      <c r="EM648" s="1523">
        <f t="shared" si="7"/>
        <v>267.95081967213116</v>
      </c>
      <c r="EN648" s="1523"/>
      <c r="EO648" s="1523"/>
      <c r="EP648" s="1523"/>
      <c r="EQ648" s="1523"/>
      <c r="ER648" s="1523" t="e">
        <f t="shared" si="8"/>
        <v>#VALUE!</v>
      </c>
      <c r="ES648" s="1523"/>
      <c r="ET648" s="1523"/>
      <c r="EU648" s="1523"/>
      <c r="EV648" s="1523"/>
      <c r="EW648" s="1523" t="e">
        <f t="shared" si="9"/>
        <v>#VALUE!</v>
      </c>
      <c r="EX648" s="1523"/>
      <c r="EY648" s="1523"/>
      <c r="EZ648" s="1523"/>
      <c r="FA648" s="1523"/>
    </row>
    <row r="649" spans="1:157" ht="13" customHeight="1">
      <c r="B649" s="1712" t="s">
        <v>268</v>
      </c>
      <c r="C649" s="1713"/>
      <c r="D649" s="1713"/>
      <c r="E649" s="1713"/>
      <c r="F649" s="1713"/>
      <c r="G649" s="1713"/>
      <c r="H649" s="1713"/>
      <c r="I649" s="1713"/>
      <c r="J649" s="1713"/>
      <c r="K649" s="1713"/>
      <c r="L649" s="1713"/>
      <c r="M649" s="1713"/>
      <c r="N649" s="1713"/>
      <c r="O649" s="1713"/>
      <c r="P649" s="1713"/>
      <c r="Q649" s="1713"/>
      <c r="R649" s="1713"/>
      <c r="S649" s="1713"/>
      <c r="T649" s="1713"/>
      <c r="U649" s="1713"/>
      <c r="V649" s="1713"/>
      <c r="W649" s="1713"/>
      <c r="X649" s="1713"/>
      <c r="Y649" s="1713"/>
      <c r="Z649" s="1713"/>
      <c r="AA649" s="1713"/>
      <c r="AB649" s="1713"/>
      <c r="AC649" s="1713"/>
      <c r="AD649" s="1713"/>
      <c r="AE649" s="1713"/>
      <c r="AF649" s="1713"/>
      <c r="AG649" s="1713"/>
      <c r="AH649" s="1713"/>
      <c r="AI649" s="1713"/>
      <c r="AJ649" s="1713"/>
      <c r="AK649" s="1713"/>
      <c r="AL649" s="1713"/>
      <c r="AM649" s="1713"/>
      <c r="AN649" s="1714"/>
      <c r="AO649" s="1520">
        <f>AO647+AO648</f>
        <v>77544450</v>
      </c>
      <c r="AP649" s="1521"/>
      <c r="AQ649" s="1521"/>
      <c r="AR649" s="1521"/>
      <c r="AS649" s="152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3" t="e">
        <f t="shared" si="4"/>
        <v>#VALUE!</v>
      </c>
      <c r="DY649" s="1523"/>
      <c r="DZ649" s="1523"/>
      <c r="EA649" s="1523"/>
      <c r="EB649" s="1523"/>
      <c r="EC649" s="1523" t="e">
        <f t="shared" si="5"/>
        <v>#VALUE!</v>
      </c>
      <c r="ED649" s="1523"/>
      <c r="EE649" s="1523"/>
      <c r="EF649" s="1523"/>
      <c r="EG649" s="1523"/>
      <c r="EH649" s="1523" t="e">
        <f t="shared" si="6"/>
        <v>#VALUE!</v>
      </c>
      <c r="EI649" s="1523"/>
      <c r="EJ649" s="1523"/>
      <c r="EK649" s="1523"/>
      <c r="EL649" s="1523"/>
      <c r="EM649" s="1523">
        <f t="shared" si="7"/>
        <v>840.68852459016387</v>
      </c>
      <c r="EN649" s="1523"/>
      <c r="EO649" s="1523"/>
      <c r="EP649" s="1523"/>
      <c r="EQ649" s="1523"/>
      <c r="ER649" s="1523" t="e">
        <f t="shared" si="8"/>
        <v>#VALUE!</v>
      </c>
      <c r="ES649" s="1523"/>
      <c r="ET649" s="1523"/>
      <c r="EU649" s="1523"/>
      <c r="EV649" s="1523"/>
      <c r="EW649" s="1523" t="e">
        <f t="shared" si="9"/>
        <v>#VALUE!</v>
      </c>
      <c r="EX649" s="1523"/>
      <c r="EY649" s="1523"/>
      <c r="EZ649" s="1523"/>
      <c r="FA649" s="1523"/>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3" t="e">
        <f t="shared" si="4"/>
        <v>#VALUE!</v>
      </c>
      <c r="DY650" s="1523"/>
      <c r="DZ650" s="1523"/>
      <c r="EA650" s="1523"/>
      <c r="EB650" s="1523"/>
      <c r="EC650" s="1523" t="e">
        <f t="shared" si="5"/>
        <v>#VALUE!</v>
      </c>
      <c r="ED650" s="1523"/>
      <c r="EE650" s="1523"/>
      <c r="EF650" s="1523"/>
      <c r="EG650" s="1523"/>
      <c r="EH650" s="1523" t="e">
        <f t="shared" si="6"/>
        <v>#VALUE!</v>
      </c>
      <c r="EI650" s="1523"/>
      <c r="EJ650" s="1523"/>
      <c r="EK650" s="1523"/>
      <c r="EL650" s="1523"/>
      <c r="EM650" s="1523">
        <f t="shared" si="7"/>
        <v>1598.8032786885244</v>
      </c>
      <c r="EN650" s="1523"/>
      <c r="EO650" s="1523"/>
      <c r="EP650" s="1523"/>
      <c r="EQ650" s="1523"/>
      <c r="ER650" s="1523" t="e">
        <f t="shared" si="8"/>
        <v>#VALUE!</v>
      </c>
      <c r="ES650" s="1523"/>
      <c r="ET650" s="1523"/>
      <c r="EU650" s="1523"/>
      <c r="EV650" s="1523"/>
      <c r="EW650" s="1523" t="e">
        <f t="shared" si="9"/>
        <v>#VALUE!</v>
      </c>
      <c r="EX650" s="1523"/>
      <c r="EY650" s="1523"/>
      <c r="EZ650" s="1523"/>
      <c r="FA650" s="1523"/>
    </row>
    <row r="651" spans="1:157" ht="13" customHeight="1">
      <c r="A651" s="55" t="s">
        <v>112</v>
      </c>
      <c r="B651" t="s">
        <v>463</v>
      </c>
      <c r="G651" s="1446" t="str">
        <f>C635</f>
        <v>Permanent Loan</v>
      </c>
      <c r="H651" s="1446"/>
      <c r="I651" s="1446"/>
      <c r="J651" s="1446"/>
      <c r="K651" s="1446"/>
      <c r="L651" s="1446"/>
      <c r="M651" s="1446"/>
      <c r="N651" s="1446"/>
      <c r="O651" s="1446"/>
      <c r="P651" s="1446"/>
      <c r="Q651" s="1446"/>
      <c r="R651" s="1446"/>
      <c r="S651" s="8"/>
      <c r="T651" s="55" t="s">
        <v>113</v>
      </c>
      <c r="U651" t="s">
        <v>463</v>
      </c>
      <c r="Z651" s="1446" t="str">
        <f>C636</f>
        <v>Deferred Developer Fee</v>
      </c>
      <c r="AA651" s="1446"/>
      <c r="AB651" s="1446"/>
      <c r="AC651" s="1446"/>
      <c r="AD651" s="1446"/>
      <c r="AE651" s="1446"/>
      <c r="AF651" s="1446"/>
      <c r="AG651" s="1446"/>
      <c r="AH651" s="1446"/>
      <c r="AI651" s="1446"/>
      <c r="AJ651" s="1446"/>
      <c r="AK651" s="144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3" t="e">
        <f t="shared" si="4"/>
        <v>#VALUE!</v>
      </c>
      <c r="DY651" s="1523"/>
      <c r="DZ651" s="1523"/>
      <c r="EA651" s="1523"/>
      <c r="EB651" s="1523"/>
      <c r="EC651" s="1523" t="e">
        <f t="shared" si="5"/>
        <v>#VALUE!</v>
      </c>
      <c r="ED651" s="1523"/>
      <c r="EE651" s="1523"/>
      <c r="EF651" s="1523"/>
      <c r="EG651" s="1523"/>
      <c r="EH651" s="1523" t="e">
        <f t="shared" si="6"/>
        <v>#VALUE!</v>
      </c>
      <c r="EI651" s="1523"/>
      <c r="EJ651" s="1523"/>
      <c r="EK651" s="1523"/>
      <c r="EL651" s="1523"/>
      <c r="EM651" s="1523" t="e">
        <f t="shared" si="7"/>
        <v>#VALUE!</v>
      </c>
      <c r="EN651" s="1523"/>
      <c r="EO651" s="1523"/>
      <c r="EP651" s="1523"/>
      <c r="EQ651" s="1523"/>
      <c r="ER651" s="1523" t="e">
        <f t="shared" si="8"/>
        <v>#VALUE!</v>
      </c>
      <c r="ES651" s="1523"/>
      <c r="ET651" s="1523"/>
      <c r="EU651" s="1523"/>
      <c r="EV651" s="1523"/>
      <c r="EW651" s="1523" t="e">
        <f t="shared" si="9"/>
        <v>#VALUE!</v>
      </c>
      <c r="EX651" s="1523"/>
      <c r="EY651" s="1523"/>
      <c r="EZ651" s="1523"/>
      <c r="FA651" s="1523"/>
    </row>
    <row r="652" spans="1:157" ht="13" customHeight="1">
      <c r="A652" s="22"/>
      <c r="B652" t="s">
        <v>85</v>
      </c>
      <c r="G652" s="1456" t="s">
        <v>2720</v>
      </c>
      <c r="H652" s="1456"/>
      <c r="I652" s="1456"/>
      <c r="J652" s="1456"/>
      <c r="K652" s="1456"/>
      <c r="L652" s="1456"/>
      <c r="M652" s="1456"/>
      <c r="N652" s="1456"/>
      <c r="O652" s="1456"/>
      <c r="P652" s="1456"/>
      <c r="Q652" s="1456"/>
      <c r="R652" s="1456"/>
      <c r="S652" s="8"/>
      <c r="T652" s="22"/>
      <c r="U652" t="s">
        <v>85</v>
      </c>
      <c r="Z652" s="1456" t="s">
        <v>2729</v>
      </c>
      <c r="AA652" s="1456"/>
      <c r="AB652" s="1456"/>
      <c r="AC652" s="1456"/>
      <c r="AD652" s="1456"/>
      <c r="AE652" s="1456"/>
      <c r="AF652" s="1456"/>
      <c r="AG652" s="1456"/>
      <c r="AH652" s="1456"/>
      <c r="AI652" s="1456"/>
      <c r="AJ652" s="1456"/>
      <c r="AK652" s="1456"/>
      <c r="AV652" s="3"/>
      <c r="AW652" s="3"/>
      <c r="AX652" s="3"/>
      <c r="AY652" s="3"/>
      <c r="AZ652" s="3"/>
      <c r="BA652" s="3"/>
      <c r="BB652" s="3"/>
      <c r="BC652" s="3"/>
      <c r="BD652" s="3"/>
      <c r="BE652" s="3"/>
      <c r="BF652" s="3"/>
      <c r="BG652" s="3"/>
      <c r="BH652" s="3"/>
      <c r="BI652" s="3"/>
      <c r="BJ652" s="3"/>
      <c r="BK652" s="3"/>
      <c r="BL652" s="3"/>
      <c r="BM652" s="3"/>
      <c r="DX652" s="1523" t="e">
        <f t="shared" si="4"/>
        <v>#VALUE!</v>
      </c>
      <c r="DY652" s="1523"/>
      <c r="DZ652" s="1523"/>
      <c r="EA652" s="1523"/>
      <c r="EB652" s="1523"/>
      <c r="EC652" s="1523" t="e">
        <f t="shared" si="5"/>
        <v>#VALUE!</v>
      </c>
      <c r="ED652" s="1523"/>
      <c r="EE652" s="1523"/>
      <c r="EF652" s="1523"/>
      <c r="EG652" s="1523"/>
      <c r="EH652" s="1523" t="e">
        <f t="shared" si="6"/>
        <v>#VALUE!</v>
      </c>
      <c r="EI652" s="1523"/>
      <c r="EJ652" s="1523"/>
      <c r="EK652" s="1523"/>
      <c r="EL652" s="1523"/>
      <c r="EM652" s="1523" t="e">
        <f t="shared" si="7"/>
        <v>#VALUE!</v>
      </c>
      <c r="EN652" s="1523"/>
      <c r="EO652" s="1523"/>
      <c r="EP652" s="1523"/>
      <c r="EQ652" s="1523"/>
      <c r="ER652" s="1523" t="e">
        <f t="shared" si="8"/>
        <v>#VALUE!</v>
      </c>
      <c r="ES652" s="1523"/>
      <c r="ET652" s="1523"/>
      <c r="EU652" s="1523"/>
      <c r="EV652" s="1523"/>
      <c r="EW652" s="1523" t="e">
        <f t="shared" si="9"/>
        <v>#VALUE!</v>
      </c>
      <c r="EX652" s="1523"/>
      <c r="EY652" s="1523"/>
      <c r="EZ652" s="1523"/>
      <c r="FA652" s="1523"/>
    </row>
    <row r="653" spans="1:157" ht="13" customHeight="1">
      <c r="A653" s="22"/>
      <c r="B653" t="s">
        <v>580</v>
      </c>
      <c r="G653" s="1456" t="s">
        <v>2721</v>
      </c>
      <c r="H653" s="1456"/>
      <c r="I653" s="1456"/>
      <c r="J653" s="1456"/>
      <c r="K653" s="1456"/>
      <c r="L653" s="1456"/>
      <c r="M653" s="1456"/>
      <c r="N653" s="1456"/>
      <c r="O653" s="1456"/>
      <c r="P653" s="1456"/>
      <c r="Q653" s="1456"/>
      <c r="R653" s="1456"/>
      <c r="T653" s="22"/>
      <c r="U653" t="s">
        <v>580</v>
      </c>
      <c r="Z653" s="1478" t="s">
        <v>2668</v>
      </c>
      <c r="AA653" s="1478"/>
      <c r="AB653" s="1478"/>
      <c r="AC653" s="1478"/>
      <c r="AD653" s="1478"/>
      <c r="AE653" s="1478"/>
      <c r="AF653" s="1478"/>
      <c r="AG653" s="1478"/>
      <c r="AH653" s="1478"/>
      <c r="AI653" s="1478"/>
      <c r="AJ653" s="1478"/>
      <c r="AK653" s="1478"/>
      <c r="AV653" s="3"/>
      <c r="AW653" s="3"/>
      <c r="AX653" s="3"/>
      <c r="AY653" s="3"/>
      <c r="AZ653" s="3"/>
      <c r="BA653" s="3"/>
      <c r="BB653" s="3"/>
      <c r="BC653" s="3"/>
      <c r="BD653" s="3"/>
      <c r="BE653" s="3"/>
      <c r="BF653" s="3"/>
      <c r="BG653" s="3"/>
      <c r="BH653" s="3"/>
      <c r="BI653" s="3"/>
      <c r="BJ653" s="3"/>
      <c r="BK653" s="3"/>
      <c r="BL653" s="3"/>
      <c r="BM653" s="3"/>
      <c r="DX653" s="1523" t="e">
        <f t="shared" si="4"/>
        <v>#VALUE!</v>
      </c>
      <c r="DY653" s="1523"/>
      <c r="DZ653" s="1523"/>
      <c r="EA653" s="1523"/>
      <c r="EB653" s="1523"/>
      <c r="EC653" s="1523" t="e">
        <f t="shared" si="5"/>
        <v>#VALUE!</v>
      </c>
      <c r="ED653" s="1523"/>
      <c r="EE653" s="1523"/>
      <c r="EF653" s="1523"/>
      <c r="EG653" s="1523"/>
      <c r="EH653" s="1523" t="e">
        <f t="shared" si="6"/>
        <v>#VALUE!</v>
      </c>
      <c r="EI653" s="1523"/>
      <c r="EJ653" s="1523"/>
      <c r="EK653" s="1523"/>
      <c r="EL653" s="1523"/>
      <c r="EM653" s="1523" t="e">
        <f t="shared" si="7"/>
        <v>#VALUE!</v>
      </c>
      <c r="EN653" s="1523"/>
      <c r="EO653" s="1523"/>
      <c r="EP653" s="1523"/>
      <c r="EQ653" s="1523"/>
      <c r="ER653" s="1523" t="e">
        <f t="shared" si="8"/>
        <v>#VALUE!</v>
      </c>
      <c r="ES653" s="1523"/>
      <c r="ET653" s="1523"/>
      <c r="EU653" s="1523"/>
      <c r="EV653" s="1523"/>
      <c r="EW653" s="1523" t="e">
        <f t="shared" si="9"/>
        <v>#VALUE!</v>
      </c>
      <c r="EX653" s="1523"/>
      <c r="EY653" s="1523"/>
      <c r="EZ653" s="1523"/>
      <c r="FA653" s="1523"/>
    </row>
    <row r="654" spans="1:157" ht="13" customHeight="1">
      <c r="A654" s="22"/>
      <c r="B654" t="s">
        <v>17</v>
      </c>
      <c r="G654" s="1456" t="s">
        <v>2722</v>
      </c>
      <c r="H654" s="1456"/>
      <c r="I654" s="1456"/>
      <c r="J654" s="1456"/>
      <c r="K654" s="1456"/>
      <c r="L654" s="1456"/>
      <c r="M654" s="1456"/>
      <c r="N654" s="1456"/>
      <c r="O654" s="1456"/>
      <c r="P654" s="1456"/>
      <c r="Q654" s="1456"/>
      <c r="R654" s="1456"/>
      <c r="S654" s="8"/>
      <c r="T654" s="22"/>
      <c r="U654" t="s">
        <v>17</v>
      </c>
      <c r="Z654" s="1478" t="s">
        <v>2670</v>
      </c>
      <c r="AA654" s="1478"/>
      <c r="AB654" s="1478"/>
      <c r="AC654" s="1478"/>
      <c r="AD654" s="1478"/>
      <c r="AE654" s="1478"/>
      <c r="AF654" s="1478"/>
      <c r="AG654" s="1478"/>
      <c r="AH654" s="1478"/>
      <c r="AI654" s="1478"/>
      <c r="AJ654" s="1478"/>
      <c r="AK654" s="1478"/>
      <c r="AZ654" s="3"/>
      <c r="BA654" s="3"/>
      <c r="BB654" s="3"/>
      <c r="BC654" s="3"/>
      <c r="BD654" s="3"/>
      <c r="BE654" s="3"/>
      <c r="BF654" s="3"/>
      <c r="BG654" s="3"/>
      <c r="BH654" s="3"/>
      <c r="BI654" s="3"/>
      <c r="BJ654" s="3"/>
      <c r="BK654" s="3"/>
      <c r="BL654" s="3"/>
      <c r="BM654" s="3"/>
      <c r="DX654" s="1523" t="e">
        <f t="shared" si="4"/>
        <v>#VALUE!</v>
      </c>
      <c r="DY654" s="1523"/>
      <c r="DZ654" s="1523"/>
      <c r="EA654" s="1523"/>
      <c r="EB654" s="1523"/>
      <c r="EC654" s="1523" t="e">
        <f t="shared" si="5"/>
        <v>#VALUE!</v>
      </c>
      <c r="ED654" s="1523"/>
      <c r="EE654" s="1523"/>
      <c r="EF654" s="1523"/>
      <c r="EG654" s="1523"/>
      <c r="EH654" s="1523" t="e">
        <f t="shared" si="6"/>
        <v>#VALUE!</v>
      </c>
      <c r="EI654" s="1523"/>
      <c r="EJ654" s="1523"/>
      <c r="EK654" s="1523"/>
      <c r="EL654" s="1523"/>
      <c r="EM654" s="1523" t="e">
        <f t="shared" si="7"/>
        <v>#VALUE!</v>
      </c>
      <c r="EN654" s="1523"/>
      <c r="EO654" s="1523"/>
      <c r="EP654" s="1523"/>
      <c r="EQ654" s="1523"/>
      <c r="ER654" s="1523" t="e">
        <f t="shared" si="8"/>
        <v>#VALUE!</v>
      </c>
      <c r="ES654" s="1523"/>
      <c r="ET654" s="1523"/>
      <c r="EU654" s="1523"/>
      <c r="EV654" s="1523"/>
      <c r="EW654" s="1523" t="e">
        <f t="shared" si="9"/>
        <v>#VALUE!</v>
      </c>
      <c r="EX654" s="1523"/>
      <c r="EY654" s="1523"/>
      <c r="EZ654" s="1523"/>
      <c r="FA654" s="1523"/>
    </row>
    <row r="655" spans="1:157" ht="13" customHeight="1">
      <c r="A655" s="22"/>
      <c r="B655" t="s">
        <v>316</v>
      </c>
      <c r="G655" s="1455" t="s">
        <v>2723</v>
      </c>
      <c r="H655" s="1455"/>
      <c r="I655" s="1455"/>
      <c r="J655" s="1455"/>
      <c r="K655" s="1455"/>
      <c r="L655" s="1455"/>
      <c r="O655" s="33" t="s">
        <v>206</v>
      </c>
      <c r="P655" s="1447"/>
      <c r="Q655" s="1447"/>
      <c r="R655" s="1447"/>
      <c r="S655" s="10"/>
      <c r="T655" s="22"/>
      <c r="U655" t="s">
        <v>316</v>
      </c>
      <c r="Z655" s="1455" t="s">
        <v>2706</v>
      </c>
      <c r="AA655" s="1455"/>
      <c r="AB655" s="1455"/>
      <c r="AC655" s="1455"/>
      <c r="AD655" s="1455"/>
      <c r="AE655" s="1455"/>
      <c r="AH655" s="33" t="s">
        <v>206</v>
      </c>
      <c r="AI655" s="1447"/>
      <c r="AJ655" s="1447"/>
      <c r="AK655" s="1447"/>
      <c r="AZ655" s="34"/>
      <c r="BA655" s="34"/>
      <c r="BB655" s="34"/>
      <c r="BC655" s="34"/>
      <c r="BD655" s="34"/>
      <c r="BE655" s="34"/>
      <c r="BF655" s="34"/>
      <c r="BG655" s="34"/>
      <c r="BH655" s="34"/>
      <c r="BI655" s="34"/>
      <c r="BJ655" s="34"/>
      <c r="BK655" s="34"/>
      <c r="BL655" s="34"/>
      <c r="BM655" s="34"/>
      <c r="DX655" s="1523" t="e">
        <f t="shared" si="4"/>
        <v>#VALUE!</v>
      </c>
      <c r="DY655" s="1523"/>
      <c r="DZ655" s="1523"/>
      <c r="EA655" s="1523"/>
      <c r="EB655" s="1523"/>
      <c r="EC655" s="1523" t="e">
        <f t="shared" si="5"/>
        <v>#VALUE!</v>
      </c>
      <c r="ED655" s="1523"/>
      <c r="EE655" s="1523"/>
      <c r="EF655" s="1523"/>
      <c r="EG655" s="1523"/>
      <c r="EH655" s="1523" t="e">
        <f t="shared" si="6"/>
        <v>#VALUE!</v>
      </c>
      <c r="EI655" s="1523"/>
      <c r="EJ655" s="1523"/>
      <c r="EK655" s="1523"/>
      <c r="EL655" s="1523"/>
      <c r="EM655" s="1523" t="e">
        <f t="shared" si="7"/>
        <v>#VALUE!</v>
      </c>
      <c r="EN655" s="1523"/>
      <c r="EO655" s="1523"/>
      <c r="EP655" s="1523"/>
      <c r="EQ655" s="1523"/>
      <c r="ER655" s="1523" t="e">
        <f t="shared" si="8"/>
        <v>#VALUE!</v>
      </c>
      <c r="ES655" s="1523"/>
      <c r="ET655" s="1523"/>
      <c r="EU655" s="1523"/>
      <c r="EV655" s="1523"/>
      <c r="EW655" s="1523" t="e">
        <f t="shared" si="9"/>
        <v>#VALUE!</v>
      </c>
      <c r="EX655" s="1523"/>
      <c r="EY655" s="1523"/>
      <c r="EZ655" s="1523"/>
      <c r="FA655" s="1523"/>
    </row>
    <row r="656" spans="1:157" ht="13" customHeight="1">
      <c r="A656" s="22"/>
      <c r="B656" t="s">
        <v>18</v>
      </c>
      <c r="H656" s="1490" t="s">
        <v>2726</v>
      </c>
      <c r="I656" s="1456"/>
      <c r="J656" s="1456"/>
      <c r="K656" s="1456"/>
      <c r="L656" s="1456"/>
      <c r="M656" s="1456"/>
      <c r="N656" s="1456"/>
      <c r="O656" s="1456"/>
      <c r="P656" s="1456"/>
      <c r="Q656" s="1456"/>
      <c r="R656" s="1456"/>
      <c r="S656" s="8"/>
      <c r="T656" s="22"/>
      <c r="U656" t="s">
        <v>18</v>
      </c>
      <c r="AA656" s="1456" t="s">
        <v>2719</v>
      </c>
      <c r="AB656" s="1456"/>
      <c r="AC656" s="1456"/>
      <c r="AD656" s="1456"/>
      <c r="AE656" s="1456"/>
      <c r="AF656" s="1456"/>
      <c r="AG656" s="1456"/>
      <c r="AH656" s="1456"/>
      <c r="AI656" s="1456"/>
      <c r="AJ656" s="1456"/>
      <c r="AK656" s="1456"/>
      <c r="AZ656" s="34"/>
      <c r="BA656" s="34"/>
      <c r="BB656" s="34"/>
      <c r="BC656" s="34"/>
      <c r="BD656" s="34"/>
      <c r="BE656" s="34"/>
      <c r="BF656" s="34"/>
      <c r="BG656" s="34"/>
      <c r="BH656" s="34"/>
      <c r="BI656" s="34"/>
      <c r="BJ656" s="34"/>
      <c r="BK656" s="34"/>
      <c r="BL656" s="34"/>
      <c r="BM656" s="34"/>
      <c r="DX656" s="1523" t="e">
        <f t="shared" si="4"/>
        <v>#VALUE!</v>
      </c>
      <c r="DY656" s="1523"/>
      <c r="DZ656" s="1523"/>
      <c r="EA656" s="1523"/>
      <c r="EB656" s="1523"/>
      <c r="EC656" s="1523" t="e">
        <f t="shared" si="5"/>
        <v>#VALUE!</v>
      </c>
      <c r="ED656" s="1523"/>
      <c r="EE656" s="1523"/>
      <c r="EF656" s="1523"/>
      <c r="EG656" s="1523"/>
      <c r="EH656" s="1523" t="e">
        <f t="shared" si="6"/>
        <v>#VALUE!</v>
      </c>
      <c r="EI656" s="1523"/>
      <c r="EJ656" s="1523"/>
      <c r="EK656" s="1523"/>
      <c r="EL656" s="1523"/>
      <c r="EM656" s="1523" t="e">
        <f t="shared" si="7"/>
        <v>#VALUE!</v>
      </c>
      <c r="EN656" s="1523"/>
      <c r="EO656" s="1523"/>
      <c r="EP656" s="1523"/>
      <c r="EQ656" s="1523"/>
      <c r="ER656" s="1523" t="e">
        <f t="shared" si="8"/>
        <v>#VALUE!</v>
      </c>
      <c r="ES656" s="1523"/>
      <c r="ET656" s="1523"/>
      <c r="EU656" s="1523"/>
      <c r="EV656" s="1523"/>
      <c r="EW656" s="1523" t="e">
        <f t="shared" si="9"/>
        <v>#VALUE!</v>
      </c>
      <c r="EX656" s="1523"/>
      <c r="EY656" s="1523"/>
      <c r="EZ656" s="1523"/>
      <c r="FA656" s="1523"/>
    </row>
    <row r="657" spans="1:157" ht="13" customHeight="1">
      <c r="A657" s="22"/>
      <c r="B657" t="s">
        <v>20</v>
      </c>
      <c r="N657" s="1340" t="s">
        <v>545</v>
      </c>
      <c r="O657" s="1340"/>
      <c r="T657" s="22"/>
      <c r="U657" t="s">
        <v>20</v>
      </c>
      <c r="AG657" s="1340" t="s">
        <v>545</v>
      </c>
      <c r="AH657" s="1340"/>
      <c r="AZ657" s="34"/>
      <c r="BA657" s="34"/>
      <c r="BB657" s="34"/>
      <c r="BC657" s="34"/>
      <c r="BD657" s="34"/>
      <c r="BE657" s="34"/>
      <c r="BF657" s="34"/>
      <c r="BG657" s="34"/>
      <c r="BH657" s="34"/>
      <c r="BI657" s="34"/>
      <c r="BJ657" s="34"/>
      <c r="BK657" s="34"/>
      <c r="BL657" s="34"/>
      <c r="BM657" s="34"/>
      <c r="DX657" s="1523" t="e">
        <f t="shared" si="4"/>
        <v>#VALUE!</v>
      </c>
      <c r="DY657" s="1523"/>
      <c r="DZ657" s="1523"/>
      <c r="EA657" s="1523"/>
      <c r="EB657" s="1523"/>
      <c r="EC657" s="1523" t="e">
        <f t="shared" si="5"/>
        <v>#VALUE!</v>
      </c>
      <c r="ED657" s="1523"/>
      <c r="EE657" s="1523"/>
      <c r="EF657" s="1523"/>
      <c r="EG657" s="1523"/>
      <c r="EH657" s="1523" t="e">
        <f t="shared" si="6"/>
        <v>#VALUE!</v>
      </c>
      <c r="EI657" s="1523"/>
      <c r="EJ657" s="1523"/>
      <c r="EK657" s="1523"/>
      <c r="EL657" s="1523"/>
      <c r="EM657" s="1523" t="e">
        <f t="shared" si="7"/>
        <v>#VALUE!</v>
      </c>
      <c r="EN657" s="1523"/>
      <c r="EO657" s="1523"/>
      <c r="EP657" s="1523"/>
      <c r="EQ657" s="1523"/>
      <c r="ER657" s="1523" t="e">
        <f t="shared" si="8"/>
        <v>#VALUE!</v>
      </c>
      <c r="ES657" s="1523"/>
      <c r="ET657" s="1523"/>
      <c r="EU657" s="1523"/>
      <c r="EV657" s="1523"/>
      <c r="EW657" s="1523" t="e">
        <f t="shared" si="9"/>
        <v>#VALUE!</v>
      </c>
      <c r="EX657" s="1523"/>
      <c r="EY657" s="1523"/>
      <c r="EZ657" s="1523"/>
      <c r="FA657" s="1523"/>
    </row>
    <row r="658" spans="1:157" ht="13" customHeight="1">
      <c r="A658" s="22"/>
      <c r="T658" s="22"/>
      <c r="AZ658" s="34"/>
      <c r="BA658" s="34"/>
      <c r="BB658" s="34"/>
      <c r="BC658" s="34"/>
      <c r="BD658" s="34"/>
      <c r="BE658" s="34"/>
      <c r="BF658" s="34"/>
      <c r="BG658" s="34"/>
      <c r="BH658" s="34"/>
      <c r="BI658" s="34"/>
      <c r="BJ658" s="34"/>
      <c r="BK658" s="34"/>
      <c r="BL658" s="34"/>
      <c r="BM658" s="34"/>
      <c r="DX658" s="1523" t="e">
        <f t="shared" si="4"/>
        <v>#VALUE!</v>
      </c>
      <c r="DY658" s="1523"/>
      <c r="DZ658" s="1523"/>
      <c r="EA658" s="1523"/>
      <c r="EB658" s="1523"/>
      <c r="EC658" s="1523" t="e">
        <f t="shared" si="5"/>
        <v>#VALUE!</v>
      </c>
      <c r="ED658" s="1523"/>
      <c r="EE658" s="1523"/>
      <c r="EF658" s="1523"/>
      <c r="EG658" s="1523"/>
      <c r="EH658" s="1523" t="e">
        <f t="shared" si="6"/>
        <v>#VALUE!</v>
      </c>
      <c r="EI658" s="1523"/>
      <c r="EJ658" s="1523"/>
      <c r="EK658" s="1523"/>
      <c r="EL658" s="1523"/>
      <c r="EM658" s="1523" t="e">
        <f t="shared" si="7"/>
        <v>#VALUE!</v>
      </c>
      <c r="EN658" s="1523"/>
      <c r="EO658" s="1523"/>
      <c r="EP658" s="1523"/>
      <c r="EQ658" s="1523"/>
      <c r="ER658" s="1523" t="e">
        <f t="shared" si="8"/>
        <v>#VALUE!</v>
      </c>
      <c r="ES658" s="1523"/>
      <c r="ET658" s="1523"/>
      <c r="EU658" s="1523"/>
      <c r="EV658" s="1523"/>
      <c r="EW658" s="1523" t="e">
        <f t="shared" si="9"/>
        <v>#VALUE!</v>
      </c>
      <c r="EX658" s="1523"/>
      <c r="EY658" s="1523"/>
      <c r="EZ658" s="1523"/>
      <c r="FA658" s="1523"/>
    </row>
    <row r="659" spans="1:157" ht="13" customHeight="1">
      <c r="A659" s="55" t="s">
        <v>119</v>
      </c>
      <c r="B659" t="s">
        <v>463</v>
      </c>
      <c r="G659" s="1446">
        <f>C637</f>
        <v>0</v>
      </c>
      <c r="H659" s="1446"/>
      <c r="I659" s="1446"/>
      <c r="J659" s="1446"/>
      <c r="K659" s="1446"/>
      <c r="L659" s="1446"/>
      <c r="M659" s="1446"/>
      <c r="N659" s="1446"/>
      <c r="O659" s="1446"/>
      <c r="P659" s="1446"/>
      <c r="Q659" s="1446"/>
      <c r="R659" s="1446"/>
      <c r="T659" s="55" t="s">
        <v>581</v>
      </c>
      <c r="U659" t="s">
        <v>463</v>
      </c>
      <c r="Z659" s="1446">
        <f>C638</f>
        <v>0</v>
      </c>
      <c r="AA659" s="1446"/>
      <c r="AB659" s="1446"/>
      <c r="AC659" s="1446"/>
      <c r="AD659" s="1446"/>
      <c r="AE659" s="1446"/>
      <c r="AF659" s="1446"/>
      <c r="AG659" s="1446"/>
      <c r="AH659" s="1446"/>
      <c r="AI659" s="1446"/>
      <c r="AJ659" s="1446"/>
      <c r="AK659" s="1446"/>
      <c r="AZ659" s="34"/>
      <c r="BA659" s="34"/>
      <c r="BB659" s="34"/>
      <c r="BC659" s="34"/>
      <c r="BD659" s="34"/>
      <c r="BE659" s="34"/>
      <c r="BF659" s="34"/>
      <c r="BG659" s="34"/>
      <c r="BH659" s="34"/>
      <c r="BI659" s="34"/>
      <c r="BJ659" s="34"/>
      <c r="BK659" s="34"/>
      <c r="BL659" s="34"/>
      <c r="BM659" s="34"/>
      <c r="DX659" s="1523" t="e">
        <f t="shared" si="4"/>
        <v>#VALUE!</v>
      </c>
      <c r="DY659" s="1523"/>
      <c r="DZ659" s="1523"/>
      <c r="EA659" s="1523"/>
      <c r="EB659" s="1523"/>
      <c r="EC659" s="1523" t="e">
        <f t="shared" si="5"/>
        <v>#VALUE!</v>
      </c>
      <c r="ED659" s="1523"/>
      <c r="EE659" s="1523"/>
      <c r="EF659" s="1523"/>
      <c r="EG659" s="1523"/>
      <c r="EH659" s="1523" t="e">
        <f t="shared" si="6"/>
        <v>#VALUE!</v>
      </c>
      <c r="EI659" s="1523"/>
      <c r="EJ659" s="1523"/>
      <c r="EK659" s="1523"/>
      <c r="EL659" s="1523"/>
      <c r="EM659" s="1523" t="e">
        <f t="shared" si="7"/>
        <v>#VALUE!</v>
      </c>
      <c r="EN659" s="1523"/>
      <c r="EO659" s="1523"/>
      <c r="EP659" s="1523"/>
      <c r="EQ659" s="1523"/>
      <c r="ER659" s="1523" t="e">
        <f t="shared" si="8"/>
        <v>#VALUE!</v>
      </c>
      <c r="ES659" s="1523"/>
      <c r="ET659" s="1523"/>
      <c r="EU659" s="1523"/>
      <c r="EV659" s="1523"/>
      <c r="EW659" s="1523" t="e">
        <f t="shared" si="9"/>
        <v>#VALUE!</v>
      </c>
      <c r="EX659" s="1523"/>
      <c r="EY659" s="1523"/>
      <c r="EZ659" s="1523"/>
      <c r="FA659" s="1523"/>
    </row>
    <row r="660" spans="1:157" ht="13" customHeight="1">
      <c r="A660" s="22"/>
      <c r="B660" t="s">
        <v>85</v>
      </c>
      <c r="G660" s="1456"/>
      <c r="H660" s="1456"/>
      <c r="I660" s="1456"/>
      <c r="J660" s="1456"/>
      <c r="K660" s="1456"/>
      <c r="L660" s="1456"/>
      <c r="M660" s="1456"/>
      <c r="N660" s="1456"/>
      <c r="O660" s="1456"/>
      <c r="P660" s="1456"/>
      <c r="Q660" s="1456"/>
      <c r="R660" s="1456"/>
      <c r="T660" s="22"/>
      <c r="U660" t="s">
        <v>85</v>
      </c>
      <c r="Z660" s="1456"/>
      <c r="AA660" s="1456"/>
      <c r="AB660" s="1456"/>
      <c r="AC660" s="1456"/>
      <c r="AD660" s="1456"/>
      <c r="AE660" s="1456"/>
      <c r="AF660" s="1456"/>
      <c r="AG660" s="1456"/>
      <c r="AH660" s="1456"/>
      <c r="AI660" s="1456"/>
      <c r="AJ660" s="1456"/>
      <c r="AK660" s="1456"/>
      <c r="AZ660" s="34"/>
      <c r="BA660" s="34"/>
      <c r="BB660" s="34"/>
      <c r="BC660" s="34"/>
      <c r="BD660" s="34"/>
      <c r="BE660" s="34"/>
      <c r="BF660" s="34"/>
      <c r="BG660" s="34"/>
      <c r="BH660" s="34"/>
      <c r="BI660" s="34"/>
      <c r="BJ660" s="34"/>
      <c r="BK660" s="34"/>
      <c r="BL660" s="34"/>
      <c r="BM660" s="34"/>
      <c r="DX660" s="1523" t="e">
        <f t="shared" si="4"/>
        <v>#VALUE!</v>
      </c>
      <c r="DY660" s="1523"/>
      <c r="DZ660" s="1523"/>
      <c r="EA660" s="1523"/>
      <c r="EB660" s="1523"/>
      <c r="EC660" s="1523" t="e">
        <f t="shared" si="5"/>
        <v>#VALUE!</v>
      </c>
      <c r="ED660" s="1523"/>
      <c r="EE660" s="1523"/>
      <c r="EF660" s="1523"/>
      <c r="EG660" s="1523"/>
      <c r="EH660" s="1523" t="e">
        <f t="shared" si="6"/>
        <v>#VALUE!</v>
      </c>
      <c r="EI660" s="1523"/>
      <c r="EJ660" s="1523"/>
      <c r="EK660" s="1523"/>
      <c r="EL660" s="1523"/>
      <c r="EM660" s="1523" t="e">
        <f t="shared" si="7"/>
        <v>#VALUE!</v>
      </c>
      <c r="EN660" s="1523"/>
      <c r="EO660" s="1523"/>
      <c r="EP660" s="1523"/>
      <c r="EQ660" s="1523"/>
      <c r="ER660" s="1523" t="e">
        <f t="shared" si="8"/>
        <v>#VALUE!</v>
      </c>
      <c r="ES660" s="1523"/>
      <c r="ET660" s="1523"/>
      <c r="EU660" s="1523"/>
      <c r="EV660" s="1523"/>
      <c r="EW660" s="1523" t="e">
        <f t="shared" si="9"/>
        <v>#VALUE!</v>
      </c>
      <c r="EX660" s="1523"/>
      <c r="EY660" s="1523"/>
      <c r="EZ660" s="1523"/>
      <c r="FA660" s="1523"/>
    </row>
    <row r="661" spans="1:157" ht="13" customHeight="1">
      <c r="A661" s="22"/>
      <c r="B661" t="s">
        <v>580</v>
      </c>
      <c r="G661" s="1478"/>
      <c r="H661" s="1478"/>
      <c r="I661" s="1478"/>
      <c r="J661" s="1478"/>
      <c r="K661" s="1478"/>
      <c r="L661" s="1478"/>
      <c r="M661" s="1478"/>
      <c r="N661" s="1478"/>
      <c r="O661" s="1478"/>
      <c r="P661" s="1478"/>
      <c r="Q661" s="1478"/>
      <c r="R661" s="1478"/>
      <c r="T661" s="22"/>
      <c r="U661" t="s">
        <v>580</v>
      </c>
      <c r="Z661" s="1478"/>
      <c r="AA661" s="1478"/>
      <c r="AB661" s="1478"/>
      <c r="AC661" s="1478"/>
      <c r="AD661" s="1478"/>
      <c r="AE661" s="1478"/>
      <c r="AF661" s="1478"/>
      <c r="AG661" s="1478"/>
      <c r="AH661" s="1478"/>
      <c r="AI661" s="1478"/>
      <c r="AJ661" s="1478"/>
      <c r="AK661" s="1478"/>
      <c r="AZ661" s="34"/>
      <c r="BA661" s="34"/>
      <c r="BB661" s="34"/>
      <c r="BC661" s="34"/>
      <c r="BD661" s="34"/>
      <c r="BE661" s="34"/>
      <c r="BF661" s="34"/>
      <c r="BG661" s="34"/>
      <c r="BH661" s="34"/>
      <c r="BI661" s="34"/>
      <c r="BJ661" s="34"/>
      <c r="BK661" s="34"/>
      <c r="BL661" s="34"/>
      <c r="BM661" s="34"/>
      <c r="DX661" s="1523" t="e">
        <f t="shared" si="4"/>
        <v>#VALUE!</v>
      </c>
      <c r="DY661" s="1523"/>
      <c r="DZ661" s="1523"/>
      <c r="EA661" s="1523"/>
      <c r="EB661" s="1523"/>
      <c r="EC661" s="1523" t="e">
        <f t="shared" si="5"/>
        <v>#VALUE!</v>
      </c>
      <c r="ED661" s="1523"/>
      <c r="EE661" s="1523"/>
      <c r="EF661" s="1523"/>
      <c r="EG661" s="1523"/>
      <c r="EH661" s="1523" t="e">
        <f t="shared" si="6"/>
        <v>#VALUE!</v>
      </c>
      <c r="EI661" s="1523"/>
      <c r="EJ661" s="1523"/>
      <c r="EK661" s="1523"/>
      <c r="EL661" s="1523"/>
      <c r="EM661" s="1523" t="e">
        <f t="shared" si="7"/>
        <v>#VALUE!</v>
      </c>
      <c r="EN661" s="1523"/>
      <c r="EO661" s="1523"/>
      <c r="EP661" s="1523"/>
      <c r="EQ661" s="1523"/>
      <c r="ER661" s="1523" t="e">
        <f t="shared" si="8"/>
        <v>#VALUE!</v>
      </c>
      <c r="ES661" s="1523"/>
      <c r="ET661" s="1523"/>
      <c r="EU661" s="1523"/>
      <c r="EV661" s="1523"/>
      <c r="EW661" s="1523" t="e">
        <f t="shared" si="9"/>
        <v>#VALUE!</v>
      </c>
      <c r="EX661" s="1523"/>
      <c r="EY661" s="1523"/>
      <c r="EZ661" s="1523"/>
      <c r="FA661" s="1523"/>
    </row>
    <row r="662" spans="1:157" ht="13" customHeight="1">
      <c r="A662" s="22"/>
      <c r="B662" t="s">
        <v>17</v>
      </c>
      <c r="G662" s="1478"/>
      <c r="H662" s="1478"/>
      <c r="I662" s="1478"/>
      <c r="J662" s="1478"/>
      <c r="K662" s="1478"/>
      <c r="L662" s="1478"/>
      <c r="M662" s="1478"/>
      <c r="N662" s="1478"/>
      <c r="O662" s="1478"/>
      <c r="P662" s="1478"/>
      <c r="Q662" s="1478"/>
      <c r="R662" s="1478"/>
      <c r="T662" s="22"/>
      <c r="U662" t="s">
        <v>17</v>
      </c>
      <c r="Z662" s="1478"/>
      <c r="AA662" s="1478"/>
      <c r="AB662" s="1478"/>
      <c r="AC662" s="1478"/>
      <c r="AD662" s="1478"/>
      <c r="AE662" s="1478"/>
      <c r="AF662" s="1478"/>
      <c r="AG662" s="1478"/>
      <c r="AH662" s="1478"/>
      <c r="AI662" s="1478"/>
      <c r="AJ662" s="1478"/>
      <c r="AK662" s="1478"/>
      <c r="AZ662" s="34"/>
      <c r="BA662" s="34"/>
      <c r="BB662" s="34"/>
      <c r="BC662" s="34"/>
      <c r="BD662" s="34"/>
      <c r="BE662" s="34"/>
      <c r="BF662" s="34"/>
      <c r="BG662" s="34"/>
      <c r="BH662" s="34"/>
      <c r="BI662" s="34"/>
      <c r="BJ662" s="34"/>
      <c r="BK662" s="34"/>
      <c r="BL662" s="34"/>
      <c r="BM662" s="34"/>
      <c r="DX662" s="1523" t="e">
        <f t="shared" si="4"/>
        <v>#VALUE!</v>
      </c>
      <c r="DY662" s="1523"/>
      <c r="DZ662" s="1523"/>
      <c r="EA662" s="1523"/>
      <c r="EB662" s="1523"/>
      <c r="EC662" s="1523" t="e">
        <f t="shared" si="5"/>
        <v>#VALUE!</v>
      </c>
      <c r="ED662" s="1523"/>
      <c r="EE662" s="1523"/>
      <c r="EF662" s="1523"/>
      <c r="EG662" s="1523"/>
      <c r="EH662" s="1523" t="e">
        <f t="shared" si="6"/>
        <v>#VALUE!</v>
      </c>
      <c r="EI662" s="1523"/>
      <c r="EJ662" s="1523"/>
      <c r="EK662" s="1523"/>
      <c r="EL662" s="1523"/>
      <c r="EM662" s="1523" t="e">
        <f t="shared" si="7"/>
        <v>#VALUE!</v>
      </c>
      <c r="EN662" s="1523"/>
      <c r="EO662" s="1523"/>
      <c r="EP662" s="1523"/>
      <c r="EQ662" s="1523"/>
      <c r="ER662" s="1523" t="e">
        <f t="shared" si="8"/>
        <v>#VALUE!</v>
      </c>
      <c r="ES662" s="1523"/>
      <c r="ET662" s="1523"/>
      <c r="EU662" s="1523"/>
      <c r="EV662" s="1523"/>
      <c r="EW662" s="1523" t="e">
        <f t="shared" si="9"/>
        <v>#VALUE!</v>
      </c>
      <c r="EX662" s="1523"/>
      <c r="EY662" s="1523"/>
      <c r="EZ662" s="1523"/>
      <c r="FA662" s="1523"/>
    </row>
    <row r="663" spans="1:157" ht="13" customHeight="1">
      <c r="A663" s="22"/>
      <c r="B663" t="s">
        <v>316</v>
      </c>
      <c r="G663" s="1455"/>
      <c r="H663" s="1455"/>
      <c r="I663" s="1455"/>
      <c r="J663" s="1455"/>
      <c r="K663" s="1455"/>
      <c r="L663" s="1455"/>
      <c r="O663" s="33" t="s">
        <v>206</v>
      </c>
      <c r="P663" s="1447"/>
      <c r="Q663" s="1447"/>
      <c r="R663" s="1447"/>
      <c r="T663" s="22"/>
      <c r="U663" t="s">
        <v>316</v>
      </c>
      <c r="Z663" s="1455"/>
      <c r="AA663" s="1455"/>
      <c r="AB663" s="1455"/>
      <c r="AC663" s="1455"/>
      <c r="AD663" s="1455"/>
      <c r="AE663" s="1455"/>
      <c r="AH663" s="33" t="s">
        <v>206</v>
      </c>
      <c r="AI663" s="1447"/>
      <c r="AJ663" s="1447"/>
      <c r="AK663" s="1447"/>
      <c r="AZ663" s="34"/>
      <c r="BA663" s="34"/>
      <c r="BB663" s="34"/>
      <c r="BC663" s="34"/>
      <c r="BD663" s="34"/>
      <c r="BE663" s="34"/>
      <c r="BF663" s="34"/>
      <c r="BG663" s="34"/>
      <c r="BH663" s="34"/>
      <c r="BI663" s="34"/>
      <c r="BJ663" s="34"/>
      <c r="BK663" s="34"/>
      <c r="BL663" s="34"/>
      <c r="BM663" s="34"/>
      <c r="DX663" s="1523" t="e">
        <f t="shared" si="4"/>
        <v>#VALUE!</v>
      </c>
      <c r="DY663" s="1523"/>
      <c r="DZ663" s="1523"/>
      <c r="EA663" s="1523"/>
      <c r="EB663" s="1523"/>
      <c r="EC663" s="1523" t="e">
        <f t="shared" si="5"/>
        <v>#VALUE!</v>
      </c>
      <c r="ED663" s="1523"/>
      <c r="EE663" s="1523"/>
      <c r="EF663" s="1523"/>
      <c r="EG663" s="1523"/>
      <c r="EH663" s="1523" t="e">
        <f t="shared" si="6"/>
        <v>#VALUE!</v>
      </c>
      <c r="EI663" s="1523"/>
      <c r="EJ663" s="1523"/>
      <c r="EK663" s="1523"/>
      <c r="EL663" s="1523"/>
      <c r="EM663" s="1523" t="e">
        <f t="shared" si="7"/>
        <v>#VALUE!</v>
      </c>
      <c r="EN663" s="1523"/>
      <c r="EO663" s="1523"/>
      <c r="EP663" s="1523"/>
      <c r="EQ663" s="1523"/>
      <c r="ER663" s="1523" t="e">
        <f t="shared" si="8"/>
        <v>#VALUE!</v>
      </c>
      <c r="ES663" s="1523"/>
      <c r="ET663" s="1523"/>
      <c r="EU663" s="1523"/>
      <c r="EV663" s="1523"/>
      <c r="EW663" s="1523" t="e">
        <f t="shared" si="9"/>
        <v>#VALUE!</v>
      </c>
      <c r="EX663" s="1523"/>
      <c r="EY663" s="1523"/>
      <c r="EZ663" s="1523"/>
      <c r="FA663" s="1523"/>
    </row>
    <row r="664" spans="1:157" ht="13" customHeight="1">
      <c r="A664" s="22"/>
      <c r="B664" t="s">
        <v>18</v>
      </c>
      <c r="H664" s="1456"/>
      <c r="I664" s="1456"/>
      <c r="J664" s="1456"/>
      <c r="K664" s="1456"/>
      <c r="L664" s="1456"/>
      <c r="M664" s="1456"/>
      <c r="N664" s="1456"/>
      <c r="O664" s="1456"/>
      <c r="P664" s="1456"/>
      <c r="Q664" s="1456"/>
      <c r="R664" s="1456"/>
      <c r="T664" s="22"/>
      <c r="U664" t="s">
        <v>18</v>
      </c>
      <c r="AA664" s="1456"/>
      <c r="AB664" s="1456"/>
      <c r="AC664" s="1456"/>
      <c r="AD664" s="1456"/>
      <c r="AE664" s="1456"/>
      <c r="AF664" s="1456"/>
      <c r="AG664" s="1456"/>
      <c r="AH664" s="1456"/>
      <c r="AI664" s="1456"/>
      <c r="AJ664" s="1456"/>
      <c r="AK664" s="1456"/>
      <c r="AZ664" s="34"/>
      <c r="BA664" s="34"/>
      <c r="BB664" s="34"/>
      <c r="BC664" s="34"/>
      <c r="BD664" s="34"/>
      <c r="BE664" s="34"/>
      <c r="BF664" s="34"/>
      <c r="BG664" s="34"/>
      <c r="BH664" s="34"/>
      <c r="BI664" s="34"/>
      <c r="BJ664" s="34"/>
      <c r="BK664" s="34"/>
      <c r="BL664" s="34"/>
      <c r="BM664" s="34"/>
      <c r="DX664" s="1523" t="e">
        <f t="shared" si="4"/>
        <v>#VALUE!</v>
      </c>
      <c r="DY664" s="1523"/>
      <c r="DZ664" s="1523"/>
      <c r="EA664" s="1523"/>
      <c r="EB664" s="1523"/>
      <c r="EC664" s="1523" t="e">
        <f t="shared" si="5"/>
        <v>#VALUE!</v>
      </c>
      <c r="ED664" s="1523"/>
      <c r="EE664" s="1523"/>
      <c r="EF664" s="1523"/>
      <c r="EG664" s="1523"/>
      <c r="EH664" s="1523" t="e">
        <f t="shared" si="6"/>
        <v>#VALUE!</v>
      </c>
      <c r="EI664" s="1523"/>
      <c r="EJ664" s="1523"/>
      <c r="EK664" s="1523"/>
      <c r="EL664" s="1523"/>
      <c r="EM664" s="1523" t="e">
        <f t="shared" si="7"/>
        <v>#VALUE!</v>
      </c>
      <c r="EN664" s="1523"/>
      <c r="EO664" s="1523"/>
      <c r="EP664" s="1523"/>
      <c r="EQ664" s="1523"/>
      <c r="ER664" s="1523" t="e">
        <f t="shared" si="8"/>
        <v>#VALUE!</v>
      </c>
      <c r="ES664" s="1523"/>
      <c r="ET664" s="1523"/>
      <c r="EU664" s="1523"/>
      <c r="EV664" s="1523"/>
      <c r="EW664" s="1523" t="e">
        <f t="shared" si="9"/>
        <v>#VALUE!</v>
      </c>
      <c r="EX664" s="1523"/>
      <c r="EY664" s="1523"/>
      <c r="EZ664" s="1523"/>
      <c r="FA664" s="1523"/>
    </row>
    <row r="665" spans="1:157" ht="13" customHeight="1">
      <c r="A665" s="22"/>
      <c r="B665" t="s">
        <v>20</v>
      </c>
      <c r="N665" s="1340" t="s">
        <v>668</v>
      </c>
      <c r="O665" s="1340"/>
      <c r="T665" s="22"/>
      <c r="U665" t="s">
        <v>20</v>
      </c>
      <c r="AG665" s="1340" t="s">
        <v>668</v>
      </c>
      <c r="AH665" s="1340"/>
      <c r="AZ665" s="34"/>
      <c r="BA665" s="34"/>
      <c r="BB665" s="34"/>
      <c r="BC665" s="34"/>
      <c r="BD665" s="34"/>
      <c r="BE665" s="34"/>
      <c r="BF665" s="34"/>
      <c r="BG665" s="34"/>
      <c r="BH665" s="34"/>
      <c r="BI665" s="34"/>
      <c r="BJ665" s="34"/>
      <c r="BK665" s="34"/>
      <c r="BL665" s="34"/>
      <c r="BM665" s="34"/>
      <c r="DX665" s="1523" t="e">
        <f t="shared" si="4"/>
        <v>#VALUE!</v>
      </c>
      <c r="DY665" s="1523"/>
      <c r="DZ665" s="1523"/>
      <c r="EA665" s="1523"/>
      <c r="EB665" s="1523"/>
      <c r="EC665" s="1523" t="e">
        <f t="shared" si="5"/>
        <v>#VALUE!</v>
      </c>
      <c r="ED665" s="1523"/>
      <c r="EE665" s="1523"/>
      <c r="EF665" s="1523"/>
      <c r="EG665" s="1523"/>
      <c r="EH665" s="1523" t="e">
        <f t="shared" si="6"/>
        <v>#VALUE!</v>
      </c>
      <c r="EI665" s="1523"/>
      <c r="EJ665" s="1523"/>
      <c r="EK665" s="1523"/>
      <c r="EL665" s="1523"/>
      <c r="EM665" s="1523" t="e">
        <f t="shared" si="7"/>
        <v>#VALUE!</v>
      </c>
      <c r="EN665" s="1523"/>
      <c r="EO665" s="1523"/>
      <c r="EP665" s="1523"/>
      <c r="EQ665" s="1523"/>
      <c r="ER665" s="1523" t="e">
        <f t="shared" si="8"/>
        <v>#VALUE!</v>
      </c>
      <c r="ES665" s="1523"/>
      <c r="ET665" s="1523"/>
      <c r="EU665" s="1523"/>
      <c r="EV665" s="1523"/>
      <c r="EW665" s="1523" t="e">
        <f t="shared" si="9"/>
        <v>#VALUE!</v>
      </c>
      <c r="EX665" s="1523"/>
      <c r="EY665" s="1523"/>
      <c r="EZ665" s="1523"/>
      <c r="FA665" s="1523"/>
    </row>
    <row r="666" spans="1:157" ht="13" customHeight="1">
      <c r="A666" s="22"/>
      <c r="T666" s="22"/>
      <c r="AZ666" s="34"/>
      <c r="BA666" s="34"/>
      <c r="BB666" s="34"/>
      <c r="BC666" s="34"/>
      <c r="BD666" s="34"/>
      <c r="BE666" s="34"/>
      <c r="BF666" s="34"/>
      <c r="BG666" s="34"/>
      <c r="BH666" s="34"/>
      <c r="BI666" s="34"/>
      <c r="BJ666" s="34"/>
      <c r="BK666" s="34"/>
      <c r="BL666" s="34"/>
      <c r="BM666" s="34"/>
      <c r="DX666" s="1523" t="e">
        <f t="shared" si="4"/>
        <v>#VALUE!</v>
      </c>
      <c r="DY666" s="1523"/>
      <c r="DZ666" s="1523"/>
      <c r="EA666" s="1523"/>
      <c r="EB666" s="1523"/>
      <c r="EC666" s="1523" t="e">
        <f t="shared" si="5"/>
        <v>#VALUE!</v>
      </c>
      <c r="ED666" s="1523"/>
      <c r="EE666" s="1523"/>
      <c r="EF666" s="1523"/>
      <c r="EG666" s="1523"/>
      <c r="EH666" s="1523" t="e">
        <f t="shared" si="6"/>
        <v>#VALUE!</v>
      </c>
      <c r="EI666" s="1523"/>
      <c r="EJ666" s="1523"/>
      <c r="EK666" s="1523"/>
      <c r="EL666" s="1523"/>
      <c r="EM666" s="1523" t="e">
        <f t="shared" si="7"/>
        <v>#VALUE!</v>
      </c>
      <c r="EN666" s="1523"/>
      <c r="EO666" s="1523"/>
      <c r="EP666" s="1523"/>
      <c r="EQ666" s="1523"/>
      <c r="ER666" s="1523" t="e">
        <f t="shared" si="8"/>
        <v>#VALUE!</v>
      </c>
      <c r="ES666" s="1523"/>
      <c r="ET666" s="1523"/>
      <c r="EU666" s="1523"/>
      <c r="EV666" s="1523"/>
      <c r="EW666" s="1523" t="e">
        <f t="shared" si="9"/>
        <v>#VALUE!</v>
      </c>
      <c r="EX666" s="1523"/>
      <c r="EY666" s="1523"/>
      <c r="EZ666" s="1523"/>
      <c r="FA666" s="1523"/>
    </row>
    <row r="667" spans="1:157" ht="13" customHeight="1">
      <c r="A667" s="55" t="s">
        <v>762</v>
      </c>
      <c r="B667" t="s">
        <v>463</v>
      </c>
      <c r="G667" s="1446">
        <f>C639</f>
        <v>0</v>
      </c>
      <c r="H667" s="1446"/>
      <c r="I667" s="1446"/>
      <c r="J667" s="1446"/>
      <c r="K667" s="1446"/>
      <c r="L667" s="1446"/>
      <c r="M667" s="1446"/>
      <c r="N667" s="1446"/>
      <c r="O667" s="1446"/>
      <c r="P667" s="1446"/>
      <c r="Q667" s="1446"/>
      <c r="R667" s="1446"/>
      <c r="T667" s="55" t="s">
        <v>584</v>
      </c>
      <c r="U667" t="s">
        <v>463</v>
      </c>
      <c r="Z667" s="1446">
        <f>C640</f>
        <v>0</v>
      </c>
      <c r="AA667" s="1446"/>
      <c r="AB667" s="1446"/>
      <c r="AC667" s="1446"/>
      <c r="AD667" s="1446"/>
      <c r="AE667" s="1446"/>
      <c r="AF667" s="1446"/>
      <c r="AG667" s="1446"/>
      <c r="AH667" s="1446"/>
      <c r="AI667" s="1446"/>
      <c r="AJ667" s="1446"/>
      <c r="AK667" s="1446"/>
      <c r="AZ667" s="34"/>
      <c r="BA667" s="34"/>
      <c r="BB667" s="34"/>
      <c r="BC667" s="34"/>
      <c r="BD667" s="34"/>
      <c r="BE667" s="34"/>
      <c r="BF667" s="34"/>
      <c r="BG667" s="34"/>
      <c r="BH667" s="34"/>
      <c r="BI667" s="34"/>
      <c r="BJ667" s="34"/>
      <c r="BK667" s="34"/>
      <c r="BL667" s="34"/>
      <c r="BM667" s="34"/>
      <c r="DX667" s="1523" t="e">
        <f t="shared" si="4"/>
        <v>#VALUE!</v>
      </c>
      <c r="DY667" s="1523"/>
      <c r="DZ667" s="1523"/>
      <c r="EA667" s="1523"/>
      <c r="EB667" s="1523"/>
      <c r="EC667" s="1523" t="e">
        <f t="shared" si="5"/>
        <v>#VALUE!</v>
      </c>
      <c r="ED667" s="1523"/>
      <c r="EE667" s="1523"/>
      <c r="EF667" s="1523"/>
      <c r="EG667" s="1523"/>
      <c r="EH667" s="1523" t="e">
        <f t="shared" si="6"/>
        <v>#VALUE!</v>
      </c>
      <c r="EI667" s="1523"/>
      <c r="EJ667" s="1523"/>
      <c r="EK667" s="1523"/>
      <c r="EL667" s="1523"/>
      <c r="EM667" s="1523" t="e">
        <f t="shared" si="7"/>
        <v>#VALUE!</v>
      </c>
      <c r="EN667" s="1523"/>
      <c r="EO667" s="1523"/>
      <c r="EP667" s="1523"/>
      <c r="EQ667" s="1523"/>
      <c r="ER667" s="1523" t="e">
        <f t="shared" si="8"/>
        <v>#VALUE!</v>
      </c>
      <c r="ES667" s="1523"/>
      <c r="ET667" s="1523"/>
      <c r="EU667" s="1523"/>
      <c r="EV667" s="1523"/>
      <c r="EW667" s="1523" t="e">
        <f t="shared" si="9"/>
        <v>#VALUE!</v>
      </c>
      <c r="EX667" s="1523"/>
      <c r="EY667" s="1523"/>
      <c r="EZ667" s="1523"/>
      <c r="FA667" s="1523"/>
    </row>
    <row r="668" spans="1:157" ht="13" customHeight="1">
      <c r="A668" s="22"/>
      <c r="B668" t="s">
        <v>85</v>
      </c>
      <c r="G668" s="1456"/>
      <c r="H668" s="1456"/>
      <c r="I668" s="1456"/>
      <c r="J668" s="1456"/>
      <c r="K668" s="1456"/>
      <c r="L668" s="1456"/>
      <c r="M668" s="1456"/>
      <c r="N668" s="1456"/>
      <c r="O668" s="1456"/>
      <c r="P668" s="1456"/>
      <c r="Q668" s="1456"/>
      <c r="R668" s="1456"/>
      <c r="T668" s="22"/>
      <c r="U668" t="s">
        <v>85</v>
      </c>
      <c r="Z668" s="1456"/>
      <c r="AA668" s="1456"/>
      <c r="AB668" s="1456"/>
      <c r="AC668" s="1456"/>
      <c r="AD668" s="1456"/>
      <c r="AE668" s="1456"/>
      <c r="AF668" s="1456"/>
      <c r="AG668" s="1456"/>
      <c r="AH668" s="1456"/>
      <c r="AI668" s="1456"/>
      <c r="AJ668" s="1456"/>
      <c r="AK668" s="1456"/>
      <c r="AZ668" s="34"/>
      <c r="BA668" s="34"/>
      <c r="BB668" s="34"/>
      <c r="BC668" s="34"/>
      <c r="BD668" s="34"/>
      <c r="BE668" s="34"/>
      <c r="BF668" s="34"/>
      <c r="BG668" s="34"/>
      <c r="BH668" s="34"/>
      <c r="BI668" s="34"/>
      <c r="BJ668" s="34"/>
      <c r="BK668" s="34"/>
      <c r="BL668" s="34"/>
      <c r="BM668" s="34"/>
      <c r="DX668" s="1523" t="e">
        <f t="shared" si="4"/>
        <v>#VALUE!</v>
      </c>
      <c r="DY668" s="1523"/>
      <c r="DZ668" s="1523"/>
      <c r="EA668" s="1523"/>
      <c r="EB668" s="1523"/>
      <c r="EC668" s="1523" t="e">
        <f t="shared" si="5"/>
        <v>#VALUE!</v>
      </c>
      <c r="ED668" s="1523"/>
      <c r="EE668" s="1523"/>
      <c r="EF668" s="1523"/>
      <c r="EG668" s="1523"/>
      <c r="EH668" s="1523" t="e">
        <f t="shared" si="6"/>
        <v>#VALUE!</v>
      </c>
      <c r="EI668" s="1523"/>
      <c r="EJ668" s="1523"/>
      <c r="EK668" s="1523"/>
      <c r="EL668" s="1523"/>
      <c r="EM668" s="1523" t="e">
        <f t="shared" si="7"/>
        <v>#VALUE!</v>
      </c>
      <c r="EN668" s="1523"/>
      <c r="EO668" s="1523"/>
      <c r="EP668" s="1523"/>
      <c r="EQ668" s="1523"/>
      <c r="ER668" s="1523" t="e">
        <f t="shared" si="8"/>
        <v>#VALUE!</v>
      </c>
      <c r="ES668" s="1523"/>
      <c r="ET668" s="1523"/>
      <c r="EU668" s="1523"/>
      <c r="EV668" s="1523"/>
      <c r="EW668" s="1523" t="e">
        <f t="shared" si="9"/>
        <v>#VALUE!</v>
      </c>
      <c r="EX668" s="1523"/>
      <c r="EY668" s="1523"/>
      <c r="EZ668" s="1523"/>
      <c r="FA668" s="1523"/>
    </row>
    <row r="669" spans="1:157" ht="13" customHeight="1">
      <c r="A669" s="22"/>
      <c r="B669" t="s">
        <v>580</v>
      </c>
      <c r="G669" s="1456"/>
      <c r="H669" s="1456"/>
      <c r="I669" s="1456"/>
      <c r="J669" s="1456"/>
      <c r="K669" s="1456"/>
      <c r="L669" s="1456"/>
      <c r="M669" s="1456"/>
      <c r="N669" s="1456"/>
      <c r="O669" s="1456"/>
      <c r="P669" s="1456"/>
      <c r="Q669" s="1456"/>
      <c r="R669" s="1456"/>
      <c r="T669" s="22"/>
      <c r="U669" t="s">
        <v>580</v>
      </c>
      <c r="Z669" s="1478"/>
      <c r="AA669" s="1478"/>
      <c r="AB669" s="1478"/>
      <c r="AC669" s="1478"/>
      <c r="AD669" s="1478"/>
      <c r="AE669" s="1478"/>
      <c r="AF669" s="1478"/>
      <c r="AG669" s="1478"/>
      <c r="AH669" s="1478"/>
      <c r="AI669" s="1478"/>
      <c r="AJ669" s="1478"/>
      <c r="AK669" s="1478"/>
      <c r="AZ669" s="34"/>
      <c r="BA669" s="34"/>
      <c r="BB669" s="34"/>
      <c r="BC669" s="34"/>
      <c r="BD669" s="34"/>
      <c r="BE669" s="34"/>
      <c r="BF669" s="34"/>
      <c r="BG669" s="34"/>
      <c r="BH669" s="34"/>
      <c r="BI669" s="34"/>
      <c r="BJ669" s="34"/>
      <c r="BK669" s="34"/>
      <c r="BL669" s="34"/>
      <c r="BM669" s="34"/>
      <c r="DX669" s="1523" t="e">
        <f t="shared" si="4"/>
        <v>#VALUE!</v>
      </c>
      <c r="DY669" s="1523"/>
      <c r="DZ669" s="1523"/>
      <c r="EA669" s="1523"/>
      <c r="EB669" s="1523"/>
      <c r="EC669" s="1523" t="e">
        <f t="shared" si="5"/>
        <v>#VALUE!</v>
      </c>
      <c r="ED669" s="1523"/>
      <c r="EE669" s="1523"/>
      <c r="EF669" s="1523"/>
      <c r="EG669" s="1523"/>
      <c r="EH669" s="1523" t="e">
        <f t="shared" si="6"/>
        <v>#VALUE!</v>
      </c>
      <c r="EI669" s="1523"/>
      <c r="EJ669" s="1523"/>
      <c r="EK669" s="1523"/>
      <c r="EL669" s="1523"/>
      <c r="EM669" s="1523" t="e">
        <f t="shared" si="7"/>
        <v>#VALUE!</v>
      </c>
      <c r="EN669" s="1523"/>
      <c r="EO669" s="1523"/>
      <c r="EP669" s="1523"/>
      <c r="EQ669" s="1523"/>
      <c r="ER669" s="1523" t="e">
        <f t="shared" si="8"/>
        <v>#VALUE!</v>
      </c>
      <c r="ES669" s="1523"/>
      <c r="ET669" s="1523"/>
      <c r="EU669" s="1523"/>
      <c r="EV669" s="1523"/>
      <c r="EW669" s="1523" t="e">
        <f t="shared" si="9"/>
        <v>#VALUE!</v>
      </c>
      <c r="EX669" s="1523"/>
      <c r="EY669" s="1523"/>
      <c r="EZ669" s="1523"/>
      <c r="FA669" s="1523"/>
    </row>
    <row r="670" spans="1:157" ht="13" customHeight="1">
      <c r="A670" s="22"/>
      <c r="B670" t="s">
        <v>17</v>
      </c>
      <c r="G670" s="1456"/>
      <c r="H670" s="1456"/>
      <c r="I670" s="1456"/>
      <c r="J670" s="1456"/>
      <c r="K670" s="1456"/>
      <c r="L670" s="1456"/>
      <c r="M670" s="1456"/>
      <c r="N670" s="1456"/>
      <c r="O670" s="1456"/>
      <c r="P670" s="1456"/>
      <c r="Q670" s="1456"/>
      <c r="R670" s="1456"/>
      <c r="T670" s="22"/>
      <c r="U670" t="s">
        <v>17</v>
      </c>
      <c r="Z670" s="1478"/>
      <c r="AA670" s="1478"/>
      <c r="AB670" s="1478"/>
      <c r="AC670" s="1478"/>
      <c r="AD670" s="1478"/>
      <c r="AE670" s="1478"/>
      <c r="AF670" s="1478"/>
      <c r="AG670" s="1478"/>
      <c r="AH670" s="1478"/>
      <c r="AI670" s="1478"/>
      <c r="AJ670" s="1478"/>
      <c r="AK670" s="147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3" t="e">
        <f t="shared" si="4"/>
        <v>#VALUE!</v>
      </c>
      <c r="DY670" s="1523"/>
      <c r="DZ670" s="1523"/>
      <c r="EA670" s="1523"/>
      <c r="EB670" s="1523"/>
      <c r="EC670" s="1523" t="e">
        <f t="shared" si="5"/>
        <v>#VALUE!</v>
      </c>
      <c r="ED670" s="1523"/>
      <c r="EE670" s="1523"/>
      <c r="EF670" s="1523"/>
      <c r="EG670" s="1523"/>
      <c r="EH670" s="1523" t="e">
        <f t="shared" si="6"/>
        <v>#VALUE!</v>
      </c>
      <c r="EI670" s="1523"/>
      <c r="EJ670" s="1523"/>
      <c r="EK670" s="1523"/>
      <c r="EL670" s="1523"/>
      <c r="EM670" s="1523" t="e">
        <f t="shared" si="7"/>
        <v>#VALUE!</v>
      </c>
      <c r="EN670" s="1523"/>
      <c r="EO670" s="1523"/>
      <c r="EP670" s="1523"/>
      <c r="EQ670" s="1523"/>
      <c r="ER670" s="1523" t="e">
        <f t="shared" si="8"/>
        <v>#VALUE!</v>
      </c>
      <c r="ES670" s="1523"/>
      <c r="ET670" s="1523"/>
      <c r="EU670" s="1523"/>
      <c r="EV670" s="1523"/>
      <c r="EW670" s="1523" t="e">
        <f t="shared" si="9"/>
        <v>#VALUE!</v>
      </c>
      <c r="EX670" s="1523"/>
      <c r="EY670" s="1523"/>
      <c r="EZ670" s="1523"/>
      <c r="FA670" s="1523"/>
    </row>
    <row r="671" spans="1:157" ht="13" customHeight="1">
      <c r="A671" s="22"/>
      <c r="B671" t="s">
        <v>316</v>
      </c>
      <c r="G671" s="1455"/>
      <c r="H671" s="1455"/>
      <c r="I671" s="1455"/>
      <c r="J671" s="1455"/>
      <c r="K671" s="1455"/>
      <c r="L671" s="1455"/>
      <c r="O671" s="33" t="s">
        <v>206</v>
      </c>
      <c r="P671" s="1447"/>
      <c r="Q671" s="1447"/>
      <c r="R671" s="1447"/>
      <c r="T671" s="22"/>
      <c r="U671" t="s">
        <v>316</v>
      </c>
      <c r="Z671" s="1455"/>
      <c r="AA671" s="1455"/>
      <c r="AB671" s="1455"/>
      <c r="AC671" s="1455"/>
      <c r="AD671" s="1455"/>
      <c r="AE671" s="1455"/>
      <c r="AH671" s="33" t="s">
        <v>206</v>
      </c>
      <c r="AI671" s="1447"/>
      <c r="AJ671" s="1447"/>
      <c r="AK671" s="144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3" t="e">
        <f t="shared" si="4"/>
        <v>#VALUE!</v>
      </c>
      <c r="DY671" s="1523"/>
      <c r="DZ671" s="1523"/>
      <c r="EA671" s="1523"/>
      <c r="EB671" s="1523"/>
      <c r="EC671" s="1523" t="e">
        <f t="shared" si="5"/>
        <v>#VALUE!</v>
      </c>
      <c r="ED671" s="1523"/>
      <c r="EE671" s="1523"/>
      <c r="EF671" s="1523"/>
      <c r="EG671" s="1523"/>
      <c r="EH671" s="1523" t="e">
        <f t="shared" si="6"/>
        <v>#VALUE!</v>
      </c>
      <c r="EI671" s="1523"/>
      <c r="EJ671" s="1523"/>
      <c r="EK671" s="1523"/>
      <c r="EL671" s="1523"/>
      <c r="EM671" s="1523" t="e">
        <f t="shared" si="7"/>
        <v>#VALUE!</v>
      </c>
      <c r="EN671" s="1523"/>
      <c r="EO671" s="1523"/>
      <c r="EP671" s="1523"/>
      <c r="EQ671" s="1523"/>
      <c r="ER671" s="1523" t="e">
        <f t="shared" si="8"/>
        <v>#VALUE!</v>
      </c>
      <c r="ES671" s="1523"/>
      <c r="ET671" s="1523"/>
      <c r="EU671" s="1523"/>
      <c r="EV671" s="1523"/>
      <c r="EW671" s="1523" t="e">
        <f t="shared" si="9"/>
        <v>#VALUE!</v>
      </c>
      <c r="EX671" s="1523"/>
      <c r="EY671" s="1523"/>
      <c r="EZ671" s="1523"/>
      <c r="FA671" s="1523"/>
    </row>
    <row r="672" spans="1:157" ht="13" customHeight="1">
      <c r="A672" s="22"/>
      <c r="B672" t="s">
        <v>18</v>
      </c>
      <c r="H672" s="1456"/>
      <c r="I672" s="1456"/>
      <c r="J672" s="1456"/>
      <c r="K672" s="1456"/>
      <c r="L672" s="1456"/>
      <c r="M672" s="1456"/>
      <c r="N672" s="1456"/>
      <c r="O672" s="1456"/>
      <c r="P672" s="1456"/>
      <c r="Q672" s="1456"/>
      <c r="R672" s="1456"/>
      <c r="T672" s="22"/>
      <c r="U672" t="s">
        <v>18</v>
      </c>
      <c r="AA672" s="1456"/>
      <c r="AB672" s="1456"/>
      <c r="AC672" s="1456"/>
      <c r="AD672" s="1456"/>
      <c r="AE672" s="1456"/>
      <c r="AF672" s="1456"/>
      <c r="AG672" s="1456"/>
      <c r="AH672" s="1456"/>
      <c r="AI672" s="1456"/>
      <c r="AJ672" s="1456"/>
      <c r="AK672" s="145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3" t="e">
        <f t="shared" si="4"/>
        <v>#VALUE!</v>
      </c>
      <c r="DY672" s="1523"/>
      <c r="DZ672" s="1523"/>
      <c r="EA672" s="1523"/>
      <c r="EB672" s="1523"/>
      <c r="EC672" s="1523" t="e">
        <f t="shared" si="5"/>
        <v>#VALUE!</v>
      </c>
      <c r="ED672" s="1523"/>
      <c r="EE672" s="1523"/>
      <c r="EF672" s="1523"/>
      <c r="EG672" s="1523"/>
      <c r="EH672" s="1523" t="e">
        <f t="shared" si="6"/>
        <v>#VALUE!</v>
      </c>
      <c r="EI672" s="1523"/>
      <c r="EJ672" s="1523"/>
      <c r="EK672" s="1523"/>
      <c r="EL672" s="1523"/>
      <c r="EM672" s="1523" t="e">
        <f t="shared" si="7"/>
        <v>#VALUE!</v>
      </c>
      <c r="EN672" s="1523"/>
      <c r="EO672" s="1523"/>
      <c r="EP672" s="1523"/>
      <c r="EQ672" s="1523"/>
      <c r="ER672" s="1523" t="e">
        <f t="shared" si="8"/>
        <v>#VALUE!</v>
      </c>
      <c r="ES672" s="1523"/>
      <c r="ET672" s="1523"/>
      <c r="EU672" s="1523"/>
      <c r="EV672" s="1523"/>
      <c r="EW672" s="1523" t="e">
        <f t="shared" si="9"/>
        <v>#VALUE!</v>
      </c>
      <c r="EX672" s="1523"/>
      <c r="EY672" s="1523"/>
      <c r="EZ672" s="1523"/>
      <c r="FA672" s="1523"/>
    </row>
    <row r="673" spans="1:157" ht="13" customHeight="1">
      <c r="A673" s="22"/>
      <c r="B673" t="s">
        <v>20</v>
      </c>
      <c r="N673" s="1340" t="s">
        <v>668</v>
      </c>
      <c r="O673" s="1340"/>
      <c r="T673" s="22"/>
      <c r="U673" t="s">
        <v>20</v>
      </c>
      <c r="AG673" s="1340" t="s">
        <v>668</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3" t="e">
        <f t="shared" si="4"/>
        <v>#VALUE!</v>
      </c>
      <c r="DY673" s="1523"/>
      <c r="DZ673" s="1523"/>
      <c r="EA673" s="1523"/>
      <c r="EB673" s="1523"/>
      <c r="EC673" s="1523" t="e">
        <f t="shared" si="5"/>
        <v>#VALUE!</v>
      </c>
      <c r="ED673" s="1523"/>
      <c r="EE673" s="1523"/>
      <c r="EF673" s="1523"/>
      <c r="EG673" s="1523"/>
      <c r="EH673" s="1523" t="e">
        <f t="shared" si="6"/>
        <v>#VALUE!</v>
      </c>
      <c r="EI673" s="1523"/>
      <c r="EJ673" s="1523"/>
      <c r="EK673" s="1523"/>
      <c r="EL673" s="1523"/>
      <c r="EM673" s="1523" t="e">
        <f t="shared" si="7"/>
        <v>#VALUE!</v>
      </c>
      <c r="EN673" s="1523"/>
      <c r="EO673" s="1523"/>
      <c r="EP673" s="1523"/>
      <c r="EQ673" s="1523"/>
      <c r="ER673" s="1523" t="e">
        <f t="shared" si="8"/>
        <v>#VALUE!</v>
      </c>
      <c r="ES673" s="1523"/>
      <c r="ET673" s="1523"/>
      <c r="EU673" s="1523"/>
      <c r="EV673" s="1523"/>
      <c r="EW673" s="1523" t="e">
        <f t="shared" si="9"/>
        <v>#VALUE!</v>
      </c>
      <c r="EX673" s="1523"/>
      <c r="EY673" s="1523"/>
      <c r="EZ673" s="1523"/>
      <c r="FA673" s="1523"/>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3" t="e">
        <f t="shared" si="4"/>
        <v>#VALUE!</v>
      </c>
      <c r="DY674" s="1523"/>
      <c r="DZ674" s="1523"/>
      <c r="EA674" s="1523"/>
      <c r="EB674" s="1523"/>
      <c r="EC674" s="1523" t="e">
        <f t="shared" si="5"/>
        <v>#VALUE!</v>
      </c>
      <c r="ED674" s="1523"/>
      <c r="EE674" s="1523"/>
      <c r="EF674" s="1523"/>
      <c r="EG674" s="1523"/>
      <c r="EH674" s="1523" t="e">
        <f t="shared" si="6"/>
        <v>#VALUE!</v>
      </c>
      <c r="EI674" s="1523"/>
      <c r="EJ674" s="1523"/>
      <c r="EK674" s="1523"/>
      <c r="EL674" s="1523"/>
      <c r="EM674" s="1523" t="e">
        <f t="shared" si="7"/>
        <v>#VALUE!</v>
      </c>
      <c r="EN674" s="1523"/>
      <c r="EO674" s="1523"/>
      <c r="EP674" s="1523"/>
      <c r="EQ674" s="1523"/>
      <c r="ER674" s="1523" t="e">
        <f t="shared" si="8"/>
        <v>#VALUE!</v>
      </c>
      <c r="ES674" s="1523"/>
      <c r="ET674" s="1523"/>
      <c r="EU674" s="1523"/>
      <c r="EV674" s="1523"/>
      <c r="EW674" s="1523" t="e">
        <f t="shared" si="9"/>
        <v>#VALUE!</v>
      </c>
      <c r="EX674" s="1523"/>
      <c r="EY674" s="1523"/>
      <c r="EZ674" s="1523"/>
      <c r="FA674" s="1523"/>
    </row>
    <row r="675" spans="1:157" ht="13" customHeight="1">
      <c r="A675" s="55" t="s">
        <v>455</v>
      </c>
      <c r="B675" t="s">
        <v>463</v>
      </c>
      <c r="G675" s="1446">
        <f>C641</f>
        <v>0</v>
      </c>
      <c r="H675" s="1446"/>
      <c r="I675" s="1446"/>
      <c r="J675" s="1446"/>
      <c r="K675" s="1446"/>
      <c r="L675" s="1446"/>
      <c r="M675" s="1446"/>
      <c r="N675" s="1446"/>
      <c r="O675" s="1446"/>
      <c r="P675" s="1446"/>
      <c r="Q675" s="1446"/>
      <c r="R675" s="1446"/>
      <c r="T675" s="55" t="s">
        <v>456</v>
      </c>
      <c r="U675" t="s">
        <v>463</v>
      </c>
      <c r="Z675" s="1446">
        <f>C642</f>
        <v>0</v>
      </c>
      <c r="AA675" s="1446"/>
      <c r="AB675" s="1446"/>
      <c r="AC675" s="1446"/>
      <c r="AD675" s="1446"/>
      <c r="AE675" s="1446"/>
      <c r="AF675" s="1446"/>
      <c r="AG675" s="1446"/>
      <c r="AH675" s="1446"/>
      <c r="AI675" s="1446"/>
      <c r="AJ675" s="1446"/>
      <c r="AK675" s="144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3" t="e">
        <f t="shared" si="4"/>
        <v>#VALUE!</v>
      </c>
      <c r="DY675" s="1523"/>
      <c r="DZ675" s="1523"/>
      <c r="EA675" s="1523"/>
      <c r="EB675" s="1523"/>
      <c r="EC675" s="1523" t="e">
        <f t="shared" si="5"/>
        <v>#VALUE!</v>
      </c>
      <c r="ED675" s="1523"/>
      <c r="EE675" s="1523"/>
      <c r="EF675" s="1523"/>
      <c r="EG675" s="1523"/>
      <c r="EH675" s="1523" t="e">
        <f t="shared" si="6"/>
        <v>#VALUE!</v>
      </c>
      <c r="EI675" s="1523"/>
      <c r="EJ675" s="1523"/>
      <c r="EK675" s="1523"/>
      <c r="EL675" s="1523"/>
      <c r="EM675" s="1523" t="e">
        <f t="shared" si="7"/>
        <v>#VALUE!</v>
      </c>
      <c r="EN675" s="1523"/>
      <c r="EO675" s="1523"/>
      <c r="EP675" s="1523"/>
      <c r="EQ675" s="1523"/>
      <c r="ER675" s="1523" t="e">
        <f t="shared" si="8"/>
        <v>#VALUE!</v>
      </c>
      <c r="ES675" s="1523"/>
      <c r="ET675" s="1523"/>
      <c r="EU675" s="1523"/>
      <c r="EV675" s="1523"/>
      <c r="EW675" s="1523" t="e">
        <f t="shared" si="9"/>
        <v>#VALUE!</v>
      </c>
      <c r="EX675" s="1523"/>
      <c r="EY675" s="1523"/>
      <c r="EZ675" s="1523"/>
      <c r="FA675" s="1523"/>
    </row>
    <row r="676" spans="1:157" ht="13" customHeight="1">
      <c r="A676" s="22"/>
      <c r="B676" t="s">
        <v>85</v>
      </c>
      <c r="G676" s="1456"/>
      <c r="H676" s="1456"/>
      <c r="I676" s="1456"/>
      <c r="J676" s="1456"/>
      <c r="K676" s="1456"/>
      <c r="L676" s="1456"/>
      <c r="M676" s="1456"/>
      <c r="N676" s="1456"/>
      <c r="O676" s="1456"/>
      <c r="P676" s="1456"/>
      <c r="Q676" s="1456"/>
      <c r="R676" s="1456"/>
      <c r="T676" s="22"/>
      <c r="U676" t="s">
        <v>85</v>
      </c>
      <c r="Z676" s="1456"/>
      <c r="AA676" s="1456"/>
      <c r="AB676" s="1456"/>
      <c r="AC676" s="1456"/>
      <c r="AD676" s="1456"/>
      <c r="AE676" s="1456"/>
      <c r="AF676" s="1456"/>
      <c r="AG676" s="1456"/>
      <c r="AH676" s="1456"/>
      <c r="AI676" s="1456"/>
      <c r="AJ676" s="1456"/>
      <c r="AK676" s="145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3" t="e">
        <f t="shared" si="4"/>
        <v>#VALUE!</v>
      </c>
      <c r="DY676" s="1523"/>
      <c r="DZ676" s="1523"/>
      <c r="EA676" s="1523"/>
      <c r="EB676" s="1523"/>
      <c r="EC676" s="1523" t="e">
        <f t="shared" si="5"/>
        <v>#VALUE!</v>
      </c>
      <c r="ED676" s="1523"/>
      <c r="EE676" s="1523"/>
      <c r="EF676" s="1523"/>
      <c r="EG676" s="1523"/>
      <c r="EH676" s="1523" t="e">
        <f t="shared" si="6"/>
        <v>#VALUE!</v>
      </c>
      <c r="EI676" s="1523"/>
      <c r="EJ676" s="1523"/>
      <c r="EK676" s="1523"/>
      <c r="EL676" s="1523"/>
      <c r="EM676" s="1523" t="e">
        <f t="shared" si="7"/>
        <v>#VALUE!</v>
      </c>
      <c r="EN676" s="1523"/>
      <c r="EO676" s="1523"/>
      <c r="EP676" s="1523"/>
      <c r="EQ676" s="1523"/>
      <c r="ER676" s="1523" t="e">
        <f t="shared" si="8"/>
        <v>#VALUE!</v>
      </c>
      <c r="ES676" s="1523"/>
      <c r="ET676" s="1523"/>
      <c r="EU676" s="1523"/>
      <c r="EV676" s="1523"/>
      <c r="EW676" s="1523" t="e">
        <f t="shared" si="9"/>
        <v>#VALUE!</v>
      </c>
      <c r="EX676" s="1523"/>
      <c r="EY676" s="1523"/>
      <c r="EZ676" s="1523"/>
      <c r="FA676" s="1523"/>
    </row>
    <row r="677" spans="1:157" ht="13" customHeight="1">
      <c r="A677" s="22"/>
      <c r="B677" t="s">
        <v>580</v>
      </c>
      <c r="G677" s="1456"/>
      <c r="H677" s="1456"/>
      <c r="I677" s="1456"/>
      <c r="J677" s="1456"/>
      <c r="K677" s="1456"/>
      <c r="L677" s="1456"/>
      <c r="M677" s="1456"/>
      <c r="N677" s="1456"/>
      <c r="O677" s="1456"/>
      <c r="P677" s="1456"/>
      <c r="Q677" s="1456"/>
      <c r="R677" s="1456"/>
      <c r="T677" s="22"/>
      <c r="U677" t="s">
        <v>580</v>
      </c>
      <c r="Z677" s="1478"/>
      <c r="AA677" s="1478"/>
      <c r="AB677" s="1478"/>
      <c r="AC677" s="1478"/>
      <c r="AD677" s="1478"/>
      <c r="AE677" s="1478"/>
      <c r="AF677" s="1478"/>
      <c r="AG677" s="1478"/>
      <c r="AH677" s="1478"/>
      <c r="AI677" s="1478"/>
      <c r="AJ677" s="1478"/>
      <c r="AK677" s="147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3" t="e">
        <f t="shared" si="4"/>
        <v>#VALUE!</v>
      </c>
      <c r="DY677" s="1523"/>
      <c r="DZ677" s="1523"/>
      <c r="EA677" s="1523"/>
      <c r="EB677" s="1523"/>
      <c r="EC677" s="1523" t="e">
        <f t="shared" si="5"/>
        <v>#VALUE!</v>
      </c>
      <c r="ED677" s="1523"/>
      <c r="EE677" s="1523"/>
      <c r="EF677" s="1523"/>
      <c r="EG677" s="1523"/>
      <c r="EH677" s="1523" t="e">
        <f t="shared" si="6"/>
        <v>#VALUE!</v>
      </c>
      <c r="EI677" s="1523"/>
      <c r="EJ677" s="1523"/>
      <c r="EK677" s="1523"/>
      <c r="EL677" s="1523"/>
      <c r="EM677" s="1523" t="e">
        <f t="shared" si="7"/>
        <v>#VALUE!</v>
      </c>
      <c r="EN677" s="1523"/>
      <c r="EO677" s="1523"/>
      <c r="EP677" s="1523"/>
      <c r="EQ677" s="1523"/>
      <c r="ER677" s="1523" t="e">
        <f t="shared" si="8"/>
        <v>#VALUE!</v>
      </c>
      <c r="ES677" s="1523"/>
      <c r="ET677" s="1523"/>
      <c r="EU677" s="1523"/>
      <c r="EV677" s="1523"/>
      <c r="EW677" s="1523" t="e">
        <f t="shared" si="9"/>
        <v>#VALUE!</v>
      </c>
      <c r="EX677" s="1523"/>
      <c r="EY677" s="1523"/>
      <c r="EZ677" s="1523"/>
      <c r="FA677" s="1523"/>
    </row>
    <row r="678" spans="1:157" ht="13" customHeight="1">
      <c r="A678" s="22"/>
      <c r="B678" t="s">
        <v>17</v>
      </c>
      <c r="G678" s="1456"/>
      <c r="H678" s="1456"/>
      <c r="I678" s="1456"/>
      <c r="J678" s="1456"/>
      <c r="K678" s="1456"/>
      <c r="L678" s="1456"/>
      <c r="M678" s="1456"/>
      <c r="N678" s="1456"/>
      <c r="O678" s="1456"/>
      <c r="P678" s="1456"/>
      <c r="Q678" s="1456"/>
      <c r="R678" s="1456"/>
      <c r="T678" s="22"/>
      <c r="U678" t="s">
        <v>17</v>
      </c>
      <c r="Z678" s="1478"/>
      <c r="AA678" s="1478"/>
      <c r="AB678" s="1478"/>
      <c r="AC678" s="1478"/>
      <c r="AD678" s="1478"/>
      <c r="AE678" s="1478"/>
      <c r="AF678" s="1478"/>
      <c r="AG678" s="1478"/>
      <c r="AH678" s="1478"/>
      <c r="AI678" s="1478"/>
      <c r="AJ678" s="1478"/>
      <c r="AK678" s="147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3">
        <f>SUMIF(DX643:EB677,"&gt;0")</f>
        <v>0</v>
      </c>
      <c r="DY678" s="1523"/>
      <c r="DZ678" s="1523"/>
      <c r="EA678" s="1523"/>
      <c r="EB678" s="1523"/>
      <c r="EC678" s="1523">
        <f>SUMIF(EC643:EG677,"&gt;0")</f>
        <v>0</v>
      </c>
      <c r="ED678" s="1523"/>
      <c r="EE678" s="1523"/>
      <c r="EF678" s="1523"/>
      <c r="EG678" s="1523"/>
      <c r="EH678" s="1523">
        <f>SUMIF(EH643:EL677,"&gt;0")</f>
        <v>2461.8235294117649</v>
      </c>
      <c r="EI678" s="1523"/>
      <c r="EJ678" s="1523"/>
      <c r="EK678" s="1523"/>
      <c r="EL678" s="1523"/>
      <c r="EM678" s="1523">
        <f>SUMIF(EM643:EQ677,"&gt;0")</f>
        <v>2857.311475409836</v>
      </c>
      <c r="EN678" s="1523"/>
      <c r="EO678" s="1523"/>
      <c r="EP678" s="1523"/>
      <c r="EQ678" s="1523"/>
      <c r="ER678" s="1523">
        <f>SUMIF(ER643:EV677,"&gt;0")</f>
        <v>0</v>
      </c>
      <c r="ES678" s="1523"/>
      <c r="ET678" s="1523"/>
      <c r="EU678" s="1523"/>
      <c r="EV678" s="1523"/>
      <c r="EW678" s="1523">
        <f>SUMIF(EW643:FA677,"&gt;0")</f>
        <v>0</v>
      </c>
      <c r="EX678" s="1523"/>
      <c r="EY678" s="1523"/>
      <c r="EZ678" s="1523"/>
      <c r="FA678" s="1523"/>
    </row>
    <row r="679" spans="1:157" ht="13" customHeight="1">
      <c r="A679" s="22"/>
      <c r="B679" t="s">
        <v>316</v>
      </c>
      <c r="G679" s="1455"/>
      <c r="H679" s="1455"/>
      <c r="I679" s="1455"/>
      <c r="J679" s="1455"/>
      <c r="K679" s="1455"/>
      <c r="L679" s="1455"/>
      <c r="O679" s="33" t="s">
        <v>206</v>
      </c>
      <c r="P679" s="1447"/>
      <c r="Q679" s="1447"/>
      <c r="R679" s="1447"/>
      <c r="T679" s="22"/>
      <c r="U679" t="s">
        <v>316</v>
      </c>
      <c r="Z679" s="1455"/>
      <c r="AA679" s="1455"/>
      <c r="AB679" s="1455"/>
      <c r="AC679" s="1455"/>
      <c r="AD679" s="1455"/>
      <c r="AE679" s="1455"/>
      <c r="AH679" s="33" t="s">
        <v>206</v>
      </c>
      <c r="AI679" s="1447"/>
      <c r="AJ679" s="1447"/>
      <c r="AK679" s="144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56"/>
      <c r="I680" s="1456"/>
      <c r="J680" s="1456"/>
      <c r="K680" s="1456"/>
      <c r="L680" s="1456"/>
      <c r="M680" s="1456"/>
      <c r="N680" s="1456"/>
      <c r="O680" s="1456"/>
      <c r="P680" s="1456"/>
      <c r="Q680" s="1456"/>
      <c r="R680" s="1456"/>
      <c r="T680" s="22"/>
      <c r="U680" t="s">
        <v>18</v>
      </c>
      <c r="AA680" s="1456"/>
      <c r="AB680" s="1456"/>
      <c r="AC680" s="1456"/>
      <c r="AD680" s="1456"/>
      <c r="AE680" s="1456"/>
      <c r="AF680" s="1456"/>
      <c r="AG680" s="1456"/>
      <c r="AH680" s="1456"/>
      <c r="AI680" s="1456"/>
      <c r="AJ680" s="1456"/>
      <c r="AK680" s="145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40" t="s">
        <v>668</v>
      </c>
      <c r="O681" s="1340"/>
      <c r="T681" s="22"/>
      <c r="U681" t="s">
        <v>20</v>
      </c>
      <c r="AG681" s="1340" t="s">
        <v>668</v>
      </c>
      <c r="AH681" s="1340"/>
      <c r="AZ681" s="3"/>
    </row>
    <row r="682" spans="1:157" ht="13" customHeight="1">
      <c r="A682" s="22"/>
      <c r="T682" s="22"/>
      <c r="AZ682" s="3"/>
    </row>
    <row r="683" spans="1:157" ht="13" customHeight="1">
      <c r="A683" s="55" t="s">
        <v>461</v>
      </c>
      <c r="B683" t="s">
        <v>463</v>
      </c>
      <c r="G683" s="1446">
        <f>C643</f>
        <v>0</v>
      </c>
      <c r="H683" s="1446"/>
      <c r="I683" s="1446"/>
      <c r="J683" s="1446"/>
      <c r="K683" s="1446"/>
      <c r="L683" s="1446"/>
      <c r="M683" s="1446"/>
      <c r="N683" s="1446"/>
      <c r="O683" s="1446"/>
      <c r="P683" s="1446"/>
      <c r="Q683" s="1446"/>
      <c r="R683" s="1446"/>
      <c r="T683" s="55" t="s">
        <v>645</v>
      </c>
      <c r="U683" t="s">
        <v>463</v>
      </c>
      <c r="Z683" s="1446">
        <f>C644</f>
        <v>0</v>
      </c>
      <c r="AA683" s="1446"/>
      <c r="AB683" s="1446"/>
      <c r="AC683" s="1446"/>
      <c r="AD683" s="1446"/>
      <c r="AE683" s="1446"/>
      <c r="AF683" s="1446"/>
      <c r="AG683" s="1446"/>
      <c r="AH683" s="1446"/>
      <c r="AI683" s="1446"/>
      <c r="AJ683" s="1446"/>
      <c r="AK683" s="1446"/>
      <c r="AZ683" s="3"/>
    </row>
    <row r="684" spans="1:157" ht="13" customHeight="1">
      <c r="A684" s="22"/>
      <c r="B684" t="s">
        <v>85</v>
      </c>
      <c r="G684" s="1456"/>
      <c r="H684" s="1456"/>
      <c r="I684" s="1456"/>
      <c r="J684" s="1456"/>
      <c r="K684" s="1456"/>
      <c r="L684" s="1456"/>
      <c r="M684" s="1456"/>
      <c r="N684" s="1456"/>
      <c r="O684" s="1456"/>
      <c r="P684" s="1456"/>
      <c r="Q684" s="1456"/>
      <c r="R684" s="1456"/>
      <c r="T684" s="22"/>
      <c r="U684" t="s">
        <v>85</v>
      </c>
      <c r="Z684" s="1456"/>
      <c r="AA684" s="1456"/>
      <c r="AB684" s="1456"/>
      <c r="AC684" s="1456"/>
      <c r="AD684" s="1456"/>
      <c r="AE684" s="1456"/>
      <c r="AF684" s="1456"/>
      <c r="AG684" s="1456"/>
      <c r="AH684" s="1456"/>
      <c r="AI684" s="1456"/>
      <c r="AJ684" s="1456"/>
      <c r="AK684" s="1456"/>
      <c r="AZ684" s="3"/>
    </row>
    <row r="685" spans="1:157" ht="13" customHeight="1">
      <c r="A685" s="22"/>
      <c r="B685" t="s">
        <v>580</v>
      </c>
      <c r="G685" s="1456"/>
      <c r="H685" s="1456"/>
      <c r="I685" s="1456"/>
      <c r="J685" s="1456"/>
      <c r="K685" s="1456"/>
      <c r="L685" s="1456"/>
      <c r="M685" s="1456"/>
      <c r="N685" s="1456"/>
      <c r="O685" s="1456"/>
      <c r="P685" s="1456"/>
      <c r="Q685" s="1456"/>
      <c r="R685" s="1456"/>
      <c r="T685" s="22"/>
      <c r="U685" t="s">
        <v>580</v>
      </c>
      <c r="Z685" s="1478"/>
      <c r="AA685" s="1478"/>
      <c r="AB685" s="1478"/>
      <c r="AC685" s="1478"/>
      <c r="AD685" s="1478"/>
      <c r="AE685" s="1478"/>
      <c r="AF685" s="1478"/>
      <c r="AG685" s="1478"/>
      <c r="AH685" s="1478"/>
      <c r="AI685" s="1478"/>
      <c r="AJ685" s="1478"/>
      <c r="AK685" s="1478"/>
      <c r="AZ685" s="3"/>
    </row>
    <row r="686" spans="1:157" ht="13" customHeight="1">
      <c r="A686" s="22"/>
      <c r="B686" t="s">
        <v>17</v>
      </c>
      <c r="G686" s="1456"/>
      <c r="H686" s="1456"/>
      <c r="I686" s="1456"/>
      <c r="J686" s="1456"/>
      <c r="K686" s="1456"/>
      <c r="L686" s="1456"/>
      <c r="M686" s="1456"/>
      <c r="N686" s="1456"/>
      <c r="O686" s="1456"/>
      <c r="P686" s="1456"/>
      <c r="Q686" s="1456"/>
      <c r="R686" s="1456"/>
      <c r="T686" s="22"/>
      <c r="U686" t="s">
        <v>17</v>
      </c>
      <c r="Z686" s="1478"/>
      <c r="AA686" s="1478"/>
      <c r="AB686" s="1478"/>
      <c r="AC686" s="1478"/>
      <c r="AD686" s="1478"/>
      <c r="AE686" s="1478"/>
      <c r="AF686" s="1478"/>
      <c r="AG686" s="1478"/>
      <c r="AH686" s="1478"/>
      <c r="AI686" s="1478"/>
      <c r="AJ686" s="1478"/>
      <c r="AK686" s="1478"/>
      <c r="AZ686" s="3"/>
    </row>
    <row r="687" spans="1:157" ht="13" customHeight="1">
      <c r="A687" s="22"/>
      <c r="B687" t="s">
        <v>316</v>
      </c>
      <c r="G687" s="1455"/>
      <c r="H687" s="1455"/>
      <c r="I687" s="1455"/>
      <c r="J687" s="1455"/>
      <c r="K687" s="1455"/>
      <c r="L687" s="1455"/>
      <c r="O687" s="33" t="s">
        <v>206</v>
      </c>
      <c r="P687" s="1447"/>
      <c r="Q687" s="1447"/>
      <c r="R687" s="1447"/>
      <c r="T687" s="22"/>
      <c r="U687" t="s">
        <v>316</v>
      </c>
      <c r="Z687" s="1455"/>
      <c r="AA687" s="1455"/>
      <c r="AB687" s="1455"/>
      <c r="AC687" s="1455"/>
      <c r="AD687" s="1455"/>
      <c r="AE687" s="1455"/>
      <c r="AH687" s="33" t="s">
        <v>206</v>
      </c>
      <c r="AI687" s="1447"/>
      <c r="AJ687" s="1447"/>
      <c r="AK687" s="1447"/>
      <c r="AZ687" s="3"/>
    </row>
    <row r="688" spans="1:157" ht="13" customHeight="1">
      <c r="A688" s="22"/>
      <c r="B688" t="s">
        <v>18</v>
      </c>
      <c r="H688" s="1456"/>
      <c r="I688" s="1456"/>
      <c r="J688" s="1456"/>
      <c r="K688" s="1456"/>
      <c r="L688" s="1456"/>
      <c r="M688" s="1456"/>
      <c r="N688" s="1456"/>
      <c r="O688" s="1456"/>
      <c r="P688" s="1456"/>
      <c r="Q688" s="1456"/>
      <c r="R688" s="1456"/>
      <c r="T688" s="22"/>
      <c r="U688" t="s">
        <v>18</v>
      </c>
      <c r="AA688" s="1456"/>
      <c r="AB688" s="1456"/>
      <c r="AC688" s="1456"/>
      <c r="AD688" s="1456"/>
      <c r="AE688" s="1456"/>
      <c r="AF688" s="1456"/>
      <c r="AG688" s="1456"/>
      <c r="AH688" s="1456"/>
      <c r="AI688" s="1456"/>
      <c r="AJ688" s="1456"/>
      <c r="AK688" s="1456"/>
      <c r="AZ688" s="3"/>
    </row>
    <row r="689" spans="1:52" ht="13" customHeight="1">
      <c r="A689" s="22"/>
      <c r="B689" t="s">
        <v>20</v>
      </c>
      <c r="N689" s="1340" t="s">
        <v>668</v>
      </c>
      <c r="O689" s="1340"/>
      <c r="T689" s="22"/>
      <c r="U689" t="s">
        <v>20</v>
      </c>
      <c r="AG689" s="1340" t="s">
        <v>668</v>
      </c>
      <c r="AH689" s="1340"/>
      <c r="AZ689" s="3"/>
    </row>
    <row r="690" spans="1:52" ht="13" customHeight="1">
      <c r="A690" s="22"/>
      <c r="T690" s="22"/>
      <c r="AZ690" s="3"/>
    </row>
    <row r="691" spans="1:52" ht="13" customHeight="1">
      <c r="A691" s="55" t="s">
        <v>362</v>
      </c>
      <c r="B691" t="s">
        <v>463</v>
      </c>
      <c r="G691" s="1446">
        <f>C645</f>
        <v>0</v>
      </c>
      <c r="H691" s="1446"/>
      <c r="I691" s="1446"/>
      <c r="J691" s="1446"/>
      <c r="K691" s="1446"/>
      <c r="L691" s="1446"/>
      <c r="M691" s="1446"/>
      <c r="N691" s="1446"/>
      <c r="O691" s="1446"/>
      <c r="P691" s="1446"/>
      <c r="Q691" s="1446"/>
      <c r="R691" s="1446"/>
      <c r="T691" s="55" t="s">
        <v>363</v>
      </c>
      <c r="U691" t="s">
        <v>463</v>
      </c>
      <c r="Z691" s="1446">
        <f>C646</f>
        <v>0</v>
      </c>
      <c r="AA691" s="1446"/>
      <c r="AB691" s="1446"/>
      <c r="AC691" s="1446"/>
      <c r="AD691" s="1446"/>
      <c r="AE691" s="1446"/>
      <c r="AF691" s="1446"/>
      <c r="AG691" s="1446"/>
      <c r="AH691" s="1446"/>
      <c r="AI691" s="1446"/>
      <c r="AJ691" s="1446"/>
      <c r="AK691" s="1446"/>
      <c r="AZ691" s="3"/>
    </row>
    <row r="692" spans="1:52" ht="13" customHeight="1">
      <c r="B692" t="s">
        <v>85</v>
      </c>
      <c r="G692" s="1456"/>
      <c r="H692" s="1456"/>
      <c r="I692" s="1456"/>
      <c r="J692" s="1456"/>
      <c r="K692" s="1456"/>
      <c r="L692" s="1456"/>
      <c r="M692" s="1456"/>
      <c r="N692" s="1456"/>
      <c r="O692" s="1456"/>
      <c r="P692" s="1456"/>
      <c r="Q692" s="1456"/>
      <c r="R692" s="1456"/>
      <c r="T692" s="22"/>
      <c r="U692" t="s">
        <v>85</v>
      </c>
      <c r="Z692" s="1456"/>
      <c r="AA692" s="1456"/>
      <c r="AB692" s="1456"/>
      <c r="AC692" s="1456"/>
      <c r="AD692" s="1456"/>
      <c r="AE692" s="1456"/>
      <c r="AF692" s="1456"/>
      <c r="AG692" s="1456"/>
      <c r="AH692" s="1456"/>
      <c r="AI692" s="1456"/>
      <c r="AJ692" s="1456"/>
      <c r="AK692" s="1456"/>
      <c r="AZ692" s="3"/>
    </row>
    <row r="693" spans="1:52" ht="13" customHeight="1">
      <c r="B693" t="s">
        <v>580</v>
      </c>
      <c r="G693" s="1456"/>
      <c r="H693" s="1456"/>
      <c r="I693" s="1456"/>
      <c r="J693" s="1456"/>
      <c r="K693" s="1456"/>
      <c r="L693" s="1456"/>
      <c r="M693" s="1456"/>
      <c r="N693" s="1456"/>
      <c r="O693" s="1456"/>
      <c r="P693" s="1456"/>
      <c r="Q693" s="1456"/>
      <c r="R693" s="1456"/>
      <c r="U693" t="s">
        <v>580</v>
      </c>
      <c r="Z693" s="1478"/>
      <c r="AA693" s="1478"/>
      <c r="AB693" s="1478"/>
      <c r="AC693" s="1478"/>
      <c r="AD693" s="1478"/>
      <c r="AE693" s="1478"/>
      <c r="AF693" s="1478"/>
      <c r="AG693" s="1478"/>
      <c r="AH693" s="1478"/>
      <c r="AI693" s="1478"/>
      <c r="AJ693" s="1478"/>
      <c r="AK693" s="1478"/>
      <c r="AZ693" s="3"/>
    </row>
    <row r="694" spans="1:52" ht="13" customHeight="1">
      <c r="B694" t="s">
        <v>17</v>
      </c>
      <c r="G694" s="1456"/>
      <c r="H694" s="1456"/>
      <c r="I694" s="1456"/>
      <c r="J694" s="1456"/>
      <c r="K694" s="1456"/>
      <c r="L694" s="1456"/>
      <c r="M694" s="1456"/>
      <c r="N694" s="1456"/>
      <c r="O694" s="1456"/>
      <c r="P694" s="1456"/>
      <c r="Q694" s="1456"/>
      <c r="R694" s="1456"/>
      <c r="U694" t="s">
        <v>17</v>
      </c>
      <c r="Z694" s="1478"/>
      <c r="AA694" s="1478"/>
      <c r="AB694" s="1478"/>
      <c r="AC694" s="1478"/>
      <c r="AD694" s="1478"/>
      <c r="AE694" s="1478"/>
      <c r="AF694" s="1478"/>
      <c r="AG694" s="1478"/>
      <c r="AH694" s="1478"/>
      <c r="AI694" s="1478"/>
      <c r="AJ694" s="1478"/>
      <c r="AK694" s="1478"/>
      <c r="AZ694" s="3"/>
    </row>
    <row r="695" spans="1:52" ht="13" customHeight="1">
      <c r="B695" t="s">
        <v>316</v>
      </c>
      <c r="G695" s="1455"/>
      <c r="H695" s="1455"/>
      <c r="I695" s="1455"/>
      <c r="J695" s="1455"/>
      <c r="K695" s="1455"/>
      <c r="L695" s="1455"/>
      <c r="O695" s="33" t="s">
        <v>206</v>
      </c>
      <c r="P695" s="1447"/>
      <c r="Q695" s="1447"/>
      <c r="R695" s="1447"/>
      <c r="U695" t="s">
        <v>316</v>
      </c>
      <c r="Z695" s="1455"/>
      <c r="AA695" s="1455"/>
      <c r="AB695" s="1455"/>
      <c r="AC695" s="1455"/>
      <c r="AD695" s="1455"/>
      <c r="AE695" s="1455"/>
      <c r="AH695" s="33" t="s">
        <v>206</v>
      </c>
      <c r="AI695" s="1447"/>
      <c r="AJ695" s="1447"/>
      <c r="AK695" s="1447"/>
      <c r="AZ695" s="3"/>
    </row>
    <row r="696" spans="1:52" ht="13" customHeight="1">
      <c r="B696" t="s">
        <v>18</v>
      </c>
      <c r="H696" s="1456"/>
      <c r="I696" s="1456"/>
      <c r="J696" s="1456"/>
      <c r="K696" s="1456"/>
      <c r="L696" s="1456"/>
      <c r="M696" s="1456"/>
      <c r="N696" s="1456"/>
      <c r="O696" s="1456"/>
      <c r="P696" s="1456"/>
      <c r="Q696" s="1456"/>
      <c r="R696" s="1456"/>
      <c r="U696" t="s">
        <v>18</v>
      </c>
      <c r="AA696" s="1456"/>
      <c r="AB696" s="1456"/>
      <c r="AC696" s="1456"/>
      <c r="AD696" s="1456"/>
      <c r="AE696" s="1456"/>
      <c r="AF696" s="1456"/>
      <c r="AG696" s="1456"/>
      <c r="AH696" s="1456"/>
      <c r="AI696" s="1456"/>
      <c r="AJ696" s="1456"/>
      <c r="AK696" s="1456"/>
      <c r="AZ696" s="3"/>
    </row>
    <row r="697" spans="1:52" ht="13" customHeight="1">
      <c r="B697" t="s">
        <v>20</v>
      </c>
      <c r="N697" s="1340" t="s">
        <v>668</v>
      </c>
      <c r="O697" s="1340"/>
      <c r="U697" t="s">
        <v>20</v>
      </c>
      <c r="AG697" s="1340" t="s">
        <v>668</v>
      </c>
      <c r="AH697" s="1340"/>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2605</v>
      </c>
      <c r="E700" s="135"/>
      <c r="F700" s="135"/>
      <c r="G700" s="135"/>
      <c r="H700" s="135"/>
      <c r="AZ700" s="3"/>
    </row>
    <row r="701" spans="1:52" ht="13" customHeight="1">
      <c r="B701" s="135"/>
      <c r="C701" s="135"/>
      <c r="E701" s="136" t="s">
        <v>434</v>
      </c>
      <c r="F701" s="135"/>
      <c r="G701" s="135"/>
      <c r="H701" s="135"/>
      <c r="AE701" s="1340" t="s">
        <v>545</v>
      </c>
      <c r="AF701" s="1340"/>
      <c r="AZ701" s="3"/>
    </row>
    <row r="702" spans="1:52" ht="13" customHeight="1">
      <c r="B702" s="135"/>
      <c r="C702" s="135"/>
      <c r="D702" s="136" t="s">
        <v>437</v>
      </c>
      <c r="E702" s="135"/>
      <c r="F702" s="135"/>
      <c r="G702" s="135"/>
      <c r="H702" s="135"/>
      <c r="AE702" s="1340" t="s">
        <v>668</v>
      </c>
      <c r="AF702" s="1340"/>
      <c r="AZ702" s="3"/>
    </row>
    <row r="703" spans="1:52" ht="13" customHeight="1">
      <c r="B703" s="135"/>
      <c r="C703" s="135"/>
      <c r="D703" s="136" t="s">
        <v>919</v>
      </c>
      <c r="E703" s="135"/>
      <c r="F703" s="135"/>
      <c r="G703" s="135"/>
      <c r="H703" s="135"/>
      <c r="AE703" s="1718">
        <v>46161</v>
      </c>
      <c r="AF703" s="1718"/>
      <c r="AG703" s="1718"/>
      <c r="AH703" s="1718"/>
      <c r="AI703" s="1718"/>
    </row>
    <row r="704" spans="1:52" ht="13" customHeight="1">
      <c r="B704" s="135"/>
      <c r="C704" s="135"/>
      <c r="D704" s="317" t="s">
        <v>982</v>
      </c>
      <c r="E704" s="135"/>
      <c r="F704" s="135"/>
      <c r="G704" s="135"/>
      <c r="H704" s="135"/>
      <c r="AE704" s="1828">
        <v>46252</v>
      </c>
      <c r="AF704" s="1828"/>
      <c r="AG704" s="1828"/>
      <c r="AH704" s="1828"/>
      <c r="AI704" s="1828"/>
    </row>
    <row r="705" spans="1:110" ht="13" customHeight="1">
      <c r="B705" s="135"/>
      <c r="C705" s="135"/>
    </row>
    <row r="706" spans="1:110" ht="13" customHeight="1">
      <c r="B706" s="135"/>
      <c r="C706" s="135"/>
      <c r="D706" s="136" t="s">
        <v>815</v>
      </c>
      <c r="E706" s="135"/>
      <c r="F706" s="135"/>
      <c r="G706" s="135"/>
      <c r="H706" s="135"/>
      <c r="AE706" s="1718">
        <v>46402</v>
      </c>
      <c r="AF706" s="1718"/>
      <c r="AG706" s="1718"/>
      <c r="AH706" s="1718"/>
      <c r="AI706" s="1718"/>
    </row>
    <row r="707" spans="1:110" ht="13" customHeight="1">
      <c r="B707" s="135"/>
      <c r="C707" s="135"/>
      <c r="D707" s="136" t="s">
        <v>435</v>
      </c>
      <c r="E707" s="135"/>
      <c r="F707" s="135"/>
      <c r="G707" s="135"/>
      <c r="H707" s="135"/>
      <c r="AE707" s="1708">
        <v>0.29609999999999997</v>
      </c>
      <c r="AF707" s="1708"/>
      <c r="AG707" s="1708"/>
      <c r="AH707" s="1708"/>
      <c r="AI707" s="1708"/>
    </row>
    <row r="708" spans="1:110" ht="13" customHeight="1">
      <c r="B708" s="135"/>
      <c r="C708" s="135"/>
      <c r="D708" s="136" t="s">
        <v>436</v>
      </c>
      <c r="E708" s="135"/>
      <c r="F708" s="135"/>
      <c r="G708" s="135"/>
      <c r="H708" s="135"/>
      <c r="W708" s="1446" t="str">
        <f>H344</f>
        <v>California Housing Finance Agency</v>
      </c>
      <c r="X708" s="1446"/>
      <c r="Y708" s="1446"/>
      <c r="Z708" s="1446"/>
      <c r="AA708" s="1446"/>
      <c r="AB708" s="1446"/>
      <c r="AC708" s="1446"/>
      <c r="AD708" s="1446"/>
      <c r="AE708" s="1446"/>
      <c r="AF708" s="1446"/>
      <c r="AG708" s="1446"/>
      <c r="AH708" s="1446"/>
      <c r="AI708" s="1446"/>
      <c r="AJ708" s="1446"/>
      <c r="AK708" s="1446"/>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40" t="s">
        <v>668</v>
      </c>
      <c r="AF710" s="1340"/>
    </row>
    <row r="711" spans="1:110" ht="13" customHeight="1">
      <c r="B711" s="135"/>
      <c r="C711" s="135"/>
      <c r="D711" s="136" t="s">
        <v>442</v>
      </c>
      <c r="E711" s="135"/>
      <c r="F711" s="135"/>
      <c r="G711" s="135"/>
      <c r="H711" s="135"/>
      <c r="W711" s="1456" t="s">
        <v>591</v>
      </c>
      <c r="X711" s="1456"/>
      <c r="Y711" s="1456"/>
      <c r="Z711" s="1456"/>
      <c r="AA711" s="1456"/>
      <c r="AB711" s="1456"/>
      <c r="AC711" s="1456"/>
      <c r="AD711" s="1456"/>
      <c r="AE711" s="1456"/>
      <c r="AF711" s="1456"/>
      <c r="AG711" s="1456"/>
      <c r="AH711" s="1456"/>
      <c r="AI711" s="1456"/>
      <c r="AJ711" s="1456"/>
      <c r="AK711" s="1456"/>
    </row>
    <row r="712" spans="1:110" ht="13" customHeight="1">
      <c r="B712" s="135"/>
      <c r="C712" s="135"/>
      <c r="D712" s="136" t="s">
        <v>87</v>
      </c>
      <c r="E712" s="135"/>
      <c r="F712" s="135"/>
      <c r="G712" s="135"/>
      <c r="H712" s="135"/>
      <c r="J712" s="1456"/>
      <c r="K712" s="1456"/>
      <c r="L712" s="1456"/>
      <c r="M712" s="1456"/>
      <c r="N712" s="1456"/>
      <c r="O712" s="1456"/>
      <c r="P712" s="1456"/>
      <c r="Q712" s="1456"/>
      <c r="R712" s="1456"/>
      <c r="S712" s="1456"/>
      <c r="T712" s="1456"/>
      <c r="U712" s="1456"/>
      <c r="V712" s="1456"/>
      <c r="W712" s="1456"/>
      <c r="X712" s="1456"/>
      <c r="BB712" s="34"/>
      <c r="BC712" s="34"/>
      <c r="BD712" s="34"/>
      <c r="BE712" s="3"/>
      <c r="BF712" s="3"/>
      <c r="BJ712" s="3"/>
      <c r="BK712" s="3"/>
      <c r="BL712" s="3"/>
      <c r="BM712" s="3"/>
      <c r="BN712" s="34"/>
      <c r="BO712" s="34"/>
    </row>
    <row r="713" spans="1:110" ht="13" customHeight="1">
      <c r="B713" s="135"/>
      <c r="C713" s="135"/>
      <c r="D713" s="136" t="s">
        <v>88</v>
      </c>
      <c r="J713" s="1455"/>
      <c r="K713" s="1455"/>
      <c r="L713" s="1455"/>
      <c r="M713" s="1455"/>
      <c r="N713" s="1455"/>
      <c r="O713" s="1455"/>
      <c r="P713" s="4" t="s">
        <v>206</v>
      </c>
      <c r="Q713" s="4"/>
      <c r="R713" s="1447"/>
      <c r="S713" s="1447"/>
      <c r="T713" s="144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56" t="s">
        <v>307</v>
      </c>
      <c r="X714" s="1456"/>
      <c r="Y714" s="1456"/>
      <c r="Z714" s="1456"/>
      <c r="AA714" s="1456"/>
      <c r="AB714" s="1456"/>
      <c r="AC714" s="1456"/>
      <c r="AD714" s="1456"/>
      <c r="AE714" s="1456"/>
      <c r="AF714" s="1456"/>
      <c r="AG714" s="1456"/>
      <c r="AH714" s="1456"/>
      <c r="AI714" s="1456"/>
      <c r="AJ714" s="1456"/>
      <c r="AK714" s="145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56" t="s">
        <v>334</v>
      </c>
      <c r="F715" s="1456"/>
      <c r="G715" s="1456"/>
      <c r="H715" s="1456"/>
      <c r="I715" s="1456"/>
      <c r="J715" s="1456"/>
      <c r="K715" s="1456"/>
      <c r="L715" s="1456"/>
      <c r="M715" s="1456"/>
      <c r="N715" s="1456"/>
      <c r="O715" s="1456"/>
      <c r="P715" s="1456"/>
      <c r="Q715" s="1456"/>
      <c r="R715" s="1456"/>
      <c r="S715" s="1456"/>
      <c r="T715" s="1456"/>
      <c r="U715" s="1456"/>
      <c r="V715" s="1456"/>
      <c r="W715" s="1456"/>
      <c r="X715" s="1456"/>
      <c r="Y715" s="1456"/>
      <c r="Z715" s="1456"/>
      <c r="AA715" s="1456"/>
      <c r="AB715" s="1456"/>
      <c r="AC715" s="1456"/>
      <c r="AD715" s="1456"/>
      <c r="AE715" s="1456"/>
      <c r="AF715" s="1456"/>
      <c r="AG715" s="1456"/>
      <c r="AH715" s="1456"/>
      <c r="AI715" s="1456"/>
      <c r="AJ715" s="1456"/>
      <c r="AK715" s="145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326" t="s">
        <v>95</v>
      </c>
      <c r="B717" s="1326"/>
      <c r="C717" s="1326"/>
      <c r="D717" s="1326"/>
      <c r="E717" s="1326"/>
      <c r="F717" s="1326"/>
      <c r="G717" s="1326"/>
      <c r="H717" s="1326"/>
      <c r="I717" s="1326"/>
      <c r="J717" s="1326"/>
      <c r="K717" s="1326"/>
      <c r="L717" s="1326"/>
      <c r="M717" s="1326"/>
      <c r="N717" s="1326"/>
      <c r="O717" s="1326"/>
      <c r="P717" s="1326"/>
      <c r="Q717" s="1326"/>
      <c r="R717" s="1326"/>
      <c r="S717" s="1326"/>
      <c r="T717" s="1326"/>
      <c r="U717" s="1326"/>
      <c r="V717" s="1326"/>
      <c r="W717" s="1326"/>
      <c r="X717" s="1326"/>
      <c r="Y717" s="1326"/>
      <c r="Z717" s="1326"/>
      <c r="AA717" s="1326"/>
      <c r="AB717" s="1326"/>
      <c r="AC717" s="1326"/>
      <c r="AD717" s="1326"/>
      <c r="AE717" s="1326"/>
      <c r="AF717" s="1326"/>
      <c r="AG717" s="1326"/>
      <c r="AH717" s="1326"/>
      <c r="AI717" s="1326"/>
      <c r="AJ717" s="1326"/>
      <c r="AK717" s="1326"/>
      <c r="AL717" s="1326"/>
      <c r="AM717" s="1326"/>
      <c r="AN717" s="1326"/>
      <c r="AO717" s="1326"/>
      <c r="AP717" s="1326"/>
      <c r="AQ717" s="1326"/>
      <c r="AR717" s="1326"/>
      <c r="AS717" s="1326"/>
      <c r="AT717" s="132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326"/>
      <c r="B718" s="1326"/>
      <c r="C718" s="1326"/>
      <c r="D718" s="1326"/>
      <c r="E718" s="1326"/>
      <c r="F718" s="1326"/>
      <c r="G718" s="1326"/>
      <c r="H718" s="1326"/>
      <c r="I718" s="1326"/>
      <c r="J718" s="1326"/>
      <c r="K718" s="1326"/>
      <c r="L718" s="1326"/>
      <c r="M718" s="1326"/>
      <c r="N718" s="1326"/>
      <c r="O718" s="1326"/>
      <c r="P718" s="1326"/>
      <c r="Q718" s="1326"/>
      <c r="R718" s="1326"/>
      <c r="S718" s="1326"/>
      <c r="T718" s="1326"/>
      <c r="U718" s="1326"/>
      <c r="V718" s="1326"/>
      <c r="W718" s="1326"/>
      <c r="X718" s="1326"/>
      <c r="Y718" s="1326"/>
      <c r="Z718" s="1326"/>
      <c r="AA718" s="1326"/>
      <c r="AB718" s="1326"/>
      <c r="AC718" s="1326"/>
      <c r="AD718" s="1326"/>
      <c r="AE718" s="1326"/>
      <c r="AF718" s="1326"/>
      <c r="AG718" s="1326"/>
      <c r="AH718" s="1326"/>
      <c r="AI718" s="1326"/>
      <c r="AJ718" s="1326"/>
      <c r="AK718" s="1326"/>
      <c r="AL718" s="1326"/>
      <c r="AM718" s="1326"/>
      <c r="AN718" s="1326"/>
      <c r="AO718" s="1326"/>
      <c r="AP718" s="1326"/>
      <c r="AQ718" s="1326"/>
      <c r="AR718" s="1326"/>
      <c r="AS718" s="1326"/>
      <c r="AT718" s="132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326"/>
      <c r="B719" s="1326"/>
      <c r="C719" s="1326"/>
      <c r="D719" s="1326"/>
      <c r="E719" s="1326"/>
      <c r="F719" s="1326"/>
      <c r="G719" s="1326"/>
      <c r="H719" s="1326"/>
      <c r="I719" s="1326"/>
      <c r="J719" s="1326"/>
      <c r="K719" s="1326"/>
      <c r="L719" s="1326"/>
      <c r="M719" s="1326"/>
      <c r="N719" s="1326"/>
      <c r="O719" s="1326"/>
      <c r="P719" s="1326"/>
      <c r="Q719" s="1326"/>
      <c r="R719" s="1326"/>
      <c r="S719" s="1326"/>
      <c r="T719" s="1326"/>
      <c r="U719" s="1326"/>
      <c r="V719" s="1326"/>
      <c r="W719" s="1326"/>
      <c r="X719" s="1326"/>
      <c r="Y719" s="1326"/>
      <c r="Z719" s="1326"/>
      <c r="AA719" s="1326"/>
      <c r="AB719" s="1326"/>
      <c r="AC719" s="1326"/>
      <c r="AD719" s="1326"/>
      <c r="AE719" s="1326"/>
      <c r="AF719" s="1326"/>
      <c r="AG719" s="1326"/>
      <c r="AH719" s="1326"/>
      <c r="AI719" s="1326"/>
      <c r="AJ719" s="1326"/>
      <c r="AK719" s="1326"/>
      <c r="AL719" s="1326"/>
      <c r="AM719" s="1326"/>
      <c r="AN719" s="1326"/>
      <c r="AO719" s="1326"/>
      <c r="AP719" s="1326"/>
      <c r="AQ719" s="1326"/>
      <c r="AR719" s="1326"/>
      <c r="AS719" s="1326"/>
      <c r="AT719" s="132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31" t="s">
        <v>389</v>
      </c>
      <c r="C722" s="1632"/>
      <c r="D722" s="1632"/>
      <c r="E722" s="1632"/>
      <c r="F722" s="1633"/>
      <c r="G722" s="1631" t="s">
        <v>285</v>
      </c>
      <c r="H722" s="1632"/>
      <c r="I722" s="1632"/>
      <c r="J722" s="1633"/>
      <c r="K722" s="1742" t="s">
        <v>1667</v>
      </c>
      <c r="L722" s="1743"/>
      <c r="M722" s="1743"/>
      <c r="N722" s="1744"/>
      <c r="O722" s="1631" t="s">
        <v>447</v>
      </c>
      <c r="P722" s="1632"/>
      <c r="Q722" s="1632"/>
      <c r="R722" s="1632"/>
      <c r="S722" s="1633"/>
      <c r="T722" s="1705" t="s">
        <v>1921</v>
      </c>
      <c r="U722" s="1632"/>
      <c r="V722" s="1632"/>
      <c r="W722" s="1633"/>
      <c r="X722" s="1705" t="s">
        <v>1923</v>
      </c>
      <c r="Y722" s="1632"/>
      <c r="Z722" s="1632"/>
      <c r="AA722" s="1632"/>
      <c r="AB722" s="1633"/>
      <c r="AC722" s="1705" t="s">
        <v>1922</v>
      </c>
      <c r="AD722" s="1632"/>
      <c r="AE722" s="1632"/>
      <c r="AF722" s="1632"/>
      <c r="AG722" s="1633"/>
      <c r="AH722" s="1705" t="s">
        <v>1924</v>
      </c>
      <c r="AI722" s="1632"/>
      <c r="AJ722" s="1633"/>
      <c r="AK722" s="1705" t="s">
        <v>1951</v>
      </c>
      <c r="AL722" s="1632"/>
      <c r="AM722" s="1632"/>
      <c r="AN722" s="1632"/>
      <c r="AO722" s="163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634"/>
      <c r="C723" s="1635"/>
      <c r="D723" s="1635"/>
      <c r="E723" s="1635"/>
      <c r="F723" s="1636"/>
      <c r="G723" s="1634"/>
      <c r="H723" s="1635"/>
      <c r="I723" s="1635"/>
      <c r="J723" s="1636"/>
      <c r="K723" s="1745"/>
      <c r="L723" s="1746"/>
      <c r="M723" s="1746"/>
      <c r="N723" s="1747"/>
      <c r="O723" s="1634"/>
      <c r="P723" s="1635"/>
      <c r="Q723" s="1635"/>
      <c r="R723" s="1635"/>
      <c r="S723" s="1636"/>
      <c r="T723" s="1634"/>
      <c r="U723" s="1635"/>
      <c r="V723" s="1635"/>
      <c r="W723" s="1636"/>
      <c r="X723" s="1634"/>
      <c r="Y723" s="1635"/>
      <c r="Z723" s="1635"/>
      <c r="AA723" s="1635"/>
      <c r="AB723" s="1636"/>
      <c r="AC723" s="1634"/>
      <c r="AD723" s="1635"/>
      <c r="AE723" s="1635"/>
      <c r="AF723" s="1635"/>
      <c r="AG723" s="1636"/>
      <c r="AH723" s="1634"/>
      <c r="AI723" s="1635"/>
      <c r="AJ723" s="1636"/>
      <c r="AK723" s="1634"/>
      <c r="AL723" s="1635"/>
      <c r="AM723" s="1635"/>
      <c r="AN723" s="1635"/>
      <c r="AO723" s="163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634"/>
      <c r="C724" s="1635"/>
      <c r="D724" s="1635"/>
      <c r="E724" s="1635"/>
      <c r="F724" s="1636"/>
      <c r="G724" s="1634"/>
      <c r="H724" s="1635"/>
      <c r="I724" s="1635"/>
      <c r="J724" s="1636"/>
      <c r="K724" s="1745"/>
      <c r="L724" s="1746"/>
      <c r="M724" s="1746"/>
      <c r="N724" s="1747"/>
      <c r="O724" s="1634"/>
      <c r="P724" s="1635"/>
      <c r="Q724" s="1635"/>
      <c r="R724" s="1635"/>
      <c r="S724" s="1636"/>
      <c r="T724" s="1634"/>
      <c r="U724" s="1635"/>
      <c r="V724" s="1635"/>
      <c r="W724" s="1636"/>
      <c r="X724" s="1634"/>
      <c r="Y724" s="1635"/>
      <c r="Z724" s="1635"/>
      <c r="AA724" s="1635"/>
      <c r="AB724" s="1636"/>
      <c r="AC724" s="1634"/>
      <c r="AD724" s="1635"/>
      <c r="AE724" s="1635"/>
      <c r="AF724" s="1635"/>
      <c r="AG724" s="1636"/>
      <c r="AH724" s="1634"/>
      <c r="AI724" s="1635"/>
      <c r="AJ724" s="1636"/>
      <c r="AK724" s="1634"/>
      <c r="AL724" s="1635"/>
      <c r="AM724" s="1635"/>
      <c r="AN724" s="1635"/>
      <c r="AO724" s="1636"/>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637"/>
      <c r="C725" s="1638"/>
      <c r="D725" s="1638"/>
      <c r="E725" s="1638"/>
      <c r="F725" s="1639"/>
      <c r="G725" s="1637"/>
      <c r="H725" s="1638"/>
      <c r="I725" s="1638"/>
      <c r="J725" s="1639"/>
      <c r="K725" s="1745"/>
      <c r="L725" s="1746"/>
      <c r="M725" s="1746"/>
      <c r="N725" s="1747"/>
      <c r="O725" s="1637"/>
      <c r="P725" s="1638"/>
      <c r="Q725" s="1638"/>
      <c r="R725" s="1638"/>
      <c r="S725" s="1639"/>
      <c r="T725" s="1637"/>
      <c r="U725" s="1638"/>
      <c r="V725" s="1638"/>
      <c r="W725" s="1639"/>
      <c r="X725" s="1637"/>
      <c r="Y725" s="1638"/>
      <c r="Z725" s="1638"/>
      <c r="AA725" s="1638"/>
      <c r="AB725" s="1639"/>
      <c r="AC725" s="1637"/>
      <c r="AD725" s="1638"/>
      <c r="AE725" s="1638"/>
      <c r="AF725" s="1638"/>
      <c r="AG725" s="1639"/>
      <c r="AH725" s="1637"/>
      <c r="AI725" s="1638"/>
      <c r="AJ725" s="1639"/>
      <c r="AK725" s="1637"/>
      <c r="AL725" s="1638"/>
      <c r="AM725" s="1638"/>
      <c r="AN725" s="1638"/>
      <c r="AO725" s="1639"/>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474</v>
      </c>
      <c r="CH725" s="122"/>
      <c r="CI725" s="1539"/>
      <c r="CJ725" s="1540"/>
      <c r="CK725" s="121" t="s">
        <v>475</v>
      </c>
      <c r="CL725" s="122"/>
      <c r="CM725" s="1539"/>
      <c r="CN725" s="1540"/>
      <c r="CO725" s="3"/>
      <c r="CP725" s="1413" t="s">
        <v>632</v>
      </c>
      <c r="CQ725" s="1414"/>
      <c r="CR725" s="1414"/>
      <c r="CS725" s="1414"/>
      <c r="CT725" s="1415"/>
      <c r="CU725" s="1538" t="s">
        <v>325</v>
      </c>
      <c r="CV725" s="1538"/>
      <c r="CW725" s="1538"/>
      <c r="CX725" s="1538"/>
      <c r="CY725" s="1538"/>
      <c r="CZ725" s="1538" t="s">
        <v>163</v>
      </c>
      <c r="DA725" s="1538"/>
      <c r="DB725" s="1538"/>
      <c r="DC725" s="1538"/>
      <c r="DD725" s="1538"/>
      <c r="DE725" s="1538" t="s">
        <v>164</v>
      </c>
      <c r="DF725" s="1538"/>
      <c r="DG725" s="1538"/>
      <c r="DH725" s="1538"/>
      <c r="DI725" s="1538"/>
      <c r="DJ725" s="1538" t="s">
        <v>460</v>
      </c>
      <c r="DK725" s="1538"/>
      <c r="DL725" s="1538"/>
      <c r="DM725" s="1538"/>
      <c r="DN725" s="1538"/>
      <c r="DO725" s="1538" t="s">
        <v>30</v>
      </c>
      <c r="DP725" s="1538"/>
      <c r="DQ725" s="1538"/>
      <c r="DR725" s="1538"/>
      <c r="DS725" s="1538"/>
      <c r="DT725" s="89"/>
      <c r="DU725" s="1538" t="s">
        <v>632</v>
      </c>
      <c r="DV725" s="1538"/>
      <c r="DW725" s="1538"/>
      <c r="DX725" s="1538"/>
      <c r="DY725" s="1538"/>
      <c r="DZ725" s="1538" t="s">
        <v>325</v>
      </c>
      <c r="EA725" s="1538"/>
      <c r="EB725" s="1538"/>
      <c r="EC725" s="1538"/>
      <c r="ED725" s="1538"/>
      <c r="EE725" s="1538" t="s">
        <v>163</v>
      </c>
      <c r="EF725" s="1538"/>
      <c r="EG725" s="1538"/>
      <c r="EH725" s="1538"/>
      <c r="EI725" s="1538"/>
      <c r="EJ725" s="1538" t="s">
        <v>164</v>
      </c>
      <c r="EK725" s="1538"/>
      <c r="EL725" s="1538"/>
      <c r="EM725" s="1538"/>
      <c r="EN725" s="1538"/>
      <c r="EO725" s="1538" t="s">
        <v>460</v>
      </c>
      <c r="EP725" s="1538"/>
      <c r="EQ725" s="1538"/>
      <c r="ER725" s="1538"/>
      <c r="ES725" s="1538"/>
      <c r="ET725" s="1538" t="s">
        <v>30</v>
      </c>
      <c r="EU725" s="1538"/>
      <c r="EV725" s="1538"/>
      <c r="EW725" s="1538"/>
      <c r="EX725" s="1538"/>
      <c r="EY725" s="4"/>
      <c r="EZ725" s="1538" t="s">
        <v>632</v>
      </c>
      <c r="FA725" s="1538"/>
      <c r="FB725" s="1538"/>
      <c r="FC725" s="1538"/>
      <c r="FD725" s="1538"/>
      <c r="FE725" s="1538" t="s">
        <v>325</v>
      </c>
      <c r="FF725" s="1538"/>
      <c r="FG725" s="1538"/>
      <c r="FH725" s="1538"/>
      <c r="FI725" s="1538"/>
      <c r="FJ725" s="1538" t="s">
        <v>163</v>
      </c>
      <c r="FK725" s="1538"/>
      <c r="FL725" s="1538"/>
      <c r="FM725" s="1538"/>
      <c r="FN725" s="1538"/>
      <c r="FO725" s="1538" t="s">
        <v>164</v>
      </c>
      <c r="FP725" s="1538"/>
      <c r="FQ725" s="1538"/>
      <c r="FR725" s="1538"/>
      <c r="FS725" s="1538"/>
      <c r="FT725" s="1538" t="s">
        <v>460</v>
      </c>
      <c r="FU725" s="1538"/>
      <c r="FV725" s="1538"/>
      <c r="FW725" s="1538"/>
      <c r="FX725" s="1538"/>
      <c r="FY725" s="1538" t="s">
        <v>30</v>
      </c>
      <c r="FZ725" s="1538"/>
      <c r="GA725" s="1538"/>
      <c r="GB725" s="1538"/>
      <c r="GC725" s="1538"/>
    </row>
    <row r="726" spans="1:185" ht="13" customHeight="1">
      <c r="A726" s="4"/>
      <c r="B726" s="1364" t="s">
        <v>163</v>
      </c>
      <c r="C726" s="1365"/>
      <c r="D726" s="1365"/>
      <c r="E726" s="1365"/>
      <c r="F726" s="1366"/>
      <c r="G726" s="1358">
        <v>4</v>
      </c>
      <c r="H726" s="1359"/>
      <c r="I726" s="1359"/>
      <c r="J726" s="1360"/>
      <c r="K726" s="1361">
        <v>940</v>
      </c>
      <c r="L726" s="1362"/>
      <c r="M726" s="1362"/>
      <c r="N726" s="1363"/>
      <c r="O726" s="1404">
        <v>1153</v>
      </c>
      <c r="P726" s="1405"/>
      <c r="Q726" s="1405"/>
      <c r="R726" s="1405"/>
      <c r="S726" s="1406"/>
      <c r="T726" s="1404">
        <v>182</v>
      </c>
      <c r="U726" s="1405"/>
      <c r="V726" s="1405"/>
      <c r="W726" s="1406"/>
      <c r="X726" s="1401">
        <f t="shared" ref="X726:X749" si="10">O726+T726</f>
        <v>1335</v>
      </c>
      <c r="Y726" s="1402"/>
      <c r="Z726" s="1402"/>
      <c r="AA726" s="1402"/>
      <c r="AB726" s="1403"/>
      <c r="AC726" s="1398">
        <v>0.3</v>
      </c>
      <c r="AD726" s="1399"/>
      <c r="AE726" s="1399"/>
      <c r="AF726" s="1399"/>
      <c r="AG726" s="1400"/>
      <c r="AH726" s="1457">
        <f>IF($AC726&gt;0,($X726/$AZ726), "")</f>
        <v>0.3</v>
      </c>
      <c r="AI726" s="1458"/>
      <c r="AJ726" s="1459"/>
      <c r="AK726" s="1364" t="s">
        <v>591</v>
      </c>
      <c r="AL726" s="1365"/>
      <c r="AM726" s="1365"/>
      <c r="AN726" s="1365"/>
      <c r="AO726" s="1366"/>
      <c r="AP726" s="3"/>
      <c r="AQ726" s="3"/>
      <c r="AR726" s="3"/>
      <c r="AS726" s="3"/>
      <c r="AZ726" s="118">
        <f t="shared" ref="AZ726:AZ760" si="11">IF($G726=0,"N/A",VLOOKUP($T$189,TC_Rent,(MATCH($B726,bedrooms,FALSE)),FALSE))</f>
        <v>4450</v>
      </c>
      <c r="BA726" s="3"/>
      <c r="BB726" s="3"/>
      <c r="BC726" s="3"/>
      <c r="BD726" s="3"/>
      <c r="BE726" s="204"/>
      <c r="BF726" s="293">
        <f t="shared" ref="BF726:BF760" si="12">G726</f>
        <v>4</v>
      </c>
      <c r="BG726" s="297">
        <f t="shared" ref="BG726:BG760" si="13">IF($BF$761=0,0,BF726/$BF$761)</f>
        <v>4.2105263157894736E-2</v>
      </c>
      <c r="BH726" s="298">
        <f t="shared" ref="BH726:BH760" si="14">IF(BG726=0,"",BG726*AC726)</f>
        <v>1.2631578947368421E-2</v>
      </c>
      <c r="BI726" s="3"/>
      <c r="BJ726" s="3"/>
      <c r="BK726" s="3"/>
      <c r="BL726" s="3"/>
      <c r="BM726" s="3"/>
      <c r="BN726" s="3"/>
      <c r="BS726" s="293">
        <f t="shared" ref="BS726:BS760" si="15">G726</f>
        <v>4</v>
      </c>
      <c r="BT726" s="297">
        <f t="shared" ref="BT726:BT760" si="16">IF($BS$761=0,0,BS726/$BS$761)</f>
        <v>4.2105263157894736E-2</v>
      </c>
      <c r="BU726" s="298">
        <f t="shared" ref="BU726:BU760" si="17">IF(BT726=0,"",BT726*AH726)</f>
        <v>1.2631578947368421E-2</v>
      </c>
      <c r="CC726" s="3"/>
      <c r="CD726" s="3"/>
      <c r="CE726" s="3"/>
      <c r="CF726" s="3"/>
      <c r="CG726" s="1547">
        <f>IF(AND(AC726&lt;=0.5,AC726&gt;=0.36),1,0)</f>
        <v>0</v>
      </c>
      <c r="CH726" s="1549"/>
      <c r="CI726" s="1539">
        <f>IF(CG726=1,G726,0)</f>
        <v>0</v>
      </c>
      <c r="CJ726" s="1540"/>
      <c r="CK726" s="1547">
        <f t="shared" ref="CK726:CK760" si="18">IF(AND(AC726&lt;=0.35,AC726&gt;0),1,0)</f>
        <v>1</v>
      </c>
      <c r="CL726" s="1549"/>
      <c r="CM726" s="1539">
        <f t="shared" ref="CM726:CM760" si="19">IF(CK726=1,G726,0)</f>
        <v>4</v>
      </c>
      <c r="CN726" s="1540"/>
      <c r="CO726" s="3"/>
      <c r="CP726" s="1532">
        <f t="shared" ref="CP726:CP760" si="20">IF(B726="SRO/Studio",G726,0)</f>
        <v>0</v>
      </c>
      <c r="CQ726" s="1533"/>
      <c r="CR726" s="1533"/>
      <c r="CS726" s="1533"/>
      <c r="CT726" s="1534"/>
      <c r="CU726" s="1536">
        <f t="shared" ref="CU726:CU760" si="21">IF(B726="1 Bedroom",G726,0)</f>
        <v>0</v>
      </c>
      <c r="CV726" s="1536"/>
      <c r="CW726" s="1536"/>
      <c r="CX726" s="1536"/>
      <c r="CY726" s="1536"/>
      <c r="CZ726" s="1536">
        <f t="shared" ref="CZ726:CZ760" si="22">IF(B726="2 Bedrooms",G726,0)</f>
        <v>4</v>
      </c>
      <c r="DA726" s="1536"/>
      <c r="DB726" s="1536"/>
      <c r="DC726" s="1536"/>
      <c r="DD726" s="1536"/>
      <c r="DE726" s="1536">
        <f t="shared" ref="DE726:DE760" si="23">IF(B726="3 Bedrooms",G726,0)</f>
        <v>0</v>
      </c>
      <c r="DF726" s="1536"/>
      <c r="DG726" s="1536"/>
      <c r="DH726" s="1536"/>
      <c r="DI726" s="1536"/>
      <c r="DJ726" s="1536">
        <f t="shared" ref="DJ726:DJ760" si="24">IF(B726="4 Bedrooms",G726,0)</f>
        <v>0</v>
      </c>
      <c r="DK726" s="1536"/>
      <c r="DL726" s="1536"/>
      <c r="DM726" s="1536"/>
      <c r="DN726" s="1536"/>
      <c r="DO726" s="1536">
        <f t="shared" ref="DO726:DO760" si="25">IF(B726="5 Bedrooms",G726,0)</f>
        <v>0</v>
      </c>
      <c r="DP726" s="1536"/>
      <c r="DQ726" s="1536"/>
      <c r="DR726" s="1536"/>
      <c r="DS726" s="1536"/>
      <c r="DT726" s="6"/>
      <c r="DU726" s="1537">
        <f t="shared" ref="DU726:DU760" si="26">IF(AND(B726="SRO/Studio",AC726&lt;=0.3),G726,0)</f>
        <v>0</v>
      </c>
      <c r="DV726" s="1537"/>
      <c r="DW726" s="1537"/>
      <c r="DX726" s="1537"/>
      <c r="DY726" s="1537"/>
      <c r="DZ726" s="1537">
        <f t="shared" ref="DZ726:DZ760" si="27">IF(AND(B726="1 Bedroom",AC726&lt;=0.3),G726,0)</f>
        <v>0</v>
      </c>
      <c r="EA726" s="1537"/>
      <c r="EB726" s="1537"/>
      <c r="EC726" s="1537"/>
      <c r="ED726" s="1537"/>
      <c r="EE726" s="1537">
        <f t="shared" ref="EE726:EE760" si="28">IF(AND(B726="2 Bedrooms",AC726&lt;=0.3),G726,0)</f>
        <v>4</v>
      </c>
      <c r="EF726" s="1537"/>
      <c r="EG726" s="1537"/>
      <c r="EH726" s="1537"/>
      <c r="EI726" s="1537"/>
      <c r="EJ726" s="1537">
        <f t="shared" ref="EJ726:EJ760" si="29">IF(AND(B726="3 Bedrooms",AC726&lt;=0.3),G726,0)</f>
        <v>0</v>
      </c>
      <c r="EK726" s="1537"/>
      <c r="EL726" s="1537"/>
      <c r="EM726" s="1537"/>
      <c r="EN726" s="1537"/>
      <c r="EO726" s="1537">
        <f t="shared" ref="EO726:EO760" si="30">IF(AND(B726="4 Bedrooms",AC726&lt;=0.3),G726,0)</f>
        <v>0</v>
      </c>
      <c r="EP726" s="1537"/>
      <c r="EQ726" s="1537"/>
      <c r="ER726" s="1537"/>
      <c r="ES726" s="1537"/>
      <c r="ET726" s="1537">
        <f t="shared" ref="ET726:ET760" si="31">IF(AND(B726="5 Bedrooms",AC726&lt;=0.3),G726,0)</f>
        <v>0</v>
      </c>
      <c r="EU726" s="1537"/>
      <c r="EV726" s="1537"/>
      <c r="EW726" s="1537"/>
      <c r="EX726" s="1537"/>
      <c r="EY726" s="4"/>
      <c r="EZ726" s="1547" t="str">
        <f t="shared" ref="EZ726:EZ760" si="32">IF(CP726&gt;0,O726,"")</f>
        <v/>
      </c>
      <c r="FA726" s="1548"/>
      <c r="FB726" s="1548"/>
      <c r="FC726" s="1548"/>
      <c r="FD726" s="1549"/>
      <c r="FE726" s="1547" t="str">
        <f t="shared" ref="FE726:FE760" si="33">IF(CU726&gt;0,O726,"")</f>
        <v/>
      </c>
      <c r="FF726" s="1548"/>
      <c r="FG726" s="1548"/>
      <c r="FH726" s="1548"/>
      <c r="FI726" s="1549"/>
      <c r="FJ726" s="1547">
        <f t="shared" ref="FJ726:FJ760" si="34">IF(CZ726&gt;0,O726,"")</f>
        <v>1153</v>
      </c>
      <c r="FK726" s="1548"/>
      <c r="FL726" s="1548"/>
      <c r="FM726" s="1548"/>
      <c r="FN726" s="1549"/>
      <c r="FO726" s="1547" t="str">
        <f t="shared" ref="FO726:FO760" si="35">IF(DE726&gt;0,O726,"")</f>
        <v/>
      </c>
      <c r="FP726" s="1548"/>
      <c r="FQ726" s="1548"/>
      <c r="FR726" s="1548"/>
      <c r="FS726" s="1549"/>
      <c r="FT726" s="1547" t="str">
        <f t="shared" ref="FT726:FT760" si="36">IF(DJ726&gt;0,O726,"")</f>
        <v/>
      </c>
      <c r="FU726" s="1548"/>
      <c r="FV726" s="1548"/>
      <c r="FW726" s="1548"/>
      <c r="FX726" s="1549"/>
      <c r="FY726" s="1547" t="str">
        <f t="shared" ref="FY726:FY760" si="37">IF(DO726&gt;0,O726,"")</f>
        <v/>
      </c>
      <c r="FZ726" s="1548"/>
      <c r="GA726" s="1548"/>
      <c r="GB726" s="1548"/>
      <c r="GC726" s="1549"/>
    </row>
    <row r="727" spans="1:185" ht="13" customHeight="1">
      <c r="A727" s="4"/>
      <c r="B727" s="1364" t="s">
        <v>163</v>
      </c>
      <c r="C727" s="1365"/>
      <c r="D727" s="1365"/>
      <c r="E727" s="1365"/>
      <c r="F727" s="1366"/>
      <c r="G727" s="1358">
        <v>4</v>
      </c>
      <c r="H727" s="1359"/>
      <c r="I727" s="1359"/>
      <c r="J727" s="1360"/>
      <c r="K727" s="1361">
        <v>940</v>
      </c>
      <c r="L727" s="1362"/>
      <c r="M727" s="1362"/>
      <c r="N727" s="1363"/>
      <c r="O727" s="1404">
        <v>2043</v>
      </c>
      <c r="P727" s="1405"/>
      <c r="Q727" s="1405"/>
      <c r="R727" s="1405"/>
      <c r="S727" s="1406"/>
      <c r="T727" s="1404">
        <v>182</v>
      </c>
      <c r="U727" s="1405"/>
      <c r="V727" s="1405"/>
      <c r="W727" s="1406"/>
      <c r="X727" s="1401">
        <f t="shared" si="10"/>
        <v>2225</v>
      </c>
      <c r="Y727" s="1402"/>
      <c r="Z727" s="1402"/>
      <c r="AA727" s="1402"/>
      <c r="AB727" s="1403"/>
      <c r="AC727" s="1398">
        <v>0.5</v>
      </c>
      <c r="AD727" s="1399"/>
      <c r="AE727" s="1399"/>
      <c r="AF727" s="1399"/>
      <c r="AG727" s="1400"/>
      <c r="AH727" s="1457">
        <f t="shared" ref="AH727:AH760" si="38">IF($AC727&gt;0,($X727/$AZ727), "")</f>
        <v>0.5</v>
      </c>
      <c r="AI727" s="1458"/>
      <c r="AJ727" s="1459"/>
      <c r="AK727" s="1364" t="s">
        <v>591</v>
      </c>
      <c r="AL727" s="1365"/>
      <c r="AM727" s="1365"/>
      <c r="AN727" s="1365"/>
      <c r="AO727" s="1366"/>
      <c r="AP727" s="3"/>
      <c r="AQ727" s="3"/>
      <c r="AR727" s="3"/>
      <c r="AS727" s="3"/>
      <c r="AZ727" s="118">
        <f t="shared" si="11"/>
        <v>4450</v>
      </c>
      <c r="BA727" s="3"/>
      <c r="BB727" s="3"/>
      <c r="BC727" s="3"/>
      <c r="BD727" s="3"/>
      <c r="BE727" s="204"/>
      <c r="BF727" s="294">
        <f t="shared" si="12"/>
        <v>4</v>
      </c>
      <c r="BG727" s="297">
        <f t="shared" si="13"/>
        <v>4.2105263157894736E-2</v>
      </c>
      <c r="BH727" s="298">
        <f t="shared" si="14"/>
        <v>2.1052631578947368E-2</v>
      </c>
      <c r="BI727" s="3"/>
      <c r="BJ727" s="3"/>
      <c r="BK727" s="3"/>
      <c r="BL727" s="3"/>
      <c r="BM727" s="3"/>
      <c r="BN727" s="3"/>
      <c r="BS727" s="294">
        <f t="shared" si="15"/>
        <v>4</v>
      </c>
      <c r="BT727" s="297">
        <f t="shared" si="16"/>
        <v>4.2105263157894736E-2</v>
      </c>
      <c r="BU727" s="298">
        <f t="shared" si="17"/>
        <v>2.1052631578947368E-2</v>
      </c>
      <c r="CC727" s="3"/>
      <c r="CD727" s="3"/>
      <c r="CE727" s="3"/>
      <c r="CF727" s="3"/>
      <c r="CG727" s="1547">
        <f t="shared" ref="CG727:CG760" si="39">IF(AND(AC727&lt;=0.5,AC727&gt;=0.36),1,0)</f>
        <v>1</v>
      </c>
      <c r="CH727" s="1549"/>
      <c r="CI727" s="1539">
        <f t="shared" ref="CI727:CI760" si="40">IF(CG727=1,G727,0)</f>
        <v>4</v>
      </c>
      <c r="CJ727" s="1540"/>
      <c r="CK727" s="1547">
        <f t="shared" si="18"/>
        <v>0</v>
      </c>
      <c r="CL727" s="1549"/>
      <c r="CM727" s="1539">
        <f t="shared" si="19"/>
        <v>0</v>
      </c>
      <c r="CN727" s="1540"/>
      <c r="CO727" s="3"/>
      <c r="CP727" s="1532">
        <f t="shared" si="20"/>
        <v>0</v>
      </c>
      <c r="CQ727" s="1533"/>
      <c r="CR727" s="1533"/>
      <c r="CS727" s="1533"/>
      <c r="CT727" s="1534"/>
      <c r="CU727" s="1536">
        <f t="shared" si="21"/>
        <v>0</v>
      </c>
      <c r="CV727" s="1536"/>
      <c r="CW727" s="1536"/>
      <c r="CX727" s="1536"/>
      <c r="CY727" s="1536"/>
      <c r="CZ727" s="1536">
        <f t="shared" si="22"/>
        <v>4</v>
      </c>
      <c r="DA727" s="1536"/>
      <c r="DB727" s="1536"/>
      <c r="DC727" s="1536"/>
      <c r="DD727" s="1536"/>
      <c r="DE727" s="1536">
        <f t="shared" si="23"/>
        <v>0</v>
      </c>
      <c r="DF727" s="1536"/>
      <c r="DG727" s="1536"/>
      <c r="DH727" s="1536"/>
      <c r="DI727" s="1536"/>
      <c r="DJ727" s="1536">
        <f t="shared" si="24"/>
        <v>0</v>
      </c>
      <c r="DK727" s="1536"/>
      <c r="DL727" s="1536"/>
      <c r="DM727" s="1536"/>
      <c r="DN727" s="1536"/>
      <c r="DO727" s="1536">
        <f t="shared" si="25"/>
        <v>0</v>
      </c>
      <c r="DP727" s="1536"/>
      <c r="DQ727" s="1536"/>
      <c r="DR727" s="1536"/>
      <c r="DS727" s="1536"/>
      <c r="DT727" s="6"/>
      <c r="DU727" s="1537">
        <f t="shared" si="26"/>
        <v>0</v>
      </c>
      <c r="DV727" s="1537"/>
      <c r="DW727" s="1537"/>
      <c r="DX727" s="1537"/>
      <c r="DY727" s="1537"/>
      <c r="DZ727" s="1537">
        <f t="shared" si="27"/>
        <v>0</v>
      </c>
      <c r="EA727" s="1537"/>
      <c r="EB727" s="1537"/>
      <c r="EC727" s="1537"/>
      <c r="ED727" s="1537"/>
      <c r="EE727" s="1537">
        <f t="shared" si="28"/>
        <v>0</v>
      </c>
      <c r="EF727" s="1537"/>
      <c r="EG727" s="1537"/>
      <c r="EH727" s="1537"/>
      <c r="EI727" s="1537"/>
      <c r="EJ727" s="1537">
        <f t="shared" si="29"/>
        <v>0</v>
      </c>
      <c r="EK727" s="1537"/>
      <c r="EL727" s="1537"/>
      <c r="EM727" s="1537"/>
      <c r="EN727" s="1537"/>
      <c r="EO727" s="1537">
        <f t="shared" si="30"/>
        <v>0</v>
      </c>
      <c r="EP727" s="1537"/>
      <c r="EQ727" s="1537"/>
      <c r="ER727" s="1537"/>
      <c r="ES727" s="1537"/>
      <c r="ET727" s="1537">
        <f t="shared" si="31"/>
        <v>0</v>
      </c>
      <c r="EU727" s="1537"/>
      <c r="EV727" s="1537"/>
      <c r="EW727" s="1537"/>
      <c r="EX727" s="1537"/>
      <c r="EY727" s="4"/>
      <c r="EZ727" s="1547" t="str">
        <f t="shared" si="32"/>
        <v/>
      </c>
      <c r="FA727" s="1548"/>
      <c r="FB727" s="1548"/>
      <c r="FC727" s="1548"/>
      <c r="FD727" s="1549"/>
      <c r="FE727" s="1547" t="str">
        <f t="shared" si="33"/>
        <v/>
      </c>
      <c r="FF727" s="1548"/>
      <c r="FG727" s="1548"/>
      <c r="FH727" s="1548"/>
      <c r="FI727" s="1549"/>
      <c r="FJ727" s="1547">
        <f t="shared" si="34"/>
        <v>2043</v>
      </c>
      <c r="FK727" s="1548"/>
      <c r="FL727" s="1548"/>
      <c r="FM727" s="1548"/>
      <c r="FN727" s="1549"/>
      <c r="FO727" s="1547" t="str">
        <f t="shared" si="35"/>
        <v/>
      </c>
      <c r="FP727" s="1548"/>
      <c r="FQ727" s="1548"/>
      <c r="FR727" s="1548"/>
      <c r="FS727" s="1549"/>
      <c r="FT727" s="1547" t="str">
        <f t="shared" si="36"/>
        <v/>
      </c>
      <c r="FU727" s="1548"/>
      <c r="FV727" s="1548"/>
      <c r="FW727" s="1548"/>
      <c r="FX727" s="1549"/>
      <c r="FY727" s="1547" t="str">
        <f t="shared" si="37"/>
        <v/>
      </c>
      <c r="FZ727" s="1548"/>
      <c r="GA727" s="1548"/>
      <c r="GB727" s="1548"/>
      <c r="GC727" s="1549"/>
    </row>
    <row r="728" spans="1:185" ht="13" customHeight="1">
      <c r="A728" s="4"/>
      <c r="B728" s="1364" t="s">
        <v>163</v>
      </c>
      <c r="C728" s="1365"/>
      <c r="D728" s="1365"/>
      <c r="E728" s="1365"/>
      <c r="F728" s="1366"/>
      <c r="G728" s="1358">
        <v>12</v>
      </c>
      <c r="H728" s="1359"/>
      <c r="I728" s="1359"/>
      <c r="J728" s="1360"/>
      <c r="K728" s="1361">
        <v>940</v>
      </c>
      <c r="L728" s="1362"/>
      <c r="M728" s="1362"/>
      <c r="N728" s="1363"/>
      <c r="O728" s="1404">
        <v>2488</v>
      </c>
      <c r="P728" s="1405"/>
      <c r="Q728" s="1405"/>
      <c r="R728" s="1405"/>
      <c r="S728" s="1406"/>
      <c r="T728" s="1404">
        <v>182</v>
      </c>
      <c r="U728" s="1405"/>
      <c r="V728" s="1405"/>
      <c r="W728" s="1406"/>
      <c r="X728" s="1401">
        <f t="shared" si="10"/>
        <v>2670</v>
      </c>
      <c r="Y728" s="1402"/>
      <c r="Z728" s="1402"/>
      <c r="AA728" s="1402"/>
      <c r="AB728" s="1403"/>
      <c r="AC728" s="1398">
        <v>0.6</v>
      </c>
      <c r="AD728" s="1399"/>
      <c r="AE728" s="1399"/>
      <c r="AF728" s="1399"/>
      <c r="AG728" s="1400"/>
      <c r="AH728" s="1457">
        <f t="shared" si="38"/>
        <v>0.6</v>
      </c>
      <c r="AI728" s="1458"/>
      <c r="AJ728" s="1459"/>
      <c r="AK728" s="1364" t="s">
        <v>591</v>
      </c>
      <c r="AL728" s="1365"/>
      <c r="AM728" s="1365"/>
      <c r="AN728" s="1365"/>
      <c r="AO728" s="1366"/>
      <c r="AP728" s="3"/>
      <c r="AQ728" s="3"/>
      <c r="AR728" s="3"/>
      <c r="AS728" s="3"/>
      <c r="AZ728" s="118">
        <f t="shared" si="11"/>
        <v>4450</v>
      </c>
      <c r="BA728" s="3"/>
      <c r="BB728" s="3"/>
      <c r="BC728" s="3"/>
      <c r="BD728" s="3"/>
      <c r="BE728" s="204"/>
      <c r="BF728" s="294">
        <f t="shared" si="12"/>
        <v>12</v>
      </c>
      <c r="BG728" s="297">
        <f t="shared" si="13"/>
        <v>0.12631578947368421</v>
      </c>
      <c r="BH728" s="298">
        <f t="shared" si="14"/>
        <v>7.5789473684210532E-2</v>
      </c>
      <c r="BI728" s="3"/>
      <c r="BJ728" s="3"/>
      <c r="BK728" s="3"/>
      <c r="BL728" s="3"/>
      <c r="BM728" s="3"/>
      <c r="BN728" s="3"/>
      <c r="BS728" s="294">
        <f t="shared" si="15"/>
        <v>12</v>
      </c>
      <c r="BT728" s="297">
        <f t="shared" si="16"/>
        <v>0.12631578947368421</v>
      </c>
      <c r="BU728" s="298">
        <f t="shared" si="17"/>
        <v>7.5789473684210532E-2</v>
      </c>
      <c r="CC728" s="3"/>
      <c r="CD728" s="3"/>
      <c r="CE728" s="3"/>
      <c r="CF728" s="3"/>
      <c r="CG728" s="1547">
        <f t="shared" si="39"/>
        <v>0</v>
      </c>
      <c r="CH728" s="1549"/>
      <c r="CI728" s="1539">
        <f t="shared" si="40"/>
        <v>0</v>
      </c>
      <c r="CJ728" s="1540"/>
      <c r="CK728" s="1547">
        <f t="shared" si="18"/>
        <v>0</v>
      </c>
      <c r="CL728" s="1549"/>
      <c r="CM728" s="1539">
        <f t="shared" si="19"/>
        <v>0</v>
      </c>
      <c r="CN728" s="1540"/>
      <c r="CO728" s="3"/>
      <c r="CP728" s="1532">
        <f t="shared" si="20"/>
        <v>0</v>
      </c>
      <c r="CQ728" s="1533"/>
      <c r="CR728" s="1533"/>
      <c r="CS728" s="1533"/>
      <c r="CT728" s="1534"/>
      <c r="CU728" s="1536">
        <f t="shared" si="21"/>
        <v>0</v>
      </c>
      <c r="CV728" s="1536"/>
      <c r="CW728" s="1536"/>
      <c r="CX728" s="1536"/>
      <c r="CY728" s="1536"/>
      <c r="CZ728" s="1536">
        <f t="shared" si="22"/>
        <v>12</v>
      </c>
      <c r="DA728" s="1536"/>
      <c r="DB728" s="1536"/>
      <c r="DC728" s="1536"/>
      <c r="DD728" s="1536"/>
      <c r="DE728" s="1536">
        <f t="shared" si="23"/>
        <v>0</v>
      </c>
      <c r="DF728" s="1536"/>
      <c r="DG728" s="1536"/>
      <c r="DH728" s="1536"/>
      <c r="DI728" s="1536"/>
      <c r="DJ728" s="1536">
        <f t="shared" si="24"/>
        <v>0</v>
      </c>
      <c r="DK728" s="1536"/>
      <c r="DL728" s="1536"/>
      <c r="DM728" s="1536"/>
      <c r="DN728" s="1536"/>
      <c r="DO728" s="1536">
        <f t="shared" si="25"/>
        <v>0</v>
      </c>
      <c r="DP728" s="1536"/>
      <c r="DQ728" s="1536"/>
      <c r="DR728" s="1536"/>
      <c r="DS728" s="1536"/>
      <c r="DT728" s="6"/>
      <c r="DU728" s="1537">
        <f t="shared" si="26"/>
        <v>0</v>
      </c>
      <c r="DV728" s="1537"/>
      <c r="DW728" s="1537"/>
      <c r="DX728" s="1537"/>
      <c r="DY728" s="1537"/>
      <c r="DZ728" s="1537">
        <f t="shared" si="27"/>
        <v>0</v>
      </c>
      <c r="EA728" s="1537"/>
      <c r="EB728" s="1537"/>
      <c r="EC728" s="1537"/>
      <c r="ED728" s="1537"/>
      <c r="EE728" s="1537">
        <f t="shared" si="28"/>
        <v>0</v>
      </c>
      <c r="EF728" s="1537"/>
      <c r="EG728" s="1537"/>
      <c r="EH728" s="1537"/>
      <c r="EI728" s="1537"/>
      <c r="EJ728" s="1537">
        <f t="shared" si="29"/>
        <v>0</v>
      </c>
      <c r="EK728" s="1537"/>
      <c r="EL728" s="1537"/>
      <c r="EM728" s="1537"/>
      <c r="EN728" s="1537"/>
      <c r="EO728" s="1537">
        <f t="shared" si="30"/>
        <v>0</v>
      </c>
      <c r="EP728" s="1537"/>
      <c r="EQ728" s="1537"/>
      <c r="ER728" s="1537"/>
      <c r="ES728" s="1537"/>
      <c r="ET728" s="1537">
        <f t="shared" si="31"/>
        <v>0</v>
      </c>
      <c r="EU728" s="1537"/>
      <c r="EV728" s="1537"/>
      <c r="EW728" s="1537"/>
      <c r="EX728" s="1537"/>
      <c r="EZ728" s="1547" t="str">
        <f t="shared" si="32"/>
        <v/>
      </c>
      <c r="FA728" s="1548"/>
      <c r="FB728" s="1548"/>
      <c r="FC728" s="1548"/>
      <c r="FD728" s="1549"/>
      <c r="FE728" s="1547" t="str">
        <f t="shared" si="33"/>
        <v/>
      </c>
      <c r="FF728" s="1548"/>
      <c r="FG728" s="1548"/>
      <c r="FH728" s="1548"/>
      <c r="FI728" s="1549"/>
      <c r="FJ728" s="1547">
        <f t="shared" si="34"/>
        <v>2488</v>
      </c>
      <c r="FK728" s="1548"/>
      <c r="FL728" s="1548"/>
      <c r="FM728" s="1548"/>
      <c r="FN728" s="1549"/>
      <c r="FO728" s="1547" t="str">
        <f t="shared" si="35"/>
        <v/>
      </c>
      <c r="FP728" s="1548"/>
      <c r="FQ728" s="1548"/>
      <c r="FR728" s="1548"/>
      <c r="FS728" s="1549"/>
      <c r="FT728" s="1547" t="str">
        <f t="shared" si="36"/>
        <v/>
      </c>
      <c r="FU728" s="1548"/>
      <c r="FV728" s="1548"/>
      <c r="FW728" s="1548"/>
      <c r="FX728" s="1549"/>
      <c r="FY728" s="1547" t="str">
        <f t="shared" si="37"/>
        <v/>
      </c>
      <c r="FZ728" s="1548"/>
      <c r="GA728" s="1548"/>
      <c r="GB728" s="1548"/>
      <c r="GC728" s="1549"/>
    </row>
    <row r="729" spans="1:185" ht="13" customHeight="1">
      <c r="B729" s="1364" t="s">
        <v>163</v>
      </c>
      <c r="C729" s="1365"/>
      <c r="D729" s="1365"/>
      <c r="E729" s="1365"/>
      <c r="F729" s="1366"/>
      <c r="G729" s="1358">
        <v>14</v>
      </c>
      <c r="H729" s="1359"/>
      <c r="I729" s="1359"/>
      <c r="J729" s="1360"/>
      <c r="K729" s="1361">
        <v>940</v>
      </c>
      <c r="L729" s="1362"/>
      <c r="M729" s="1362"/>
      <c r="N729" s="1363"/>
      <c r="O729" s="1404">
        <v>2933</v>
      </c>
      <c r="P729" s="1405"/>
      <c r="Q729" s="1405"/>
      <c r="R729" s="1405"/>
      <c r="S729" s="1406"/>
      <c r="T729" s="1404">
        <v>182</v>
      </c>
      <c r="U729" s="1405"/>
      <c r="V729" s="1405"/>
      <c r="W729" s="1406"/>
      <c r="X729" s="1401">
        <f t="shared" si="10"/>
        <v>3115</v>
      </c>
      <c r="Y729" s="1402"/>
      <c r="Z729" s="1402"/>
      <c r="AA729" s="1402"/>
      <c r="AB729" s="1403"/>
      <c r="AC729" s="1398">
        <v>0.7</v>
      </c>
      <c r="AD729" s="1399"/>
      <c r="AE729" s="1399"/>
      <c r="AF729" s="1399"/>
      <c r="AG729" s="1400"/>
      <c r="AH729" s="1457">
        <f t="shared" si="38"/>
        <v>0.7</v>
      </c>
      <c r="AI729" s="1458"/>
      <c r="AJ729" s="1459"/>
      <c r="AK729" s="1364" t="s">
        <v>591</v>
      </c>
      <c r="AL729" s="1365"/>
      <c r="AM729" s="1365"/>
      <c r="AN729" s="1365"/>
      <c r="AO729" s="1366"/>
      <c r="AP729" s="3"/>
      <c r="AQ729" s="3"/>
      <c r="AR729" s="3"/>
      <c r="AS729" s="3"/>
      <c r="AY729" s="116"/>
      <c r="AZ729" s="118">
        <f t="shared" si="11"/>
        <v>4450</v>
      </c>
      <c r="BA729" s="3"/>
      <c r="BB729" s="3"/>
      <c r="BC729" s="3"/>
      <c r="BD729" s="3"/>
      <c r="BE729" s="204"/>
      <c r="BF729" s="294">
        <f t="shared" si="12"/>
        <v>14</v>
      </c>
      <c r="BG729" s="297">
        <f t="shared" si="13"/>
        <v>0.14736842105263157</v>
      </c>
      <c r="BH729" s="298">
        <f t="shared" si="14"/>
        <v>0.10315789473684209</v>
      </c>
      <c r="BI729" s="3"/>
      <c r="BJ729" s="3"/>
      <c r="BK729" s="3"/>
      <c r="BL729" s="3"/>
      <c r="BM729" s="3"/>
      <c r="BN729" s="3"/>
      <c r="BS729" s="294">
        <f t="shared" si="15"/>
        <v>14</v>
      </c>
      <c r="BT729" s="297">
        <f t="shared" si="16"/>
        <v>0.14736842105263157</v>
      </c>
      <c r="BU729" s="298">
        <f t="shared" si="17"/>
        <v>0.10315789473684209</v>
      </c>
      <c r="CC729" s="3"/>
      <c r="CD729" s="3"/>
      <c r="CE729" s="3"/>
      <c r="CF729" s="3"/>
      <c r="CG729" s="1547">
        <f t="shared" si="39"/>
        <v>0</v>
      </c>
      <c r="CH729" s="1549"/>
      <c r="CI729" s="1539">
        <f t="shared" si="40"/>
        <v>0</v>
      </c>
      <c r="CJ729" s="1540"/>
      <c r="CK729" s="1547">
        <f t="shared" si="18"/>
        <v>0</v>
      </c>
      <c r="CL729" s="1549"/>
      <c r="CM729" s="1539">
        <f t="shared" si="19"/>
        <v>0</v>
      </c>
      <c r="CN729" s="1540"/>
      <c r="CO729" s="3"/>
      <c r="CP729" s="1532">
        <f t="shared" si="20"/>
        <v>0</v>
      </c>
      <c r="CQ729" s="1533"/>
      <c r="CR729" s="1533"/>
      <c r="CS729" s="1533"/>
      <c r="CT729" s="1534"/>
      <c r="CU729" s="1536">
        <f t="shared" si="21"/>
        <v>0</v>
      </c>
      <c r="CV729" s="1536"/>
      <c r="CW729" s="1536"/>
      <c r="CX729" s="1536"/>
      <c r="CY729" s="1536"/>
      <c r="CZ729" s="1536">
        <f t="shared" si="22"/>
        <v>14</v>
      </c>
      <c r="DA729" s="1536"/>
      <c r="DB729" s="1536"/>
      <c r="DC729" s="1536"/>
      <c r="DD729" s="1536"/>
      <c r="DE729" s="1536">
        <f t="shared" si="23"/>
        <v>0</v>
      </c>
      <c r="DF729" s="1536"/>
      <c r="DG729" s="1536"/>
      <c r="DH729" s="1536"/>
      <c r="DI729" s="1536"/>
      <c r="DJ729" s="1536">
        <f t="shared" si="24"/>
        <v>0</v>
      </c>
      <c r="DK729" s="1536"/>
      <c r="DL729" s="1536"/>
      <c r="DM729" s="1536"/>
      <c r="DN729" s="1536"/>
      <c r="DO729" s="1536">
        <f t="shared" si="25"/>
        <v>0</v>
      </c>
      <c r="DP729" s="1536"/>
      <c r="DQ729" s="1536"/>
      <c r="DR729" s="1536"/>
      <c r="DS729" s="1536"/>
      <c r="DT729" s="6"/>
      <c r="DU729" s="1537">
        <f t="shared" si="26"/>
        <v>0</v>
      </c>
      <c r="DV729" s="1537"/>
      <c r="DW729" s="1537"/>
      <c r="DX729" s="1537"/>
      <c r="DY729" s="1537"/>
      <c r="DZ729" s="1537">
        <f t="shared" si="27"/>
        <v>0</v>
      </c>
      <c r="EA729" s="1537"/>
      <c r="EB729" s="1537"/>
      <c r="EC729" s="1537"/>
      <c r="ED729" s="1537"/>
      <c r="EE729" s="1537">
        <f t="shared" si="28"/>
        <v>0</v>
      </c>
      <c r="EF729" s="1537"/>
      <c r="EG729" s="1537"/>
      <c r="EH729" s="1537"/>
      <c r="EI729" s="1537"/>
      <c r="EJ729" s="1537">
        <f t="shared" si="29"/>
        <v>0</v>
      </c>
      <c r="EK729" s="1537"/>
      <c r="EL729" s="1537"/>
      <c r="EM729" s="1537"/>
      <c r="EN729" s="1537"/>
      <c r="EO729" s="1537">
        <f t="shared" si="30"/>
        <v>0</v>
      </c>
      <c r="EP729" s="1537"/>
      <c r="EQ729" s="1537"/>
      <c r="ER729" s="1537"/>
      <c r="ES729" s="1537"/>
      <c r="ET729" s="1537">
        <f t="shared" si="31"/>
        <v>0</v>
      </c>
      <c r="EU729" s="1537"/>
      <c r="EV729" s="1537"/>
      <c r="EW729" s="1537"/>
      <c r="EX729" s="1537"/>
      <c r="EZ729" s="1547" t="str">
        <f t="shared" si="32"/>
        <v/>
      </c>
      <c r="FA729" s="1548"/>
      <c r="FB729" s="1548"/>
      <c r="FC729" s="1548"/>
      <c r="FD729" s="1549"/>
      <c r="FE729" s="1547" t="str">
        <f t="shared" si="33"/>
        <v/>
      </c>
      <c r="FF729" s="1548"/>
      <c r="FG729" s="1548"/>
      <c r="FH729" s="1548"/>
      <c r="FI729" s="1549"/>
      <c r="FJ729" s="1547">
        <f t="shared" si="34"/>
        <v>2933</v>
      </c>
      <c r="FK729" s="1548"/>
      <c r="FL729" s="1548"/>
      <c r="FM729" s="1548"/>
      <c r="FN729" s="1549"/>
      <c r="FO729" s="1547" t="str">
        <f t="shared" si="35"/>
        <v/>
      </c>
      <c r="FP729" s="1548"/>
      <c r="FQ729" s="1548"/>
      <c r="FR729" s="1548"/>
      <c r="FS729" s="1549"/>
      <c r="FT729" s="1547" t="str">
        <f t="shared" si="36"/>
        <v/>
      </c>
      <c r="FU729" s="1548"/>
      <c r="FV729" s="1548"/>
      <c r="FW729" s="1548"/>
      <c r="FX729" s="1549"/>
      <c r="FY729" s="1547" t="str">
        <f t="shared" si="37"/>
        <v/>
      </c>
      <c r="FZ729" s="1548"/>
      <c r="GA729" s="1548"/>
      <c r="GB729" s="1548"/>
      <c r="GC729" s="1549"/>
    </row>
    <row r="730" spans="1:185" ht="13" customHeight="1">
      <c r="B730" s="1364" t="s">
        <v>164</v>
      </c>
      <c r="C730" s="1365"/>
      <c r="D730" s="1365"/>
      <c r="E730" s="1365"/>
      <c r="F730" s="1366"/>
      <c r="G730" s="1358">
        <v>7</v>
      </c>
      <c r="H730" s="1359"/>
      <c r="I730" s="1359"/>
      <c r="J730" s="1360"/>
      <c r="K730" s="1361">
        <v>1236</v>
      </c>
      <c r="L730" s="1362"/>
      <c r="M730" s="1362"/>
      <c r="N730" s="1363"/>
      <c r="O730" s="1404">
        <v>1306</v>
      </c>
      <c r="P730" s="1405"/>
      <c r="Q730" s="1405"/>
      <c r="R730" s="1405"/>
      <c r="S730" s="1406"/>
      <c r="T730" s="1404">
        <v>236</v>
      </c>
      <c r="U730" s="1405"/>
      <c r="V730" s="1405"/>
      <c r="W730" s="1406"/>
      <c r="X730" s="1401">
        <f t="shared" si="10"/>
        <v>1542</v>
      </c>
      <c r="Y730" s="1402"/>
      <c r="Z730" s="1402"/>
      <c r="AA730" s="1402"/>
      <c r="AB730" s="1403"/>
      <c r="AC730" s="1398">
        <v>0.3</v>
      </c>
      <c r="AD730" s="1399"/>
      <c r="AE730" s="1399"/>
      <c r="AF730" s="1399"/>
      <c r="AG730" s="1400"/>
      <c r="AH730" s="1457">
        <f t="shared" si="38"/>
        <v>0.2998833138856476</v>
      </c>
      <c r="AI730" s="1458"/>
      <c r="AJ730" s="1459"/>
      <c r="AK730" s="1364" t="s">
        <v>591</v>
      </c>
      <c r="AL730" s="1365"/>
      <c r="AM730" s="1365"/>
      <c r="AN730" s="1365"/>
      <c r="AO730" s="1366"/>
      <c r="AP730" s="3"/>
      <c r="AQ730" s="3"/>
      <c r="AR730" s="3"/>
      <c r="AS730" s="3"/>
      <c r="AY730" s="116"/>
      <c r="AZ730" s="118">
        <f t="shared" si="11"/>
        <v>5142</v>
      </c>
      <c r="BA730" s="3"/>
      <c r="BB730" s="3"/>
      <c r="BC730" s="3"/>
      <c r="BD730" s="3"/>
      <c r="BE730" s="204"/>
      <c r="BF730" s="294">
        <f t="shared" si="12"/>
        <v>7</v>
      </c>
      <c r="BG730" s="297">
        <f t="shared" si="13"/>
        <v>7.3684210526315783E-2</v>
      </c>
      <c r="BH730" s="298">
        <f t="shared" si="14"/>
        <v>2.2105263157894735E-2</v>
      </c>
      <c r="BI730" s="3"/>
      <c r="BJ730" s="3"/>
      <c r="BK730" s="3"/>
      <c r="BL730" s="3"/>
      <c r="BM730" s="3"/>
      <c r="BN730" s="3"/>
      <c r="BS730" s="294">
        <f t="shared" si="15"/>
        <v>7</v>
      </c>
      <c r="BT730" s="297">
        <f t="shared" si="16"/>
        <v>7.3684210526315783E-2</v>
      </c>
      <c r="BU730" s="298">
        <f t="shared" si="17"/>
        <v>2.2096665233679296E-2</v>
      </c>
      <c r="CC730" s="3"/>
      <c r="CD730" s="3"/>
      <c r="CE730" s="3"/>
      <c r="CF730" s="3"/>
      <c r="CG730" s="1547">
        <f t="shared" si="39"/>
        <v>0</v>
      </c>
      <c r="CH730" s="1549"/>
      <c r="CI730" s="1539">
        <f t="shared" si="40"/>
        <v>0</v>
      </c>
      <c r="CJ730" s="1540"/>
      <c r="CK730" s="1547">
        <f t="shared" si="18"/>
        <v>1</v>
      </c>
      <c r="CL730" s="1549"/>
      <c r="CM730" s="1539">
        <f t="shared" si="19"/>
        <v>7</v>
      </c>
      <c r="CN730" s="1540"/>
      <c r="CO730" s="3"/>
      <c r="CP730" s="1532">
        <f t="shared" si="20"/>
        <v>0</v>
      </c>
      <c r="CQ730" s="1533"/>
      <c r="CR730" s="1533"/>
      <c r="CS730" s="1533"/>
      <c r="CT730" s="1534"/>
      <c r="CU730" s="1536">
        <f t="shared" si="21"/>
        <v>0</v>
      </c>
      <c r="CV730" s="1536"/>
      <c r="CW730" s="1536"/>
      <c r="CX730" s="1536"/>
      <c r="CY730" s="1536"/>
      <c r="CZ730" s="1536">
        <f t="shared" si="22"/>
        <v>0</v>
      </c>
      <c r="DA730" s="1536"/>
      <c r="DB730" s="1536"/>
      <c r="DC730" s="1536"/>
      <c r="DD730" s="1536"/>
      <c r="DE730" s="1536">
        <f t="shared" si="23"/>
        <v>7</v>
      </c>
      <c r="DF730" s="1536"/>
      <c r="DG730" s="1536"/>
      <c r="DH730" s="1536"/>
      <c r="DI730" s="1536"/>
      <c r="DJ730" s="1536">
        <f t="shared" si="24"/>
        <v>0</v>
      </c>
      <c r="DK730" s="1536"/>
      <c r="DL730" s="1536"/>
      <c r="DM730" s="1536"/>
      <c r="DN730" s="1536"/>
      <c r="DO730" s="1536">
        <f t="shared" si="25"/>
        <v>0</v>
      </c>
      <c r="DP730" s="1536"/>
      <c r="DQ730" s="1536"/>
      <c r="DR730" s="1536"/>
      <c r="DS730" s="1536"/>
      <c r="DT730" s="6"/>
      <c r="DU730" s="1537">
        <f t="shared" si="26"/>
        <v>0</v>
      </c>
      <c r="DV730" s="1537"/>
      <c r="DW730" s="1537"/>
      <c r="DX730" s="1537"/>
      <c r="DY730" s="1537"/>
      <c r="DZ730" s="1537">
        <f t="shared" si="27"/>
        <v>0</v>
      </c>
      <c r="EA730" s="1537"/>
      <c r="EB730" s="1537"/>
      <c r="EC730" s="1537"/>
      <c r="ED730" s="1537"/>
      <c r="EE730" s="1537">
        <f t="shared" si="28"/>
        <v>0</v>
      </c>
      <c r="EF730" s="1537"/>
      <c r="EG730" s="1537"/>
      <c r="EH730" s="1537"/>
      <c r="EI730" s="1537"/>
      <c r="EJ730" s="1537">
        <f t="shared" si="29"/>
        <v>7</v>
      </c>
      <c r="EK730" s="1537"/>
      <c r="EL730" s="1537"/>
      <c r="EM730" s="1537"/>
      <c r="EN730" s="1537"/>
      <c r="EO730" s="1537">
        <f t="shared" si="30"/>
        <v>0</v>
      </c>
      <c r="EP730" s="1537"/>
      <c r="EQ730" s="1537"/>
      <c r="ER730" s="1537"/>
      <c r="ES730" s="1537"/>
      <c r="ET730" s="1537">
        <f t="shared" si="31"/>
        <v>0</v>
      </c>
      <c r="EU730" s="1537"/>
      <c r="EV730" s="1537"/>
      <c r="EW730" s="1537"/>
      <c r="EX730" s="1537"/>
      <c r="EZ730" s="1547" t="str">
        <f t="shared" si="32"/>
        <v/>
      </c>
      <c r="FA730" s="1548"/>
      <c r="FB730" s="1548"/>
      <c r="FC730" s="1548"/>
      <c r="FD730" s="1549"/>
      <c r="FE730" s="1547" t="str">
        <f t="shared" si="33"/>
        <v/>
      </c>
      <c r="FF730" s="1548"/>
      <c r="FG730" s="1548"/>
      <c r="FH730" s="1548"/>
      <c r="FI730" s="1549"/>
      <c r="FJ730" s="1547" t="str">
        <f t="shared" si="34"/>
        <v/>
      </c>
      <c r="FK730" s="1548"/>
      <c r="FL730" s="1548"/>
      <c r="FM730" s="1548"/>
      <c r="FN730" s="1549"/>
      <c r="FO730" s="1547">
        <f t="shared" si="35"/>
        <v>1306</v>
      </c>
      <c r="FP730" s="1548"/>
      <c r="FQ730" s="1548"/>
      <c r="FR730" s="1548"/>
      <c r="FS730" s="1549"/>
      <c r="FT730" s="1547" t="str">
        <f t="shared" si="36"/>
        <v/>
      </c>
      <c r="FU730" s="1548"/>
      <c r="FV730" s="1548"/>
      <c r="FW730" s="1548"/>
      <c r="FX730" s="1549"/>
      <c r="FY730" s="1547" t="str">
        <f t="shared" si="37"/>
        <v/>
      </c>
      <c r="FZ730" s="1548"/>
      <c r="GA730" s="1548"/>
      <c r="GB730" s="1548"/>
      <c r="GC730" s="1549"/>
    </row>
    <row r="731" spans="1:185" ht="13" customHeight="1">
      <c r="B731" s="1364" t="s">
        <v>164</v>
      </c>
      <c r="C731" s="1365"/>
      <c r="D731" s="1365"/>
      <c r="E731" s="1365"/>
      <c r="F731" s="1366"/>
      <c r="G731" s="1358">
        <v>7</v>
      </c>
      <c r="H731" s="1359"/>
      <c r="I731" s="1359"/>
      <c r="J731" s="1360"/>
      <c r="K731" s="1361">
        <v>1236</v>
      </c>
      <c r="L731" s="1362"/>
      <c r="M731" s="1362"/>
      <c r="N731" s="1363"/>
      <c r="O731" s="1404">
        <v>2335</v>
      </c>
      <c r="P731" s="1405"/>
      <c r="Q731" s="1405"/>
      <c r="R731" s="1405"/>
      <c r="S731" s="1406"/>
      <c r="T731" s="1404">
        <v>236</v>
      </c>
      <c r="U731" s="1405"/>
      <c r="V731" s="1405"/>
      <c r="W731" s="1406"/>
      <c r="X731" s="1401">
        <f t="shared" si="10"/>
        <v>2571</v>
      </c>
      <c r="Y731" s="1402"/>
      <c r="Z731" s="1402"/>
      <c r="AA731" s="1402"/>
      <c r="AB731" s="1403"/>
      <c r="AC731" s="1398">
        <v>0.5</v>
      </c>
      <c r="AD731" s="1399"/>
      <c r="AE731" s="1399"/>
      <c r="AF731" s="1399"/>
      <c r="AG731" s="1400"/>
      <c r="AH731" s="1457">
        <f t="shared" si="38"/>
        <v>0.5</v>
      </c>
      <c r="AI731" s="1458"/>
      <c r="AJ731" s="1459"/>
      <c r="AK731" s="1364" t="s">
        <v>591</v>
      </c>
      <c r="AL731" s="1365"/>
      <c r="AM731" s="1365"/>
      <c r="AN731" s="1365"/>
      <c r="AO731" s="1366"/>
      <c r="AP731" s="3"/>
      <c r="AQ731" s="3"/>
      <c r="AR731" s="3"/>
      <c r="AS731" s="3"/>
      <c r="AY731" s="116"/>
      <c r="AZ731" s="118">
        <f t="shared" si="11"/>
        <v>5142</v>
      </c>
      <c r="BA731" s="3"/>
      <c r="BB731" s="3"/>
      <c r="BC731" s="3"/>
      <c r="BD731" s="3"/>
      <c r="BE731" s="204"/>
      <c r="BF731" s="294">
        <f t="shared" si="12"/>
        <v>7</v>
      </c>
      <c r="BG731" s="297">
        <f t="shared" si="13"/>
        <v>7.3684210526315783E-2</v>
      </c>
      <c r="BH731" s="298">
        <f t="shared" si="14"/>
        <v>3.6842105263157891E-2</v>
      </c>
      <c r="BI731" s="3"/>
      <c r="BJ731" s="3"/>
      <c r="BK731" s="3"/>
      <c r="BL731" s="3"/>
      <c r="BM731" s="3"/>
      <c r="BN731" s="3"/>
      <c r="BS731" s="294">
        <f t="shared" si="15"/>
        <v>7</v>
      </c>
      <c r="BT731" s="297">
        <f t="shared" si="16"/>
        <v>7.3684210526315783E-2</v>
      </c>
      <c r="BU731" s="298">
        <f t="shared" si="17"/>
        <v>3.6842105263157891E-2</v>
      </c>
      <c r="CC731" s="3"/>
      <c r="CD731" s="3"/>
      <c r="CE731" s="3"/>
      <c r="CF731" s="3"/>
      <c r="CG731" s="1547">
        <f t="shared" si="39"/>
        <v>1</v>
      </c>
      <c r="CH731" s="1549"/>
      <c r="CI731" s="1539">
        <f t="shared" si="40"/>
        <v>7</v>
      </c>
      <c r="CJ731" s="1540"/>
      <c r="CK731" s="1547">
        <f t="shared" si="18"/>
        <v>0</v>
      </c>
      <c r="CL731" s="1549"/>
      <c r="CM731" s="1539">
        <f t="shared" si="19"/>
        <v>0</v>
      </c>
      <c r="CN731" s="1540"/>
      <c r="CO731" s="3"/>
      <c r="CP731" s="1532">
        <f t="shared" si="20"/>
        <v>0</v>
      </c>
      <c r="CQ731" s="1533"/>
      <c r="CR731" s="1533"/>
      <c r="CS731" s="1533"/>
      <c r="CT731" s="1534"/>
      <c r="CU731" s="1536">
        <f t="shared" si="21"/>
        <v>0</v>
      </c>
      <c r="CV731" s="1536"/>
      <c r="CW731" s="1536"/>
      <c r="CX731" s="1536"/>
      <c r="CY731" s="1536"/>
      <c r="CZ731" s="1536">
        <f t="shared" si="22"/>
        <v>0</v>
      </c>
      <c r="DA731" s="1536"/>
      <c r="DB731" s="1536"/>
      <c r="DC731" s="1536"/>
      <c r="DD731" s="1536"/>
      <c r="DE731" s="1536">
        <f t="shared" si="23"/>
        <v>7</v>
      </c>
      <c r="DF731" s="1536"/>
      <c r="DG731" s="1536"/>
      <c r="DH731" s="1536"/>
      <c r="DI731" s="1536"/>
      <c r="DJ731" s="1536">
        <f t="shared" si="24"/>
        <v>0</v>
      </c>
      <c r="DK731" s="1536"/>
      <c r="DL731" s="1536"/>
      <c r="DM731" s="1536"/>
      <c r="DN731" s="1536"/>
      <c r="DO731" s="1536">
        <f t="shared" si="25"/>
        <v>0</v>
      </c>
      <c r="DP731" s="1536"/>
      <c r="DQ731" s="1536"/>
      <c r="DR731" s="1536"/>
      <c r="DS731" s="1536"/>
      <c r="DT731" s="6"/>
      <c r="DU731" s="1537">
        <f t="shared" si="26"/>
        <v>0</v>
      </c>
      <c r="DV731" s="1537"/>
      <c r="DW731" s="1537"/>
      <c r="DX731" s="1537"/>
      <c r="DY731" s="1537"/>
      <c r="DZ731" s="1537">
        <f t="shared" si="27"/>
        <v>0</v>
      </c>
      <c r="EA731" s="1537"/>
      <c r="EB731" s="1537"/>
      <c r="EC731" s="1537"/>
      <c r="ED731" s="1537"/>
      <c r="EE731" s="1537">
        <f t="shared" si="28"/>
        <v>0</v>
      </c>
      <c r="EF731" s="1537"/>
      <c r="EG731" s="1537"/>
      <c r="EH731" s="1537"/>
      <c r="EI731" s="1537"/>
      <c r="EJ731" s="1537">
        <f t="shared" si="29"/>
        <v>0</v>
      </c>
      <c r="EK731" s="1537"/>
      <c r="EL731" s="1537"/>
      <c r="EM731" s="1537"/>
      <c r="EN731" s="1537"/>
      <c r="EO731" s="1537">
        <f t="shared" si="30"/>
        <v>0</v>
      </c>
      <c r="EP731" s="1537"/>
      <c r="EQ731" s="1537"/>
      <c r="ER731" s="1537"/>
      <c r="ES731" s="1537"/>
      <c r="ET731" s="1537">
        <f t="shared" si="31"/>
        <v>0</v>
      </c>
      <c r="EU731" s="1537"/>
      <c r="EV731" s="1537"/>
      <c r="EW731" s="1537"/>
      <c r="EX731" s="1537"/>
      <c r="EZ731" s="1547" t="str">
        <f t="shared" si="32"/>
        <v/>
      </c>
      <c r="FA731" s="1548"/>
      <c r="FB731" s="1548"/>
      <c r="FC731" s="1548"/>
      <c r="FD731" s="1549"/>
      <c r="FE731" s="1547" t="str">
        <f t="shared" si="33"/>
        <v/>
      </c>
      <c r="FF731" s="1548"/>
      <c r="FG731" s="1548"/>
      <c r="FH731" s="1548"/>
      <c r="FI731" s="1549"/>
      <c r="FJ731" s="1547" t="str">
        <f t="shared" si="34"/>
        <v/>
      </c>
      <c r="FK731" s="1548"/>
      <c r="FL731" s="1548"/>
      <c r="FM731" s="1548"/>
      <c r="FN731" s="1549"/>
      <c r="FO731" s="1547">
        <f t="shared" si="35"/>
        <v>2335</v>
      </c>
      <c r="FP731" s="1548"/>
      <c r="FQ731" s="1548"/>
      <c r="FR731" s="1548"/>
      <c r="FS731" s="1549"/>
      <c r="FT731" s="1547" t="str">
        <f t="shared" si="36"/>
        <v/>
      </c>
      <c r="FU731" s="1548"/>
      <c r="FV731" s="1548"/>
      <c r="FW731" s="1548"/>
      <c r="FX731" s="1549"/>
      <c r="FY731" s="1547" t="str">
        <f t="shared" si="37"/>
        <v/>
      </c>
      <c r="FZ731" s="1548"/>
      <c r="GA731" s="1548"/>
      <c r="GB731" s="1548"/>
      <c r="GC731" s="1549"/>
    </row>
    <row r="732" spans="1:185" ht="13" customHeight="1">
      <c r="B732" s="1364" t="s">
        <v>164</v>
      </c>
      <c r="C732" s="1365"/>
      <c r="D732" s="1365"/>
      <c r="E732" s="1365"/>
      <c r="F732" s="1366"/>
      <c r="G732" s="1358">
        <v>18</v>
      </c>
      <c r="H732" s="1359"/>
      <c r="I732" s="1359"/>
      <c r="J732" s="1360"/>
      <c r="K732" s="1361">
        <v>1236</v>
      </c>
      <c r="L732" s="1362"/>
      <c r="M732" s="1362"/>
      <c r="N732" s="1363"/>
      <c r="O732" s="1404">
        <v>2849</v>
      </c>
      <c r="P732" s="1405"/>
      <c r="Q732" s="1405"/>
      <c r="R732" s="1405"/>
      <c r="S732" s="1406"/>
      <c r="T732" s="1404">
        <v>236</v>
      </c>
      <c r="U732" s="1405"/>
      <c r="V732" s="1405"/>
      <c r="W732" s="1406"/>
      <c r="X732" s="1401">
        <f t="shared" si="10"/>
        <v>3085</v>
      </c>
      <c r="Y732" s="1402"/>
      <c r="Z732" s="1402"/>
      <c r="AA732" s="1402"/>
      <c r="AB732" s="1403"/>
      <c r="AC732" s="1398">
        <v>0.6</v>
      </c>
      <c r="AD732" s="1399"/>
      <c r="AE732" s="1399"/>
      <c r="AF732" s="1399"/>
      <c r="AG732" s="1400"/>
      <c r="AH732" s="1457">
        <f t="shared" si="38"/>
        <v>0.59996110462854924</v>
      </c>
      <c r="AI732" s="1458"/>
      <c r="AJ732" s="1459"/>
      <c r="AK732" s="1364" t="s">
        <v>591</v>
      </c>
      <c r="AL732" s="1365"/>
      <c r="AM732" s="1365"/>
      <c r="AN732" s="1365"/>
      <c r="AO732" s="1366"/>
      <c r="AP732" s="3"/>
      <c r="AQ732" s="3"/>
      <c r="AR732" s="3"/>
      <c r="AS732" s="3"/>
      <c r="AY732" s="116"/>
      <c r="AZ732" s="118">
        <f t="shared" si="11"/>
        <v>5142</v>
      </c>
      <c r="BA732" s="3"/>
      <c r="BB732" s="3"/>
      <c r="BC732" s="3"/>
      <c r="BD732" s="3"/>
      <c r="BE732" s="204"/>
      <c r="BF732" s="294">
        <f t="shared" si="12"/>
        <v>18</v>
      </c>
      <c r="BG732" s="297">
        <f t="shared" si="13"/>
        <v>0.18947368421052632</v>
      </c>
      <c r="BH732" s="298">
        <f t="shared" si="14"/>
        <v>0.11368421052631579</v>
      </c>
      <c r="BI732" s="3"/>
      <c r="BJ732" s="3"/>
      <c r="BK732" s="3"/>
      <c r="BL732" s="3"/>
      <c r="BM732" s="3"/>
      <c r="BN732" s="3"/>
      <c r="BS732" s="294">
        <f t="shared" si="15"/>
        <v>18</v>
      </c>
      <c r="BT732" s="297">
        <f t="shared" si="16"/>
        <v>0.18947368421052632</v>
      </c>
      <c r="BU732" s="298">
        <f t="shared" si="17"/>
        <v>0.11367684087698827</v>
      </c>
      <c r="CC732" s="3"/>
      <c r="CE732" s="3"/>
      <c r="CF732" s="3"/>
      <c r="CG732" s="1547">
        <f t="shared" si="39"/>
        <v>0</v>
      </c>
      <c r="CH732" s="1549"/>
      <c r="CI732" s="1539">
        <f t="shared" si="40"/>
        <v>0</v>
      </c>
      <c r="CJ732" s="1540"/>
      <c r="CK732" s="1547">
        <f t="shared" si="18"/>
        <v>0</v>
      </c>
      <c r="CL732" s="1549"/>
      <c r="CM732" s="1539">
        <f t="shared" si="19"/>
        <v>0</v>
      </c>
      <c r="CN732" s="1540"/>
      <c r="CO732" s="3"/>
      <c r="CP732" s="1532">
        <f t="shared" si="20"/>
        <v>0</v>
      </c>
      <c r="CQ732" s="1533"/>
      <c r="CR732" s="1533"/>
      <c r="CS732" s="1533"/>
      <c r="CT732" s="1534"/>
      <c r="CU732" s="1536">
        <f t="shared" si="21"/>
        <v>0</v>
      </c>
      <c r="CV732" s="1536"/>
      <c r="CW732" s="1536"/>
      <c r="CX732" s="1536"/>
      <c r="CY732" s="1536"/>
      <c r="CZ732" s="1536">
        <f t="shared" si="22"/>
        <v>0</v>
      </c>
      <c r="DA732" s="1536"/>
      <c r="DB732" s="1536"/>
      <c r="DC732" s="1536"/>
      <c r="DD732" s="1536"/>
      <c r="DE732" s="1536">
        <f t="shared" si="23"/>
        <v>18</v>
      </c>
      <c r="DF732" s="1536"/>
      <c r="DG732" s="1536"/>
      <c r="DH732" s="1536"/>
      <c r="DI732" s="1536"/>
      <c r="DJ732" s="1536">
        <f t="shared" si="24"/>
        <v>0</v>
      </c>
      <c r="DK732" s="1536"/>
      <c r="DL732" s="1536"/>
      <c r="DM732" s="1536"/>
      <c r="DN732" s="1536"/>
      <c r="DO732" s="1536">
        <f t="shared" si="25"/>
        <v>0</v>
      </c>
      <c r="DP732" s="1536"/>
      <c r="DQ732" s="1536"/>
      <c r="DR732" s="1536"/>
      <c r="DS732" s="1536"/>
      <c r="DT732" s="6"/>
      <c r="DU732" s="1537">
        <f t="shared" si="26"/>
        <v>0</v>
      </c>
      <c r="DV732" s="1537"/>
      <c r="DW732" s="1537"/>
      <c r="DX732" s="1537"/>
      <c r="DY732" s="1537"/>
      <c r="DZ732" s="1537">
        <f t="shared" si="27"/>
        <v>0</v>
      </c>
      <c r="EA732" s="1537"/>
      <c r="EB732" s="1537"/>
      <c r="EC732" s="1537"/>
      <c r="ED732" s="1537"/>
      <c r="EE732" s="1537">
        <f t="shared" si="28"/>
        <v>0</v>
      </c>
      <c r="EF732" s="1537"/>
      <c r="EG732" s="1537"/>
      <c r="EH732" s="1537"/>
      <c r="EI732" s="1537"/>
      <c r="EJ732" s="1537">
        <f t="shared" si="29"/>
        <v>0</v>
      </c>
      <c r="EK732" s="1537"/>
      <c r="EL732" s="1537"/>
      <c r="EM732" s="1537"/>
      <c r="EN732" s="1537"/>
      <c r="EO732" s="1537">
        <f t="shared" si="30"/>
        <v>0</v>
      </c>
      <c r="EP732" s="1537"/>
      <c r="EQ732" s="1537"/>
      <c r="ER732" s="1537"/>
      <c r="ES732" s="1537"/>
      <c r="ET732" s="1537">
        <f t="shared" si="31"/>
        <v>0</v>
      </c>
      <c r="EU732" s="1537"/>
      <c r="EV732" s="1537"/>
      <c r="EW732" s="1537"/>
      <c r="EX732" s="1537"/>
      <c r="EZ732" s="1547" t="str">
        <f t="shared" si="32"/>
        <v/>
      </c>
      <c r="FA732" s="1548"/>
      <c r="FB732" s="1548"/>
      <c r="FC732" s="1548"/>
      <c r="FD732" s="1549"/>
      <c r="FE732" s="1547" t="str">
        <f t="shared" si="33"/>
        <v/>
      </c>
      <c r="FF732" s="1548"/>
      <c r="FG732" s="1548"/>
      <c r="FH732" s="1548"/>
      <c r="FI732" s="1549"/>
      <c r="FJ732" s="1547" t="str">
        <f t="shared" si="34"/>
        <v/>
      </c>
      <c r="FK732" s="1548"/>
      <c r="FL732" s="1548"/>
      <c r="FM732" s="1548"/>
      <c r="FN732" s="1549"/>
      <c r="FO732" s="1547">
        <f t="shared" si="35"/>
        <v>2849</v>
      </c>
      <c r="FP732" s="1548"/>
      <c r="FQ732" s="1548"/>
      <c r="FR732" s="1548"/>
      <c r="FS732" s="1549"/>
      <c r="FT732" s="1547" t="str">
        <f t="shared" si="36"/>
        <v/>
      </c>
      <c r="FU732" s="1548"/>
      <c r="FV732" s="1548"/>
      <c r="FW732" s="1548"/>
      <c r="FX732" s="1549"/>
      <c r="FY732" s="1547" t="str">
        <f t="shared" si="37"/>
        <v/>
      </c>
      <c r="FZ732" s="1548"/>
      <c r="GA732" s="1548"/>
      <c r="GB732" s="1548"/>
      <c r="GC732" s="1549"/>
    </row>
    <row r="733" spans="1:185" ht="13" customHeight="1">
      <c r="B733" s="1364" t="s">
        <v>164</v>
      </c>
      <c r="C733" s="1365"/>
      <c r="D733" s="1365"/>
      <c r="E733" s="1365"/>
      <c r="F733" s="1366"/>
      <c r="G733" s="1358">
        <v>29</v>
      </c>
      <c r="H733" s="1359"/>
      <c r="I733" s="1359"/>
      <c r="J733" s="1360"/>
      <c r="K733" s="1361">
        <v>1236</v>
      </c>
      <c r="L733" s="1362"/>
      <c r="M733" s="1362"/>
      <c r="N733" s="1363"/>
      <c r="O733" s="1404">
        <v>3363</v>
      </c>
      <c r="P733" s="1405"/>
      <c r="Q733" s="1405"/>
      <c r="R733" s="1405"/>
      <c r="S733" s="1406"/>
      <c r="T733" s="1404">
        <v>236</v>
      </c>
      <c r="U733" s="1405"/>
      <c r="V733" s="1405"/>
      <c r="W733" s="1406"/>
      <c r="X733" s="1401">
        <f t="shared" si="10"/>
        <v>3599</v>
      </c>
      <c r="Y733" s="1402"/>
      <c r="Z733" s="1402"/>
      <c r="AA733" s="1402"/>
      <c r="AB733" s="1403"/>
      <c r="AC733" s="1398">
        <v>0.7</v>
      </c>
      <c r="AD733" s="1399"/>
      <c r="AE733" s="1399"/>
      <c r="AF733" s="1399"/>
      <c r="AG733" s="1400"/>
      <c r="AH733" s="1457">
        <f t="shared" si="38"/>
        <v>0.69992220925709836</v>
      </c>
      <c r="AI733" s="1458"/>
      <c r="AJ733" s="1459"/>
      <c r="AK733" s="1364" t="s">
        <v>591</v>
      </c>
      <c r="AL733" s="1365"/>
      <c r="AM733" s="1365"/>
      <c r="AN733" s="1365"/>
      <c r="AO733" s="1366"/>
      <c r="AP733" s="3"/>
      <c r="AQ733" s="3"/>
      <c r="AR733" s="3"/>
      <c r="AS733" s="3"/>
      <c r="AY733" s="1080"/>
      <c r="AZ733" s="118">
        <f t="shared" si="11"/>
        <v>5142</v>
      </c>
      <c r="BA733" s="3"/>
      <c r="BB733" s="3"/>
      <c r="BC733" s="3"/>
      <c r="BD733" s="3"/>
      <c r="BE733" s="204"/>
      <c r="BF733" s="294">
        <f t="shared" si="12"/>
        <v>29</v>
      </c>
      <c r="BG733" s="297">
        <f t="shared" si="13"/>
        <v>0.30526315789473685</v>
      </c>
      <c r="BH733" s="298">
        <f t="shared" si="14"/>
        <v>0.21368421052631578</v>
      </c>
      <c r="BI733" s="3"/>
      <c r="BJ733" s="3"/>
      <c r="BK733" s="3"/>
      <c r="BL733" s="3"/>
      <c r="BM733" s="3"/>
      <c r="BN733" s="3"/>
      <c r="BS733" s="294">
        <f t="shared" si="15"/>
        <v>29</v>
      </c>
      <c r="BT733" s="297">
        <f t="shared" si="16"/>
        <v>0.30526315789473685</v>
      </c>
      <c r="BU733" s="298">
        <f t="shared" si="17"/>
        <v>0.21366046387848267</v>
      </c>
      <c r="BV733" s="292"/>
      <c r="BW733" s="3"/>
      <c r="BX733" s="3"/>
      <c r="BY733" s="3"/>
      <c r="BZ733" s="3"/>
      <c r="CA733" s="3"/>
      <c r="CB733" s="3"/>
      <c r="CC733" s="3"/>
      <c r="CE733" s="3"/>
      <c r="CF733" s="3"/>
      <c r="CG733" s="1547">
        <f t="shared" si="39"/>
        <v>0</v>
      </c>
      <c r="CH733" s="1549"/>
      <c r="CI733" s="1539">
        <f t="shared" si="40"/>
        <v>0</v>
      </c>
      <c r="CJ733" s="1540"/>
      <c r="CK733" s="1547">
        <f t="shared" si="18"/>
        <v>0</v>
      </c>
      <c r="CL733" s="1549"/>
      <c r="CM733" s="1539">
        <f t="shared" si="19"/>
        <v>0</v>
      </c>
      <c r="CN733" s="1540"/>
      <c r="CO733" s="3"/>
      <c r="CP733" s="1532">
        <f t="shared" si="20"/>
        <v>0</v>
      </c>
      <c r="CQ733" s="1533"/>
      <c r="CR733" s="1533"/>
      <c r="CS733" s="1533"/>
      <c r="CT733" s="1534"/>
      <c r="CU733" s="1536">
        <f t="shared" si="21"/>
        <v>0</v>
      </c>
      <c r="CV733" s="1536"/>
      <c r="CW733" s="1536"/>
      <c r="CX733" s="1536"/>
      <c r="CY733" s="1536"/>
      <c r="CZ733" s="1536">
        <f t="shared" si="22"/>
        <v>0</v>
      </c>
      <c r="DA733" s="1536"/>
      <c r="DB733" s="1536"/>
      <c r="DC733" s="1536"/>
      <c r="DD733" s="1536"/>
      <c r="DE733" s="1536">
        <f t="shared" si="23"/>
        <v>29</v>
      </c>
      <c r="DF733" s="1536"/>
      <c r="DG733" s="1536"/>
      <c r="DH733" s="1536"/>
      <c r="DI733" s="1536"/>
      <c r="DJ733" s="1536">
        <f t="shared" si="24"/>
        <v>0</v>
      </c>
      <c r="DK733" s="1536"/>
      <c r="DL733" s="1536"/>
      <c r="DM733" s="1536"/>
      <c r="DN733" s="1536"/>
      <c r="DO733" s="1536">
        <f t="shared" si="25"/>
        <v>0</v>
      </c>
      <c r="DP733" s="1536"/>
      <c r="DQ733" s="1536"/>
      <c r="DR733" s="1536"/>
      <c r="DS733" s="1536"/>
      <c r="DT733" s="6"/>
      <c r="DU733" s="1537">
        <f t="shared" si="26"/>
        <v>0</v>
      </c>
      <c r="DV733" s="1537"/>
      <c r="DW733" s="1537"/>
      <c r="DX733" s="1537"/>
      <c r="DY733" s="1537"/>
      <c r="DZ733" s="1537">
        <f t="shared" si="27"/>
        <v>0</v>
      </c>
      <c r="EA733" s="1537"/>
      <c r="EB733" s="1537"/>
      <c r="EC733" s="1537"/>
      <c r="ED733" s="1537"/>
      <c r="EE733" s="1537">
        <f t="shared" si="28"/>
        <v>0</v>
      </c>
      <c r="EF733" s="1537"/>
      <c r="EG733" s="1537"/>
      <c r="EH733" s="1537"/>
      <c r="EI733" s="1537"/>
      <c r="EJ733" s="1537">
        <f t="shared" si="29"/>
        <v>0</v>
      </c>
      <c r="EK733" s="1537"/>
      <c r="EL733" s="1537"/>
      <c r="EM733" s="1537"/>
      <c r="EN733" s="1537"/>
      <c r="EO733" s="1537">
        <f t="shared" si="30"/>
        <v>0</v>
      </c>
      <c r="EP733" s="1537"/>
      <c r="EQ733" s="1537"/>
      <c r="ER733" s="1537"/>
      <c r="ES733" s="1537"/>
      <c r="ET733" s="1537">
        <f t="shared" si="31"/>
        <v>0</v>
      </c>
      <c r="EU733" s="1537"/>
      <c r="EV733" s="1537"/>
      <c r="EW733" s="1537"/>
      <c r="EX733" s="1537"/>
      <c r="EZ733" s="1547" t="str">
        <f t="shared" si="32"/>
        <v/>
      </c>
      <c r="FA733" s="1548"/>
      <c r="FB733" s="1548"/>
      <c r="FC733" s="1548"/>
      <c r="FD733" s="1549"/>
      <c r="FE733" s="1547" t="str">
        <f t="shared" si="33"/>
        <v/>
      </c>
      <c r="FF733" s="1548"/>
      <c r="FG733" s="1548"/>
      <c r="FH733" s="1548"/>
      <c r="FI733" s="1549"/>
      <c r="FJ733" s="1547" t="str">
        <f t="shared" si="34"/>
        <v/>
      </c>
      <c r="FK733" s="1548"/>
      <c r="FL733" s="1548"/>
      <c r="FM733" s="1548"/>
      <c r="FN733" s="1549"/>
      <c r="FO733" s="1547">
        <f t="shared" si="35"/>
        <v>3363</v>
      </c>
      <c r="FP733" s="1548"/>
      <c r="FQ733" s="1548"/>
      <c r="FR733" s="1548"/>
      <c r="FS733" s="1549"/>
      <c r="FT733" s="1547" t="str">
        <f t="shared" si="36"/>
        <v/>
      </c>
      <c r="FU733" s="1548"/>
      <c r="FV733" s="1548"/>
      <c r="FW733" s="1548"/>
      <c r="FX733" s="1549"/>
      <c r="FY733" s="1547" t="str">
        <f t="shared" si="37"/>
        <v/>
      </c>
      <c r="FZ733" s="1548"/>
      <c r="GA733" s="1548"/>
      <c r="GB733" s="1548"/>
      <c r="GC733" s="1549"/>
    </row>
    <row r="734" spans="1:185" ht="13" customHeight="1">
      <c r="B734" s="1364"/>
      <c r="C734" s="1365"/>
      <c r="D734" s="1365"/>
      <c r="E734" s="1365"/>
      <c r="F734" s="1366"/>
      <c r="G734" s="1358"/>
      <c r="H734" s="1359"/>
      <c r="I734" s="1359"/>
      <c r="J734" s="1360"/>
      <c r="K734" s="1361"/>
      <c r="L734" s="1362"/>
      <c r="M734" s="1362"/>
      <c r="N734" s="1363"/>
      <c r="O734" s="1404"/>
      <c r="P734" s="1405"/>
      <c r="Q734" s="1405"/>
      <c r="R734" s="1405"/>
      <c r="S734" s="1406"/>
      <c r="T734" s="1404"/>
      <c r="U734" s="1405"/>
      <c r="V734" s="1405"/>
      <c r="W734" s="1406"/>
      <c r="X734" s="1401">
        <f t="shared" si="10"/>
        <v>0</v>
      </c>
      <c r="Y734" s="1402"/>
      <c r="Z734" s="1402"/>
      <c r="AA734" s="1402"/>
      <c r="AB734" s="1403"/>
      <c r="AC734" s="1398"/>
      <c r="AD734" s="1399"/>
      <c r="AE734" s="1399"/>
      <c r="AF734" s="1399"/>
      <c r="AG734" s="1400"/>
      <c r="AH734" s="1457" t="str">
        <f t="shared" si="38"/>
        <v/>
      </c>
      <c r="AI734" s="1458"/>
      <c r="AJ734" s="1459"/>
      <c r="AK734" s="1364" t="s">
        <v>591</v>
      </c>
      <c r="AL734" s="1365"/>
      <c r="AM734" s="1365"/>
      <c r="AN734" s="1365"/>
      <c r="AO734" s="1366"/>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7">
        <f t="shared" si="39"/>
        <v>0</v>
      </c>
      <c r="CH734" s="1549"/>
      <c r="CI734" s="1539">
        <f t="shared" si="40"/>
        <v>0</v>
      </c>
      <c r="CJ734" s="1540"/>
      <c r="CK734" s="1547">
        <f t="shared" si="18"/>
        <v>0</v>
      </c>
      <c r="CL734" s="1549"/>
      <c r="CM734" s="1539">
        <f t="shared" si="19"/>
        <v>0</v>
      </c>
      <c r="CN734" s="1540"/>
      <c r="CO734" s="3"/>
      <c r="CP734" s="1532">
        <f t="shared" si="20"/>
        <v>0</v>
      </c>
      <c r="CQ734" s="1533"/>
      <c r="CR734" s="1533"/>
      <c r="CS734" s="1533"/>
      <c r="CT734" s="1534"/>
      <c r="CU734" s="1536">
        <f t="shared" si="21"/>
        <v>0</v>
      </c>
      <c r="CV734" s="1536"/>
      <c r="CW734" s="1536"/>
      <c r="CX734" s="1536"/>
      <c r="CY734" s="1536"/>
      <c r="CZ734" s="1536">
        <f t="shared" si="22"/>
        <v>0</v>
      </c>
      <c r="DA734" s="1536"/>
      <c r="DB734" s="1536"/>
      <c r="DC734" s="1536"/>
      <c r="DD734" s="1536"/>
      <c r="DE734" s="1536">
        <f t="shared" si="23"/>
        <v>0</v>
      </c>
      <c r="DF734" s="1536"/>
      <c r="DG734" s="1536"/>
      <c r="DH734" s="1536"/>
      <c r="DI734" s="1536"/>
      <c r="DJ734" s="1536">
        <f t="shared" si="24"/>
        <v>0</v>
      </c>
      <c r="DK734" s="1536"/>
      <c r="DL734" s="1536"/>
      <c r="DM734" s="1536"/>
      <c r="DN734" s="1536"/>
      <c r="DO734" s="1536">
        <f t="shared" si="25"/>
        <v>0</v>
      </c>
      <c r="DP734" s="1536"/>
      <c r="DQ734" s="1536"/>
      <c r="DR734" s="1536"/>
      <c r="DS734" s="1536"/>
      <c r="DT734" s="6"/>
      <c r="DU734" s="1537">
        <f t="shared" si="26"/>
        <v>0</v>
      </c>
      <c r="DV734" s="1537"/>
      <c r="DW734" s="1537"/>
      <c r="DX734" s="1537"/>
      <c r="DY734" s="1537"/>
      <c r="DZ734" s="1537">
        <f t="shared" si="27"/>
        <v>0</v>
      </c>
      <c r="EA734" s="1537"/>
      <c r="EB734" s="1537"/>
      <c r="EC734" s="1537"/>
      <c r="ED734" s="1537"/>
      <c r="EE734" s="1537">
        <f t="shared" si="28"/>
        <v>0</v>
      </c>
      <c r="EF734" s="1537"/>
      <c r="EG734" s="1537"/>
      <c r="EH734" s="1537"/>
      <c r="EI734" s="1537"/>
      <c r="EJ734" s="1537">
        <f t="shared" si="29"/>
        <v>0</v>
      </c>
      <c r="EK734" s="1537"/>
      <c r="EL734" s="1537"/>
      <c r="EM734" s="1537"/>
      <c r="EN734" s="1537"/>
      <c r="EO734" s="1537">
        <f t="shared" si="30"/>
        <v>0</v>
      </c>
      <c r="EP734" s="1537"/>
      <c r="EQ734" s="1537"/>
      <c r="ER734" s="1537"/>
      <c r="ES734" s="1537"/>
      <c r="ET734" s="1537">
        <f t="shared" si="31"/>
        <v>0</v>
      </c>
      <c r="EU734" s="1537"/>
      <c r="EV734" s="1537"/>
      <c r="EW734" s="1537"/>
      <c r="EX734" s="1537"/>
      <c r="EY734" s="4"/>
      <c r="EZ734" s="1547" t="str">
        <f t="shared" si="32"/>
        <v/>
      </c>
      <c r="FA734" s="1548"/>
      <c r="FB734" s="1548"/>
      <c r="FC734" s="1548"/>
      <c r="FD734" s="1549"/>
      <c r="FE734" s="1547" t="str">
        <f t="shared" si="33"/>
        <v/>
      </c>
      <c r="FF734" s="1548"/>
      <c r="FG734" s="1548"/>
      <c r="FH734" s="1548"/>
      <c r="FI734" s="1549"/>
      <c r="FJ734" s="1547" t="str">
        <f t="shared" si="34"/>
        <v/>
      </c>
      <c r="FK734" s="1548"/>
      <c r="FL734" s="1548"/>
      <c r="FM734" s="1548"/>
      <c r="FN734" s="1549"/>
      <c r="FO734" s="1547" t="str">
        <f t="shared" si="35"/>
        <v/>
      </c>
      <c r="FP734" s="1548"/>
      <c r="FQ734" s="1548"/>
      <c r="FR734" s="1548"/>
      <c r="FS734" s="1549"/>
      <c r="FT734" s="1547" t="str">
        <f t="shared" si="36"/>
        <v/>
      </c>
      <c r="FU734" s="1548"/>
      <c r="FV734" s="1548"/>
      <c r="FW734" s="1548"/>
      <c r="FX734" s="1549"/>
      <c r="FY734" s="1547" t="str">
        <f t="shared" si="37"/>
        <v/>
      </c>
      <c r="FZ734" s="1548"/>
      <c r="GA734" s="1548"/>
      <c r="GB734" s="1548"/>
      <c r="GC734" s="1549"/>
    </row>
    <row r="735" spans="1:185" ht="13" customHeight="1">
      <c r="A735" s="4"/>
      <c r="B735" s="1364"/>
      <c r="C735" s="1365"/>
      <c r="D735" s="1365"/>
      <c r="E735" s="1365"/>
      <c r="F735" s="1366"/>
      <c r="G735" s="1358"/>
      <c r="H735" s="1359"/>
      <c r="I735" s="1359"/>
      <c r="J735" s="1360"/>
      <c r="K735" s="1361"/>
      <c r="L735" s="1362"/>
      <c r="M735" s="1362"/>
      <c r="N735" s="1363"/>
      <c r="O735" s="1404"/>
      <c r="P735" s="1405"/>
      <c r="Q735" s="1405"/>
      <c r="R735" s="1405"/>
      <c r="S735" s="1406"/>
      <c r="T735" s="1404"/>
      <c r="U735" s="1405"/>
      <c r="V735" s="1405"/>
      <c r="W735" s="1406"/>
      <c r="X735" s="1401">
        <f t="shared" si="10"/>
        <v>0</v>
      </c>
      <c r="Y735" s="1402"/>
      <c r="Z735" s="1402"/>
      <c r="AA735" s="1402"/>
      <c r="AB735" s="1403"/>
      <c r="AC735" s="1398"/>
      <c r="AD735" s="1399"/>
      <c r="AE735" s="1399"/>
      <c r="AF735" s="1399"/>
      <c r="AG735" s="1400"/>
      <c r="AH735" s="1457" t="str">
        <f t="shared" si="38"/>
        <v/>
      </c>
      <c r="AI735" s="1458"/>
      <c r="AJ735" s="1459"/>
      <c r="AK735" s="1364" t="s">
        <v>591</v>
      </c>
      <c r="AL735" s="1365"/>
      <c r="AM735" s="1365"/>
      <c r="AN735" s="1365"/>
      <c r="AO735" s="1366"/>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7">
        <f t="shared" si="39"/>
        <v>0</v>
      </c>
      <c r="CH735" s="1549"/>
      <c r="CI735" s="1539">
        <f t="shared" si="40"/>
        <v>0</v>
      </c>
      <c r="CJ735" s="1540"/>
      <c r="CK735" s="1547">
        <f t="shared" si="18"/>
        <v>0</v>
      </c>
      <c r="CL735" s="1549"/>
      <c r="CM735" s="1539">
        <f t="shared" si="19"/>
        <v>0</v>
      </c>
      <c r="CN735" s="1540"/>
      <c r="CO735" s="3"/>
      <c r="CP735" s="1532">
        <f t="shared" si="20"/>
        <v>0</v>
      </c>
      <c r="CQ735" s="1533"/>
      <c r="CR735" s="1533"/>
      <c r="CS735" s="1533"/>
      <c r="CT735" s="1534"/>
      <c r="CU735" s="1536">
        <f t="shared" si="21"/>
        <v>0</v>
      </c>
      <c r="CV735" s="1536"/>
      <c r="CW735" s="1536"/>
      <c r="CX735" s="1536"/>
      <c r="CY735" s="1536"/>
      <c r="CZ735" s="1536">
        <f t="shared" si="22"/>
        <v>0</v>
      </c>
      <c r="DA735" s="1536"/>
      <c r="DB735" s="1536"/>
      <c r="DC735" s="1536"/>
      <c r="DD735" s="1536"/>
      <c r="DE735" s="1536">
        <f t="shared" si="23"/>
        <v>0</v>
      </c>
      <c r="DF735" s="1536"/>
      <c r="DG735" s="1536"/>
      <c r="DH735" s="1536"/>
      <c r="DI735" s="1536"/>
      <c r="DJ735" s="1536">
        <f t="shared" si="24"/>
        <v>0</v>
      </c>
      <c r="DK735" s="1536"/>
      <c r="DL735" s="1536"/>
      <c r="DM735" s="1536"/>
      <c r="DN735" s="1536"/>
      <c r="DO735" s="1536">
        <f t="shared" si="25"/>
        <v>0</v>
      </c>
      <c r="DP735" s="1536"/>
      <c r="DQ735" s="1536"/>
      <c r="DR735" s="1536"/>
      <c r="DS735" s="1536"/>
      <c r="DT735" s="6"/>
      <c r="DU735" s="1537">
        <f t="shared" si="26"/>
        <v>0</v>
      </c>
      <c r="DV735" s="1537"/>
      <c r="DW735" s="1537"/>
      <c r="DX735" s="1537"/>
      <c r="DY735" s="1537"/>
      <c r="DZ735" s="1537">
        <f t="shared" si="27"/>
        <v>0</v>
      </c>
      <c r="EA735" s="1537"/>
      <c r="EB735" s="1537"/>
      <c r="EC735" s="1537"/>
      <c r="ED735" s="1537"/>
      <c r="EE735" s="1537">
        <f t="shared" si="28"/>
        <v>0</v>
      </c>
      <c r="EF735" s="1537"/>
      <c r="EG735" s="1537"/>
      <c r="EH735" s="1537"/>
      <c r="EI735" s="1537"/>
      <c r="EJ735" s="1537">
        <f t="shared" si="29"/>
        <v>0</v>
      </c>
      <c r="EK735" s="1537"/>
      <c r="EL735" s="1537"/>
      <c r="EM735" s="1537"/>
      <c r="EN735" s="1537"/>
      <c r="EO735" s="1537">
        <f t="shared" si="30"/>
        <v>0</v>
      </c>
      <c r="EP735" s="1537"/>
      <c r="EQ735" s="1537"/>
      <c r="ER735" s="1537"/>
      <c r="ES735" s="1537"/>
      <c r="ET735" s="1537">
        <f t="shared" si="31"/>
        <v>0</v>
      </c>
      <c r="EU735" s="1537"/>
      <c r="EV735" s="1537"/>
      <c r="EW735" s="1537"/>
      <c r="EX735" s="1537"/>
      <c r="EY735" s="4"/>
      <c r="EZ735" s="1547" t="str">
        <f t="shared" si="32"/>
        <v/>
      </c>
      <c r="FA735" s="1548"/>
      <c r="FB735" s="1548"/>
      <c r="FC735" s="1548"/>
      <c r="FD735" s="1549"/>
      <c r="FE735" s="1547" t="str">
        <f t="shared" si="33"/>
        <v/>
      </c>
      <c r="FF735" s="1548"/>
      <c r="FG735" s="1548"/>
      <c r="FH735" s="1548"/>
      <c r="FI735" s="1549"/>
      <c r="FJ735" s="1547" t="str">
        <f t="shared" si="34"/>
        <v/>
      </c>
      <c r="FK735" s="1548"/>
      <c r="FL735" s="1548"/>
      <c r="FM735" s="1548"/>
      <c r="FN735" s="1549"/>
      <c r="FO735" s="1547" t="str">
        <f t="shared" si="35"/>
        <v/>
      </c>
      <c r="FP735" s="1548"/>
      <c r="FQ735" s="1548"/>
      <c r="FR735" s="1548"/>
      <c r="FS735" s="1549"/>
      <c r="FT735" s="1547" t="str">
        <f t="shared" si="36"/>
        <v/>
      </c>
      <c r="FU735" s="1548"/>
      <c r="FV735" s="1548"/>
      <c r="FW735" s="1548"/>
      <c r="FX735" s="1549"/>
      <c r="FY735" s="1547" t="str">
        <f t="shared" si="37"/>
        <v/>
      </c>
      <c r="FZ735" s="1548"/>
      <c r="GA735" s="1548"/>
      <c r="GB735" s="1548"/>
      <c r="GC735" s="1549"/>
    </row>
    <row r="736" spans="1:185" ht="13" customHeight="1">
      <c r="A736" s="4"/>
      <c r="B736" s="1364"/>
      <c r="C736" s="1365"/>
      <c r="D736" s="1365"/>
      <c r="E736" s="1365"/>
      <c r="F736" s="1366"/>
      <c r="G736" s="1358"/>
      <c r="H736" s="1359"/>
      <c r="I736" s="1359"/>
      <c r="J736" s="1360"/>
      <c r="K736" s="1361"/>
      <c r="L736" s="1362"/>
      <c r="M736" s="1362"/>
      <c r="N736" s="1363"/>
      <c r="O736" s="1404"/>
      <c r="P736" s="1405"/>
      <c r="Q736" s="1405"/>
      <c r="R736" s="1405"/>
      <c r="S736" s="1406"/>
      <c r="T736" s="1404"/>
      <c r="U736" s="1405"/>
      <c r="V736" s="1405"/>
      <c r="W736" s="1406"/>
      <c r="X736" s="1401">
        <f t="shared" si="10"/>
        <v>0</v>
      </c>
      <c r="Y736" s="1402"/>
      <c r="Z736" s="1402"/>
      <c r="AA736" s="1402"/>
      <c r="AB736" s="1403"/>
      <c r="AC736" s="1398"/>
      <c r="AD736" s="1399"/>
      <c r="AE736" s="1399"/>
      <c r="AF736" s="1399"/>
      <c r="AG736" s="1400"/>
      <c r="AH736" s="1457" t="str">
        <f t="shared" si="38"/>
        <v/>
      </c>
      <c r="AI736" s="1458"/>
      <c r="AJ736" s="1459"/>
      <c r="AK736" s="1364" t="s">
        <v>591</v>
      </c>
      <c r="AL736" s="1365"/>
      <c r="AM736" s="1365"/>
      <c r="AN736" s="1365"/>
      <c r="AO736" s="1366"/>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7">
        <f t="shared" si="39"/>
        <v>0</v>
      </c>
      <c r="CH736" s="1549"/>
      <c r="CI736" s="1539">
        <f t="shared" si="40"/>
        <v>0</v>
      </c>
      <c r="CJ736" s="1540"/>
      <c r="CK736" s="1547">
        <f t="shared" si="18"/>
        <v>0</v>
      </c>
      <c r="CL736" s="1549"/>
      <c r="CM736" s="1539">
        <f t="shared" si="19"/>
        <v>0</v>
      </c>
      <c r="CN736" s="1540"/>
      <c r="CO736" s="3"/>
      <c r="CP736" s="1532">
        <f t="shared" si="20"/>
        <v>0</v>
      </c>
      <c r="CQ736" s="1533"/>
      <c r="CR736" s="1533"/>
      <c r="CS736" s="1533"/>
      <c r="CT736" s="1534"/>
      <c r="CU736" s="1536">
        <f t="shared" si="21"/>
        <v>0</v>
      </c>
      <c r="CV736" s="1536"/>
      <c r="CW736" s="1536"/>
      <c r="CX736" s="1536"/>
      <c r="CY736" s="1536"/>
      <c r="CZ736" s="1536">
        <f t="shared" si="22"/>
        <v>0</v>
      </c>
      <c r="DA736" s="1536"/>
      <c r="DB736" s="1536"/>
      <c r="DC736" s="1536"/>
      <c r="DD736" s="1536"/>
      <c r="DE736" s="1536">
        <f t="shared" si="23"/>
        <v>0</v>
      </c>
      <c r="DF736" s="1536"/>
      <c r="DG736" s="1536"/>
      <c r="DH736" s="1536"/>
      <c r="DI736" s="1536"/>
      <c r="DJ736" s="1536">
        <f t="shared" si="24"/>
        <v>0</v>
      </c>
      <c r="DK736" s="1536"/>
      <c r="DL736" s="1536"/>
      <c r="DM736" s="1536"/>
      <c r="DN736" s="1536"/>
      <c r="DO736" s="1536">
        <f t="shared" si="25"/>
        <v>0</v>
      </c>
      <c r="DP736" s="1536"/>
      <c r="DQ736" s="1536"/>
      <c r="DR736" s="1536"/>
      <c r="DS736" s="1536"/>
      <c r="DT736" s="6"/>
      <c r="DU736" s="1537">
        <f t="shared" si="26"/>
        <v>0</v>
      </c>
      <c r="DV736" s="1537"/>
      <c r="DW736" s="1537"/>
      <c r="DX736" s="1537"/>
      <c r="DY736" s="1537"/>
      <c r="DZ736" s="1537">
        <f t="shared" si="27"/>
        <v>0</v>
      </c>
      <c r="EA736" s="1537"/>
      <c r="EB736" s="1537"/>
      <c r="EC736" s="1537"/>
      <c r="ED736" s="1537"/>
      <c r="EE736" s="1537">
        <f t="shared" si="28"/>
        <v>0</v>
      </c>
      <c r="EF736" s="1537"/>
      <c r="EG736" s="1537"/>
      <c r="EH736" s="1537"/>
      <c r="EI736" s="1537"/>
      <c r="EJ736" s="1537">
        <f t="shared" si="29"/>
        <v>0</v>
      </c>
      <c r="EK736" s="1537"/>
      <c r="EL736" s="1537"/>
      <c r="EM736" s="1537"/>
      <c r="EN736" s="1537"/>
      <c r="EO736" s="1537">
        <f t="shared" si="30"/>
        <v>0</v>
      </c>
      <c r="EP736" s="1537"/>
      <c r="EQ736" s="1537"/>
      <c r="ER736" s="1537"/>
      <c r="ES736" s="1537"/>
      <c r="ET736" s="1537">
        <f t="shared" si="31"/>
        <v>0</v>
      </c>
      <c r="EU736" s="1537"/>
      <c r="EV736" s="1537"/>
      <c r="EW736" s="1537"/>
      <c r="EX736" s="1537"/>
      <c r="EY736" s="4"/>
      <c r="EZ736" s="1547" t="str">
        <f t="shared" si="32"/>
        <v/>
      </c>
      <c r="FA736" s="1548"/>
      <c r="FB736" s="1548"/>
      <c r="FC736" s="1548"/>
      <c r="FD736" s="1549"/>
      <c r="FE736" s="1547" t="str">
        <f t="shared" si="33"/>
        <v/>
      </c>
      <c r="FF736" s="1548"/>
      <c r="FG736" s="1548"/>
      <c r="FH736" s="1548"/>
      <c r="FI736" s="1549"/>
      <c r="FJ736" s="1547" t="str">
        <f t="shared" si="34"/>
        <v/>
      </c>
      <c r="FK736" s="1548"/>
      <c r="FL736" s="1548"/>
      <c r="FM736" s="1548"/>
      <c r="FN736" s="1549"/>
      <c r="FO736" s="1547" t="str">
        <f t="shared" si="35"/>
        <v/>
      </c>
      <c r="FP736" s="1548"/>
      <c r="FQ736" s="1548"/>
      <c r="FR736" s="1548"/>
      <c r="FS736" s="1549"/>
      <c r="FT736" s="1547" t="str">
        <f t="shared" si="36"/>
        <v/>
      </c>
      <c r="FU736" s="1548"/>
      <c r="FV736" s="1548"/>
      <c r="FW736" s="1548"/>
      <c r="FX736" s="1549"/>
      <c r="FY736" s="1547" t="str">
        <f t="shared" si="37"/>
        <v/>
      </c>
      <c r="FZ736" s="1548"/>
      <c r="GA736" s="1548"/>
      <c r="GB736" s="1548"/>
      <c r="GC736" s="1549"/>
    </row>
    <row r="737" spans="1:185" ht="13" customHeight="1">
      <c r="A737" s="4"/>
      <c r="B737" s="1364"/>
      <c r="C737" s="1365"/>
      <c r="D737" s="1365"/>
      <c r="E737" s="1365"/>
      <c r="F737" s="1366"/>
      <c r="G737" s="1358"/>
      <c r="H737" s="1359"/>
      <c r="I737" s="1359"/>
      <c r="J737" s="1360"/>
      <c r="K737" s="1361"/>
      <c r="L737" s="1362"/>
      <c r="M737" s="1362"/>
      <c r="N737" s="1363"/>
      <c r="O737" s="1404"/>
      <c r="P737" s="1405"/>
      <c r="Q737" s="1405"/>
      <c r="R737" s="1405"/>
      <c r="S737" s="1406"/>
      <c r="T737" s="1404"/>
      <c r="U737" s="1405"/>
      <c r="V737" s="1405"/>
      <c r="W737" s="1406"/>
      <c r="X737" s="1401">
        <f t="shared" si="10"/>
        <v>0</v>
      </c>
      <c r="Y737" s="1402"/>
      <c r="Z737" s="1402"/>
      <c r="AA737" s="1402"/>
      <c r="AB737" s="1403"/>
      <c r="AC737" s="1398"/>
      <c r="AD737" s="1399"/>
      <c r="AE737" s="1399"/>
      <c r="AF737" s="1399"/>
      <c r="AG737" s="1400"/>
      <c r="AH737" s="1457" t="str">
        <f t="shared" si="38"/>
        <v/>
      </c>
      <c r="AI737" s="1458"/>
      <c r="AJ737" s="1459"/>
      <c r="AK737" s="1364" t="s">
        <v>591</v>
      </c>
      <c r="AL737" s="1365"/>
      <c r="AM737" s="1365"/>
      <c r="AN737" s="1365"/>
      <c r="AO737" s="1366"/>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7">
        <f t="shared" si="39"/>
        <v>0</v>
      </c>
      <c r="CH737" s="1549"/>
      <c r="CI737" s="1539">
        <f t="shared" si="40"/>
        <v>0</v>
      </c>
      <c r="CJ737" s="1540"/>
      <c r="CK737" s="1547">
        <f t="shared" si="18"/>
        <v>0</v>
      </c>
      <c r="CL737" s="1549"/>
      <c r="CM737" s="1539">
        <f t="shared" si="19"/>
        <v>0</v>
      </c>
      <c r="CN737" s="1540"/>
      <c r="CO737" s="3"/>
      <c r="CP737" s="1532">
        <f t="shared" si="20"/>
        <v>0</v>
      </c>
      <c r="CQ737" s="1533"/>
      <c r="CR737" s="1533"/>
      <c r="CS737" s="1533"/>
      <c r="CT737" s="1534"/>
      <c r="CU737" s="1536">
        <f t="shared" si="21"/>
        <v>0</v>
      </c>
      <c r="CV737" s="1536"/>
      <c r="CW737" s="1536"/>
      <c r="CX737" s="1536"/>
      <c r="CY737" s="1536"/>
      <c r="CZ737" s="1536">
        <f t="shared" si="22"/>
        <v>0</v>
      </c>
      <c r="DA737" s="1536"/>
      <c r="DB737" s="1536"/>
      <c r="DC737" s="1536"/>
      <c r="DD737" s="1536"/>
      <c r="DE737" s="1536">
        <f t="shared" si="23"/>
        <v>0</v>
      </c>
      <c r="DF737" s="1536"/>
      <c r="DG737" s="1536"/>
      <c r="DH737" s="1536"/>
      <c r="DI737" s="1536"/>
      <c r="DJ737" s="1536">
        <f t="shared" si="24"/>
        <v>0</v>
      </c>
      <c r="DK737" s="1536"/>
      <c r="DL737" s="1536"/>
      <c r="DM737" s="1536"/>
      <c r="DN737" s="1536"/>
      <c r="DO737" s="1536">
        <f t="shared" si="25"/>
        <v>0</v>
      </c>
      <c r="DP737" s="1536"/>
      <c r="DQ737" s="1536"/>
      <c r="DR737" s="1536"/>
      <c r="DS737" s="1536"/>
      <c r="DT737" s="6"/>
      <c r="DU737" s="1537">
        <f t="shared" si="26"/>
        <v>0</v>
      </c>
      <c r="DV737" s="1537"/>
      <c r="DW737" s="1537"/>
      <c r="DX737" s="1537"/>
      <c r="DY737" s="1537"/>
      <c r="DZ737" s="1537">
        <f t="shared" si="27"/>
        <v>0</v>
      </c>
      <c r="EA737" s="1537"/>
      <c r="EB737" s="1537"/>
      <c r="EC737" s="1537"/>
      <c r="ED737" s="1537"/>
      <c r="EE737" s="1537">
        <f t="shared" si="28"/>
        <v>0</v>
      </c>
      <c r="EF737" s="1537"/>
      <c r="EG737" s="1537"/>
      <c r="EH737" s="1537"/>
      <c r="EI737" s="1537"/>
      <c r="EJ737" s="1537">
        <f t="shared" si="29"/>
        <v>0</v>
      </c>
      <c r="EK737" s="1537"/>
      <c r="EL737" s="1537"/>
      <c r="EM737" s="1537"/>
      <c r="EN737" s="1537"/>
      <c r="EO737" s="1537">
        <f t="shared" si="30"/>
        <v>0</v>
      </c>
      <c r="EP737" s="1537"/>
      <c r="EQ737" s="1537"/>
      <c r="ER737" s="1537"/>
      <c r="ES737" s="1537"/>
      <c r="ET737" s="1537">
        <f t="shared" si="31"/>
        <v>0</v>
      </c>
      <c r="EU737" s="1537"/>
      <c r="EV737" s="1537"/>
      <c r="EW737" s="1537"/>
      <c r="EX737" s="1537"/>
      <c r="EZ737" s="1547" t="str">
        <f t="shared" si="32"/>
        <v/>
      </c>
      <c r="FA737" s="1548"/>
      <c r="FB737" s="1548"/>
      <c r="FC737" s="1548"/>
      <c r="FD737" s="1549"/>
      <c r="FE737" s="1547" t="str">
        <f t="shared" si="33"/>
        <v/>
      </c>
      <c r="FF737" s="1548"/>
      <c r="FG737" s="1548"/>
      <c r="FH737" s="1548"/>
      <c r="FI737" s="1549"/>
      <c r="FJ737" s="1547" t="str">
        <f t="shared" si="34"/>
        <v/>
      </c>
      <c r="FK737" s="1548"/>
      <c r="FL737" s="1548"/>
      <c r="FM737" s="1548"/>
      <c r="FN737" s="1549"/>
      <c r="FO737" s="1547" t="str">
        <f t="shared" si="35"/>
        <v/>
      </c>
      <c r="FP737" s="1548"/>
      <c r="FQ737" s="1548"/>
      <c r="FR737" s="1548"/>
      <c r="FS737" s="1549"/>
      <c r="FT737" s="1547" t="str">
        <f t="shared" si="36"/>
        <v/>
      </c>
      <c r="FU737" s="1548"/>
      <c r="FV737" s="1548"/>
      <c r="FW737" s="1548"/>
      <c r="FX737" s="1549"/>
      <c r="FY737" s="1547" t="str">
        <f t="shared" si="37"/>
        <v/>
      </c>
      <c r="FZ737" s="1548"/>
      <c r="GA737" s="1548"/>
      <c r="GB737" s="1548"/>
      <c r="GC737" s="1549"/>
    </row>
    <row r="738" spans="1:185" ht="13" customHeight="1">
      <c r="B738" s="1364"/>
      <c r="C738" s="1365"/>
      <c r="D738" s="1365"/>
      <c r="E738" s="1365"/>
      <c r="F738" s="1366"/>
      <c r="G738" s="1358"/>
      <c r="H738" s="1359"/>
      <c r="I738" s="1359"/>
      <c r="J738" s="1360"/>
      <c r="K738" s="1361"/>
      <c r="L738" s="1362"/>
      <c r="M738" s="1362"/>
      <c r="N738" s="1363"/>
      <c r="O738" s="1404"/>
      <c r="P738" s="1405"/>
      <c r="Q738" s="1405"/>
      <c r="R738" s="1405"/>
      <c r="S738" s="1406"/>
      <c r="T738" s="1404"/>
      <c r="U738" s="1405"/>
      <c r="V738" s="1405"/>
      <c r="W738" s="1406"/>
      <c r="X738" s="1401">
        <f t="shared" si="10"/>
        <v>0</v>
      </c>
      <c r="Y738" s="1402"/>
      <c r="Z738" s="1402"/>
      <c r="AA738" s="1402"/>
      <c r="AB738" s="1403"/>
      <c r="AC738" s="1398"/>
      <c r="AD738" s="1399"/>
      <c r="AE738" s="1399"/>
      <c r="AF738" s="1399"/>
      <c r="AG738" s="1400"/>
      <c r="AH738" s="1457" t="str">
        <f t="shared" si="38"/>
        <v/>
      </c>
      <c r="AI738" s="1458"/>
      <c r="AJ738" s="1459"/>
      <c r="AK738" s="1364" t="s">
        <v>591</v>
      </c>
      <c r="AL738" s="1365"/>
      <c r="AM738" s="1365"/>
      <c r="AN738" s="1365"/>
      <c r="AO738" s="1366"/>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7">
        <f t="shared" si="39"/>
        <v>0</v>
      </c>
      <c r="CH738" s="1549"/>
      <c r="CI738" s="1539">
        <f t="shared" si="40"/>
        <v>0</v>
      </c>
      <c r="CJ738" s="1540"/>
      <c r="CK738" s="1547">
        <f t="shared" si="18"/>
        <v>0</v>
      </c>
      <c r="CL738" s="1549"/>
      <c r="CM738" s="1539">
        <f t="shared" si="19"/>
        <v>0</v>
      </c>
      <c r="CN738" s="1540"/>
      <c r="CO738" s="3"/>
      <c r="CP738" s="1532">
        <f t="shared" si="20"/>
        <v>0</v>
      </c>
      <c r="CQ738" s="1533"/>
      <c r="CR738" s="1533"/>
      <c r="CS738" s="1533"/>
      <c r="CT738" s="1534"/>
      <c r="CU738" s="1536">
        <f t="shared" si="21"/>
        <v>0</v>
      </c>
      <c r="CV738" s="1536"/>
      <c r="CW738" s="1536"/>
      <c r="CX738" s="1536"/>
      <c r="CY738" s="1536"/>
      <c r="CZ738" s="1536">
        <f t="shared" si="22"/>
        <v>0</v>
      </c>
      <c r="DA738" s="1536"/>
      <c r="DB738" s="1536"/>
      <c r="DC738" s="1536"/>
      <c r="DD738" s="1536"/>
      <c r="DE738" s="1536">
        <f t="shared" si="23"/>
        <v>0</v>
      </c>
      <c r="DF738" s="1536"/>
      <c r="DG738" s="1536"/>
      <c r="DH738" s="1536"/>
      <c r="DI738" s="1536"/>
      <c r="DJ738" s="1536">
        <f t="shared" si="24"/>
        <v>0</v>
      </c>
      <c r="DK738" s="1536"/>
      <c r="DL738" s="1536"/>
      <c r="DM738" s="1536"/>
      <c r="DN738" s="1536"/>
      <c r="DO738" s="1536">
        <f t="shared" si="25"/>
        <v>0</v>
      </c>
      <c r="DP738" s="1536"/>
      <c r="DQ738" s="1536"/>
      <c r="DR738" s="1536"/>
      <c r="DS738" s="1536"/>
      <c r="DT738" s="6"/>
      <c r="DU738" s="1537">
        <f t="shared" si="26"/>
        <v>0</v>
      </c>
      <c r="DV738" s="1537"/>
      <c r="DW738" s="1537"/>
      <c r="DX738" s="1537"/>
      <c r="DY738" s="1537"/>
      <c r="DZ738" s="1537">
        <f t="shared" si="27"/>
        <v>0</v>
      </c>
      <c r="EA738" s="1537"/>
      <c r="EB738" s="1537"/>
      <c r="EC738" s="1537"/>
      <c r="ED738" s="1537"/>
      <c r="EE738" s="1537">
        <f t="shared" si="28"/>
        <v>0</v>
      </c>
      <c r="EF738" s="1537"/>
      <c r="EG738" s="1537"/>
      <c r="EH738" s="1537"/>
      <c r="EI738" s="1537"/>
      <c r="EJ738" s="1537">
        <f t="shared" si="29"/>
        <v>0</v>
      </c>
      <c r="EK738" s="1537"/>
      <c r="EL738" s="1537"/>
      <c r="EM738" s="1537"/>
      <c r="EN738" s="1537"/>
      <c r="EO738" s="1537">
        <f t="shared" si="30"/>
        <v>0</v>
      </c>
      <c r="EP738" s="1537"/>
      <c r="EQ738" s="1537"/>
      <c r="ER738" s="1537"/>
      <c r="ES738" s="1537"/>
      <c r="ET738" s="1537">
        <f t="shared" si="31"/>
        <v>0</v>
      </c>
      <c r="EU738" s="1537"/>
      <c r="EV738" s="1537"/>
      <c r="EW738" s="1537"/>
      <c r="EX738" s="1537"/>
      <c r="EZ738" s="1547" t="str">
        <f t="shared" si="32"/>
        <v/>
      </c>
      <c r="FA738" s="1548"/>
      <c r="FB738" s="1548"/>
      <c r="FC738" s="1548"/>
      <c r="FD738" s="1549"/>
      <c r="FE738" s="1547" t="str">
        <f t="shared" si="33"/>
        <v/>
      </c>
      <c r="FF738" s="1548"/>
      <c r="FG738" s="1548"/>
      <c r="FH738" s="1548"/>
      <c r="FI738" s="1549"/>
      <c r="FJ738" s="1547" t="str">
        <f t="shared" si="34"/>
        <v/>
      </c>
      <c r="FK738" s="1548"/>
      <c r="FL738" s="1548"/>
      <c r="FM738" s="1548"/>
      <c r="FN738" s="1549"/>
      <c r="FO738" s="1547" t="str">
        <f t="shared" si="35"/>
        <v/>
      </c>
      <c r="FP738" s="1548"/>
      <c r="FQ738" s="1548"/>
      <c r="FR738" s="1548"/>
      <c r="FS738" s="1549"/>
      <c r="FT738" s="1547" t="str">
        <f t="shared" si="36"/>
        <v/>
      </c>
      <c r="FU738" s="1548"/>
      <c r="FV738" s="1548"/>
      <c r="FW738" s="1548"/>
      <c r="FX738" s="1549"/>
      <c r="FY738" s="1547" t="str">
        <f t="shared" si="37"/>
        <v/>
      </c>
      <c r="FZ738" s="1548"/>
      <c r="GA738" s="1548"/>
      <c r="GB738" s="1548"/>
      <c r="GC738" s="1549"/>
    </row>
    <row r="739" spans="1:185" ht="13" customHeight="1">
      <c r="B739" s="1364"/>
      <c r="C739" s="1365"/>
      <c r="D739" s="1365"/>
      <c r="E739" s="1365"/>
      <c r="F739" s="1366"/>
      <c r="G739" s="1358"/>
      <c r="H739" s="1359"/>
      <c r="I739" s="1359"/>
      <c r="J739" s="1360"/>
      <c r="K739" s="1361"/>
      <c r="L739" s="1362"/>
      <c r="M739" s="1362"/>
      <c r="N739" s="1363"/>
      <c r="O739" s="1404"/>
      <c r="P739" s="1405"/>
      <c r="Q739" s="1405"/>
      <c r="R739" s="1405"/>
      <c r="S739" s="1406"/>
      <c r="T739" s="1404"/>
      <c r="U739" s="1405"/>
      <c r="V739" s="1405"/>
      <c r="W739" s="1406"/>
      <c r="X739" s="1401">
        <f t="shared" si="10"/>
        <v>0</v>
      </c>
      <c r="Y739" s="1402"/>
      <c r="Z739" s="1402"/>
      <c r="AA739" s="1402"/>
      <c r="AB739" s="1403"/>
      <c r="AC739" s="1398"/>
      <c r="AD739" s="1399"/>
      <c r="AE739" s="1399"/>
      <c r="AF739" s="1399"/>
      <c r="AG739" s="1400"/>
      <c r="AH739" s="1457" t="str">
        <f t="shared" si="38"/>
        <v/>
      </c>
      <c r="AI739" s="1458"/>
      <c r="AJ739" s="1459"/>
      <c r="AK739" s="1364" t="s">
        <v>591</v>
      </c>
      <c r="AL739" s="1365"/>
      <c r="AM739" s="1365"/>
      <c r="AN739" s="1365"/>
      <c r="AO739" s="1366"/>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7">
        <f t="shared" si="39"/>
        <v>0</v>
      </c>
      <c r="CH739" s="1549"/>
      <c r="CI739" s="1539">
        <f t="shared" si="40"/>
        <v>0</v>
      </c>
      <c r="CJ739" s="1540"/>
      <c r="CK739" s="1547">
        <f t="shared" si="18"/>
        <v>0</v>
      </c>
      <c r="CL739" s="1549"/>
      <c r="CM739" s="1539">
        <f t="shared" si="19"/>
        <v>0</v>
      </c>
      <c r="CN739" s="1540"/>
      <c r="CO739" s="3"/>
      <c r="CP739" s="1532">
        <f t="shared" si="20"/>
        <v>0</v>
      </c>
      <c r="CQ739" s="1533"/>
      <c r="CR739" s="1533"/>
      <c r="CS739" s="1533"/>
      <c r="CT739" s="1534"/>
      <c r="CU739" s="1536">
        <f t="shared" si="21"/>
        <v>0</v>
      </c>
      <c r="CV739" s="1536"/>
      <c r="CW739" s="1536"/>
      <c r="CX739" s="1536"/>
      <c r="CY739" s="1536"/>
      <c r="CZ739" s="1536">
        <f t="shared" si="22"/>
        <v>0</v>
      </c>
      <c r="DA739" s="1536"/>
      <c r="DB739" s="1536"/>
      <c r="DC739" s="1536"/>
      <c r="DD739" s="1536"/>
      <c r="DE739" s="1536">
        <f t="shared" si="23"/>
        <v>0</v>
      </c>
      <c r="DF739" s="1536"/>
      <c r="DG739" s="1536"/>
      <c r="DH739" s="1536"/>
      <c r="DI739" s="1536"/>
      <c r="DJ739" s="1536">
        <f t="shared" si="24"/>
        <v>0</v>
      </c>
      <c r="DK739" s="1536"/>
      <c r="DL739" s="1536"/>
      <c r="DM739" s="1536"/>
      <c r="DN739" s="1536"/>
      <c r="DO739" s="1536">
        <f t="shared" si="25"/>
        <v>0</v>
      </c>
      <c r="DP739" s="1536"/>
      <c r="DQ739" s="1536"/>
      <c r="DR739" s="1536"/>
      <c r="DS739" s="1536"/>
      <c r="DT739" s="6"/>
      <c r="DU739" s="1537">
        <f t="shared" si="26"/>
        <v>0</v>
      </c>
      <c r="DV739" s="1537"/>
      <c r="DW739" s="1537"/>
      <c r="DX739" s="1537"/>
      <c r="DY739" s="1537"/>
      <c r="DZ739" s="1537">
        <f t="shared" si="27"/>
        <v>0</v>
      </c>
      <c r="EA739" s="1537"/>
      <c r="EB739" s="1537"/>
      <c r="EC739" s="1537"/>
      <c r="ED739" s="1537"/>
      <c r="EE739" s="1537">
        <f t="shared" si="28"/>
        <v>0</v>
      </c>
      <c r="EF739" s="1537"/>
      <c r="EG739" s="1537"/>
      <c r="EH739" s="1537"/>
      <c r="EI739" s="1537"/>
      <c r="EJ739" s="1537">
        <f t="shared" si="29"/>
        <v>0</v>
      </c>
      <c r="EK739" s="1537"/>
      <c r="EL739" s="1537"/>
      <c r="EM739" s="1537"/>
      <c r="EN739" s="1537"/>
      <c r="EO739" s="1537">
        <f t="shared" si="30"/>
        <v>0</v>
      </c>
      <c r="EP739" s="1537"/>
      <c r="EQ739" s="1537"/>
      <c r="ER739" s="1537"/>
      <c r="ES739" s="1537"/>
      <c r="ET739" s="1537">
        <f t="shared" si="31"/>
        <v>0</v>
      </c>
      <c r="EU739" s="1537"/>
      <c r="EV739" s="1537"/>
      <c r="EW739" s="1537"/>
      <c r="EX739" s="1537"/>
      <c r="EZ739" s="1547" t="str">
        <f t="shared" si="32"/>
        <v/>
      </c>
      <c r="FA739" s="1548"/>
      <c r="FB739" s="1548"/>
      <c r="FC739" s="1548"/>
      <c r="FD739" s="1549"/>
      <c r="FE739" s="1547" t="str">
        <f t="shared" si="33"/>
        <v/>
      </c>
      <c r="FF739" s="1548"/>
      <c r="FG739" s="1548"/>
      <c r="FH739" s="1548"/>
      <c r="FI739" s="1549"/>
      <c r="FJ739" s="1547" t="str">
        <f t="shared" si="34"/>
        <v/>
      </c>
      <c r="FK739" s="1548"/>
      <c r="FL739" s="1548"/>
      <c r="FM739" s="1548"/>
      <c r="FN739" s="1549"/>
      <c r="FO739" s="1547" t="str">
        <f t="shared" si="35"/>
        <v/>
      </c>
      <c r="FP739" s="1548"/>
      <c r="FQ739" s="1548"/>
      <c r="FR739" s="1548"/>
      <c r="FS739" s="1549"/>
      <c r="FT739" s="1547" t="str">
        <f t="shared" si="36"/>
        <v/>
      </c>
      <c r="FU739" s="1548"/>
      <c r="FV739" s="1548"/>
      <c r="FW739" s="1548"/>
      <c r="FX739" s="1549"/>
      <c r="FY739" s="1547" t="str">
        <f t="shared" si="37"/>
        <v/>
      </c>
      <c r="FZ739" s="1548"/>
      <c r="GA739" s="1548"/>
      <c r="GB739" s="1548"/>
      <c r="GC739" s="1549"/>
    </row>
    <row r="740" spans="1:185" ht="13" customHeight="1">
      <c r="B740" s="1364"/>
      <c r="C740" s="1365"/>
      <c r="D740" s="1365"/>
      <c r="E740" s="1365"/>
      <c r="F740" s="1366"/>
      <c r="G740" s="1358"/>
      <c r="H740" s="1359"/>
      <c r="I740" s="1359"/>
      <c r="J740" s="1360"/>
      <c r="K740" s="1361"/>
      <c r="L740" s="1362"/>
      <c r="M740" s="1362"/>
      <c r="N740" s="1363"/>
      <c r="O740" s="1404"/>
      <c r="P740" s="1405"/>
      <c r="Q740" s="1405"/>
      <c r="R740" s="1405"/>
      <c r="S740" s="1406"/>
      <c r="T740" s="1404"/>
      <c r="U740" s="1405"/>
      <c r="V740" s="1405"/>
      <c r="W740" s="1406"/>
      <c r="X740" s="1401">
        <f t="shared" si="10"/>
        <v>0</v>
      </c>
      <c r="Y740" s="1402"/>
      <c r="Z740" s="1402"/>
      <c r="AA740" s="1402"/>
      <c r="AB740" s="1403"/>
      <c r="AC740" s="1398"/>
      <c r="AD740" s="1399"/>
      <c r="AE740" s="1399"/>
      <c r="AF740" s="1399"/>
      <c r="AG740" s="1400"/>
      <c r="AH740" s="1457" t="str">
        <f t="shared" si="38"/>
        <v/>
      </c>
      <c r="AI740" s="1458"/>
      <c r="AJ740" s="1459"/>
      <c r="AK740" s="1364" t="s">
        <v>591</v>
      </c>
      <c r="AL740" s="1365"/>
      <c r="AM740" s="1365"/>
      <c r="AN740" s="1365"/>
      <c r="AO740" s="1366"/>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7">
        <f t="shared" si="39"/>
        <v>0</v>
      </c>
      <c r="CH740" s="1549"/>
      <c r="CI740" s="1539">
        <f t="shared" si="40"/>
        <v>0</v>
      </c>
      <c r="CJ740" s="1540"/>
      <c r="CK740" s="1547">
        <f t="shared" si="18"/>
        <v>0</v>
      </c>
      <c r="CL740" s="1549"/>
      <c r="CM740" s="1539">
        <f t="shared" si="19"/>
        <v>0</v>
      </c>
      <c r="CN740" s="1540"/>
      <c r="CO740" s="3"/>
      <c r="CP740" s="1532">
        <f t="shared" si="20"/>
        <v>0</v>
      </c>
      <c r="CQ740" s="1533"/>
      <c r="CR740" s="1533"/>
      <c r="CS740" s="1533"/>
      <c r="CT740" s="1534"/>
      <c r="CU740" s="1536">
        <f t="shared" si="21"/>
        <v>0</v>
      </c>
      <c r="CV740" s="1536"/>
      <c r="CW740" s="1536"/>
      <c r="CX740" s="1536"/>
      <c r="CY740" s="1536"/>
      <c r="CZ740" s="1536">
        <f t="shared" si="22"/>
        <v>0</v>
      </c>
      <c r="DA740" s="1536"/>
      <c r="DB740" s="1536"/>
      <c r="DC740" s="1536"/>
      <c r="DD740" s="1536"/>
      <c r="DE740" s="1536">
        <f t="shared" si="23"/>
        <v>0</v>
      </c>
      <c r="DF740" s="1536"/>
      <c r="DG740" s="1536"/>
      <c r="DH740" s="1536"/>
      <c r="DI740" s="1536"/>
      <c r="DJ740" s="1536">
        <f t="shared" si="24"/>
        <v>0</v>
      </c>
      <c r="DK740" s="1536"/>
      <c r="DL740" s="1536"/>
      <c r="DM740" s="1536"/>
      <c r="DN740" s="1536"/>
      <c r="DO740" s="1536">
        <f t="shared" si="25"/>
        <v>0</v>
      </c>
      <c r="DP740" s="1536"/>
      <c r="DQ740" s="1536"/>
      <c r="DR740" s="1536"/>
      <c r="DS740" s="1536"/>
      <c r="DT740" s="6"/>
      <c r="DU740" s="1537">
        <f t="shared" si="26"/>
        <v>0</v>
      </c>
      <c r="DV740" s="1537"/>
      <c r="DW740" s="1537"/>
      <c r="DX740" s="1537"/>
      <c r="DY740" s="1537"/>
      <c r="DZ740" s="1537">
        <f t="shared" si="27"/>
        <v>0</v>
      </c>
      <c r="EA740" s="1537"/>
      <c r="EB740" s="1537"/>
      <c r="EC740" s="1537"/>
      <c r="ED740" s="1537"/>
      <c r="EE740" s="1537">
        <f t="shared" si="28"/>
        <v>0</v>
      </c>
      <c r="EF740" s="1537"/>
      <c r="EG740" s="1537"/>
      <c r="EH740" s="1537"/>
      <c r="EI740" s="1537"/>
      <c r="EJ740" s="1537">
        <f t="shared" si="29"/>
        <v>0</v>
      </c>
      <c r="EK740" s="1537"/>
      <c r="EL740" s="1537"/>
      <c r="EM740" s="1537"/>
      <c r="EN740" s="1537"/>
      <c r="EO740" s="1537">
        <f t="shared" si="30"/>
        <v>0</v>
      </c>
      <c r="EP740" s="1537"/>
      <c r="EQ740" s="1537"/>
      <c r="ER740" s="1537"/>
      <c r="ES740" s="1537"/>
      <c r="ET740" s="1537">
        <f t="shared" si="31"/>
        <v>0</v>
      </c>
      <c r="EU740" s="1537"/>
      <c r="EV740" s="1537"/>
      <c r="EW740" s="1537"/>
      <c r="EX740" s="1537"/>
      <c r="EZ740" s="1547" t="str">
        <f t="shared" si="32"/>
        <v/>
      </c>
      <c r="FA740" s="1548"/>
      <c r="FB740" s="1548"/>
      <c r="FC740" s="1548"/>
      <c r="FD740" s="1549"/>
      <c r="FE740" s="1547" t="str">
        <f t="shared" si="33"/>
        <v/>
      </c>
      <c r="FF740" s="1548"/>
      <c r="FG740" s="1548"/>
      <c r="FH740" s="1548"/>
      <c r="FI740" s="1549"/>
      <c r="FJ740" s="1547" t="str">
        <f t="shared" si="34"/>
        <v/>
      </c>
      <c r="FK740" s="1548"/>
      <c r="FL740" s="1548"/>
      <c r="FM740" s="1548"/>
      <c r="FN740" s="1549"/>
      <c r="FO740" s="1547" t="str">
        <f t="shared" si="35"/>
        <v/>
      </c>
      <c r="FP740" s="1548"/>
      <c r="FQ740" s="1548"/>
      <c r="FR740" s="1548"/>
      <c r="FS740" s="1549"/>
      <c r="FT740" s="1547" t="str">
        <f t="shared" si="36"/>
        <v/>
      </c>
      <c r="FU740" s="1548"/>
      <c r="FV740" s="1548"/>
      <c r="FW740" s="1548"/>
      <c r="FX740" s="1549"/>
      <c r="FY740" s="1547" t="str">
        <f t="shared" si="37"/>
        <v/>
      </c>
      <c r="FZ740" s="1548"/>
      <c r="GA740" s="1548"/>
      <c r="GB740" s="1548"/>
      <c r="GC740" s="1549"/>
    </row>
    <row r="741" spans="1:185" ht="13" customHeight="1">
      <c r="B741" s="1364"/>
      <c r="C741" s="1365"/>
      <c r="D741" s="1365"/>
      <c r="E741" s="1365"/>
      <c r="F741" s="1366"/>
      <c r="G741" s="1358"/>
      <c r="H741" s="1359"/>
      <c r="I741" s="1359"/>
      <c r="J741" s="1360"/>
      <c r="K741" s="1361"/>
      <c r="L741" s="1362"/>
      <c r="M741" s="1362"/>
      <c r="N741" s="1363"/>
      <c r="O741" s="1404"/>
      <c r="P741" s="1405"/>
      <c r="Q741" s="1405"/>
      <c r="R741" s="1405"/>
      <c r="S741" s="1406"/>
      <c r="T741" s="1404"/>
      <c r="U741" s="1405"/>
      <c r="V741" s="1405"/>
      <c r="W741" s="1406"/>
      <c r="X741" s="1401">
        <f t="shared" si="10"/>
        <v>0</v>
      </c>
      <c r="Y741" s="1402"/>
      <c r="Z741" s="1402"/>
      <c r="AA741" s="1402"/>
      <c r="AB741" s="1403"/>
      <c r="AC741" s="1398"/>
      <c r="AD741" s="1399"/>
      <c r="AE741" s="1399"/>
      <c r="AF741" s="1399"/>
      <c r="AG741" s="1400"/>
      <c r="AH741" s="1457" t="str">
        <f t="shared" si="38"/>
        <v/>
      </c>
      <c r="AI741" s="1458"/>
      <c r="AJ741" s="1459"/>
      <c r="AK741" s="1364" t="s">
        <v>591</v>
      </c>
      <c r="AL741" s="1365"/>
      <c r="AM741" s="1365"/>
      <c r="AN741" s="1365"/>
      <c r="AO741" s="1366"/>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7">
        <f t="shared" si="39"/>
        <v>0</v>
      </c>
      <c r="CH741" s="1549"/>
      <c r="CI741" s="1539">
        <f t="shared" si="40"/>
        <v>0</v>
      </c>
      <c r="CJ741" s="1540"/>
      <c r="CK741" s="1547">
        <f t="shared" si="18"/>
        <v>0</v>
      </c>
      <c r="CL741" s="1549"/>
      <c r="CM741" s="1539">
        <f t="shared" si="19"/>
        <v>0</v>
      </c>
      <c r="CN741" s="1540"/>
      <c r="CO741" s="3"/>
      <c r="CP741" s="1532">
        <f t="shared" si="20"/>
        <v>0</v>
      </c>
      <c r="CQ741" s="1533"/>
      <c r="CR741" s="1533"/>
      <c r="CS741" s="1533"/>
      <c r="CT741" s="1534"/>
      <c r="CU741" s="1536">
        <f t="shared" si="21"/>
        <v>0</v>
      </c>
      <c r="CV741" s="1536"/>
      <c r="CW741" s="1536"/>
      <c r="CX741" s="1536"/>
      <c r="CY741" s="1536"/>
      <c r="CZ741" s="1536">
        <f t="shared" si="22"/>
        <v>0</v>
      </c>
      <c r="DA741" s="1536"/>
      <c r="DB741" s="1536"/>
      <c r="DC741" s="1536"/>
      <c r="DD741" s="1536"/>
      <c r="DE741" s="1536">
        <f t="shared" si="23"/>
        <v>0</v>
      </c>
      <c r="DF741" s="1536"/>
      <c r="DG741" s="1536"/>
      <c r="DH741" s="1536"/>
      <c r="DI741" s="1536"/>
      <c r="DJ741" s="1536">
        <f t="shared" si="24"/>
        <v>0</v>
      </c>
      <c r="DK741" s="1536"/>
      <c r="DL741" s="1536"/>
      <c r="DM741" s="1536"/>
      <c r="DN741" s="1536"/>
      <c r="DO741" s="1536">
        <f t="shared" si="25"/>
        <v>0</v>
      </c>
      <c r="DP741" s="1536"/>
      <c r="DQ741" s="1536"/>
      <c r="DR741" s="1536"/>
      <c r="DS741" s="1536"/>
      <c r="DT741" s="6"/>
      <c r="DU741" s="1537">
        <f t="shared" si="26"/>
        <v>0</v>
      </c>
      <c r="DV741" s="1537"/>
      <c r="DW741" s="1537"/>
      <c r="DX741" s="1537"/>
      <c r="DY741" s="1537"/>
      <c r="DZ741" s="1537">
        <f t="shared" si="27"/>
        <v>0</v>
      </c>
      <c r="EA741" s="1537"/>
      <c r="EB741" s="1537"/>
      <c r="EC741" s="1537"/>
      <c r="ED741" s="1537"/>
      <c r="EE741" s="1537">
        <f t="shared" si="28"/>
        <v>0</v>
      </c>
      <c r="EF741" s="1537"/>
      <c r="EG741" s="1537"/>
      <c r="EH741" s="1537"/>
      <c r="EI741" s="1537"/>
      <c r="EJ741" s="1537">
        <f t="shared" si="29"/>
        <v>0</v>
      </c>
      <c r="EK741" s="1537"/>
      <c r="EL741" s="1537"/>
      <c r="EM741" s="1537"/>
      <c r="EN741" s="1537"/>
      <c r="EO741" s="1537">
        <f t="shared" si="30"/>
        <v>0</v>
      </c>
      <c r="EP741" s="1537"/>
      <c r="EQ741" s="1537"/>
      <c r="ER741" s="1537"/>
      <c r="ES741" s="1537"/>
      <c r="ET741" s="1537">
        <f t="shared" si="31"/>
        <v>0</v>
      </c>
      <c r="EU741" s="1537"/>
      <c r="EV741" s="1537"/>
      <c r="EW741" s="1537"/>
      <c r="EX741" s="1537"/>
      <c r="EZ741" s="1547" t="str">
        <f t="shared" si="32"/>
        <v/>
      </c>
      <c r="FA741" s="1548"/>
      <c r="FB741" s="1548"/>
      <c r="FC741" s="1548"/>
      <c r="FD741" s="1549"/>
      <c r="FE741" s="1547" t="str">
        <f t="shared" si="33"/>
        <v/>
      </c>
      <c r="FF741" s="1548"/>
      <c r="FG741" s="1548"/>
      <c r="FH741" s="1548"/>
      <c r="FI741" s="1549"/>
      <c r="FJ741" s="1547" t="str">
        <f t="shared" si="34"/>
        <v/>
      </c>
      <c r="FK741" s="1548"/>
      <c r="FL741" s="1548"/>
      <c r="FM741" s="1548"/>
      <c r="FN741" s="1549"/>
      <c r="FO741" s="1547" t="str">
        <f t="shared" si="35"/>
        <v/>
      </c>
      <c r="FP741" s="1548"/>
      <c r="FQ741" s="1548"/>
      <c r="FR741" s="1548"/>
      <c r="FS741" s="1549"/>
      <c r="FT741" s="1547" t="str">
        <f t="shared" si="36"/>
        <v/>
      </c>
      <c r="FU741" s="1548"/>
      <c r="FV741" s="1548"/>
      <c r="FW741" s="1548"/>
      <c r="FX741" s="1549"/>
      <c r="FY741" s="1547" t="str">
        <f t="shared" si="37"/>
        <v/>
      </c>
      <c r="FZ741" s="1548"/>
      <c r="GA741" s="1548"/>
      <c r="GB741" s="1548"/>
      <c r="GC741" s="1549"/>
    </row>
    <row r="742" spans="1:185" ht="13" customHeight="1">
      <c r="B742" s="1364"/>
      <c r="C742" s="1365"/>
      <c r="D742" s="1365"/>
      <c r="E742" s="1365"/>
      <c r="F742" s="1366"/>
      <c r="G742" s="1358"/>
      <c r="H742" s="1359"/>
      <c r="I742" s="1359"/>
      <c r="J742" s="1360"/>
      <c r="K742" s="1361"/>
      <c r="L742" s="1362"/>
      <c r="M742" s="1362"/>
      <c r="N742" s="1363"/>
      <c r="O742" s="1404"/>
      <c r="P742" s="1405"/>
      <c r="Q742" s="1405"/>
      <c r="R742" s="1405"/>
      <c r="S742" s="1406"/>
      <c r="T742" s="1404"/>
      <c r="U742" s="1405"/>
      <c r="V742" s="1405"/>
      <c r="W742" s="1406"/>
      <c r="X742" s="1401">
        <f t="shared" si="10"/>
        <v>0</v>
      </c>
      <c r="Y742" s="1402"/>
      <c r="Z742" s="1402"/>
      <c r="AA742" s="1402"/>
      <c r="AB742" s="1403"/>
      <c r="AC742" s="1398"/>
      <c r="AD742" s="1399"/>
      <c r="AE742" s="1399"/>
      <c r="AF742" s="1399"/>
      <c r="AG742" s="1400"/>
      <c r="AH742" s="1457" t="str">
        <f t="shared" si="38"/>
        <v/>
      </c>
      <c r="AI742" s="1458"/>
      <c r="AJ742" s="1459"/>
      <c r="AK742" s="1364" t="s">
        <v>591</v>
      </c>
      <c r="AL742" s="1365"/>
      <c r="AM742" s="1365"/>
      <c r="AN742" s="1365"/>
      <c r="AO742" s="1366"/>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7">
        <f t="shared" si="39"/>
        <v>0</v>
      </c>
      <c r="CH742" s="1549"/>
      <c r="CI742" s="1539">
        <f t="shared" si="40"/>
        <v>0</v>
      </c>
      <c r="CJ742" s="1540"/>
      <c r="CK742" s="1547">
        <f t="shared" si="18"/>
        <v>0</v>
      </c>
      <c r="CL742" s="1549"/>
      <c r="CM742" s="1539">
        <f t="shared" si="19"/>
        <v>0</v>
      </c>
      <c r="CN742" s="1540"/>
      <c r="CO742" s="3"/>
      <c r="CP742" s="1532">
        <f t="shared" si="20"/>
        <v>0</v>
      </c>
      <c r="CQ742" s="1533"/>
      <c r="CR742" s="1533"/>
      <c r="CS742" s="1533"/>
      <c r="CT742" s="1534"/>
      <c r="CU742" s="1536">
        <f t="shared" si="21"/>
        <v>0</v>
      </c>
      <c r="CV742" s="1536"/>
      <c r="CW742" s="1536"/>
      <c r="CX742" s="1536"/>
      <c r="CY742" s="1536"/>
      <c r="CZ742" s="1536">
        <f t="shared" si="22"/>
        <v>0</v>
      </c>
      <c r="DA742" s="1536"/>
      <c r="DB742" s="1536"/>
      <c r="DC742" s="1536"/>
      <c r="DD742" s="1536"/>
      <c r="DE742" s="1536">
        <f t="shared" si="23"/>
        <v>0</v>
      </c>
      <c r="DF742" s="1536"/>
      <c r="DG742" s="1536"/>
      <c r="DH742" s="1536"/>
      <c r="DI742" s="1536"/>
      <c r="DJ742" s="1536">
        <f t="shared" si="24"/>
        <v>0</v>
      </c>
      <c r="DK742" s="1536"/>
      <c r="DL742" s="1536"/>
      <c r="DM742" s="1536"/>
      <c r="DN742" s="1536"/>
      <c r="DO742" s="1536">
        <f t="shared" si="25"/>
        <v>0</v>
      </c>
      <c r="DP742" s="1536"/>
      <c r="DQ742" s="1536"/>
      <c r="DR742" s="1536"/>
      <c r="DS742" s="1536"/>
      <c r="DT742" s="6"/>
      <c r="DU742" s="1537">
        <f t="shared" si="26"/>
        <v>0</v>
      </c>
      <c r="DV742" s="1537"/>
      <c r="DW742" s="1537"/>
      <c r="DX742" s="1537"/>
      <c r="DY742" s="1537"/>
      <c r="DZ742" s="1537">
        <f t="shared" si="27"/>
        <v>0</v>
      </c>
      <c r="EA742" s="1537"/>
      <c r="EB742" s="1537"/>
      <c r="EC742" s="1537"/>
      <c r="ED742" s="1537"/>
      <c r="EE742" s="1537">
        <f t="shared" si="28"/>
        <v>0</v>
      </c>
      <c r="EF742" s="1537"/>
      <c r="EG742" s="1537"/>
      <c r="EH742" s="1537"/>
      <c r="EI742" s="1537"/>
      <c r="EJ742" s="1537">
        <f t="shared" si="29"/>
        <v>0</v>
      </c>
      <c r="EK742" s="1537"/>
      <c r="EL742" s="1537"/>
      <c r="EM742" s="1537"/>
      <c r="EN742" s="1537"/>
      <c r="EO742" s="1537">
        <f t="shared" si="30"/>
        <v>0</v>
      </c>
      <c r="EP742" s="1537"/>
      <c r="EQ742" s="1537"/>
      <c r="ER742" s="1537"/>
      <c r="ES742" s="1537"/>
      <c r="ET742" s="1537">
        <f t="shared" si="31"/>
        <v>0</v>
      </c>
      <c r="EU742" s="1537"/>
      <c r="EV742" s="1537"/>
      <c r="EW742" s="1537"/>
      <c r="EX742" s="1537"/>
      <c r="EZ742" s="1547" t="str">
        <f t="shared" si="32"/>
        <v/>
      </c>
      <c r="FA742" s="1548"/>
      <c r="FB742" s="1548"/>
      <c r="FC742" s="1548"/>
      <c r="FD742" s="1549"/>
      <c r="FE742" s="1547" t="str">
        <f t="shared" si="33"/>
        <v/>
      </c>
      <c r="FF742" s="1548"/>
      <c r="FG742" s="1548"/>
      <c r="FH742" s="1548"/>
      <c r="FI742" s="1549"/>
      <c r="FJ742" s="1547" t="str">
        <f t="shared" si="34"/>
        <v/>
      </c>
      <c r="FK742" s="1548"/>
      <c r="FL742" s="1548"/>
      <c r="FM742" s="1548"/>
      <c r="FN742" s="1549"/>
      <c r="FO742" s="1547" t="str">
        <f t="shared" si="35"/>
        <v/>
      </c>
      <c r="FP742" s="1548"/>
      <c r="FQ742" s="1548"/>
      <c r="FR742" s="1548"/>
      <c r="FS742" s="1549"/>
      <c r="FT742" s="1547" t="str">
        <f t="shared" si="36"/>
        <v/>
      </c>
      <c r="FU742" s="1548"/>
      <c r="FV742" s="1548"/>
      <c r="FW742" s="1548"/>
      <c r="FX742" s="1549"/>
      <c r="FY742" s="1547" t="str">
        <f t="shared" si="37"/>
        <v/>
      </c>
      <c r="FZ742" s="1548"/>
      <c r="GA742" s="1548"/>
      <c r="GB742" s="1548"/>
      <c r="GC742" s="1549"/>
    </row>
    <row r="743" spans="1:185" ht="13" customHeight="1">
      <c r="B743" s="1364"/>
      <c r="C743" s="1365"/>
      <c r="D743" s="1365"/>
      <c r="E743" s="1365"/>
      <c r="F743" s="1366"/>
      <c r="G743" s="1358"/>
      <c r="H743" s="1359"/>
      <c r="I743" s="1359"/>
      <c r="J743" s="1360"/>
      <c r="K743" s="1361"/>
      <c r="L743" s="1362"/>
      <c r="M743" s="1362"/>
      <c r="N743" s="1363"/>
      <c r="O743" s="1404"/>
      <c r="P743" s="1405"/>
      <c r="Q743" s="1405"/>
      <c r="R743" s="1405"/>
      <c r="S743" s="1406"/>
      <c r="T743" s="1404"/>
      <c r="U743" s="1405"/>
      <c r="V743" s="1405"/>
      <c r="W743" s="1406"/>
      <c r="X743" s="1401">
        <f t="shared" si="10"/>
        <v>0</v>
      </c>
      <c r="Y743" s="1402"/>
      <c r="Z743" s="1402"/>
      <c r="AA743" s="1402"/>
      <c r="AB743" s="1403"/>
      <c r="AC743" s="1398"/>
      <c r="AD743" s="1399"/>
      <c r="AE743" s="1399"/>
      <c r="AF743" s="1399"/>
      <c r="AG743" s="1400"/>
      <c r="AH743" s="1457" t="str">
        <f t="shared" si="38"/>
        <v/>
      </c>
      <c r="AI743" s="1458"/>
      <c r="AJ743" s="1459"/>
      <c r="AK743" s="1364" t="s">
        <v>591</v>
      </c>
      <c r="AL743" s="1365"/>
      <c r="AM743" s="1365"/>
      <c r="AN743" s="1365"/>
      <c r="AO743" s="1366"/>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7">
        <f t="shared" si="39"/>
        <v>0</v>
      </c>
      <c r="CH743" s="1549"/>
      <c r="CI743" s="1539">
        <f t="shared" si="40"/>
        <v>0</v>
      </c>
      <c r="CJ743" s="1540"/>
      <c r="CK743" s="1547">
        <f t="shared" si="18"/>
        <v>0</v>
      </c>
      <c r="CL743" s="1549"/>
      <c r="CM743" s="1539">
        <f t="shared" si="19"/>
        <v>0</v>
      </c>
      <c r="CN743" s="1540"/>
      <c r="CO743" s="3"/>
      <c r="CP743" s="1532">
        <f t="shared" si="20"/>
        <v>0</v>
      </c>
      <c r="CQ743" s="1533"/>
      <c r="CR743" s="1533"/>
      <c r="CS743" s="1533"/>
      <c r="CT743" s="1534"/>
      <c r="CU743" s="1536">
        <f t="shared" si="21"/>
        <v>0</v>
      </c>
      <c r="CV743" s="1536"/>
      <c r="CW743" s="1536"/>
      <c r="CX743" s="1536"/>
      <c r="CY743" s="1536"/>
      <c r="CZ743" s="1536">
        <f t="shared" si="22"/>
        <v>0</v>
      </c>
      <c r="DA743" s="1536"/>
      <c r="DB743" s="1536"/>
      <c r="DC743" s="1536"/>
      <c r="DD743" s="1536"/>
      <c r="DE743" s="1536">
        <f t="shared" si="23"/>
        <v>0</v>
      </c>
      <c r="DF743" s="1536"/>
      <c r="DG743" s="1536"/>
      <c r="DH743" s="1536"/>
      <c r="DI743" s="1536"/>
      <c r="DJ743" s="1536">
        <f t="shared" si="24"/>
        <v>0</v>
      </c>
      <c r="DK743" s="1536"/>
      <c r="DL743" s="1536"/>
      <c r="DM743" s="1536"/>
      <c r="DN743" s="1536"/>
      <c r="DO743" s="1536">
        <f t="shared" si="25"/>
        <v>0</v>
      </c>
      <c r="DP743" s="1536"/>
      <c r="DQ743" s="1536"/>
      <c r="DR743" s="1536"/>
      <c r="DS743" s="1536"/>
      <c r="DT743" s="6"/>
      <c r="DU743" s="1537">
        <f t="shared" si="26"/>
        <v>0</v>
      </c>
      <c r="DV743" s="1537"/>
      <c r="DW743" s="1537"/>
      <c r="DX743" s="1537"/>
      <c r="DY743" s="1537"/>
      <c r="DZ743" s="1537">
        <f t="shared" si="27"/>
        <v>0</v>
      </c>
      <c r="EA743" s="1537"/>
      <c r="EB743" s="1537"/>
      <c r="EC743" s="1537"/>
      <c r="ED743" s="1537"/>
      <c r="EE743" s="1537">
        <f t="shared" si="28"/>
        <v>0</v>
      </c>
      <c r="EF743" s="1537"/>
      <c r="EG743" s="1537"/>
      <c r="EH743" s="1537"/>
      <c r="EI743" s="1537"/>
      <c r="EJ743" s="1537">
        <f t="shared" si="29"/>
        <v>0</v>
      </c>
      <c r="EK743" s="1537"/>
      <c r="EL743" s="1537"/>
      <c r="EM743" s="1537"/>
      <c r="EN743" s="1537"/>
      <c r="EO743" s="1537">
        <f t="shared" si="30"/>
        <v>0</v>
      </c>
      <c r="EP743" s="1537"/>
      <c r="EQ743" s="1537"/>
      <c r="ER743" s="1537"/>
      <c r="ES743" s="1537"/>
      <c r="ET743" s="1537">
        <f t="shared" si="31"/>
        <v>0</v>
      </c>
      <c r="EU743" s="1537"/>
      <c r="EV743" s="1537"/>
      <c r="EW743" s="1537"/>
      <c r="EX743" s="1537"/>
      <c r="EZ743" s="1547" t="str">
        <f t="shared" si="32"/>
        <v/>
      </c>
      <c r="FA743" s="1548"/>
      <c r="FB743" s="1548"/>
      <c r="FC743" s="1548"/>
      <c r="FD743" s="1549"/>
      <c r="FE743" s="1547" t="str">
        <f t="shared" si="33"/>
        <v/>
      </c>
      <c r="FF743" s="1548"/>
      <c r="FG743" s="1548"/>
      <c r="FH743" s="1548"/>
      <c r="FI743" s="1549"/>
      <c r="FJ743" s="1547" t="str">
        <f t="shared" si="34"/>
        <v/>
      </c>
      <c r="FK743" s="1548"/>
      <c r="FL743" s="1548"/>
      <c r="FM743" s="1548"/>
      <c r="FN743" s="1549"/>
      <c r="FO743" s="1547" t="str">
        <f t="shared" si="35"/>
        <v/>
      </c>
      <c r="FP743" s="1548"/>
      <c r="FQ743" s="1548"/>
      <c r="FR743" s="1548"/>
      <c r="FS743" s="1549"/>
      <c r="FT743" s="1547" t="str">
        <f t="shared" si="36"/>
        <v/>
      </c>
      <c r="FU743" s="1548"/>
      <c r="FV743" s="1548"/>
      <c r="FW743" s="1548"/>
      <c r="FX743" s="1549"/>
      <c r="FY743" s="1547" t="str">
        <f t="shared" si="37"/>
        <v/>
      </c>
      <c r="FZ743" s="1548"/>
      <c r="GA743" s="1548"/>
      <c r="GB743" s="1548"/>
      <c r="GC743" s="1549"/>
    </row>
    <row r="744" spans="1:185" ht="13" customHeight="1">
      <c r="B744" s="1364"/>
      <c r="C744" s="1365"/>
      <c r="D744" s="1365"/>
      <c r="E744" s="1365"/>
      <c r="F744" s="1366"/>
      <c r="G744" s="1358"/>
      <c r="H744" s="1359"/>
      <c r="I744" s="1359"/>
      <c r="J744" s="1360"/>
      <c r="K744" s="1361"/>
      <c r="L744" s="1362"/>
      <c r="M744" s="1362"/>
      <c r="N744" s="1363"/>
      <c r="O744" s="1404"/>
      <c r="P744" s="1405"/>
      <c r="Q744" s="1405"/>
      <c r="R744" s="1405"/>
      <c r="S744" s="1406"/>
      <c r="T744" s="1404"/>
      <c r="U744" s="1405"/>
      <c r="V744" s="1405"/>
      <c r="W744" s="1406"/>
      <c r="X744" s="1401">
        <f t="shared" si="10"/>
        <v>0</v>
      </c>
      <c r="Y744" s="1402"/>
      <c r="Z744" s="1402"/>
      <c r="AA744" s="1402"/>
      <c r="AB744" s="1403"/>
      <c r="AC744" s="1398"/>
      <c r="AD744" s="1399"/>
      <c r="AE744" s="1399"/>
      <c r="AF744" s="1399"/>
      <c r="AG744" s="1400"/>
      <c r="AH744" s="1457" t="str">
        <f t="shared" si="38"/>
        <v/>
      </c>
      <c r="AI744" s="1458"/>
      <c r="AJ744" s="1459"/>
      <c r="AK744" s="1364" t="s">
        <v>591</v>
      </c>
      <c r="AL744" s="1365"/>
      <c r="AM744" s="1365"/>
      <c r="AN744" s="1365"/>
      <c r="AO744" s="1366"/>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7">
        <f t="shared" si="39"/>
        <v>0</v>
      </c>
      <c r="CH744" s="1549"/>
      <c r="CI744" s="1539">
        <f t="shared" si="40"/>
        <v>0</v>
      </c>
      <c r="CJ744" s="1540"/>
      <c r="CK744" s="1547">
        <f t="shared" si="18"/>
        <v>0</v>
      </c>
      <c r="CL744" s="1549"/>
      <c r="CM744" s="1539">
        <f t="shared" si="19"/>
        <v>0</v>
      </c>
      <c r="CN744" s="1540"/>
      <c r="CO744" s="3"/>
      <c r="CP744" s="1532">
        <f t="shared" si="20"/>
        <v>0</v>
      </c>
      <c r="CQ744" s="1533"/>
      <c r="CR744" s="1533"/>
      <c r="CS744" s="1533"/>
      <c r="CT744" s="1534"/>
      <c r="CU744" s="1536">
        <f t="shared" si="21"/>
        <v>0</v>
      </c>
      <c r="CV744" s="1536"/>
      <c r="CW744" s="1536"/>
      <c r="CX744" s="1536"/>
      <c r="CY744" s="1536"/>
      <c r="CZ744" s="1536">
        <f t="shared" si="22"/>
        <v>0</v>
      </c>
      <c r="DA744" s="1536"/>
      <c r="DB744" s="1536"/>
      <c r="DC744" s="1536"/>
      <c r="DD744" s="1536"/>
      <c r="DE744" s="1536">
        <f t="shared" si="23"/>
        <v>0</v>
      </c>
      <c r="DF744" s="1536"/>
      <c r="DG744" s="1536"/>
      <c r="DH744" s="1536"/>
      <c r="DI744" s="1536"/>
      <c r="DJ744" s="1536">
        <f t="shared" si="24"/>
        <v>0</v>
      </c>
      <c r="DK744" s="1536"/>
      <c r="DL744" s="1536"/>
      <c r="DM744" s="1536"/>
      <c r="DN744" s="1536"/>
      <c r="DO744" s="1536">
        <f t="shared" si="25"/>
        <v>0</v>
      </c>
      <c r="DP744" s="1536"/>
      <c r="DQ744" s="1536"/>
      <c r="DR744" s="1536"/>
      <c r="DS744" s="1536"/>
      <c r="DT744" s="6"/>
      <c r="DU744" s="1537">
        <f t="shared" si="26"/>
        <v>0</v>
      </c>
      <c r="DV744" s="1537"/>
      <c r="DW744" s="1537"/>
      <c r="DX744" s="1537"/>
      <c r="DY744" s="1537"/>
      <c r="DZ744" s="1537">
        <f t="shared" si="27"/>
        <v>0</v>
      </c>
      <c r="EA744" s="1537"/>
      <c r="EB744" s="1537"/>
      <c r="EC744" s="1537"/>
      <c r="ED744" s="1537"/>
      <c r="EE744" s="1537">
        <f t="shared" si="28"/>
        <v>0</v>
      </c>
      <c r="EF744" s="1537"/>
      <c r="EG744" s="1537"/>
      <c r="EH744" s="1537"/>
      <c r="EI744" s="1537"/>
      <c r="EJ744" s="1537">
        <f t="shared" si="29"/>
        <v>0</v>
      </c>
      <c r="EK744" s="1537"/>
      <c r="EL744" s="1537"/>
      <c r="EM744" s="1537"/>
      <c r="EN744" s="1537"/>
      <c r="EO744" s="1537">
        <f t="shared" si="30"/>
        <v>0</v>
      </c>
      <c r="EP744" s="1537"/>
      <c r="EQ744" s="1537"/>
      <c r="ER744" s="1537"/>
      <c r="ES744" s="1537"/>
      <c r="ET744" s="1537">
        <f t="shared" si="31"/>
        <v>0</v>
      </c>
      <c r="EU744" s="1537"/>
      <c r="EV744" s="1537"/>
      <c r="EW744" s="1537"/>
      <c r="EX744" s="1537"/>
      <c r="EZ744" s="1547" t="str">
        <f t="shared" si="32"/>
        <v/>
      </c>
      <c r="FA744" s="1548"/>
      <c r="FB744" s="1548"/>
      <c r="FC744" s="1548"/>
      <c r="FD744" s="1549"/>
      <c r="FE744" s="1547" t="str">
        <f t="shared" si="33"/>
        <v/>
      </c>
      <c r="FF744" s="1548"/>
      <c r="FG744" s="1548"/>
      <c r="FH744" s="1548"/>
      <c r="FI744" s="1549"/>
      <c r="FJ744" s="1547" t="str">
        <f t="shared" si="34"/>
        <v/>
      </c>
      <c r="FK744" s="1548"/>
      <c r="FL744" s="1548"/>
      <c r="FM744" s="1548"/>
      <c r="FN744" s="1549"/>
      <c r="FO744" s="1547" t="str">
        <f t="shared" si="35"/>
        <v/>
      </c>
      <c r="FP744" s="1548"/>
      <c r="FQ744" s="1548"/>
      <c r="FR744" s="1548"/>
      <c r="FS744" s="1549"/>
      <c r="FT744" s="1547" t="str">
        <f t="shared" si="36"/>
        <v/>
      </c>
      <c r="FU744" s="1548"/>
      <c r="FV744" s="1548"/>
      <c r="FW744" s="1548"/>
      <c r="FX744" s="1549"/>
      <c r="FY744" s="1547" t="str">
        <f t="shared" si="37"/>
        <v/>
      </c>
      <c r="FZ744" s="1548"/>
      <c r="GA744" s="1548"/>
      <c r="GB744" s="1548"/>
      <c r="GC744" s="1549"/>
    </row>
    <row r="745" spans="1:185" ht="13" customHeight="1">
      <c r="B745" s="1364"/>
      <c r="C745" s="1365"/>
      <c r="D745" s="1365"/>
      <c r="E745" s="1365"/>
      <c r="F745" s="1366"/>
      <c r="G745" s="1358"/>
      <c r="H745" s="1359"/>
      <c r="I745" s="1359"/>
      <c r="J745" s="1360"/>
      <c r="K745" s="1361"/>
      <c r="L745" s="1362"/>
      <c r="M745" s="1362"/>
      <c r="N745" s="1363"/>
      <c r="O745" s="1404"/>
      <c r="P745" s="1405"/>
      <c r="Q745" s="1405"/>
      <c r="R745" s="1405"/>
      <c r="S745" s="1406"/>
      <c r="T745" s="1404"/>
      <c r="U745" s="1405"/>
      <c r="V745" s="1405"/>
      <c r="W745" s="1406"/>
      <c r="X745" s="1401">
        <f t="shared" si="10"/>
        <v>0</v>
      </c>
      <c r="Y745" s="1402"/>
      <c r="Z745" s="1402"/>
      <c r="AA745" s="1402"/>
      <c r="AB745" s="1403"/>
      <c r="AC745" s="1398"/>
      <c r="AD745" s="1399"/>
      <c r="AE745" s="1399"/>
      <c r="AF745" s="1399"/>
      <c r="AG745" s="1400"/>
      <c r="AH745" s="1457" t="str">
        <f t="shared" si="38"/>
        <v/>
      </c>
      <c r="AI745" s="1458"/>
      <c r="AJ745" s="1459"/>
      <c r="AK745" s="1364" t="s">
        <v>591</v>
      </c>
      <c r="AL745" s="1365"/>
      <c r="AM745" s="1365"/>
      <c r="AN745" s="1365"/>
      <c r="AO745" s="1366"/>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7">
        <f t="shared" si="39"/>
        <v>0</v>
      </c>
      <c r="CH745" s="1549"/>
      <c r="CI745" s="1539">
        <f t="shared" si="40"/>
        <v>0</v>
      </c>
      <c r="CJ745" s="1540"/>
      <c r="CK745" s="1547">
        <f t="shared" si="18"/>
        <v>0</v>
      </c>
      <c r="CL745" s="1549"/>
      <c r="CM745" s="1539">
        <f t="shared" si="19"/>
        <v>0</v>
      </c>
      <c r="CN745" s="1540"/>
      <c r="CO745" s="3"/>
      <c r="CP745" s="1532">
        <f t="shared" si="20"/>
        <v>0</v>
      </c>
      <c r="CQ745" s="1533"/>
      <c r="CR745" s="1533"/>
      <c r="CS745" s="1533"/>
      <c r="CT745" s="1534"/>
      <c r="CU745" s="1536">
        <f t="shared" si="21"/>
        <v>0</v>
      </c>
      <c r="CV745" s="1536"/>
      <c r="CW745" s="1536"/>
      <c r="CX745" s="1536"/>
      <c r="CY745" s="1536"/>
      <c r="CZ745" s="1536">
        <f t="shared" si="22"/>
        <v>0</v>
      </c>
      <c r="DA745" s="1536"/>
      <c r="DB745" s="1536"/>
      <c r="DC745" s="1536"/>
      <c r="DD745" s="1536"/>
      <c r="DE745" s="1536">
        <f t="shared" si="23"/>
        <v>0</v>
      </c>
      <c r="DF745" s="1536"/>
      <c r="DG745" s="1536"/>
      <c r="DH745" s="1536"/>
      <c r="DI745" s="1536"/>
      <c r="DJ745" s="1536">
        <f t="shared" si="24"/>
        <v>0</v>
      </c>
      <c r="DK745" s="1536"/>
      <c r="DL745" s="1536"/>
      <c r="DM745" s="1536"/>
      <c r="DN745" s="1536"/>
      <c r="DO745" s="1536">
        <f t="shared" si="25"/>
        <v>0</v>
      </c>
      <c r="DP745" s="1536"/>
      <c r="DQ745" s="1536"/>
      <c r="DR745" s="1536"/>
      <c r="DS745" s="1536"/>
      <c r="DT745" s="6"/>
      <c r="DU745" s="1537">
        <f t="shared" si="26"/>
        <v>0</v>
      </c>
      <c r="DV745" s="1537"/>
      <c r="DW745" s="1537"/>
      <c r="DX745" s="1537"/>
      <c r="DY745" s="1537"/>
      <c r="DZ745" s="1537">
        <f t="shared" si="27"/>
        <v>0</v>
      </c>
      <c r="EA745" s="1537"/>
      <c r="EB745" s="1537"/>
      <c r="EC745" s="1537"/>
      <c r="ED745" s="1537"/>
      <c r="EE745" s="1537">
        <f t="shared" si="28"/>
        <v>0</v>
      </c>
      <c r="EF745" s="1537"/>
      <c r="EG745" s="1537"/>
      <c r="EH745" s="1537"/>
      <c r="EI745" s="1537"/>
      <c r="EJ745" s="1537">
        <f t="shared" si="29"/>
        <v>0</v>
      </c>
      <c r="EK745" s="1537"/>
      <c r="EL745" s="1537"/>
      <c r="EM745" s="1537"/>
      <c r="EN745" s="1537"/>
      <c r="EO745" s="1537">
        <f t="shared" si="30"/>
        <v>0</v>
      </c>
      <c r="EP745" s="1537"/>
      <c r="EQ745" s="1537"/>
      <c r="ER745" s="1537"/>
      <c r="ES745" s="1537"/>
      <c r="ET745" s="1537">
        <f t="shared" si="31"/>
        <v>0</v>
      </c>
      <c r="EU745" s="1537"/>
      <c r="EV745" s="1537"/>
      <c r="EW745" s="1537"/>
      <c r="EX745" s="1537"/>
      <c r="EZ745" s="1547" t="str">
        <f t="shared" si="32"/>
        <v/>
      </c>
      <c r="FA745" s="1548"/>
      <c r="FB745" s="1548"/>
      <c r="FC745" s="1548"/>
      <c r="FD745" s="1549"/>
      <c r="FE745" s="1547" t="str">
        <f t="shared" si="33"/>
        <v/>
      </c>
      <c r="FF745" s="1548"/>
      <c r="FG745" s="1548"/>
      <c r="FH745" s="1548"/>
      <c r="FI745" s="1549"/>
      <c r="FJ745" s="1547" t="str">
        <f t="shared" si="34"/>
        <v/>
      </c>
      <c r="FK745" s="1548"/>
      <c r="FL745" s="1548"/>
      <c r="FM745" s="1548"/>
      <c r="FN745" s="1549"/>
      <c r="FO745" s="1547" t="str">
        <f t="shared" si="35"/>
        <v/>
      </c>
      <c r="FP745" s="1548"/>
      <c r="FQ745" s="1548"/>
      <c r="FR745" s="1548"/>
      <c r="FS745" s="1549"/>
      <c r="FT745" s="1547" t="str">
        <f t="shared" si="36"/>
        <v/>
      </c>
      <c r="FU745" s="1548"/>
      <c r="FV745" s="1548"/>
      <c r="FW745" s="1548"/>
      <c r="FX745" s="1549"/>
      <c r="FY745" s="1547" t="str">
        <f t="shared" si="37"/>
        <v/>
      </c>
      <c r="FZ745" s="1548"/>
      <c r="GA745" s="1548"/>
      <c r="GB745" s="1548"/>
      <c r="GC745" s="1549"/>
    </row>
    <row r="746" spans="1:185" ht="13" customHeight="1">
      <c r="B746" s="1364"/>
      <c r="C746" s="1365"/>
      <c r="D746" s="1365"/>
      <c r="E746" s="1365"/>
      <c r="F746" s="1366"/>
      <c r="G746" s="1358"/>
      <c r="H746" s="1359"/>
      <c r="I746" s="1359"/>
      <c r="J746" s="1360"/>
      <c r="K746" s="1361"/>
      <c r="L746" s="1362"/>
      <c r="M746" s="1362"/>
      <c r="N746" s="1363"/>
      <c r="O746" s="1404"/>
      <c r="P746" s="1405"/>
      <c r="Q746" s="1405"/>
      <c r="R746" s="1405"/>
      <c r="S746" s="1406"/>
      <c r="T746" s="1404"/>
      <c r="U746" s="1405"/>
      <c r="V746" s="1405"/>
      <c r="W746" s="1406"/>
      <c r="X746" s="1401">
        <f t="shared" si="10"/>
        <v>0</v>
      </c>
      <c r="Y746" s="1402"/>
      <c r="Z746" s="1402"/>
      <c r="AA746" s="1402"/>
      <c r="AB746" s="1403"/>
      <c r="AC746" s="1398"/>
      <c r="AD746" s="1399"/>
      <c r="AE746" s="1399"/>
      <c r="AF746" s="1399"/>
      <c r="AG746" s="1400"/>
      <c r="AH746" s="1457" t="str">
        <f t="shared" si="38"/>
        <v/>
      </c>
      <c r="AI746" s="1458"/>
      <c r="AJ746" s="1459"/>
      <c r="AK746" s="1364" t="s">
        <v>591</v>
      </c>
      <c r="AL746" s="1365"/>
      <c r="AM746" s="1365"/>
      <c r="AN746" s="1365"/>
      <c r="AO746" s="1366"/>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7">
        <f t="shared" si="39"/>
        <v>0</v>
      </c>
      <c r="CH746" s="1549"/>
      <c r="CI746" s="1539">
        <f t="shared" si="40"/>
        <v>0</v>
      </c>
      <c r="CJ746" s="1540"/>
      <c r="CK746" s="1547">
        <f t="shared" si="18"/>
        <v>0</v>
      </c>
      <c r="CL746" s="1549"/>
      <c r="CM746" s="1539">
        <f t="shared" si="19"/>
        <v>0</v>
      </c>
      <c r="CN746" s="1540"/>
      <c r="CO746" s="3"/>
      <c r="CP746" s="1532">
        <f t="shared" si="20"/>
        <v>0</v>
      </c>
      <c r="CQ746" s="1533"/>
      <c r="CR746" s="1533"/>
      <c r="CS746" s="1533"/>
      <c r="CT746" s="1534"/>
      <c r="CU746" s="1536">
        <f t="shared" si="21"/>
        <v>0</v>
      </c>
      <c r="CV746" s="1536"/>
      <c r="CW746" s="1536"/>
      <c r="CX746" s="1536"/>
      <c r="CY746" s="1536"/>
      <c r="CZ746" s="1536">
        <f t="shared" si="22"/>
        <v>0</v>
      </c>
      <c r="DA746" s="1536"/>
      <c r="DB746" s="1536"/>
      <c r="DC746" s="1536"/>
      <c r="DD746" s="1536"/>
      <c r="DE746" s="1536">
        <f t="shared" si="23"/>
        <v>0</v>
      </c>
      <c r="DF746" s="1536"/>
      <c r="DG746" s="1536"/>
      <c r="DH746" s="1536"/>
      <c r="DI746" s="1536"/>
      <c r="DJ746" s="1536">
        <f t="shared" si="24"/>
        <v>0</v>
      </c>
      <c r="DK746" s="1536"/>
      <c r="DL746" s="1536"/>
      <c r="DM746" s="1536"/>
      <c r="DN746" s="1536"/>
      <c r="DO746" s="1536">
        <f t="shared" si="25"/>
        <v>0</v>
      </c>
      <c r="DP746" s="1536"/>
      <c r="DQ746" s="1536"/>
      <c r="DR746" s="1536"/>
      <c r="DS746" s="1536"/>
      <c r="DT746" s="6"/>
      <c r="DU746" s="1537">
        <f t="shared" si="26"/>
        <v>0</v>
      </c>
      <c r="DV746" s="1537"/>
      <c r="DW746" s="1537"/>
      <c r="DX746" s="1537"/>
      <c r="DY746" s="1537"/>
      <c r="DZ746" s="1537">
        <f t="shared" si="27"/>
        <v>0</v>
      </c>
      <c r="EA746" s="1537"/>
      <c r="EB746" s="1537"/>
      <c r="EC746" s="1537"/>
      <c r="ED746" s="1537"/>
      <c r="EE746" s="1537">
        <f t="shared" si="28"/>
        <v>0</v>
      </c>
      <c r="EF746" s="1537"/>
      <c r="EG746" s="1537"/>
      <c r="EH746" s="1537"/>
      <c r="EI746" s="1537"/>
      <c r="EJ746" s="1537">
        <f t="shared" si="29"/>
        <v>0</v>
      </c>
      <c r="EK746" s="1537"/>
      <c r="EL746" s="1537"/>
      <c r="EM746" s="1537"/>
      <c r="EN746" s="1537"/>
      <c r="EO746" s="1537">
        <f t="shared" si="30"/>
        <v>0</v>
      </c>
      <c r="EP746" s="1537"/>
      <c r="EQ746" s="1537"/>
      <c r="ER746" s="1537"/>
      <c r="ES746" s="1537"/>
      <c r="ET746" s="1537">
        <f t="shared" si="31"/>
        <v>0</v>
      </c>
      <c r="EU746" s="1537"/>
      <c r="EV746" s="1537"/>
      <c r="EW746" s="1537"/>
      <c r="EX746" s="1537"/>
      <c r="EZ746" s="1547" t="str">
        <f t="shared" si="32"/>
        <v/>
      </c>
      <c r="FA746" s="1548"/>
      <c r="FB746" s="1548"/>
      <c r="FC746" s="1548"/>
      <c r="FD746" s="1549"/>
      <c r="FE746" s="1547" t="str">
        <f t="shared" si="33"/>
        <v/>
      </c>
      <c r="FF746" s="1548"/>
      <c r="FG746" s="1548"/>
      <c r="FH746" s="1548"/>
      <c r="FI746" s="1549"/>
      <c r="FJ746" s="1547" t="str">
        <f t="shared" si="34"/>
        <v/>
      </c>
      <c r="FK746" s="1548"/>
      <c r="FL746" s="1548"/>
      <c r="FM746" s="1548"/>
      <c r="FN746" s="1549"/>
      <c r="FO746" s="1547" t="str">
        <f t="shared" si="35"/>
        <v/>
      </c>
      <c r="FP746" s="1548"/>
      <c r="FQ746" s="1548"/>
      <c r="FR746" s="1548"/>
      <c r="FS746" s="1549"/>
      <c r="FT746" s="1547" t="str">
        <f t="shared" si="36"/>
        <v/>
      </c>
      <c r="FU746" s="1548"/>
      <c r="FV746" s="1548"/>
      <c r="FW746" s="1548"/>
      <c r="FX746" s="1549"/>
      <c r="FY746" s="1547" t="str">
        <f t="shared" si="37"/>
        <v/>
      </c>
      <c r="FZ746" s="1548"/>
      <c r="GA746" s="1548"/>
      <c r="GB746" s="1548"/>
      <c r="GC746" s="1549"/>
    </row>
    <row r="747" spans="1:185" ht="13" customHeight="1">
      <c r="B747" s="1364"/>
      <c r="C747" s="1365"/>
      <c r="D747" s="1365"/>
      <c r="E747" s="1365"/>
      <c r="F747" s="1366"/>
      <c r="G747" s="1358"/>
      <c r="H747" s="1359"/>
      <c r="I747" s="1359"/>
      <c r="J747" s="1360"/>
      <c r="K747" s="1361"/>
      <c r="L747" s="1362"/>
      <c r="M747" s="1362"/>
      <c r="N747" s="1363"/>
      <c r="O747" s="1404"/>
      <c r="P747" s="1405"/>
      <c r="Q747" s="1405"/>
      <c r="R747" s="1405"/>
      <c r="S747" s="1406"/>
      <c r="T747" s="1404"/>
      <c r="U747" s="1405"/>
      <c r="V747" s="1405"/>
      <c r="W747" s="1406"/>
      <c r="X747" s="1401">
        <f t="shared" si="10"/>
        <v>0</v>
      </c>
      <c r="Y747" s="1402"/>
      <c r="Z747" s="1402"/>
      <c r="AA747" s="1402"/>
      <c r="AB747" s="1403"/>
      <c r="AC747" s="1398"/>
      <c r="AD747" s="1399"/>
      <c r="AE747" s="1399"/>
      <c r="AF747" s="1399"/>
      <c r="AG747" s="1400"/>
      <c r="AH747" s="1457" t="str">
        <f t="shared" si="38"/>
        <v/>
      </c>
      <c r="AI747" s="1458"/>
      <c r="AJ747" s="1459"/>
      <c r="AK747" s="1364" t="s">
        <v>591</v>
      </c>
      <c r="AL747" s="1365"/>
      <c r="AM747" s="1365"/>
      <c r="AN747" s="1365"/>
      <c r="AO747" s="1366"/>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7">
        <f t="shared" si="39"/>
        <v>0</v>
      </c>
      <c r="CH747" s="1549"/>
      <c r="CI747" s="1539">
        <f t="shared" si="40"/>
        <v>0</v>
      </c>
      <c r="CJ747" s="1540"/>
      <c r="CK747" s="1547">
        <f t="shared" si="18"/>
        <v>0</v>
      </c>
      <c r="CL747" s="1549"/>
      <c r="CM747" s="1539">
        <f t="shared" si="19"/>
        <v>0</v>
      </c>
      <c r="CN747" s="1540"/>
      <c r="CO747" s="3"/>
      <c r="CP747" s="1532">
        <f t="shared" si="20"/>
        <v>0</v>
      </c>
      <c r="CQ747" s="1533"/>
      <c r="CR747" s="1533"/>
      <c r="CS747" s="1533"/>
      <c r="CT747" s="1534"/>
      <c r="CU747" s="1536">
        <f t="shared" si="21"/>
        <v>0</v>
      </c>
      <c r="CV747" s="1536"/>
      <c r="CW747" s="1536"/>
      <c r="CX747" s="1536"/>
      <c r="CY747" s="1536"/>
      <c r="CZ747" s="1536">
        <f t="shared" si="22"/>
        <v>0</v>
      </c>
      <c r="DA747" s="1536"/>
      <c r="DB747" s="1536"/>
      <c r="DC747" s="1536"/>
      <c r="DD747" s="1536"/>
      <c r="DE747" s="1536">
        <f t="shared" si="23"/>
        <v>0</v>
      </c>
      <c r="DF747" s="1536"/>
      <c r="DG747" s="1536"/>
      <c r="DH747" s="1536"/>
      <c r="DI747" s="1536"/>
      <c r="DJ747" s="1536">
        <f t="shared" si="24"/>
        <v>0</v>
      </c>
      <c r="DK747" s="1536"/>
      <c r="DL747" s="1536"/>
      <c r="DM747" s="1536"/>
      <c r="DN747" s="1536"/>
      <c r="DO747" s="1536">
        <f t="shared" si="25"/>
        <v>0</v>
      </c>
      <c r="DP747" s="1536"/>
      <c r="DQ747" s="1536"/>
      <c r="DR747" s="1536"/>
      <c r="DS747" s="1536"/>
      <c r="DT747" s="6"/>
      <c r="DU747" s="1537">
        <f t="shared" si="26"/>
        <v>0</v>
      </c>
      <c r="DV747" s="1537"/>
      <c r="DW747" s="1537"/>
      <c r="DX747" s="1537"/>
      <c r="DY747" s="1537"/>
      <c r="DZ747" s="1537">
        <f t="shared" si="27"/>
        <v>0</v>
      </c>
      <c r="EA747" s="1537"/>
      <c r="EB747" s="1537"/>
      <c r="EC747" s="1537"/>
      <c r="ED747" s="1537"/>
      <c r="EE747" s="1537">
        <f t="shared" si="28"/>
        <v>0</v>
      </c>
      <c r="EF747" s="1537"/>
      <c r="EG747" s="1537"/>
      <c r="EH747" s="1537"/>
      <c r="EI747" s="1537"/>
      <c r="EJ747" s="1537">
        <f t="shared" si="29"/>
        <v>0</v>
      </c>
      <c r="EK747" s="1537"/>
      <c r="EL747" s="1537"/>
      <c r="EM747" s="1537"/>
      <c r="EN747" s="1537"/>
      <c r="EO747" s="1537">
        <f t="shared" si="30"/>
        <v>0</v>
      </c>
      <c r="EP747" s="1537"/>
      <c r="EQ747" s="1537"/>
      <c r="ER747" s="1537"/>
      <c r="ES747" s="1537"/>
      <c r="ET747" s="1537">
        <f t="shared" si="31"/>
        <v>0</v>
      </c>
      <c r="EU747" s="1537"/>
      <c r="EV747" s="1537"/>
      <c r="EW747" s="1537"/>
      <c r="EX747" s="1537"/>
      <c r="EZ747" s="1547" t="str">
        <f t="shared" si="32"/>
        <v/>
      </c>
      <c r="FA747" s="1548"/>
      <c r="FB747" s="1548"/>
      <c r="FC747" s="1548"/>
      <c r="FD747" s="1549"/>
      <c r="FE747" s="1547" t="str">
        <f t="shared" si="33"/>
        <v/>
      </c>
      <c r="FF747" s="1548"/>
      <c r="FG747" s="1548"/>
      <c r="FH747" s="1548"/>
      <c r="FI747" s="1549"/>
      <c r="FJ747" s="1547" t="str">
        <f t="shared" si="34"/>
        <v/>
      </c>
      <c r="FK747" s="1548"/>
      <c r="FL747" s="1548"/>
      <c r="FM747" s="1548"/>
      <c r="FN747" s="1549"/>
      <c r="FO747" s="1547" t="str">
        <f t="shared" si="35"/>
        <v/>
      </c>
      <c r="FP747" s="1548"/>
      <c r="FQ747" s="1548"/>
      <c r="FR747" s="1548"/>
      <c r="FS747" s="1549"/>
      <c r="FT747" s="1547" t="str">
        <f t="shared" si="36"/>
        <v/>
      </c>
      <c r="FU747" s="1548"/>
      <c r="FV747" s="1548"/>
      <c r="FW747" s="1548"/>
      <c r="FX747" s="1549"/>
      <c r="FY747" s="1547" t="str">
        <f t="shared" si="37"/>
        <v/>
      </c>
      <c r="FZ747" s="1548"/>
      <c r="GA747" s="1548"/>
      <c r="GB747" s="1548"/>
      <c r="GC747" s="1549"/>
    </row>
    <row r="748" spans="1:185" ht="13" customHeight="1">
      <c r="B748" s="1364"/>
      <c r="C748" s="1365"/>
      <c r="D748" s="1365"/>
      <c r="E748" s="1365"/>
      <c r="F748" s="1366"/>
      <c r="G748" s="1358"/>
      <c r="H748" s="1359"/>
      <c r="I748" s="1359"/>
      <c r="J748" s="1360"/>
      <c r="K748" s="1361"/>
      <c r="L748" s="1362"/>
      <c r="M748" s="1362"/>
      <c r="N748" s="1363"/>
      <c r="O748" s="1404"/>
      <c r="P748" s="1405"/>
      <c r="Q748" s="1405"/>
      <c r="R748" s="1405"/>
      <c r="S748" s="1406"/>
      <c r="T748" s="1404"/>
      <c r="U748" s="1405"/>
      <c r="V748" s="1405"/>
      <c r="W748" s="1406"/>
      <c r="X748" s="1401">
        <f t="shared" si="10"/>
        <v>0</v>
      </c>
      <c r="Y748" s="1402"/>
      <c r="Z748" s="1402"/>
      <c r="AA748" s="1402"/>
      <c r="AB748" s="1403"/>
      <c r="AC748" s="1398"/>
      <c r="AD748" s="1399"/>
      <c r="AE748" s="1399"/>
      <c r="AF748" s="1399"/>
      <c r="AG748" s="1400"/>
      <c r="AH748" s="1457" t="str">
        <f t="shared" si="38"/>
        <v/>
      </c>
      <c r="AI748" s="1458"/>
      <c r="AJ748" s="1459"/>
      <c r="AK748" s="1364" t="s">
        <v>591</v>
      </c>
      <c r="AL748" s="1365"/>
      <c r="AM748" s="1365"/>
      <c r="AN748" s="1365"/>
      <c r="AO748" s="1366"/>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7">
        <f t="shared" si="39"/>
        <v>0</v>
      </c>
      <c r="CH748" s="1549"/>
      <c r="CI748" s="1539">
        <f t="shared" si="40"/>
        <v>0</v>
      </c>
      <c r="CJ748" s="1540"/>
      <c r="CK748" s="1547">
        <f t="shared" si="18"/>
        <v>0</v>
      </c>
      <c r="CL748" s="1549"/>
      <c r="CM748" s="1539">
        <f t="shared" si="19"/>
        <v>0</v>
      </c>
      <c r="CN748" s="1540"/>
      <c r="CO748" s="3"/>
      <c r="CP748" s="1532">
        <f t="shared" si="20"/>
        <v>0</v>
      </c>
      <c r="CQ748" s="1533"/>
      <c r="CR748" s="1533"/>
      <c r="CS748" s="1533"/>
      <c r="CT748" s="1534"/>
      <c r="CU748" s="1536">
        <f t="shared" si="21"/>
        <v>0</v>
      </c>
      <c r="CV748" s="1536"/>
      <c r="CW748" s="1536"/>
      <c r="CX748" s="1536"/>
      <c r="CY748" s="1536"/>
      <c r="CZ748" s="1536">
        <f t="shared" si="22"/>
        <v>0</v>
      </c>
      <c r="DA748" s="1536"/>
      <c r="DB748" s="1536"/>
      <c r="DC748" s="1536"/>
      <c r="DD748" s="1536"/>
      <c r="DE748" s="1536">
        <f t="shared" si="23"/>
        <v>0</v>
      </c>
      <c r="DF748" s="1536"/>
      <c r="DG748" s="1536"/>
      <c r="DH748" s="1536"/>
      <c r="DI748" s="1536"/>
      <c r="DJ748" s="1536">
        <f t="shared" si="24"/>
        <v>0</v>
      </c>
      <c r="DK748" s="1536"/>
      <c r="DL748" s="1536"/>
      <c r="DM748" s="1536"/>
      <c r="DN748" s="1536"/>
      <c r="DO748" s="1536">
        <f t="shared" si="25"/>
        <v>0</v>
      </c>
      <c r="DP748" s="1536"/>
      <c r="DQ748" s="1536"/>
      <c r="DR748" s="1536"/>
      <c r="DS748" s="1536"/>
      <c r="DT748" s="6"/>
      <c r="DU748" s="1537">
        <f t="shared" si="26"/>
        <v>0</v>
      </c>
      <c r="DV748" s="1537"/>
      <c r="DW748" s="1537"/>
      <c r="DX748" s="1537"/>
      <c r="DY748" s="1537"/>
      <c r="DZ748" s="1537">
        <f t="shared" si="27"/>
        <v>0</v>
      </c>
      <c r="EA748" s="1537"/>
      <c r="EB748" s="1537"/>
      <c r="EC748" s="1537"/>
      <c r="ED748" s="1537"/>
      <c r="EE748" s="1537">
        <f t="shared" si="28"/>
        <v>0</v>
      </c>
      <c r="EF748" s="1537"/>
      <c r="EG748" s="1537"/>
      <c r="EH748" s="1537"/>
      <c r="EI748" s="1537"/>
      <c r="EJ748" s="1537">
        <f t="shared" si="29"/>
        <v>0</v>
      </c>
      <c r="EK748" s="1537"/>
      <c r="EL748" s="1537"/>
      <c r="EM748" s="1537"/>
      <c r="EN748" s="1537"/>
      <c r="EO748" s="1537">
        <f t="shared" si="30"/>
        <v>0</v>
      </c>
      <c r="EP748" s="1537"/>
      <c r="EQ748" s="1537"/>
      <c r="ER748" s="1537"/>
      <c r="ES748" s="1537"/>
      <c r="ET748" s="1537">
        <f t="shared" si="31"/>
        <v>0</v>
      </c>
      <c r="EU748" s="1537"/>
      <c r="EV748" s="1537"/>
      <c r="EW748" s="1537"/>
      <c r="EX748" s="1537"/>
      <c r="EZ748" s="1547" t="str">
        <f t="shared" si="32"/>
        <v/>
      </c>
      <c r="FA748" s="1548"/>
      <c r="FB748" s="1548"/>
      <c r="FC748" s="1548"/>
      <c r="FD748" s="1549"/>
      <c r="FE748" s="1547" t="str">
        <f t="shared" si="33"/>
        <v/>
      </c>
      <c r="FF748" s="1548"/>
      <c r="FG748" s="1548"/>
      <c r="FH748" s="1548"/>
      <c r="FI748" s="1549"/>
      <c r="FJ748" s="1547" t="str">
        <f t="shared" si="34"/>
        <v/>
      </c>
      <c r="FK748" s="1548"/>
      <c r="FL748" s="1548"/>
      <c r="FM748" s="1548"/>
      <c r="FN748" s="1549"/>
      <c r="FO748" s="1547" t="str">
        <f t="shared" si="35"/>
        <v/>
      </c>
      <c r="FP748" s="1548"/>
      <c r="FQ748" s="1548"/>
      <c r="FR748" s="1548"/>
      <c r="FS748" s="1549"/>
      <c r="FT748" s="1547" t="str">
        <f t="shared" si="36"/>
        <v/>
      </c>
      <c r="FU748" s="1548"/>
      <c r="FV748" s="1548"/>
      <c r="FW748" s="1548"/>
      <c r="FX748" s="1549"/>
      <c r="FY748" s="1547" t="str">
        <f t="shared" si="37"/>
        <v/>
      </c>
      <c r="FZ748" s="1548"/>
      <c r="GA748" s="1548"/>
      <c r="GB748" s="1548"/>
      <c r="GC748" s="1549"/>
    </row>
    <row r="749" spans="1:185" ht="13" customHeight="1">
      <c r="B749" s="1364"/>
      <c r="C749" s="1365"/>
      <c r="D749" s="1365"/>
      <c r="E749" s="1365"/>
      <c r="F749" s="1366"/>
      <c r="G749" s="1358"/>
      <c r="H749" s="1359"/>
      <c r="I749" s="1359"/>
      <c r="J749" s="1360"/>
      <c r="K749" s="1361"/>
      <c r="L749" s="1362"/>
      <c r="M749" s="1362"/>
      <c r="N749" s="1363"/>
      <c r="O749" s="1404"/>
      <c r="P749" s="1405"/>
      <c r="Q749" s="1405"/>
      <c r="R749" s="1405"/>
      <c r="S749" s="1406"/>
      <c r="T749" s="1404"/>
      <c r="U749" s="1405"/>
      <c r="V749" s="1405"/>
      <c r="W749" s="1406"/>
      <c r="X749" s="1401">
        <f t="shared" si="10"/>
        <v>0</v>
      </c>
      <c r="Y749" s="1402"/>
      <c r="Z749" s="1402"/>
      <c r="AA749" s="1402"/>
      <c r="AB749" s="1403"/>
      <c r="AC749" s="1398"/>
      <c r="AD749" s="1399"/>
      <c r="AE749" s="1399"/>
      <c r="AF749" s="1399"/>
      <c r="AG749" s="1400"/>
      <c r="AH749" s="1457" t="str">
        <f t="shared" si="38"/>
        <v/>
      </c>
      <c r="AI749" s="1458"/>
      <c r="AJ749" s="1459"/>
      <c r="AK749" s="1364" t="s">
        <v>591</v>
      </c>
      <c r="AL749" s="1365"/>
      <c r="AM749" s="1365"/>
      <c r="AN749" s="1365"/>
      <c r="AO749" s="1366"/>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7">
        <f t="shared" si="39"/>
        <v>0</v>
      </c>
      <c r="CH749" s="1549"/>
      <c r="CI749" s="1539">
        <f t="shared" si="40"/>
        <v>0</v>
      </c>
      <c r="CJ749" s="1540"/>
      <c r="CK749" s="1547">
        <f t="shared" si="18"/>
        <v>0</v>
      </c>
      <c r="CL749" s="1549"/>
      <c r="CM749" s="1539">
        <f t="shared" si="19"/>
        <v>0</v>
      </c>
      <c r="CN749" s="1540"/>
      <c r="CO749" s="3"/>
      <c r="CP749" s="1532">
        <f t="shared" si="20"/>
        <v>0</v>
      </c>
      <c r="CQ749" s="1533"/>
      <c r="CR749" s="1533"/>
      <c r="CS749" s="1533"/>
      <c r="CT749" s="1534"/>
      <c r="CU749" s="1536">
        <f t="shared" si="21"/>
        <v>0</v>
      </c>
      <c r="CV749" s="1536"/>
      <c r="CW749" s="1536"/>
      <c r="CX749" s="1536"/>
      <c r="CY749" s="1536"/>
      <c r="CZ749" s="1536">
        <f t="shared" si="22"/>
        <v>0</v>
      </c>
      <c r="DA749" s="1536"/>
      <c r="DB749" s="1536"/>
      <c r="DC749" s="1536"/>
      <c r="DD749" s="1536"/>
      <c r="DE749" s="1536">
        <f t="shared" si="23"/>
        <v>0</v>
      </c>
      <c r="DF749" s="1536"/>
      <c r="DG749" s="1536"/>
      <c r="DH749" s="1536"/>
      <c r="DI749" s="1536"/>
      <c r="DJ749" s="1536">
        <f t="shared" si="24"/>
        <v>0</v>
      </c>
      <c r="DK749" s="1536"/>
      <c r="DL749" s="1536"/>
      <c r="DM749" s="1536"/>
      <c r="DN749" s="1536"/>
      <c r="DO749" s="1536">
        <f t="shared" si="25"/>
        <v>0</v>
      </c>
      <c r="DP749" s="1536"/>
      <c r="DQ749" s="1536"/>
      <c r="DR749" s="1536"/>
      <c r="DS749" s="1536"/>
      <c r="DT749" s="6"/>
      <c r="DU749" s="1537">
        <f t="shared" si="26"/>
        <v>0</v>
      </c>
      <c r="DV749" s="1537"/>
      <c r="DW749" s="1537"/>
      <c r="DX749" s="1537"/>
      <c r="DY749" s="1537"/>
      <c r="DZ749" s="1537">
        <f t="shared" si="27"/>
        <v>0</v>
      </c>
      <c r="EA749" s="1537"/>
      <c r="EB749" s="1537"/>
      <c r="EC749" s="1537"/>
      <c r="ED749" s="1537"/>
      <c r="EE749" s="1537">
        <f t="shared" si="28"/>
        <v>0</v>
      </c>
      <c r="EF749" s="1537"/>
      <c r="EG749" s="1537"/>
      <c r="EH749" s="1537"/>
      <c r="EI749" s="1537"/>
      <c r="EJ749" s="1537">
        <f t="shared" si="29"/>
        <v>0</v>
      </c>
      <c r="EK749" s="1537"/>
      <c r="EL749" s="1537"/>
      <c r="EM749" s="1537"/>
      <c r="EN749" s="1537"/>
      <c r="EO749" s="1537">
        <f t="shared" si="30"/>
        <v>0</v>
      </c>
      <c r="EP749" s="1537"/>
      <c r="EQ749" s="1537"/>
      <c r="ER749" s="1537"/>
      <c r="ES749" s="1537"/>
      <c r="ET749" s="1537">
        <f t="shared" si="31"/>
        <v>0</v>
      </c>
      <c r="EU749" s="1537"/>
      <c r="EV749" s="1537"/>
      <c r="EW749" s="1537"/>
      <c r="EX749" s="1537"/>
      <c r="EZ749" s="1547" t="str">
        <f t="shared" si="32"/>
        <v/>
      </c>
      <c r="FA749" s="1548"/>
      <c r="FB749" s="1548"/>
      <c r="FC749" s="1548"/>
      <c r="FD749" s="1549"/>
      <c r="FE749" s="1547" t="str">
        <f t="shared" si="33"/>
        <v/>
      </c>
      <c r="FF749" s="1548"/>
      <c r="FG749" s="1548"/>
      <c r="FH749" s="1548"/>
      <c r="FI749" s="1549"/>
      <c r="FJ749" s="1547" t="str">
        <f t="shared" si="34"/>
        <v/>
      </c>
      <c r="FK749" s="1548"/>
      <c r="FL749" s="1548"/>
      <c r="FM749" s="1548"/>
      <c r="FN749" s="1549"/>
      <c r="FO749" s="1547" t="str">
        <f t="shared" si="35"/>
        <v/>
      </c>
      <c r="FP749" s="1548"/>
      <c r="FQ749" s="1548"/>
      <c r="FR749" s="1548"/>
      <c r="FS749" s="1549"/>
      <c r="FT749" s="1547" t="str">
        <f t="shared" si="36"/>
        <v/>
      </c>
      <c r="FU749" s="1548"/>
      <c r="FV749" s="1548"/>
      <c r="FW749" s="1548"/>
      <c r="FX749" s="1549"/>
      <c r="FY749" s="1547" t="str">
        <f t="shared" si="37"/>
        <v/>
      </c>
      <c r="FZ749" s="1548"/>
      <c r="GA749" s="1548"/>
      <c r="GB749" s="1548"/>
      <c r="GC749" s="1549"/>
    </row>
    <row r="750" spans="1:185" ht="13" customHeight="1">
      <c r="B750" s="1364"/>
      <c r="C750" s="1365"/>
      <c r="D750" s="1365"/>
      <c r="E750" s="1365"/>
      <c r="F750" s="1366"/>
      <c r="G750" s="1358"/>
      <c r="H750" s="1359"/>
      <c r="I750" s="1359"/>
      <c r="J750" s="1360"/>
      <c r="K750" s="1361"/>
      <c r="L750" s="1362"/>
      <c r="M750" s="1362"/>
      <c r="N750" s="1363"/>
      <c r="O750" s="1404"/>
      <c r="P750" s="1405"/>
      <c r="Q750" s="1405"/>
      <c r="R750" s="1405"/>
      <c r="S750" s="1406"/>
      <c r="T750" s="1404"/>
      <c r="U750" s="1405"/>
      <c r="V750" s="1405"/>
      <c r="W750" s="1406"/>
      <c r="X750" s="1401">
        <f t="shared" ref="X750:X759" si="41">O750+T750</f>
        <v>0</v>
      </c>
      <c r="Y750" s="1402"/>
      <c r="Z750" s="1402"/>
      <c r="AA750" s="1402"/>
      <c r="AB750" s="1403"/>
      <c r="AC750" s="1398"/>
      <c r="AD750" s="1399"/>
      <c r="AE750" s="1399"/>
      <c r="AF750" s="1399"/>
      <c r="AG750" s="1400"/>
      <c r="AH750" s="1457" t="str">
        <f t="shared" si="38"/>
        <v/>
      </c>
      <c r="AI750" s="1458"/>
      <c r="AJ750" s="1459"/>
      <c r="AK750" s="1364" t="s">
        <v>591</v>
      </c>
      <c r="AL750" s="1365"/>
      <c r="AM750" s="1365"/>
      <c r="AN750" s="1365"/>
      <c r="AO750" s="1366"/>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7">
        <f t="shared" si="39"/>
        <v>0</v>
      </c>
      <c r="CH750" s="1549"/>
      <c r="CI750" s="1539">
        <f t="shared" si="40"/>
        <v>0</v>
      </c>
      <c r="CJ750" s="1540"/>
      <c r="CK750" s="1547">
        <f t="shared" si="18"/>
        <v>0</v>
      </c>
      <c r="CL750" s="1549"/>
      <c r="CM750" s="1539">
        <f t="shared" si="19"/>
        <v>0</v>
      </c>
      <c r="CN750" s="1540"/>
      <c r="CO750" s="3"/>
      <c r="CP750" s="1532">
        <f t="shared" si="20"/>
        <v>0</v>
      </c>
      <c r="CQ750" s="1533"/>
      <c r="CR750" s="1533"/>
      <c r="CS750" s="1533"/>
      <c r="CT750" s="1534"/>
      <c r="CU750" s="1536">
        <f t="shared" si="21"/>
        <v>0</v>
      </c>
      <c r="CV750" s="1536"/>
      <c r="CW750" s="1536"/>
      <c r="CX750" s="1536"/>
      <c r="CY750" s="1536"/>
      <c r="CZ750" s="1536">
        <f t="shared" si="22"/>
        <v>0</v>
      </c>
      <c r="DA750" s="1536"/>
      <c r="DB750" s="1536"/>
      <c r="DC750" s="1536"/>
      <c r="DD750" s="1536"/>
      <c r="DE750" s="1536">
        <f t="shared" si="23"/>
        <v>0</v>
      </c>
      <c r="DF750" s="1536"/>
      <c r="DG750" s="1536"/>
      <c r="DH750" s="1536"/>
      <c r="DI750" s="1536"/>
      <c r="DJ750" s="1536">
        <f t="shared" si="24"/>
        <v>0</v>
      </c>
      <c r="DK750" s="1536"/>
      <c r="DL750" s="1536"/>
      <c r="DM750" s="1536"/>
      <c r="DN750" s="1536"/>
      <c r="DO750" s="1536">
        <f t="shared" si="25"/>
        <v>0</v>
      </c>
      <c r="DP750" s="1536"/>
      <c r="DQ750" s="1536"/>
      <c r="DR750" s="1536"/>
      <c r="DS750" s="1536"/>
      <c r="DT750" s="6"/>
      <c r="DU750" s="1537">
        <f t="shared" si="26"/>
        <v>0</v>
      </c>
      <c r="DV750" s="1537"/>
      <c r="DW750" s="1537"/>
      <c r="DX750" s="1537"/>
      <c r="DY750" s="1537"/>
      <c r="DZ750" s="1537">
        <f t="shared" si="27"/>
        <v>0</v>
      </c>
      <c r="EA750" s="1537"/>
      <c r="EB750" s="1537"/>
      <c r="EC750" s="1537"/>
      <c r="ED750" s="1537"/>
      <c r="EE750" s="1537">
        <f t="shared" si="28"/>
        <v>0</v>
      </c>
      <c r="EF750" s="1537"/>
      <c r="EG750" s="1537"/>
      <c r="EH750" s="1537"/>
      <c r="EI750" s="1537"/>
      <c r="EJ750" s="1537">
        <f t="shared" si="29"/>
        <v>0</v>
      </c>
      <c r="EK750" s="1537"/>
      <c r="EL750" s="1537"/>
      <c r="EM750" s="1537"/>
      <c r="EN750" s="1537"/>
      <c r="EO750" s="1537">
        <f t="shared" si="30"/>
        <v>0</v>
      </c>
      <c r="EP750" s="1537"/>
      <c r="EQ750" s="1537"/>
      <c r="ER750" s="1537"/>
      <c r="ES750" s="1537"/>
      <c r="ET750" s="1537">
        <f t="shared" si="31"/>
        <v>0</v>
      </c>
      <c r="EU750" s="1537"/>
      <c r="EV750" s="1537"/>
      <c r="EW750" s="1537"/>
      <c r="EX750" s="1537"/>
      <c r="EZ750" s="1547" t="str">
        <f t="shared" si="32"/>
        <v/>
      </c>
      <c r="FA750" s="1548"/>
      <c r="FB750" s="1548"/>
      <c r="FC750" s="1548"/>
      <c r="FD750" s="1549"/>
      <c r="FE750" s="1547" t="str">
        <f t="shared" si="33"/>
        <v/>
      </c>
      <c r="FF750" s="1548"/>
      <c r="FG750" s="1548"/>
      <c r="FH750" s="1548"/>
      <c r="FI750" s="1549"/>
      <c r="FJ750" s="1547" t="str">
        <f t="shared" si="34"/>
        <v/>
      </c>
      <c r="FK750" s="1548"/>
      <c r="FL750" s="1548"/>
      <c r="FM750" s="1548"/>
      <c r="FN750" s="1549"/>
      <c r="FO750" s="1547" t="str">
        <f t="shared" si="35"/>
        <v/>
      </c>
      <c r="FP750" s="1548"/>
      <c r="FQ750" s="1548"/>
      <c r="FR750" s="1548"/>
      <c r="FS750" s="1549"/>
      <c r="FT750" s="1547" t="str">
        <f t="shared" si="36"/>
        <v/>
      </c>
      <c r="FU750" s="1548"/>
      <c r="FV750" s="1548"/>
      <c r="FW750" s="1548"/>
      <c r="FX750" s="1549"/>
      <c r="FY750" s="1547" t="str">
        <f t="shared" si="37"/>
        <v/>
      </c>
      <c r="FZ750" s="1548"/>
      <c r="GA750" s="1548"/>
      <c r="GB750" s="1548"/>
      <c r="GC750" s="1549"/>
    </row>
    <row r="751" spans="1:185" s="3" customFormat="1" ht="13" customHeight="1">
      <c r="A751"/>
      <c r="B751" s="1364"/>
      <c r="C751" s="1365"/>
      <c r="D751" s="1365"/>
      <c r="E751" s="1365"/>
      <c r="F751" s="1366"/>
      <c r="G751" s="1358"/>
      <c r="H751" s="1359"/>
      <c r="I751" s="1359"/>
      <c r="J751" s="1360"/>
      <c r="K751" s="1361"/>
      <c r="L751" s="1362"/>
      <c r="M751" s="1362"/>
      <c r="N751" s="1363"/>
      <c r="O751" s="1404"/>
      <c r="P751" s="1405"/>
      <c r="Q751" s="1405"/>
      <c r="R751" s="1405"/>
      <c r="S751" s="1406"/>
      <c r="T751" s="1404"/>
      <c r="U751" s="1405"/>
      <c r="V751" s="1405"/>
      <c r="W751" s="1406"/>
      <c r="X751" s="1401">
        <f t="shared" si="41"/>
        <v>0</v>
      </c>
      <c r="Y751" s="1402"/>
      <c r="Z751" s="1402"/>
      <c r="AA751" s="1402"/>
      <c r="AB751" s="1403"/>
      <c r="AC751" s="1398"/>
      <c r="AD751" s="1399"/>
      <c r="AE751" s="1399"/>
      <c r="AF751" s="1399"/>
      <c r="AG751" s="1400"/>
      <c r="AH751" s="1457" t="str">
        <f t="shared" si="38"/>
        <v/>
      </c>
      <c r="AI751" s="1458"/>
      <c r="AJ751" s="1459"/>
      <c r="AK751" s="1364" t="s">
        <v>591</v>
      </c>
      <c r="AL751" s="1365"/>
      <c r="AM751" s="1365"/>
      <c r="AN751" s="1365"/>
      <c r="AO751" s="1366"/>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7">
        <f t="shared" si="39"/>
        <v>0</v>
      </c>
      <c r="CH751" s="1549"/>
      <c r="CI751" s="1539">
        <f t="shared" si="40"/>
        <v>0</v>
      </c>
      <c r="CJ751" s="1540"/>
      <c r="CK751" s="1547">
        <f t="shared" si="18"/>
        <v>0</v>
      </c>
      <c r="CL751" s="1549"/>
      <c r="CM751" s="1539">
        <f t="shared" si="19"/>
        <v>0</v>
      </c>
      <c r="CN751" s="1540"/>
      <c r="CP751" s="1532">
        <f t="shared" si="20"/>
        <v>0</v>
      </c>
      <c r="CQ751" s="1533"/>
      <c r="CR751" s="1533"/>
      <c r="CS751" s="1533"/>
      <c r="CT751" s="1534"/>
      <c r="CU751" s="1536">
        <f t="shared" si="21"/>
        <v>0</v>
      </c>
      <c r="CV751" s="1536"/>
      <c r="CW751" s="1536"/>
      <c r="CX751" s="1536"/>
      <c r="CY751" s="1536"/>
      <c r="CZ751" s="1536">
        <f t="shared" si="22"/>
        <v>0</v>
      </c>
      <c r="DA751" s="1536"/>
      <c r="DB751" s="1536"/>
      <c r="DC751" s="1536"/>
      <c r="DD751" s="1536"/>
      <c r="DE751" s="1536">
        <f t="shared" si="23"/>
        <v>0</v>
      </c>
      <c r="DF751" s="1536"/>
      <c r="DG751" s="1536"/>
      <c r="DH751" s="1536"/>
      <c r="DI751" s="1536"/>
      <c r="DJ751" s="1536">
        <f t="shared" si="24"/>
        <v>0</v>
      </c>
      <c r="DK751" s="1536"/>
      <c r="DL751" s="1536"/>
      <c r="DM751" s="1536"/>
      <c r="DN751" s="1536"/>
      <c r="DO751" s="1536">
        <f t="shared" si="25"/>
        <v>0</v>
      </c>
      <c r="DP751" s="1536"/>
      <c r="DQ751" s="1536"/>
      <c r="DR751" s="1536"/>
      <c r="DS751" s="1536"/>
      <c r="DT751" s="6"/>
      <c r="DU751" s="1537">
        <f t="shared" si="26"/>
        <v>0</v>
      </c>
      <c r="DV751" s="1537"/>
      <c r="DW751" s="1537"/>
      <c r="DX751" s="1537"/>
      <c r="DY751" s="1537"/>
      <c r="DZ751" s="1537">
        <f t="shared" si="27"/>
        <v>0</v>
      </c>
      <c r="EA751" s="1537"/>
      <c r="EB751" s="1537"/>
      <c r="EC751" s="1537"/>
      <c r="ED751" s="1537"/>
      <c r="EE751" s="1537">
        <f t="shared" si="28"/>
        <v>0</v>
      </c>
      <c r="EF751" s="1537"/>
      <c r="EG751" s="1537"/>
      <c r="EH751" s="1537"/>
      <c r="EI751" s="1537"/>
      <c r="EJ751" s="1537">
        <f t="shared" si="29"/>
        <v>0</v>
      </c>
      <c r="EK751" s="1537"/>
      <c r="EL751" s="1537"/>
      <c r="EM751" s="1537"/>
      <c r="EN751" s="1537"/>
      <c r="EO751" s="1537">
        <f t="shared" si="30"/>
        <v>0</v>
      </c>
      <c r="EP751" s="1537"/>
      <c r="EQ751" s="1537"/>
      <c r="ER751" s="1537"/>
      <c r="ES751" s="1537"/>
      <c r="ET751" s="1537">
        <f t="shared" si="31"/>
        <v>0</v>
      </c>
      <c r="EU751" s="1537"/>
      <c r="EV751" s="1537"/>
      <c r="EW751" s="1537"/>
      <c r="EX751" s="1537"/>
      <c r="EY751"/>
      <c r="EZ751" s="1547" t="str">
        <f t="shared" si="32"/>
        <v/>
      </c>
      <c r="FA751" s="1548"/>
      <c r="FB751" s="1548"/>
      <c r="FC751" s="1548"/>
      <c r="FD751" s="1549"/>
      <c r="FE751" s="1547" t="str">
        <f t="shared" si="33"/>
        <v/>
      </c>
      <c r="FF751" s="1548"/>
      <c r="FG751" s="1548"/>
      <c r="FH751" s="1548"/>
      <c r="FI751" s="1549"/>
      <c r="FJ751" s="1547" t="str">
        <f t="shared" si="34"/>
        <v/>
      </c>
      <c r="FK751" s="1548"/>
      <c r="FL751" s="1548"/>
      <c r="FM751" s="1548"/>
      <c r="FN751" s="1549"/>
      <c r="FO751" s="1547" t="str">
        <f t="shared" si="35"/>
        <v/>
      </c>
      <c r="FP751" s="1548"/>
      <c r="FQ751" s="1548"/>
      <c r="FR751" s="1548"/>
      <c r="FS751" s="1549"/>
      <c r="FT751" s="1547" t="str">
        <f t="shared" si="36"/>
        <v/>
      </c>
      <c r="FU751" s="1548"/>
      <c r="FV751" s="1548"/>
      <c r="FW751" s="1548"/>
      <c r="FX751" s="1549"/>
      <c r="FY751" s="1547" t="str">
        <f t="shared" si="37"/>
        <v/>
      </c>
      <c r="FZ751" s="1548"/>
      <c r="GA751" s="1548"/>
      <c r="GB751" s="1548"/>
      <c r="GC751" s="1549"/>
    </row>
    <row r="752" spans="1:185" ht="13" customHeight="1">
      <c r="B752" s="1364"/>
      <c r="C752" s="1365"/>
      <c r="D752" s="1365"/>
      <c r="E752" s="1365"/>
      <c r="F752" s="1366"/>
      <c r="G752" s="1358"/>
      <c r="H752" s="1359"/>
      <c r="I752" s="1359"/>
      <c r="J752" s="1360"/>
      <c r="K752" s="1361"/>
      <c r="L752" s="1362"/>
      <c r="M752" s="1362"/>
      <c r="N752" s="1363"/>
      <c r="O752" s="1404"/>
      <c r="P752" s="1405"/>
      <c r="Q752" s="1405"/>
      <c r="R752" s="1405"/>
      <c r="S752" s="1406"/>
      <c r="T752" s="1404"/>
      <c r="U752" s="1405"/>
      <c r="V752" s="1405"/>
      <c r="W752" s="1406"/>
      <c r="X752" s="1401">
        <f t="shared" si="41"/>
        <v>0</v>
      </c>
      <c r="Y752" s="1402"/>
      <c r="Z752" s="1402"/>
      <c r="AA752" s="1402"/>
      <c r="AB752" s="1403"/>
      <c r="AC752" s="1398"/>
      <c r="AD752" s="1399"/>
      <c r="AE752" s="1399"/>
      <c r="AF752" s="1399"/>
      <c r="AG752" s="1400"/>
      <c r="AH752" s="1457" t="str">
        <f t="shared" si="38"/>
        <v/>
      </c>
      <c r="AI752" s="1458"/>
      <c r="AJ752" s="1459"/>
      <c r="AK752" s="1364" t="s">
        <v>591</v>
      </c>
      <c r="AL752" s="1365"/>
      <c r="AM752" s="1365"/>
      <c r="AN752" s="1365"/>
      <c r="AO752" s="1366"/>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7">
        <f t="shared" si="39"/>
        <v>0</v>
      </c>
      <c r="CH752" s="1549"/>
      <c r="CI752" s="1539">
        <f t="shared" si="40"/>
        <v>0</v>
      </c>
      <c r="CJ752" s="1540"/>
      <c r="CK752" s="1547">
        <f t="shared" si="18"/>
        <v>0</v>
      </c>
      <c r="CL752" s="1549"/>
      <c r="CM752" s="1539">
        <f t="shared" si="19"/>
        <v>0</v>
      </c>
      <c r="CN752" s="1540"/>
      <c r="CO752" s="3"/>
      <c r="CP752" s="1532">
        <f t="shared" si="20"/>
        <v>0</v>
      </c>
      <c r="CQ752" s="1533"/>
      <c r="CR752" s="1533"/>
      <c r="CS752" s="1533"/>
      <c r="CT752" s="1534"/>
      <c r="CU752" s="1536">
        <f t="shared" si="21"/>
        <v>0</v>
      </c>
      <c r="CV752" s="1536"/>
      <c r="CW752" s="1536"/>
      <c r="CX752" s="1536"/>
      <c r="CY752" s="1536"/>
      <c r="CZ752" s="1536">
        <f t="shared" si="22"/>
        <v>0</v>
      </c>
      <c r="DA752" s="1536"/>
      <c r="DB752" s="1536"/>
      <c r="DC752" s="1536"/>
      <c r="DD752" s="1536"/>
      <c r="DE752" s="1536">
        <f t="shared" si="23"/>
        <v>0</v>
      </c>
      <c r="DF752" s="1536"/>
      <c r="DG752" s="1536"/>
      <c r="DH752" s="1536"/>
      <c r="DI752" s="1536"/>
      <c r="DJ752" s="1536">
        <f t="shared" si="24"/>
        <v>0</v>
      </c>
      <c r="DK752" s="1536"/>
      <c r="DL752" s="1536"/>
      <c r="DM752" s="1536"/>
      <c r="DN752" s="1536"/>
      <c r="DO752" s="1536">
        <f t="shared" si="25"/>
        <v>0</v>
      </c>
      <c r="DP752" s="1536"/>
      <c r="DQ752" s="1536"/>
      <c r="DR752" s="1536"/>
      <c r="DS752" s="1536"/>
      <c r="DT752" s="6"/>
      <c r="DU752" s="1537">
        <f t="shared" si="26"/>
        <v>0</v>
      </c>
      <c r="DV752" s="1537"/>
      <c r="DW752" s="1537"/>
      <c r="DX752" s="1537"/>
      <c r="DY752" s="1537"/>
      <c r="DZ752" s="1537">
        <f t="shared" si="27"/>
        <v>0</v>
      </c>
      <c r="EA752" s="1537"/>
      <c r="EB752" s="1537"/>
      <c r="EC752" s="1537"/>
      <c r="ED752" s="1537"/>
      <c r="EE752" s="1537">
        <f t="shared" si="28"/>
        <v>0</v>
      </c>
      <c r="EF752" s="1537"/>
      <c r="EG752" s="1537"/>
      <c r="EH752" s="1537"/>
      <c r="EI752" s="1537"/>
      <c r="EJ752" s="1537">
        <f t="shared" si="29"/>
        <v>0</v>
      </c>
      <c r="EK752" s="1537"/>
      <c r="EL752" s="1537"/>
      <c r="EM752" s="1537"/>
      <c r="EN752" s="1537"/>
      <c r="EO752" s="1537">
        <f t="shared" si="30"/>
        <v>0</v>
      </c>
      <c r="EP752" s="1537"/>
      <c r="EQ752" s="1537"/>
      <c r="ER752" s="1537"/>
      <c r="ES752" s="1537"/>
      <c r="ET752" s="1537">
        <f t="shared" si="31"/>
        <v>0</v>
      </c>
      <c r="EU752" s="1537"/>
      <c r="EV752" s="1537"/>
      <c r="EW752" s="1537"/>
      <c r="EX752" s="1537"/>
      <c r="EZ752" s="1547" t="str">
        <f t="shared" si="32"/>
        <v/>
      </c>
      <c r="FA752" s="1548"/>
      <c r="FB752" s="1548"/>
      <c r="FC752" s="1548"/>
      <c r="FD752" s="1549"/>
      <c r="FE752" s="1547" t="str">
        <f t="shared" si="33"/>
        <v/>
      </c>
      <c r="FF752" s="1548"/>
      <c r="FG752" s="1548"/>
      <c r="FH752" s="1548"/>
      <c r="FI752" s="1549"/>
      <c r="FJ752" s="1547" t="str">
        <f t="shared" si="34"/>
        <v/>
      </c>
      <c r="FK752" s="1548"/>
      <c r="FL752" s="1548"/>
      <c r="FM752" s="1548"/>
      <c r="FN752" s="1549"/>
      <c r="FO752" s="1547" t="str">
        <f t="shared" si="35"/>
        <v/>
      </c>
      <c r="FP752" s="1548"/>
      <c r="FQ752" s="1548"/>
      <c r="FR752" s="1548"/>
      <c r="FS752" s="1549"/>
      <c r="FT752" s="1547" t="str">
        <f t="shared" si="36"/>
        <v/>
      </c>
      <c r="FU752" s="1548"/>
      <c r="FV752" s="1548"/>
      <c r="FW752" s="1548"/>
      <c r="FX752" s="1549"/>
      <c r="FY752" s="1547" t="str">
        <f t="shared" si="37"/>
        <v/>
      </c>
      <c r="FZ752" s="1548"/>
      <c r="GA752" s="1548"/>
      <c r="GB752" s="1548"/>
      <c r="GC752" s="1549"/>
    </row>
    <row r="753" spans="1:185" ht="13" customHeight="1">
      <c r="B753" s="1364"/>
      <c r="C753" s="1365"/>
      <c r="D753" s="1365"/>
      <c r="E753" s="1365"/>
      <c r="F753" s="1366"/>
      <c r="G753" s="1358"/>
      <c r="H753" s="1359"/>
      <c r="I753" s="1359"/>
      <c r="J753" s="1360"/>
      <c r="K753" s="1361"/>
      <c r="L753" s="1362"/>
      <c r="M753" s="1362"/>
      <c r="N753" s="1363"/>
      <c r="O753" s="1404"/>
      <c r="P753" s="1405"/>
      <c r="Q753" s="1405"/>
      <c r="R753" s="1405"/>
      <c r="S753" s="1406"/>
      <c r="T753" s="1404"/>
      <c r="U753" s="1405"/>
      <c r="V753" s="1405"/>
      <c r="W753" s="1406"/>
      <c r="X753" s="1401">
        <f t="shared" si="41"/>
        <v>0</v>
      </c>
      <c r="Y753" s="1402"/>
      <c r="Z753" s="1402"/>
      <c r="AA753" s="1402"/>
      <c r="AB753" s="1403"/>
      <c r="AC753" s="1398"/>
      <c r="AD753" s="1399"/>
      <c r="AE753" s="1399"/>
      <c r="AF753" s="1399"/>
      <c r="AG753" s="1400"/>
      <c r="AH753" s="1457" t="str">
        <f t="shared" si="38"/>
        <v/>
      </c>
      <c r="AI753" s="1458"/>
      <c r="AJ753" s="1459"/>
      <c r="AK753" s="1364" t="s">
        <v>591</v>
      </c>
      <c r="AL753" s="1365"/>
      <c r="AM753" s="1365"/>
      <c r="AN753" s="1365"/>
      <c r="AO753" s="1366"/>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7">
        <f t="shared" si="39"/>
        <v>0</v>
      </c>
      <c r="CH753" s="1549"/>
      <c r="CI753" s="1539">
        <f t="shared" si="40"/>
        <v>0</v>
      </c>
      <c r="CJ753" s="1540"/>
      <c r="CK753" s="1547">
        <f t="shared" si="18"/>
        <v>0</v>
      </c>
      <c r="CL753" s="1549"/>
      <c r="CM753" s="1539">
        <f t="shared" si="19"/>
        <v>0</v>
      </c>
      <c r="CN753" s="1540"/>
      <c r="CO753" s="3"/>
      <c r="CP753" s="1532">
        <f t="shared" si="20"/>
        <v>0</v>
      </c>
      <c r="CQ753" s="1533"/>
      <c r="CR753" s="1533"/>
      <c r="CS753" s="1533"/>
      <c r="CT753" s="1534"/>
      <c r="CU753" s="1536">
        <f t="shared" si="21"/>
        <v>0</v>
      </c>
      <c r="CV753" s="1536"/>
      <c r="CW753" s="1536"/>
      <c r="CX753" s="1536"/>
      <c r="CY753" s="1536"/>
      <c r="CZ753" s="1536">
        <f t="shared" si="22"/>
        <v>0</v>
      </c>
      <c r="DA753" s="1536"/>
      <c r="DB753" s="1536"/>
      <c r="DC753" s="1536"/>
      <c r="DD753" s="1536"/>
      <c r="DE753" s="1536">
        <f t="shared" si="23"/>
        <v>0</v>
      </c>
      <c r="DF753" s="1536"/>
      <c r="DG753" s="1536"/>
      <c r="DH753" s="1536"/>
      <c r="DI753" s="1536"/>
      <c r="DJ753" s="1536">
        <f t="shared" si="24"/>
        <v>0</v>
      </c>
      <c r="DK753" s="1536"/>
      <c r="DL753" s="1536"/>
      <c r="DM753" s="1536"/>
      <c r="DN753" s="1536"/>
      <c r="DO753" s="1536">
        <f t="shared" si="25"/>
        <v>0</v>
      </c>
      <c r="DP753" s="1536"/>
      <c r="DQ753" s="1536"/>
      <c r="DR753" s="1536"/>
      <c r="DS753" s="1536"/>
      <c r="DT753" s="6"/>
      <c r="DU753" s="1537">
        <f t="shared" si="26"/>
        <v>0</v>
      </c>
      <c r="DV753" s="1537"/>
      <c r="DW753" s="1537"/>
      <c r="DX753" s="1537"/>
      <c r="DY753" s="1537"/>
      <c r="DZ753" s="1537">
        <f t="shared" si="27"/>
        <v>0</v>
      </c>
      <c r="EA753" s="1537"/>
      <c r="EB753" s="1537"/>
      <c r="EC753" s="1537"/>
      <c r="ED753" s="1537"/>
      <c r="EE753" s="1537">
        <f t="shared" si="28"/>
        <v>0</v>
      </c>
      <c r="EF753" s="1537"/>
      <c r="EG753" s="1537"/>
      <c r="EH753" s="1537"/>
      <c r="EI753" s="1537"/>
      <c r="EJ753" s="1537">
        <f t="shared" si="29"/>
        <v>0</v>
      </c>
      <c r="EK753" s="1537"/>
      <c r="EL753" s="1537"/>
      <c r="EM753" s="1537"/>
      <c r="EN753" s="1537"/>
      <c r="EO753" s="1537">
        <f t="shared" si="30"/>
        <v>0</v>
      </c>
      <c r="EP753" s="1537"/>
      <c r="EQ753" s="1537"/>
      <c r="ER753" s="1537"/>
      <c r="ES753" s="1537"/>
      <c r="ET753" s="1537">
        <f t="shared" si="31"/>
        <v>0</v>
      </c>
      <c r="EU753" s="1537"/>
      <c r="EV753" s="1537"/>
      <c r="EW753" s="1537"/>
      <c r="EX753" s="1537"/>
      <c r="EZ753" s="1547" t="str">
        <f t="shared" si="32"/>
        <v/>
      </c>
      <c r="FA753" s="1548"/>
      <c r="FB753" s="1548"/>
      <c r="FC753" s="1548"/>
      <c r="FD753" s="1549"/>
      <c r="FE753" s="1547" t="str">
        <f t="shared" si="33"/>
        <v/>
      </c>
      <c r="FF753" s="1548"/>
      <c r="FG753" s="1548"/>
      <c r="FH753" s="1548"/>
      <c r="FI753" s="1549"/>
      <c r="FJ753" s="1547" t="str">
        <f t="shared" si="34"/>
        <v/>
      </c>
      <c r="FK753" s="1548"/>
      <c r="FL753" s="1548"/>
      <c r="FM753" s="1548"/>
      <c r="FN753" s="1549"/>
      <c r="FO753" s="1547" t="str">
        <f t="shared" si="35"/>
        <v/>
      </c>
      <c r="FP753" s="1548"/>
      <c r="FQ753" s="1548"/>
      <c r="FR753" s="1548"/>
      <c r="FS753" s="1549"/>
      <c r="FT753" s="1547" t="str">
        <f t="shared" si="36"/>
        <v/>
      </c>
      <c r="FU753" s="1548"/>
      <c r="FV753" s="1548"/>
      <c r="FW753" s="1548"/>
      <c r="FX753" s="1549"/>
      <c r="FY753" s="1547" t="str">
        <f t="shared" si="37"/>
        <v/>
      </c>
      <c r="FZ753" s="1548"/>
      <c r="GA753" s="1548"/>
      <c r="GB753" s="1548"/>
      <c r="GC753" s="1549"/>
    </row>
    <row r="754" spans="1:185" ht="13" customHeight="1">
      <c r="B754" s="1364"/>
      <c r="C754" s="1365"/>
      <c r="D754" s="1365"/>
      <c r="E754" s="1365"/>
      <c r="F754" s="1366"/>
      <c r="G754" s="1358"/>
      <c r="H754" s="1359"/>
      <c r="I754" s="1359"/>
      <c r="J754" s="1360"/>
      <c r="K754" s="1361"/>
      <c r="L754" s="1362"/>
      <c r="M754" s="1362"/>
      <c r="N754" s="1363"/>
      <c r="O754" s="1404"/>
      <c r="P754" s="1405"/>
      <c r="Q754" s="1405"/>
      <c r="R754" s="1405"/>
      <c r="S754" s="1406"/>
      <c r="T754" s="1404"/>
      <c r="U754" s="1405"/>
      <c r="V754" s="1405"/>
      <c r="W754" s="1406"/>
      <c r="X754" s="1401">
        <f t="shared" si="41"/>
        <v>0</v>
      </c>
      <c r="Y754" s="1402"/>
      <c r="Z754" s="1402"/>
      <c r="AA754" s="1402"/>
      <c r="AB754" s="1403"/>
      <c r="AC754" s="1398"/>
      <c r="AD754" s="1399"/>
      <c r="AE754" s="1399"/>
      <c r="AF754" s="1399"/>
      <c r="AG754" s="1400"/>
      <c r="AH754" s="1457" t="str">
        <f t="shared" si="38"/>
        <v/>
      </c>
      <c r="AI754" s="1458"/>
      <c r="AJ754" s="1459"/>
      <c r="AK754" s="1364" t="s">
        <v>591</v>
      </c>
      <c r="AL754" s="1365"/>
      <c r="AM754" s="1365"/>
      <c r="AN754" s="1365"/>
      <c r="AO754" s="1366"/>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7">
        <f t="shared" si="39"/>
        <v>0</v>
      </c>
      <c r="CH754" s="1549"/>
      <c r="CI754" s="1539">
        <f t="shared" si="40"/>
        <v>0</v>
      </c>
      <c r="CJ754" s="1540"/>
      <c r="CK754" s="1547">
        <f t="shared" si="18"/>
        <v>0</v>
      </c>
      <c r="CL754" s="1549"/>
      <c r="CM754" s="1539">
        <f t="shared" si="19"/>
        <v>0</v>
      </c>
      <c r="CN754" s="1540"/>
      <c r="CO754" s="3"/>
      <c r="CP754" s="1532">
        <f t="shared" si="20"/>
        <v>0</v>
      </c>
      <c r="CQ754" s="1533"/>
      <c r="CR754" s="1533"/>
      <c r="CS754" s="1533"/>
      <c r="CT754" s="1534"/>
      <c r="CU754" s="1536">
        <f t="shared" si="21"/>
        <v>0</v>
      </c>
      <c r="CV754" s="1536"/>
      <c r="CW754" s="1536"/>
      <c r="CX754" s="1536"/>
      <c r="CY754" s="1536"/>
      <c r="CZ754" s="1536">
        <f t="shared" si="22"/>
        <v>0</v>
      </c>
      <c r="DA754" s="1536"/>
      <c r="DB754" s="1536"/>
      <c r="DC754" s="1536"/>
      <c r="DD754" s="1536"/>
      <c r="DE754" s="1536">
        <f t="shared" si="23"/>
        <v>0</v>
      </c>
      <c r="DF754" s="1536"/>
      <c r="DG754" s="1536"/>
      <c r="DH754" s="1536"/>
      <c r="DI754" s="1536"/>
      <c r="DJ754" s="1536">
        <f t="shared" si="24"/>
        <v>0</v>
      </c>
      <c r="DK754" s="1536"/>
      <c r="DL754" s="1536"/>
      <c r="DM754" s="1536"/>
      <c r="DN754" s="1536"/>
      <c r="DO754" s="1536">
        <f t="shared" si="25"/>
        <v>0</v>
      </c>
      <c r="DP754" s="1536"/>
      <c r="DQ754" s="1536"/>
      <c r="DR754" s="1536"/>
      <c r="DS754" s="1536"/>
      <c r="DT754" s="6"/>
      <c r="DU754" s="1537">
        <f t="shared" si="26"/>
        <v>0</v>
      </c>
      <c r="DV754" s="1537"/>
      <c r="DW754" s="1537"/>
      <c r="DX754" s="1537"/>
      <c r="DY754" s="1537"/>
      <c r="DZ754" s="1537">
        <f t="shared" si="27"/>
        <v>0</v>
      </c>
      <c r="EA754" s="1537"/>
      <c r="EB754" s="1537"/>
      <c r="EC754" s="1537"/>
      <c r="ED754" s="1537"/>
      <c r="EE754" s="1537">
        <f t="shared" si="28"/>
        <v>0</v>
      </c>
      <c r="EF754" s="1537"/>
      <c r="EG754" s="1537"/>
      <c r="EH754" s="1537"/>
      <c r="EI754" s="1537"/>
      <c r="EJ754" s="1537">
        <f t="shared" si="29"/>
        <v>0</v>
      </c>
      <c r="EK754" s="1537"/>
      <c r="EL754" s="1537"/>
      <c r="EM754" s="1537"/>
      <c r="EN754" s="1537"/>
      <c r="EO754" s="1537">
        <f t="shared" si="30"/>
        <v>0</v>
      </c>
      <c r="EP754" s="1537"/>
      <c r="EQ754" s="1537"/>
      <c r="ER754" s="1537"/>
      <c r="ES754" s="1537"/>
      <c r="ET754" s="1537">
        <f t="shared" si="31"/>
        <v>0</v>
      </c>
      <c r="EU754" s="1537"/>
      <c r="EV754" s="1537"/>
      <c r="EW754" s="1537"/>
      <c r="EX754" s="1537"/>
      <c r="EZ754" s="1547" t="str">
        <f t="shared" si="32"/>
        <v/>
      </c>
      <c r="FA754" s="1548"/>
      <c r="FB754" s="1548"/>
      <c r="FC754" s="1548"/>
      <c r="FD754" s="1549"/>
      <c r="FE754" s="1547" t="str">
        <f t="shared" si="33"/>
        <v/>
      </c>
      <c r="FF754" s="1548"/>
      <c r="FG754" s="1548"/>
      <c r="FH754" s="1548"/>
      <c r="FI754" s="1549"/>
      <c r="FJ754" s="1547" t="str">
        <f t="shared" si="34"/>
        <v/>
      </c>
      <c r="FK754" s="1548"/>
      <c r="FL754" s="1548"/>
      <c r="FM754" s="1548"/>
      <c r="FN754" s="1549"/>
      <c r="FO754" s="1547" t="str">
        <f t="shared" si="35"/>
        <v/>
      </c>
      <c r="FP754" s="1548"/>
      <c r="FQ754" s="1548"/>
      <c r="FR754" s="1548"/>
      <c r="FS754" s="1549"/>
      <c r="FT754" s="1547" t="str">
        <f t="shared" si="36"/>
        <v/>
      </c>
      <c r="FU754" s="1548"/>
      <c r="FV754" s="1548"/>
      <c r="FW754" s="1548"/>
      <c r="FX754" s="1549"/>
      <c r="FY754" s="1547" t="str">
        <f t="shared" si="37"/>
        <v/>
      </c>
      <c r="FZ754" s="1548"/>
      <c r="GA754" s="1548"/>
      <c r="GB754" s="1548"/>
      <c r="GC754" s="1549"/>
    </row>
    <row r="755" spans="1:185" ht="13" customHeight="1">
      <c r="B755" s="1364"/>
      <c r="C755" s="1365"/>
      <c r="D755" s="1365"/>
      <c r="E755" s="1365"/>
      <c r="F755" s="1366"/>
      <c r="G755" s="1358"/>
      <c r="H755" s="1359"/>
      <c r="I755" s="1359"/>
      <c r="J755" s="1360"/>
      <c r="K755" s="1361"/>
      <c r="L755" s="1362"/>
      <c r="M755" s="1362"/>
      <c r="N755" s="1363"/>
      <c r="O755" s="1404"/>
      <c r="P755" s="1405"/>
      <c r="Q755" s="1405"/>
      <c r="R755" s="1405"/>
      <c r="S755" s="1406"/>
      <c r="T755" s="1404"/>
      <c r="U755" s="1405"/>
      <c r="V755" s="1405"/>
      <c r="W755" s="1406"/>
      <c r="X755" s="1401">
        <f t="shared" si="41"/>
        <v>0</v>
      </c>
      <c r="Y755" s="1402"/>
      <c r="Z755" s="1402"/>
      <c r="AA755" s="1402"/>
      <c r="AB755" s="1403"/>
      <c r="AC755" s="1398"/>
      <c r="AD755" s="1399"/>
      <c r="AE755" s="1399"/>
      <c r="AF755" s="1399"/>
      <c r="AG755" s="1400"/>
      <c r="AH755" s="1457" t="str">
        <f t="shared" si="38"/>
        <v/>
      </c>
      <c r="AI755" s="1458"/>
      <c r="AJ755" s="1459"/>
      <c r="AK755" s="1364" t="s">
        <v>591</v>
      </c>
      <c r="AL755" s="1365"/>
      <c r="AM755" s="1365"/>
      <c r="AN755" s="1365"/>
      <c r="AO755" s="1366"/>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7">
        <f t="shared" si="39"/>
        <v>0</v>
      </c>
      <c r="CH755" s="1549"/>
      <c r="CI755" s="1539">
        <f t="shared" si="40"/>
        <v>0</v>
      </c>
      <c r="CJ755" s="1540"/>
      <c r="CK755" s="1547">
        <f t="shared" si="18"/>
        <v>0</v>
      </c>
      <c r="CL755" s="1549"/>
      <c r="CM755" s="1539">
        <f t="shared" si="19"/>
        <v>0</v>
      </c>
      <c r="CN755" s="1540"/>
      <c r="CO755" s="3"/>
      <c r="CP755" s="1532">
        <f t="shared" si="20"/>
        <v>0</v>
      </c>
      <c r="CQ755" s="1533"/>
      <c r="CR755" s="1533"/>
      <c r="CS755" s="1533"/>
      <c r="CT755" s="1534"/>
      <c r="CU755" s="1536">
        <f t="shared" si="21"/>
        <v>0</v>
      </c>
      <c r="CV755" s="1536"/>
      <c r="CW755" s="1536"/>
      <c r="CX755" s="1536"/>
      <c r="CY755" s="1536"/>
      <c r="CZ755" s="1536">
        <f t="shared" si="22"/>
        <v>0</v>
      </c>
      <c r="DA755" s="1536"/>
      <c r="DB755" s="1536"/>
      <c r="DC755" s="1536"/>
      <c r="DD755" s="1536"/>
      <c r="DE755" s="1536">
        <f t="shared" si="23"/>
        <v>0</v>
      </c>
      <c r="DF755" s="1536"/>
      <c r="DG755" s="1536"/>
      <c r="DH755" s="1536"/>
      <c r="DI755" s="1536"/>
      <c r="DJ755" s="1536">
        <f t="shared" si="24"/>
        <v>0</v>
      </c>
      <c r="DK755" s="1536"/>
      <c r="DL755" s="1536"/>
      <c r="DM755" s="1536"/>
      <c r="DN755" s="1536"/>
      <c r="DO755" s="1536">
        <f t="shared" si="25"/>
        <v>0</v>
      </c>
      <c r="DP755" s="1536"/>
      <c r="DQ755" s="1536"/>
      <c r="DR755" s="1536"/>
      <c r="DS755" s="1536"/>
      <c r="DT755" s="6"/>
      <c r="DU755" s="1537">
        <f t="shared" si="26"/>
        <v>0</v>
      </c>
      <c r="DV755" s="1537"/>
      <c r="DW755" s="1537"/>
      <c r="DX755" s="1537"/>
      <c r="DY755" s="1537"/>
      <c r="DZ755" s="1537">
        <f t="shared" si="27"/>
        <v>0</v>
      </c>
      <c r="EA755" s="1537"/>
      <c r="EB755" s="1537"/>
      <c r="EC755" s="1537"/>
      <c r="ED755" s="1537"/>
      <c r="EE755" s="1537">
        <f t="shared" si="28"/>
        <v>0</v>
      </c>
      <c r="EF755" s="1537"/>
      <c r="EG755" s="1537"/>
      <c r="EH755" s="1537"/>
      <c r="EI755" s="1537"/>
      <c r="EJ755" s="1537">
        <f t="shared" si="29"/>
        <v>0</v>
      </c>
      <c r="EK755" s="1537"/>
      <c r="EL755" s="1537"/>
      <c r="EM755" s="1537"/>
      <c r="EN755" s="1537"/>
      <c r="EO755" s="1537">
        <f t="shared" si="30"/>
        <v>0</v>
      </c>
      <c r="EP755" s="1537"/>
      <c r="EQ755" s="1537"/>
      <c r="ER755" s="1537"/>
      <c r="ES755" s="1537"/>
      <c r="ET755" s="1537">
        <f t="shared" si="31"/>
        <v>0</v>
      </c>
      <c r="EU755" s="1537"/>
      <c r="EV755" s="1537"/>
      <c r="EW755" s="1537"/>
      <c r="EX755" s="1537"/>
      <c r="EZ755" s="1547" t="str">
        <f t="shared" si="32"/>
        <v/>
      </c>
      <c r="FA755" s="1548"/>
      <c r="FB755" s="1548"/>
      <c r="FC755" s="1548"/>
      <c r="FD755" s="1549"/>
      <c r="FE755" s="1547" t="str">
        <f t="shared" si="33"/>
        <v/>
      </c>
      <c r="FF755" s="1548"/>
      <c r="FG755" s="1548"/>
      <c r="FH755" s="1548"/>
      <c r="FI755" s="1549"/>
      <c r="FJ755" s="1547" t="str">
        <f t="shared" si="34"/>
        <v/>
      </c>
      <c r="FK755" s="1548"/>
      <c r="FL755" s="1548"/>
      <c r="FM755" s="1548"/>
      <c r="FN755" s="1549"/>
      <c r="FO755" s="1547" t="str">
        <f t="shared" si="35"/>
        <v/>
      </c>
      <c r="FP755" s="1548"/>
      <c r="FQ755" s="1548"/>
      <c r="FR755" s="1548"/>
      <c r="FS755" s="1549"/>
      <c r="FT755" s="1547" t="str">
        <f t="shared" si="36"/>
        <v/>
      </c>
      <c r="FU755" s="1548"/>
      <c r="FV755" s="1548"/>
      <c r="FW755" s="1548"/>
      <c r="FX755" s="1549"/>
      <c r="FY755" s="1547" t="str">
        <f t="shared" si="37"/>
        <v/>
      </c>
      <c r="FZ755" s="1548"/>
      <c r="GA755" s="1548"/>
      <c r="GB755" s="1548"/>
      <c r="GC755" s="1549"/>
    </row>
    <row r="756" spans="1:185" s="3" customFormat="1" ht="13" customHeight="1">
      <c r="A756"/>
      <c r="B756" s="1364"/>
      <c r="C756" s="1365"/>
      <c r="D756" s="1365"/>
      <c r="E756" s="1365"/>
      <c r="F756" s="1366"/>
      <c r="G756" s="1358"/>
      <c r="H756" s="1359"/>
      <c r="I756" s="1359"/>
      <c r="J756" s="1360"/>
      <c r="K756" s="1361"/>
      <c r="L756" s="1362"/>
      <c r="M756" s="1362"/>
      <c r="N756" s="1363"/>
      <c r="O756" s="1404"/>
      <c r="P756" s="1405"/>
      <c r="Q756" s="1405"/>
      <c r="R756" s="1405"/>
      <c r="S756" s="1406"/>
      <c r="T756" s="1404"/>
      <c r="U756" s="1405"/>
      <c r="V756" s="1405"/>
      <c r="W756" s="1406"/>
      <c r="X756" s="1401">
        <f t="shared" si="41"/>
        <v>0</v>
      </c>
      <c r="Y756" s="1402"/>
      <c r="Z756" s="1402"/>
      <c r="AA756" s="1402"/>
      <c r="AB756" s="1403"/>
      <c r="AC756" s="1398"/>
      <c r="AD756" s="1399"/>
      <c r="AE756" s="1399"/>
      <c r="AF756" s="1399"/>
      <c r="AG756" s="1400"/>
      <c r="AH756" s="1457" t="str">
        <f t="shared" si="38"/>
        <v/>
      </c>
      <c r="AI756" s="1458"/>
      <c r="AJ756" s="1459"/>
      <c r="AK756" s="1364" t="s">
        <v>591</v>
      </c>
      <c r="AL756" s="1365"/>
      <c r="AM756" s="1365"/>
      <c r="AN756" s="1365"/>
      <c r="AO756" s="1366"/>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7">
        <f t="shared" si="39"/>
        <v>0</v>
      </c>
      <c r="CH756" s="1549"/>
      <c r="CI756" s="1539">
        <f t="shared" si="40"/>
        <v>0</v>
      </c>
      <c r="CJ756" s="1540"/>
      <c r="CK756" s="1547">
        <f t="shared" si="18"/>
        <v>0</v>
      </c>
      <c r="CL756" s="1549"/>
      <c r="CM756" s="1539">
        <f t="shared" si="19"/>
        <v>0</v>
      </c>
      <c r="CN756" s="1540"/>
      <c r="CP756" s="1532">
        <f t="shared" si="20"/>
        <v>0</v>
      </c>
      <c r="CQ756" s="1533"/>
      <c r="CR756" s="1533"/>
      <c r="CS756" s="1533"/>
      <c r="CT756" s="1534"/>
      <c r="CU756" s="1536">
        <f t="shared" si="21"/>
        <v>0</v>
      </c>
      <c r="CV756" s="1536"/>
      <c r="CW756" s="1536"/>
      <c r="CX756" s="1536"/>
      <c r="CY756" s="1536"/>
      <c r="CZ756" s="1536">
        <f t="shared" si="22"/>
        <v>0</v>
      </c>
      <c r="DA756" s="1536"/>
      <c r="DB756" s="1536"/>
      <c r="DC756" s="1536"/>
      <c r="DD756" s="1536"/>
      <c r="DE756" s="1536">
        <f t="shared" si="23"/>
        <v>0</v>
      </c>
      <c r="DF756" s="1536"/>
      <c r="DG756" s="1536"/>
      <c r="DH756" s="1536"/>
      <c r="DI756" s="1536"/>
      <c r="DJ756" s="1536">
        <f t="shared" si="24"/>
        <v>0</v>
      </c>
      <c r="DK756" s="1536"/>
      <c r="DL756" s="1536"/>
      <c r="DM756" s="1536"/>
      <c r="DN756" s="1536"/>
      <c r="DO756" s="1536">
        <f t="shared" si="25"/>
        <v>0</v>
      </c>
      <c r="DP756" s="1536"/>
      <c r="DQ756" s="1536"/>
      <c r="DR756" s="1536"/>
      <c r="DS756" s="1536"/>
      <c r="DT756" s="6"/>
      <c r="DU756" s="1537">
        <f t="shared" si="26"/>
        <v>0</v>
      </c>
      <c r="DV756" s="1537"/>
      <c r="DW756" s="1537"/>
      <c r="DX756" s="1537"/>
      <c r="DY756" s="1537"/>
      <c r="DZ756" s="1537">
        <f t="shared" si="27"/>
        <v>0</v>
      </c>
      <c r="EA756" s="1537"/>
      <c r="EB756" s="1537"/>
      <c r="EC756" s="1537"/>
      <c r="ED756" s="1537"/>
      <c r="EE756" s="1537">
        <f t="shared" si="28"/>
        <v>0</v>
      </c>
      <c r="EF756" s="1537"/>
      <c r="EG756" s="1537"/>
      <c r="EH756" s="1537"/>
      <c r="EI756" s="1537"/>
      <c r="EJ756" s="1537">
        <f t="shared" si="29"/>
        <v>0</v>
      </c>
      <c r="EK756" s="1537"/>
      <c r="EL756" s="1537"/>
      <c r="EM756" s="1537"/>
      <c r="EN756" s="1537"/>
      <c r="EO756" s="1537">
        <f t="shared" si="30"/>
        <v>0</v>
      </c>
      <c r="EP756" s="1537"/>
      <c r="EQ756" s="1537"/>
      <c r="ER756" s="1537"/>
      <c r="ES756" s="1537"/>
      <c r="ET756" s="1537">
        <f t="shared" si="31"/>
        <v>0</v>
      </c>
      <c r="EU756" s="1537"/>
      <c r="EV756" s="1537"/>
      <c r="EW756" s="1537"/>
      <c r="EX756" s="1537"/>
      <c r="EY756"/>
      <c r="EZ756" s="1547" t="str">
        <f t="shared" si="32"/>
        <v/>
      </c>
      <c r="FA756" s="1548"/>
      <c r="FB756" s="1548"/>
      <c r="FC756" s="1548"/>
      <c r="FD756" s="1549"/>
      <c r="FE756" s="1547" t="str">
        <f t="shared" si="33"/>
        <v/>
      </c>
      <c r="FF756" s="1548"/>
      <c r="FG756" s="1548"/>
      <c r="FH756" s="1548"/>
      <c r="FI756" s="1549"/>
      <c r="FJ756" s="1547" t="str">
        <f t="shared" si="34"/>
        <v/>
      </c>
      <c r="FK756" s="1548"/>
      <c r="FL756" s="1548"/>
      <c r="FM756" s="1548"/>
      <c r="FN756" s="1549"/>
      <c r="FO756" s="1547" t="str">
        <f t="shared" si="35"/>
        <v/>
      </c>
      <c r="FP756" s="1548"/>
      <c r="FQ756" s="1548"/>
      <c r="FR756" s="1548"/>
      <c r="FS756" s="1549"/>
      <c r="FT756" s="1547" t="str">
        <f t="shared" si="36"/>
        <v/>
      </c>
      <c r="FU756" s="1548"/>
      <c r="FV756" s="1548"/>
      <c r="FW756" s="1548"/>
      <c r="FX756" s="1549"/>
      <c r="FY756" s="1547" t="str">
        <f t="shared" si="37"/>
        <v/>
      </c>
      <c r="FZ756" s="1548"/>
      <c r="GA756" s="1548"/>
      <c r="GB756" s="1548"/>
      <c r="GC756" s="1549"/>
    </row>
    <row r="757" spans="1:185" s="3" customFormat="1" ht="13" customHeight="1">
      <c r="A757"/>
      <c r="B757" s="1364"/>
      <c r="C757" s="1365"/>
      <c r="D757" s="1365"/>
      <c r="E757" s="1365"/>
      <c r="F757" s="1366"/>
      <c r="G757" s="1358"/>
      <c r="H757" s="1359"/>
      <c r="I757" s="1359"/>
      <c r="J757" s="1360"/>
      <c r="K757" s="1361"/>
      <c r="L757" s="1362"/>
      <c r="M757" s="1362"/>
      <c r="N757" s="1363"/>
      <c r="O757" s="1404"/>
      <c r="P757" s="1405"/>
      <c r="Q757" s="1405"/>
      <c r="R757" s="1405"/>
      <c r="S757" s="1406"/>
      <c r="T757" s="1404"/>
      <c r="U757" s="1405"/>
      <c r="V757" s="1405"/>
      <c r="W757" s="1406"/>
      <c r="X757" s="1401">
        <f t="shared" si="41"/>
        <v>0</v>
      </c>
      <c r="Y757" s="1402"/>
      <c r="Z757" s="1402"/>
      <c r="AA757" s="1402"/>
      <c r="AB757" s="1403"/>
      <c r="AC757" s="1398"/>
      <c r="AD757" s="1399"/>
      <c r="AE757" s="1399"/>
      <c r="AF757" s="1399"/>
      <c r="AG757" s="1400"/>
      <c r="AH757" s="1457" t="str">
        <f t="shared" si="38"/>
        <v/>
      </c>
      <c r="AI757" s="1458"/>
      <c r="AJ757" s="1459"/>
      <c r="AK757" s="1364" t="s">
        <v>591</v>
      </c>
      <c r="AL757" s="1365"/>
      <c r="AM757" s="1365"/>
      <c r="AN757" s="1365"/>
      <c r="AO757" s="1366"/>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7">
        <f t="shared" si="39"/>
        <v>0</v>
      </c>
      <c r="CH757" s="1549"/>
      <c r="CI757" s="1539">
        <f t="shared" si="40"/>
        <v>0</v>
      </c>
      <c r="CJ757" s="1540"/>
      <c r="CK757" s="1547">
        <f t="shared" si="18"/>
        <v>0</v>
      </c>
      <c r="CL757" s="1549"/>
      <c r="CM757" s="1539">
        <f t="shared" si="19"/>
        <v>0</v>
      </c>
      <c r="CN757" s="1540"/>
      <c r="CP757" s="1532">
        <f t="shared" si="20"/>
        <v>0</v>
      </c>
      <c r="CQ757" s="1533"/>
      <c r="CR757" s="1533"/>
      <c r="CS757" s="1533"/>
      <c r="CT757" s="1534"/>
      <c r="CU757" s="1536">
        <f t="shared" si="21"/>
        <v>0</v>
      </c>
      <c r="CV757" s="1536"/>
      <c r="CW757" s="1536"/>
      <c r="CX757" s="1536"/>
      <c r="CY757" s="1536"/>
      <c r="CZ757" s="1536">
        <f t="shared" si="22"/>
        <v>0</v>
      </c>
      <c r="DA757" s="1536"/>
      <c r="DB757" s="1536"/>
      <c r="DC757" s="1536"/>
      <c r="DD757" s="1536"/>
      <c r="DE757" s="1536">
        <f t="shared" si="23"/>
        <v>0</v>
      </c>
      <c r="DF757" s="1536"/>
      <c r="DG757" s="1536"/>
      <c r="DH757" s="1536"/>
      <c r="DI757" s="1536"/>
      <c r="DJ757" s="1536">
        <f t="shared" si="24"/>
        <v>0</v>
      </c>
      <c r="DK757" s="1536"/>
      <c r="DL757" s="1536"/>
      <c r="DM757" s="1536"/>
      <c r="DN757" s="1536"/>
      <c r="DO757" s="1536">
        <f t="shared" si="25"/>
        <v>0</v>
      </c>
      <c r="DP757" s="1536"/>
      <c r="DQ757" s="1536"/>
      <c r="DR757" s="1536"/>
      <c r="DS757" s="1536"/>
      <c r="DT757" s="6"/>
      <c r="DU757" s="1537">
        <f t="shared" si="26"/>
        <v>0</v>
      </c>
      <c r="DV757" s="1537"/>
      <c r="DW757" s="1537"/>
      <c r="DX757" s="1537"/>
      <c r="DY757" s="1537"/>
      <c r="DZ757" s="1537">
        <f t="shared" si="27"/>
        <v>0</v>
      </c>
      <c r="EA757" s="1537"/>
      <c r="EB757" s="1537"/>
      <c r="EC757" s="1537"/>
      <c r="ED757" s="1537"/>
      <c r="EE757" s="1537">
        <f t="shared" si="28"/>
        <v>0</v>
      </c>
      <c r="EF757" s="1537"/>
      <c r="EG757" s="1537"/>
      <c r="EH757" s="1537"/>
      <c r="EI757" s="1537"/>
      <c r="EJ757" s="1537">
        <f t="shared" si="29"/>
        <v>0</v>
      </c>
      <c r="EK757" s="1537"/>
      <c r="EL757" s="1537"/>
      <c r="EM757" s="1537"/>
      <c r="EN757" s="1537"/>
      <c r="EO757" s="1537">
        <f t="shared" si="30"/>
        <v>0</v>
      </c>
      <c r="EP757" s="1537"/>
      <c r="EQ757" s="1537"/>
      <c r="ER757" s="1537"/>
      <c r="ES757" s="1537"/>
      <c r="ET757" s="1537">
        <f t="shared" si="31"/>
        <v>0</v>
      </c>
      <c r="EU757" s="1537"/>
      <c r="EV757" s="1537"/>
      <c r="EW757" s="1537"/>
      <c r="EX757" s="1537"/>
      <c r="EY757"/>
      <c r="EZ757" s="1547" t="str">
        <f t="shared" si="32"/>
        <v/>
      </c>
      <c r="FA757" s="1548"/>
      <c r="FB757" s="1548"/>
      <c r="FC757" s="1548"/>
      <c r="FD757" s="1549"/>
      <c r="FE757" s="1547" t="str">
        <f t="shared" si="33"/>
        <v/>
      </c>
      <c r="FF757" s="1548"/>
      <c r="FG757" s="1548"/>
      <c r="FH757" s="1548"/>
      <c r="FI757" s="1549"/>
      <c r="FJ757" s="1547" t="str">
        <f t="shared" si="34"/>
        <v/>
      </c>
      <c r="FK757" s="1548"/>
      <c r="FL757" s="1548"/>
      <c r="FM757" s="1548"/>
      <c r="FN757" s="1549"/>
      <c r="FO757" s="1547" t="str">
        <f t="shared" si="35"/>
        <v/>
      </c>
      <c r="FP757" s="1548"/>
      <c r="FQ757" s="1548"/>
      <c r="FR757" s="1548"/>
      <c r="FS757" s="1549"/>
      <c r="FT757" s="1547" t="str">
        <f t="shared" si="36"/>
        <v/>
      </c>
      <c r="FU757" s="1548"/>
      <c r="FV757" s="1548"/>
      <c r="FW757" s="1548"/>
      <c r="FX757" s="1549"/>
      <c r="FY757" s="1547" t="str">
        <f t="shared" si="37"/>
        <v/>
      </c>
      <c r="FZ757" s="1548"/>
      <c r="GA757" s="1548"/>
      <c r="GB757" s="1548"/>
      <c r="GC757" s="1549"/>
    </row>
    <row r="758" spans="1:185" s="3" customFormat="1" ht="13" customHeight="1">
      <c r="A758"/>
      <c r="B758" s="1364"/>
      <c r="C758" s="1365"/>
      <c r="D758" s="1365"/>
      <c r="E758" s="1365"/>
      <c r="F758" s="1366"/>
      <c r="G758" s="1358"/>
      <c r="H758" s="1359"/>
      <c r="I758" s="1359"/>
      <c r="J758" s="1360"/>
      <c r="K758" s="1361"/>
      <c r="L758" s="1362"/>
      <c r="M758" s="1362"/>
      <c r="N758" s="1363"/>
      <c r="O758" s="1404"/>
      <c r="P758" s="1405"/>
      <c r="Q758" s="1405"/>
      <c r="R758" s="1405"/>
      <c r="S758" s="1406"/>
      <c r="T758" s="1404"/>
      <c r="U758" s="1405"/>
      <c r="V758" s="1405"/>
      <c r="W758" s="1406"/>
      <c r="X758" s="1401">
        <f t="shared" si="41"/>
        <v>0</v>
      </c>
      <c r="Y758" s="1402"/>
      <c r="Z758" s="1402"/>
      <c r="AA758" s="1402"/>
      <c r="AB758" s="1403"/>
      <c r="AC758" s="1398"/>
      <c r="AD758" s="1399"/>
      <c r="AE758" s="1399"/>
      <c r="AF758" s="1399"/>
      <c r="AG758" s="1400"/>
      <c r="AH758" s="1457" t="str">
        <f t="shared" si="38"/>
        <v/>
      </c>
      <c r="AI758" s="1458"/>
      <c r="AJ758" s="1459"/>
      <c r="AK758" s="1364" t="s">
        <v>591</v>
      </c>
      <c r="AL758" s="1365"/>
      <c r="AM758" s="1365"/>
      <c r="AN758" s="1365"/>
      <c r="AO758" s="1366"/>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7">
        <f t="shared" si="39"/>
        <v>0</v>
      </c>
      <c r="CH758" s="1549"/>
      <c r="CI758" s="1539">
        <f t="shared" si="40"/>
        <v>0</v>
      </c>
      <c r="CJ758" s="1540"/>
      <c r="CK758" s="1547">
        <f t="shared" si="18"/>
        <v>0</v>
      </c>
      <c r="CL758" s="1549"/>
      <c r="CM758" s="1539">
        <f t="shared" si="19"/>
        <v>0</v>
      </c>
      <c r="CN758" s="1540"/>
      <c r="CP758" s="1532">
        <f t="shared" si="20"/>
        <v>0</v>
      </c>
      <c r="CQ758" s="1533"/>
      <c r="CR758" s="1533"/>
      <c r="CS758" s="1533"/>
      <c r="CT758" s="1534"/>
      <c r="CU758" s="1536">
        <f t="shared" si="21"/>
        <v>0</v>
      </c>
      <c r="CV758" s="1536"/>
      <c r="CW758" s="1536"/>
      <c r="CX758" s="1536"/>
      <c r="CY758" s="1536"/>
      <c r="CZ758" s="1536">
        <f t="shared" si="22"/>
        <v>0</v>
      </c>
      <c r="DA758" s="1536"/>
      <c r="DB758" s="1536"/>
      <c r="DC758" s="1536"/>
      <c r="DD758" s="1536"/>
      <c r="DE758" s="1536">
        <f t="shared" si="23"/>
        <v>0</v>
      </c>
      <c r="DF758" s="1536"/>
      <c r="DG758" s="1536"/>
      <c r="DH758" s="1536"/>
      <c r="DI758" s="1536"/>
      <c r="DJ758" s="1536">
        <f t="shared" si="24"/>
        <v>0</v>
      </c>
      <c r="DK758" s="1536"/>
      <c r="DL758" s="1536"/>
      <c r="DM758" s="1536"/>
      <c r="DN758" s="1536"/>
      <c r="DO758" s="1536">
        <f t="shared" si="25"/>
        <v>0</v>
      </c>
      <c r="DP758" s="1536"/>
      <c r="DQ758" s="1536"/>
      <c r="DR758" s="1536"/>
      <c r="DS758" s="1536"/>
      <c r="DT758" s="6"/>
      <c r="DU758" s="1537">
        <f t="shared" si="26"/>
        <v>0</v>
      </c>
      <c r="DV758" s="1537"/>
      <c r="DW758" s="1537"/>
      <c r="DX758" s="1537"/>
      <c r="DY758" s="1537"/>
      <c r="DZ758" s="1537">
        <f t="shared" si="27"/>
        <v>0</v>
      </c>
      <c r="EA758" s="1537"/>
      <c r="EB758" s="1537"/>
      <c r="EC758" s="1537"/>
      <c r="ED758" s="1537"/>
      <c r="EE758" s="1537">
        <f t="shared" si="28"/>
        <v>0</v>
      </c>
      <c r="EF758" s="1537"/>
      <c r="EG758" s="1537"/>
      <c r="EH758" s="1537"/>
      <c r="EI758" s="1537"/>
      <c r="EJ758" s="1537">
        <f t="shared" si="29"/>
        <v>0</v>
      </c>
      <c r="EK758" s="1537"/>
      <c r="EL758" s="1537"/>
      <c r="EM758" s="1537"/>
      <c r="EN758" s="1537"/>
      <c r="EO758" s="1537">
        <f t="shared" si="30"/>
        <v>0</v>
      </c>
      <c r="EP758" s="1537"/>
      <c r="EQ758" s="1537"/>
      <c r="ER758" s="1537"/>
      <c r="ES758" s="1537"/>
      <c r="ET758" s="1537">
        <f t="shared" si="31"/>
        <v>0</v>
      </c>
      <c r="EU758" s="1537"/>
      <c r="EV758" s="1537"/>
      <c r="EW758" s="1537"/>
      <c r="EX758" s="1537"/>
      <c r="EY758"/>
      <c r="EZ758" s="1547" t="str">
        <f t="shared" si="32"/>
        <v/>
      </c>
      <c r="FA758" s="1548"/>
      <c r="FB758" s="1548"/>
      <c r="FC758" s="1548"/>
      <c r="FD758" s="1549"/>
      <c r="FE758" s="1547" t="str">
        <f t="shared" si="33"/>
        <v/>
      </c>
      <c r="FF758" s="1548"/>
      <c r="FG758" s="1548"/>
      <c r="FH758" s="1548"/>
      <c r="FI758" s="1549"/>
      <c r="FJ758" s="1547" t="str">
        <f t="shared" si="34"/>
        <v/>
      </c>
      <c r="FK758" s="1548"/>
      <c r="FL758" s="1548"/>
      <c r="FM758" s="1548"/>
      <c r="FN758" s="1549"/>
      <c r="FO758" s="1547" t="str">
        <f t="shared" si="35"/>
        <v/>
      </c>
      <c r="FP758" s="1548"/>
      <c r="FQ758" s="1548"/>
      <c r="FR758" s="1548"/>
      <c r="FS758" s="1549"/>
      <c r="FT758" s="1547" t="str">
        <f t="shared" si="36"/>
        <v/>
      </c>
      <c r="FU758" s="1548"/>
      <c r="FV758" s="1548"/>
      <c r="FW758" s="1548"/>
      <c r="FX758" s="1549"/>
      <c r="FY758" s="1547" t="str">
        <f t="shared" si="37"/>
        <v/>
      </c>
      <c r="FZ758" s="1548"/>
      <c r="GA758" s="1548"/>
      <c r="GB758" s="1548"/>
      <c r="GC758" s="1549"/>
    </row>
    <row r="759" spans="1:185" s="3" customFormat="1" ht="13" customHeight="1">
      <c r="A759"/>
      <c r="B759" s="1364"/>
      <c r="C759" s="1365"/>
      <c r="D759" s="1365"/>
      <c r="E759" s="1365"/>
      <c r="F759" s="1366"/>
      <c r="G759" s="1358"/>
      <c r="H759" s="1359"/>
      <c r="I759" s="1359"/>
      <c r="J759" s="1360"/>
      <c r="K759" s="1361"/>
      <c r="L759" s="1362"/>
      <c r="M759" s="1362"/>
      <c r="N759" s="1363"/>
      <c r="O759" s="1404"/>
      <c r="P759" s="1405"/>
      <c r="Q759" s="1405"/>
      <c r="R759" s="1405"/>
      <c r="S759" s="1406"/>
      <c r="T759" s="1404"/>
      <c r="U759" s="1405"/>
      <c r="V759" s="1405"/>
      <c r="W759" s="1406"/>
      <c r="X759" s="1401">
        <f t="shared" si="41"/>
        <v>0</v>
      </c>
      <c r="Y759" s="1402"/>
      <c r="Z759" s="1402"/>
      <c r="AA759" s="1402"/>
      <c r="AB759" s="1403"/>
      <c r="AC759" s="1398"/>
      <c r="AD759" s="1399"/>
      <c r="AE759" s="1399"/>
      <c r="AF759" s="1399"/>
      <c r="AG759" s="1400"/>
      <c r="AH759" s="1457" t="str">
        <f t="shared" si="38"/>
        <v/>
      </c>
      <c r="AI759" s="1458"/>
      <c r="AJ759" s="1459"/>
      <c r="AK759" s="1364" t="s">
        <v>591</v>
      </c>
      <c r="AL759" s="1365"/>
      <c r="AM759" s="1365"/>
      <c r="AN759" s="1365"/>
      <c r="AO759" s="1366"/>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7">
        <f t="shared" si="39"/>
        <v>0</v>
      </c>
      <c r="CH759" s="1549"/>
      <c r="CI759" s="1539">
        <f t="shared" si="40"/>
        <v>0</v>
      </c>
      <c r="CJ759" s="1540"/>
      <c r="CK759" s="1547">
        <f t="shared" si="18"/>
        <v>0</v>
      </c>
      <c r="CL759" s="1549"/>
      <c r="CM759" s="1539">
        <f t="shared" si="19"/>
        <v>0</v>
      </c>
      <c r="CN759" s="1540"/>
      <c r="CP759" s="1532">
        <f t="shared" si="20"/>
        <v>0</v>
      </c>
      <c r="CQ759" s="1533"/>
      <c r="CR759" s="1533"/>
      <c r="CS759" s="1533"/>
      <c r="CT759" s="1534"/>
      <c r="CU759" s="1536">
        <f t="shared" si="21"/>
        <v>0</v>
      </c>
      <c r="CV759" s="1536"/>
      <c r="CW759" s="1536"/>
      <c r="CX759" s="1536"/>
      <c r="CY759" s="1536"/>
      <c r="CZ759" s="1536">
        <f t="shared" si="22"/>
        <v>0</v>
      </c>
      <c r="DA759" s="1536"/>
      <c r="DB759" s="1536"/>
      <c r="DC759" s="1536"/>
      <c r="DD759" s="1536"/>
      <c r="DE759" s="1536">
        <f t="shared" si="23"/>
        <v>0</v>
      </c>
      <c r="DF759" s="1536"/>
      <c r="DG759" s="1536"/>
      <c r="DH759" s="1536"/>
      <c r="DI759" s="1536"/>
      <c r="DJ759" s="1536">
        <f t="shared" si="24"/>
        <v>0</v>
      </c>
      <c r="DK759" s="1536"/>
      <c r="DL759" s="1536"/>
      <c r="DM759" s="1536"/>
      <c r="DN759" s="1536"/>
      <c r="DO759" s="1536">
        <f t="shared" si="25"/>
        <v>0</v>
      </c>
      <c r="DP759" s="1536"/>
      <c r="DQ759" s="1536"/>
      <c r="DR759" s="1536"/>
      <c r="DS759" s="1536"/>
      <c r="DT759" s="6"/>
      <c r="DU759" s="1537">
        <f t="shared" si="26"/>
        <v>0</v>
      </c>
      <c r="DV759" s="1537"/>
      <c r="DW759" s="1537"/>
      <c r="DX759" s="1537"/>
      <c r="DY759" s="1537"/>
      <c r="DZ759" s="1537">
        <f t="shared" si="27"/>
        <v>0</v>
      </c>
      <c r="EA759" s="1537"/>
      <c r="EB759" s="1537"/>
      <c r="EC759" s="1537"/>
      <c r="ED759" s="1537"/>
      <c r="EE759" s="1537">
        <f t="shared" si="28"/>
        <v>0</v>
      </c>
      <c r="EF759" s="1537"/>
      <c r="EG759" s="1537"/>
      <c r="EH759" s="1537"/>
      <c r="EI759" s="1537"/>
      <c r="EJ759" s="1537">
        <f t="shared" si="29"/>
        <v>0</v>
      </c>
      <c r="EK759" s="1537"/>
      <c r="EL759" s="1537"/>
      <c r="EM759" s="1537"/>
      <c r="EN759" s="1537"/>
      <c r="EO759" s="1537">
        <f t="shared" si="30"/>
        <v>0</v>
      </c>
      <c r="EP759" s="1537"/>
      <c r="EQ759" s="1537"/>
      <c r="ER759" s="1537"/>
      <c r="ES759" s="1537"/>
      <c r="ET759" s="1537">
        <f t="shared" si="31"/>
        <v>0</v>
      </c>
      <c r="EU759" s="1537"/>
      <c r="EV759" s="1537"/>
      <c r="EW759" s="1537"/>
      <c r="EX759" s="1537"/>
      <c r="EY759"/>
      <c r="EZ759" s="1547" t="str">
        <f t="shared" si="32"/>
        <v/>
      </c>
      <c r="FA759" s="1548"/>
      <c r="FB759" s="1548"/>
      <c r="FC759" s="1548"/>
      <c r="FD759" s="1549"/>
      <c r="FE759" s="1547" t="str">
        <f t="shared" si="33"/>
        <v/>
      </c>
      <c r="FF759" s="1548"/>
      <c r="FG759" s="1548"/>
      <c r="FH759" s="1548"/>
      <c r="FI759" s="1549"/>
      <c r="FJ759" s="1547" t="str">
        <f t="shared" si="34"/>
        <v/>
      </c>
      <c r="FK759" s="1548"/>
      <c r="FL759" s="1548"/>
      <c r="FM759" s="1548"/>
      <c r="FN759" s="1549"/>
      <c r="FO759" s="1547" t="str">
        <f t="shared" si="35"/>
        <v/>
      </c>
      <c r="FP759" s="1548"/>
      <c r="FQ759" s="1548"/>
      <c r="FR759" s="1548"/>
      <c r="FS759" s="1549"/>
      <c r="FT759" s="1547" t="str">
        <f t="shared" si="36"/>
        <v/>
      </c>
      <c r="FU759" s="1548"/>
      <c r="FV759" s="1548"/>
      <c r="FW759" s="1548"/>
      <c r="FX759" s="1549"/>
      <c r="FY759" s="1547" t="str">
        <f t="shared" si="37"/>
        <v/>
      </c>
      <c r="FZ759" s="1548"/>
      <c r="GA759" s="1548"/>
      <c r="GB759" s="1548"/>
      <c r="GC759" s="1549"/>
    </row>
    <row r="760" spans="1:185" s="3" customFormat="1" ht="13" customHeight="1">
      <c r="A760"/>
      <c r="B760" s="1364"/>
      <c r="C760" s="1365"/>
      <c r="D760" s="1365"/>
      <c r="E760" s="1365"/>
      <c r="F760" s="1366"/>
      <c r="G760" s="1358"/>
      <c r="H760" s="1359"/>
      <c r="I760" s="1359"/>
      <c r="J760" s="1360"/>
      <c r="K760" s="1361"/>
      <c r="L760" s="1362"/>
      <c r="M760" s="1362"/>
      <c r="N760" s="1363"/>
      <c r="O760" s="1404"/>
      <c r="P760" s="1405"/>
      <c r="Q760" s="1405"/>
      <c r="R760" s="1405"/>
      <c r="S760" s="1406"/>
      <c r="T760" s="1404"/>
      <c r="U760" s="1405"/>
      <c r="V760" s="1405"/>
      <c r="W760" s="1406"/>
      <c r="X760" s="1401">
        <f>O760+T760</f>
        <v>0</v>
      </c>
      <c r="Y760" s="1402"/>
      <c r="Z760" s="1402"/>
      <c r="AA760" s="1402"/>
      <c r="AB760" s="1403"/>
      <c r="AC760" s="1398"/>
      <c r="AD760" s="1399"/>
      <c r="AE760" s="1399"/>
      <c r="AF760" s="1399"/>
      <c r="AG760" s="1400"/>
      <c r="AH760" s="1457" t="str">
        <f t="shared" si="38"/>
        <v/>
      </c>
      <c r="AI760" s="1458"/>
      <c r="AJ760" s="1459"/>
      <c r="AK760" s="1364" t="s">
        <v>591</v>
      </c>
      <c r="AL760" s="1365"/>
      <c r="AM760" s="1365"/>
      <c r="AN760" s="1365"/>
      <c r="AO760" s="1366"/>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7">
        <f t="shared" si="39"/>
        <v>0</v>
      </c>
      <c r="CH760" s="1549"/>
      <c r="CI760" s="1539">
        <f t="shared" si="40"/>
        <v>0</v>
      </c>
      <c r="CJ760" s="1540"/>
      <c r="CK760" s="1547">
        <f t="shared" si="18"/>
        <v>0</v>
      </c>
      <c r="CL760" s="1549"/>
      <c r="CM760" s="1539">
        <f t="shared" si="19"/>
        <v>0</v>
      </c>
      <c r="CN760" s="1540"/>
      <c r="CP760" s="1532">
        <f t="shared" si="20"/>
        <v>0</v>
      </c>
      <c r="CQ760" s="1533"/>
      <c r="CR760" s="1533"/>
      <c r="CS760" s="1533"/>
      <c r="CT760" s="1534"/>
      <c r="CU760" s="1536">
        <f t="shared" si="21"/>
        <v>0</v>
      </c>
      <c r="CV760" s="1536"/>
      <c r="CW760" s="1536"/>
      <c r="CX760" s="1536"/>
      <c r="CY760" s="1536"/>
      <c r="CZ760" s="1536">
        <f t="shared" si="22"/>
        <v>0</v>
      </c>
      <c r="DA760" s="1536"/>
      <c r="DB760" s="1536"/>
      <c r="DC760" s="1536"/>
      <c r="DD760" s="1536"/>
      <c r="DE760" s="1536">
        <f t="shared" si="23"/>
        <v>0</v>
      </c>
      <c r="DF760" s="1536"/>
      <c r="DG760" s="1536"/>
      <c r="DH760" s="1536"/>
      <c r="DI760" s="1536"/>
      <c r="DJ760" s="1536">
        <f t="shared" si="24"/>
        <v>0</v>
      </c>
      <c r="DK760" s="1536"/>
      <c r="DL760" s="1536"/>
      <c r="DM760" s="1536"/>
      <c r="DN760" s="1536"/>
      <c r="DO760" s="1536">
        <f t="shared" si="25"/>
        <v>0</v>
      </c>
      <c r="DP760" s="1536"/>
      <c r="DQ760" s="1536"/>
      <c r="DR760" s="1536"/>
      <c r="DS760" s="1536"/>
      <c r="DT760" s="6"/>
      <c r="DU760" s="1537">
        <f t="shared" si="26"/>
        <v>0</v>
      </c>
      <c r="DV760" s="1537"/>
      <c r="DW760" s="1537"/>
      <c r="DX760" s="1537"/>
      <c r="DY760" s="1537"/>
      <c r="DZ760" s="1537">
        <f t="shared" si="27"/>
        <v>0</v>
      </c>
      <c r="EA760" s="1537"/>
      <c r="EB760" s="1537"/>
      <c r="EC760" s="1537"/>
      <c r="ED760" s="1537"/>
      <c r="EE760" s="1537">
        <f t="shared" si="28"/>
        <v>0</v>
      </c>
      <c r="EF760" s="1537"/>
      <c r="EG760" s="1537"/>
      <c r="EH760" s="1537"/>
      <c r="EI760" s="1537"/>
      <c r="EJ760" s="1537">
        <f t="shared" si="29"/>
        <v>0</v>
      </c>
      <c r="EK760" s="1537"/>
      <c r="EL760" s="1537"/>
      <c r="EM760" s="1537"/>
      <c r="EN760" s="1537"/>
      <c r="EO760" s="1537">
        <f t="shared" si="30"/>
        <v>0</v>
      </c>
      <c r="EP760" s="1537"/>
      <c r="EQ760" s="1537"/>
      <c r="ER760" s="1537"/>
      <c r="ES760" s="1537"/>
      <c r="ET760" s="1537">
        <f t="shared" si="31"/>
        <v>0</v>
      </c>
      <c r="EU760" s="1537"/>
      <c r="EV760" s="1537"/>
      <c r="EW760" s="1537"/>
      <c r="EX760" s="1537"/>
      <c r="EY760"/>
      <c r="EZ760" s="1547" t="str">
        <f t="shared" si="32"/>
        <v/>
      </c>
      <c r="FA760" s="1548"/>
      <c r="FB760" s="1548"/>
      <c r="FC760" s="1548"/>
      <c r="FD760" s="1549"/>
      <c r="FE760" s="1547" t="str">
        <f t="shared" si="33"/>
        <v/>
      </c>
      <c r="FF760" s="1548"/>
      <c r="FG760" s="1548"/>
      <c r="FH760" s="1548"/>
      <c r="FI760" s="1549"/>
      <c r="FJ760" s="1547" t="str">
        <f t="shared" si="34"/>
        <v/>
      </c>
      <c r="FK760" s="1548"/>
      <c r="FL760" s="1548"/>
      <c r="FM760" s="1548"/>
      <c r="FN760" s="1549"/>
      <c r="FO760" s="1547" t="str">
        <f t="shared" si="35"/>
        <v/>
      </c>
      <c r="FP760" s="1548"/>
      <c r="FQ760" s="1548"/>
      <c r="FR760" s="1548"/>
      <c r="FS760" s="1549"/>
      <c r="FT760" s="1547" t="str">
        <f t="shared" si="36"/>
        <v/>
      </c>
      <c r="FU760" s="1548"/>
      <c r="FV760" s="1548"/>
      <c r="FW760" s="1548"/>
      <c r="FX760" s="1549"/>
      <c r="FY760" s="1547" t="str">
        <f t="shared" si="37"/>
        <v/>
      </c>
      <c r="FZ760" s="1548"/>
      <c r="GA760" s="1548"/>
      <c r="GB760" s="1548"/>
      <c r="GC760" s="1549"/>
    </row>
    <row r="761" spans="1:185" s="3" customFormat="1" ht="13" customHeight="1">
      <c r="A761"/>
      <c r="B761" s="1524" t="s">
        <v>125</v>
      </c>
      <c r="C761" s="1525"/>
      <c r="D761" s="1525"/>
      <c r="E761" s="1525"/>
      <c r="F761" s="1526"/>
      <c r="G761" s="1678">
        <f>SUM(G726:G760)</f>
        <v>95</v>
      </c>
      <c r="H761" s="1679"/>
      <c r="I761" s="1679"/>
      <c r="J761" s="1680"/>
      <c r="K761" s="898" t="s">
        <v>124</v>
      </c>
      <c r="L761" s="5"/>
      <c r="M761" s="5"/>
      <c r="N761" s="46"/>
      <c r="O761" s="1401">
        <f>SUMPRODUCT(G726:G760,O726:O760)</f>
        <v>257998</v>
      </c>
      <c r="P761" s="1402"/>
      <c r="Q761" s="1402"/>
      <c r="R761" s="1402"/>
      <c r="S761" s="1403"/>
      <c r="T761"/>
      <c r="U761"/>
      <c r="V761"/>
      <c r="W761"/>
      <c r="X761" s="900" t="s">
        <v>899</v>
      </c>
      <c r="Y761" s="899"/>
      <c r="Z761" s="899"/>
      <c r="AA761" s="899"/>
      <c r="AB761" s="901"/>
      <c r="AC761" s="1736">
        <f>BH761</f>
        <v>0.59894736842105256</v>
      </c>
      <c r="AD761" s="1737"/>
      <c r="AE761" s="1737"/>
      <c r="AF761" s="1737"/>
      <c r="AG761" s="1738"/>
      <c r="AH761" s="1736">
        <f>IFERROR(BU761,"")</f>
        <v>0.59890765419967651</v>
      </c>
      <c r="AI761" s="1737"/>
      <c r="AJ761" s="1738"/>
      <c r="AK761"/>
      <c r="AL761"/>
      <c r="AM761"/>
      <c r="AN761"/>
      <c r="AO761"/>
      <c r="AP761" s="205"/>
      <c r="AQ761" s="205"/>
      <c r="AR761" s="205"/>
      <c r="AS761" s="205"/>
      <c r="AT761"/>
      <c r="AU761"/>
      <c r="AV761"/>
      <c r="AW761"/>
      <c r="AX761"/>
      <c r="AY761"/>
      <c r="AZ761" s="34"/>
      <c r="BA761" s="34"/>
      <c r="BB761" s="34"/>
      <c r="BC761" s="34"/>
      <c r="BE761" s="290" t="s">
        <v>898</v>
      </c>
      <c r="BF761" s="299">
        <f>SUM(BF726:BF760)</f>
        <v>95</v>
      </c>
      <c r="BG761" s="300">
        <f>SUM(BG726:BG760)</f>
        <v>1</v>
      </c>
      <c r="BH761" s="300">
        <f>SUM(BH726:BH760)</f>
        <v>0.59894736842105256</v>
      </c>
      <c r="BI761"/>
      <c r="BJ761"/>
      <c r="BK761"/>
      <c r="BL761"/>
      <c r="BO761"/>
      <c r="BP761"/>
      <c r="BQ761"/>
      <c r="BR761"/>
      <c r="BS761" s="855">
        <f>SUM(BS726:BS760)</f>
        <v>95</v>
      </c>
      <c r="BT761" s="300">
        <f>SUM(BT726:BT760)</f>
        <v>1</v>
      </c>
      <c r="BU761" s="300">
        <f>SUM(BU726:BU760)</f>
        <v>0.59890765419967651</v>
      </c>
      <c r="CI761" s="1547">
        <f>SUM(CI726:CJ760)</f>
        <v>11</v>
      </c>
      <c r="CJ761" s="1549"/>
      <c r="CM761" s="1547">
        <f>SUM(CM726:CN760)</f>
        <v>11</v>
      </c>
      <c r="CN761" s="1549"/>
      <c r="CP761" s="1547">
        <f>SUM(CP726:CT760)</f>
        <v>0</v>
      </c>
      <c r="CQ761" s="1548"/>
      <c r="CR761" s="1548"/>
      <c r="CS761" s="1548"/>
      <c r="CT761" s="1549"/>
      <c r="CU761" s="1535">
        <f>SUM(CU726:CY760)</f>
        <v>0</v>
      </c>
      <c r="CV761" s="1535"/>
      <c r="CW761" s="1535"/>
      <c r="CX761" s="1535"/>
      <c r="CY761" s="1535"/>
      <c r="CZ761" s="1535">
        <f>SUM(CZ726:DD760)</f>
        <v>34</v>
      </c>
      <c r="DA761" s="1535"/>
      <c r="DB761" s="1535"/>
      <c r="DC761" s="1535"/>
      <c r="DD761" s="1535"/>
      <c r="DE761" s="1535">
        <f>SUM(DE726:DI760)</f>
        <v>61</v>
      </c>
      <c r="DF761" s="1535"/>
      <c r="DG761" s="1535"/>
      <c r="DH761" s="1535"/>
      <c r="DI761" s="1535"/>
      <c r="DJ761" s="1535">
        <f>SUM(DJ726:DN760)</f>
        <v>0</v>
      </c>
      <c r="DK761" s="1535"/>
      <c r="DL761" s="1535"/>
      <c r="DM761" s="1535"/>
      <c r="DN761" s="1535"/>
      <c r="DO761" s="1535">
        <f>SUM(DO726:DS760)</f>
        <v>0</v>
      </c>
      <c r="DP761" s="1535"/>
      <c r="DQ761" s="1535"/>
      <c r="DR761" s="1535"/>
      <c r="DS761" s="1535"/>
      <c r="DT761" s="354"/>
      <c r="DU761" s="1535">
        <f>SUM(DU726:DY760)</f>
        <v>0</v>
      </c>
      <c r="DV761" s="1535"/>
      <c r="DW761" s="1535"/>
      <c r="DX761" s="1535"/>
      <c r="DY761" s="1535"/>
      <c r="DZ761" s="1535">
        <f>SUM(DZ726:ED760)</f>
        <v>0</v>
      </c>
      <c r="EA761" s="1535"/>
      <c r="EB761" s="1535"/>
      <c r="EC761" s="1535"/>
      <c r="ED761" s="1535"/>
      <c r="EE761" s="1535">
        <f>SUM(EE726:EI760)</f>
        <v>4</v>
      </c>
      <c r="EF761" s="1535"/>
      <c r="EG761" s="1535"/>
      <c r="EH761" s="1535"/>
      <c r="EI761" s="1535"/>
      <c r="EJ761" s="1535">
        <f>SUM(EJ726:EN760)</f>
        <v>7</v>
      </c>
      <c r="EK761" s="1535"/>
      <c r="EL761" s="1535"/>
      <c r="EM761" s="1535"/>
      <c r="EN761" s="1535"/>
      <c r="EO761" s="1535">
        <f>SUM(EO726:ES760)</f>
        <v>0</v>
      </c>
      <c r="EP761" s="1535"/>
      <c r="EQ761" s="1535"/>
      <c r="ER761" s="1535"/>
      <c r="ES761" s="1535"/>
      <c r="ET761" s="1535">
        <f>SUM(ET726:EX760)</f>
        <v>0</v>
      </c>
      <c r="EU761" s="1535"/>
      <c r="EV761" s="1535"/>
      <c r="EW761" s="1535"/>
      <c r="EX761" s="1535"/>
      <c r="EY761"/>
      <c r="EZ761" s="1535">
        <f>SUM(EZ726:FD760)</f>
        <v>0</v>
      </c>
      <c r="FA761" s="1535"/>
      <c r="FB761" s="1535"/>
      <c r="FC761" s="1535"/>
      <c r="FD761" s="1535"/>
      <c r="FE761" s="1535">
        <f>SUM(FE726:FI760)</f>
        <v>0</v>
      </c>
      <c r="FF761" s="1535"/>
      <c r="FG761" s="1535"/>
      <c r="FH761" s="1535"/>
      <c r="FI761" s="1535"/>
      <c r="FJ761" s="1535">
        <f>SUM(FJ726:FN760)</f>
        <v>8617</v>
      </c>
      <c r="FK761" s="1535"/>
      <c r="FL761" s="1535"/>
      <c r="FM761" s="1535"/>
      <c r="FN761" s="1535"/>
      <c r="FO761" s="1535">
        <f>SUM(FO726:FS760)</f>
        <v>9853</v>
      </c>
      <c r="FP761" s="1535"/>
      <c r="FQ761" s="1535"/>
      <c r="FR761" s="1535"/>
      <c r="FS761" s="1535"/>
      <c r="FT761" s="1535">
        <f>SUM(FT726:FX760)</f>
        <v>0</v>
      </c>
      <c r="FU761" s="1535"/>
      <c r="FV761" s="1535"/>
      <c r="FW761" s="1535"/>
      <c r="FX761" s="1535"/>
      <c r="FY761" s="1535">
        <f>SUM(FY726:GC760)</f>
        <v>0</v>
      </c>
      <c r="FZ761" s="1535"/>
      <c r="GA761" s="1535"/>
      <c r="GB761" s="1535"/>
      <c r="GC761" s="1535"/>
    </row>
    <row r="762" spans="1:185" s="3" customFormat="1" ht="13" customHeight="1">
      <c r="A762"/>
      <c r="B762" s="1630" t="s">
        <v>1865</v>
      </c>
      <c r="C762" s="1630"/>
      <c r="D762" s="1630"/>
      <c r="E762" s="1630"/>
      <c r="F762" s="1630"/>
      <c r="G762" s="1630"/>
      <c r="H762" s="1630"/>
      <c r="I762" s="1630"/>
      <c r="J762" s="1630"/>
      <c r="K762" s="1630"/>
      <c r="L762" s="1630"/>
      <c r="M762" s="1630"/>
      <c r="N762" s="1630"/>
      <c r="O762" s="1630"/>
      <c r="P762" s="1630"/>
      <c r="Q762" s="1630"/>
      <c r="R762" s="1630"/>
      <c r="S762" s="1630"/>
      <c r="T762" s="1630"/>
      <c r="U762" s="1630"/>
      <c r="V762" s="1630"/>
      <c r="W762" s="1630"/>
      <c r="X762" s="1630"/>
      <c r="Y762" s="1630"/>
      <c r="Z762" s="1630"/>
      <c r="AA762" s="1630"/>
      <c r="AB762" s="1630"/>
      <c r="AC762" s="1630"/>
      <c r="AD762" s="1630"/>
      <c r="AE762" s="1630"/>
      <c r="AF762" s="1630"/>
      <c r="AG762" s="1630"/>
      <c r="AH762" s="1630"/>
      <c r="AI762"/>
      <c r="AJ762"/>
      <c r="AK762"/>
      <c r="AT762"/>
      <c r="AU762"/>
      <c r="AV762"/>
      <c r="AW762"/>
      <c r="AX762"/>
      <c r="AY762"/>
      <c r="CD762"/>
      <c r="DN762" s="56" t="s">
        <v>1833</v>
      </c>
      <c r="DO762" s="1547">
        <f>CP761+CU761+CZ761+DE761+DJ761+DO761</f>
        <v>95</v>
      </c>
      <c r="DP762" s="1548"/>
      <c r="DQ762" s="1548"/>
      <c r="DR762" s="1548"/>
      <c r="DS762" s="154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c r="V763" s="1630"/>
      <c r="W763" s="1630"/>
      <c r="X763" s="1630"/>
      <c r="Y763" s="1630"/>
      <c r="Z763" s="1630"/>
      <c r="AA763" s="1630"/>
      <c r="AB763" s="1630"/>
      <c r="AC763" s="1630"/>
      <c r="AD763" s="1630"/>
      <c r="AE763" s="1630"/>
      <c r="AF763" s="1630"/>
      <c r="AG763" s="1630"/>
      <c r="AH763" s="163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68</v>
      </c>
      <c r="DE763" s="3"/>
      <c r="DF763" s="3"/>
      <c r="DG763" s="3"/>
      <c r="DH763" s="3"/>
      <c r="DI763" s="857">
        <f>DE761*3</f>
        <v>183</v>
      </c>
      <c r="DJ763" s="3"/>
      <c r="DK763" s="3"/>
      <c r="DL763" s="3"/>
      <c r="DM763" s="3"/>
      <c r="DN763" s="857">
        <f>DJ761*4</f>
        <v>0</v>
      </c>
      <c r="DO763" s="3"/>
      <c r="DP763" s="3"/>
      <c r="DQ763" s="3"/>
      <c r="DR763" s="3"/>
      <c r="DS763" s="857">
        <f>DO761*5</f>
        <v>0</v>
      </c>
      <c r="DU763" s="857">
        <f>CT763+CY763+DD763+DI763+DN763+DS763</f>
        <v>251</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535">
        <f>DU763</f>
        <v>251</v>
      </c>
      <c r="P764" s="1535"/>
      <c r="Q764" s="1535"/>
      <c r="R764" s="1535"/>
      <c r="S764" s="965"/>
      <c r="T764" s="965"/>
      <c r="U764" s="118" t="s">
        <v>1864</v>
      </c>
      <c r="V764" s="1027"/>
      <c r="W764" s="1027"/>
      <c r="X764" s="1027"/>
      <c r="Y764" s="1028"/>
      <c r="Z764" s="1028"/>
      <c r="AA764" s="1028"/>
      <c r="AB764" s="1028"/>
      <c r="AC764" s="1027"/>
      <c r="AD764" s="1027"/>
      <c r="AE764" s="1027"/>
      <c r="AF764" s="1027"/>
      <c r="AG764" s="1460"/>
      <c r="AH764" s="1460"/>
      <c r="AI764" s="1460"/>
      <c r="AJ764" s="1460"/>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57" t="str">
        <f>IF(G761&lt;&gt;AG449,"! Total Low-Income Units in the Unit Mix Table above does not match the number of Total Low-Income Units on row #"&amp;TEXT(ROW(D449),"#"),"")</f>
        <v/>
      </c>
      <c r="D765" s="1357"/>
      <c r="E765" s="1357"/>
      <c r="F765" s="1357"/>
      <c r="G765" s="1357"/>
      <c r="H765" s="1357"/>
      <c r="I765" s="1357"/>
      <c r="J765" s="1357"/>
      <c r="K765" s="1357"/>
      <c r="L765" s="1357"/>
      <c r="M765" s="1357"/>
      <c r="N765" s="1357"/>
      <c r="O765" s="1357"/>
      <c r="P765" s="1357"/>
      <c r="Q765" s="1357"/>
      <c r="R765" s="1357"/>
      <c r="S765" s="1357"/>
      <c r="T765" s="1357"/>
      <c r="U765" s="1357"/>
      <c r="V765" s="1357"/>
      <c r="W765" s="1357"/>
      <c r="X765" s="1357"/>
      <c r="Y765" s="1357"/>
      <c r="Z765" s="1357"/>
      <c r="AA765" s="1357"/>
      <c r="AB765" s="1357"/>
      <c r="AC765" s="1357"/>
      <c r="AD765" s="1357"/>
      <c r="AE765" s="1357"/>
      <c r="AF765" s="1357"/>
      <c r="AG765" s="1357"/>
      <c r="AH765" s="1357"/>
      <c r="AI765" s="1357"/>
      <c r="AJ765" s="1357"/>
      <c r="AK765" s="1357"/>
      <c r="AL765" s="1357"/>
      <c r="AM765" s="135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57"/>
      <c r="D766" s="1357"/>
      <c r="E766" s="1357"/>
      <c r="F766" s="1357"/>
      <c r="G766" s="1357"/>
      <c r="H766" s="1357"/>
      <c r="I766" s="1357"/>
      <c r="J766" s="1357"/>
      <c r="K766" s="1357"/>
      <c r="L766" s="1357"/>
      <c r="M766" s="1357"/>
      <c r="N766" s="1357"/>
      <c r="O766" s="1357"/>
      <c r="P766" s="1357"/>
      <c r="Q766" s="1357"/>
      <c r="R766" s="1357"/>
      <c r="S766" s="1357"/>
      <c r="T766" s="1357"/>
      <c r="U766" s="1357"/>
      <c r="V766" s="1357"/>
      <c r="W766" s="1357"/>
      <c r="X766" s="1357"/>
      <c r="Y766" s="1357"/>
      <c r="Z766" s="1357"/>
      <c r="AA766" s="1357"/>
      <c r="AB766" s="1357"/>
      <c r="AC766" s="1357"/>
      <c r="AD766" s="1357"/>
      <c r="AE766" s="1357"/>
      <c r="AF766" s="1357"/>
      <c r="AG766" s="1357"/>
      <c r="AH766" s="1357"/>
      <c r="AI766" s="1357"/>
      <c r="AJ766" s="1357"/>
      <c r="AK766" s="1357"/>
      <c r="AL766" s="1357"/>
      <c r="AM766" s="135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81" t="s">
        <v>591</v>
      </c>
      <c r="AE767" s="1681"/>
      <c r="AF767" s="168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67" t="s">
        <v>2043</v>
      </c>
      <c r="D771" s="1267"/>
      <c r="E771" s="1267"/>
      <c r="F771" s="1267"/>
      <c r="G771" s="1267"/>
      <c r="H771" s="1267"/>
      <c r="I771" s="1267"/>
      <c r="J771" s="1267"/>
      <c r="K771" s="1267"/>
      <c r="L771" s="1267"/>
      <c r="M771" s="1267"/>
      <c r="N771" s="1267"/>
      <c r="O771" s="1267"/>
      <c r="P771" s="1267"/>
      <c r="Q771" s="1267"/>
      <c r="R771" s="1267"/>
      <c r="S771" s="1267"/>
      <c r="T771" s="1267"/>
      <c r="U771" s="1267"/>
      <c r="V771" s="1267"/>
      <c r="W771" s="1267"/>
      <c r="X771" s="1267"/>
      <c r="Y771" s="1267"/>
      <c r="Z771" s="1267"/>
      <c r="AA771" s="1267"/>
      <c r="AB771" s="1267"/>
      <c r="AC771" s="1267"/>
      <c r="AD771" s="1267"/>
      <c r="AE771" s="1267"/>
      <c r="AF771" s="1267"/>
      <c r="AG771" s="1267"/>
      <c r="AH771" s="1267"/>
      <c r="AI771" s="1267"/>
      <c r="AJ771" s="1267"/>
      <c r="AK771" s="1267"/>
      <c r="AL771" s="1267"/>
      <c r="AM771" s="1267"/>
      <c r="AN771" s="1267"/>
      <c r="AO771" s="1267"/>
      <c r="AP771" s="1267"/>
      <c r="AQ771" s="1267"/>
      <c r="AR771" s="126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67"/>
      <c r="D772" s="1267"/>
      <c r="E772" s="1267"/>
      <c r="F772" s="1267"/>
      <c r="G772" s="1267"/>
      <c r="H772" s="1267"/>
      <c r="I772" s="1267"/>
      <c r="J772" s="1267"/>
      <c r="K772" s="1267"/>
      <c r="L772" s="1267"/>
      <c r="M772" s="1267"/>
      <c r="N772" s="1267"/>
      <c r="O772" s="1267"/>
      <c r="P772" s="1267"/>
      <c r="Q772" s="1267"/>
      <c r="R772" s="1267"/>
      <c r="S772" s="1267"/>
      <c r="T772" s="1267"/>
      <c r="U772" s="1267"/>
      <c r="V772" s="1267"/>
      <c r="W772" s="1267"/>
      <c r="X772" s="1267"/>
      <c r="Y772" s="1267"/>
      <c r="Z772" s="1267"/>
      <c r="AA772" s="1267"/>
      <c r="AB772" s="1267"/>
      <c r="AC772" s="1267"/>
      <c r="AD772" s="1267"/>
      <c r="AE772" s="1267"/>
      <c r="AF772" s="1267"/>
      <c r="AG772" s="1267"/>
      <c r="AH772" s="1267"/>
      <c r="AI772" s="1267"/>
      <c r="AJ772" s="1267"/>
      <c r="AK772" s="1267"/>
      <c r="AL772" s="1267"/>
      <c r="AM772" s="1267"/>
      <c r="AN772" s="1267"/>
      <c r="AO772" s="1267"/>
      <c r="AP772" s="1267"/>
      <c r="AQ772" s="1267"/>
      <c r="AR772" s="126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67"/>
      <c r="D773" s="1267"/>
      <c r="E773" s="1267"/>
      <c r="F773" s="1267"/>
      <c r="G773" s="1267"/>
      <c r="H773" s="1267"/>
      <c r="I773" s="1267"/>
      <c r="J773" s="1267"/>
      <c r="K773" s="1267"/>
      <c r="L773" s="1267"/>
      <c r="M773" s="1267"/>
      <c r="N773" s="1267"/>
      <c r="O773" s="1267"/>
      <c r="P773" s="1267"/>
      <c r="Q773" s="1267"/>
      <c r="R773" s="1267"/>
      <c r="S773" s="1267"/>
      <c r="T773" s="1267"/>
      <c r="U773" s="1267"/>
      <c r="V773" s="1267"/>
      <c r="W773" s="1267"/>
      <c r="X773" s="1267"/>
      <c r="Y773" s="1267"/>
      <c r="Z773" s="1267"/>
      <c r="AA773" s="1267"/>
      <c r="AB773" s="1267"/>
      <c r="AC773" s="1267"/>
      <c r="AD773" s="1267"/>
      <c r="AE773" s="1267"/>
      <c r="AF773" s="1267"/>
      <c r="AG773" s="1267"/>
      <c r="AH773" s="1267"/>
      <c r="AI773" s="1267"/>
      <c r="AJ773" s="1267"/>
      <c r="AK773" s="1267"/>
      <c r="AL773" s="1267"/>
      <c r="AM773" s="1267"/>
      <c r="AN773" s="1267"/>
      <c r="AO773" s="1267"/>
      <c r="AP773" s="1267"/>
      <c r="AQ773" s="1267"/>
      <c r="AR773" s="126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67" t="s">
        <v>2044</v>
      </c>
      <c r="D774" s="1267"/>
      <c r="E774" s="1267"/>
      <c r="F774" s="1267"/>
      <c r="G774" s="1267"/>
      <c r="H774" s="1267"/>
      <c r="I774" s="1267"/>
      <c r="J774" s="1267"/>
      <c r="K774" s="1267"/>
      <c r="L774" s="1267"/>
      <c r="M774" s="1267"/>
      <c r="N774" s="1267"/>
      <c r="O774" s="1267"/>
      <c r="P774" s="1267"/>
      <c r="Q774" s="1267"/>
      <c r="R774" s="1267"/>
      <c r="S774" s="1267"/>
      <c r="T774" s="1267"/>
      <c r="U774" s="1267"/>
      <c r="V774" s="1267"/>
      <c r="W774" s="1267"/>
      <c r="X774" s="1267"/>
      <c r="Y774" s="1267"/>
      <c r="Z774" s="1267"/>
      <c r="AA774" s="1267"/>
      <c r="AB774" s="1267"/>
      <c r="AC774" s="1267"/>
      <c r="AD774" s="1267"/>
      <c r="AE774" s="1267"/>
      <c r="AF774" s="1267"/>
      <c r="AG774" s="1267"/>
      <c r="AH774" s="1267"/>
      <c r="AI774" s="1267"/>
      <c r="AJ774" s="1267"/>
      <c r="AK774" s="1267"/>
      <c r="AL774" s="1267"/>
      <c r="AM774" s="1267"/>
      <c r="AN774" s="1267"/>
      <c r="AO774" s="1267"/>
      <c r="AP774" s="1267"/>
      <c r="AQ774" s="1267"/>
      <c r="AR774" s="126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67"/>
      <c r="D775" s="1267"/>
      <c r="E775" s="1267"/>
      <c r="F775" s="1267"/>
      <c r="G775" s="1267"/>
      <c r="H775" s="1267"/>
      <c r="I775" s="1267"/>
      <c r="J775" s="1267"/>
      <c r="K775" s="1267"/>
      <c r="L775" s="1267"/>
      <c r="M775" s="1267"/>
      <c r="N775" s="1267"/>
      <c r="O775" s="1267"/>
      <c r="P775" s="1267"/>
      <c r="Q775" s="1267"/>
      <c r="R775" s="1267"/>
      <c r="S775" s="1267"/>
      <c r="T775" s="1267"/>
      <c r="U775" s="1267"/>
      <c r="V775" s="1267"/>
      <c r="W775" s="1267"/>
      <c r="X775" s="1267"/>
      <c r="Y775" s="1267"/>
      <c r="Z775" s="1267"/>
      <c r="AA775" s="1267"/>
      <c r="AB775" s="1267"/>
      <c r="AC775" s="1267"/>
      <c r="AD775" s="1267"/>
      <c r="AE775" s="1267"/>
      <c r="AF775" s="1267"/>
      <c r="AG775" s="1267"/>
      <c r="AH775" s="1267"/>
      <c r="AI775" s="1267"/>
      <c r="AJ775" s="1267"/>
      <c r="AK775" s="1267"/>
      <c r="AL775" s="1267"/>
      <c r="AM775" s="1267"/>
      <c r="AN775" s="1267"/>
      <c r="AO775" s="1267"/>
      <c r="AP775" s="1267"/>
      <c r="AQ775" s="1267"/>
      <c r="AR775" s="126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67"/>
      <c r="D776" s="1267"/>
      <c r="E776" s="1267"/>
      <c r="F776" s="1267"/>
      <c r="G776" s="1267"/>
      <c r="H776" s="1267"/>
      <c r="I776" s="1267"/>
      <c r="J776" s="1267"/>
      <c r="K776" s="1267"/>
      <c r="L776" s="1267"/>
      <c r="M776" s="1267"/>
      <c r="N776" s="1267"/>
      <c r="O776" s="1267"/>
      <c r="P776" s="1267"/>
      <c r="Q776" s="1267"/>
      <c r="R776" s="1267"/>
      <c r="S776" s="1267"/>
      <c r="T776" s="1267"/>
      <c r="U776" s="1267"/>
      <c r="V776" s="1267"/>
      <c r="W776" s="1267"/>
      <c r="X776" s="1267"/>
      <c r="Y776" s="1267"/>
      <c r="Z776" s="1267"/>
      <c r="AA776" s="1267"/>
      <c r="AB776" s="1267"/>
      <c r="AC776" s="1267"/>
      <c r="AD776" s="1267"/>
      <c r="AE776" s="1267"/>
      <c r="AF776" s="1267"/>
      <c r="AG776" s="1267"/>
      <c r="AH776" s="1267"/>
      <c r="AI776" s="1267"/>
      <c r="AJ776" s="1267"/>
      <c r="AK776" s="1267"/>
      <c r="AL776" s="1267"/>
      <c r="AM776" s="1267"/>
      <c r="AN776" s="1267"/>
      <c r="AO776" s="1267"/>
      <c r="AP776" s="1267"/>
      <c r="AQ776" s="1267"/>
      <c r="AR776" s="126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31" t="s">
        <v>389</v>
      </c>
      <c r="K777" s="1632"/>
      <c r="L777" s="1632"/>
      <c r="M777" s="1632"/>
      <c r="N777" s="1633"/>
      <c r="O777" s="1394" t="s">
        <v>285</v>
      </c>
      <c r="P777" s="1394"/>
      <c r="Q777" s="1394"/>
      <c r="R777" s="1394"/>
      <c r="S777" s="1394"/>
      <c r="T777" s="1742" t="s">
        <v>1667</v>
      </c>
      <c r="U777" s="1743"/>
      <c r="V777" s="1743"/>
      <c r="W777" s="1744"/>
      <c r="X777" s="1631" t="s">
        <v>447</v>
      </c>
      <c r="Y777" s="1632"/>
      <c r="Z777" s="1632"/>
      <c r="AA777" s="1632"/>
      <c r="AB777" s="1633"/>
      <c r="AC777" s="1631" t="s">
        <v>286</v>
      </c>
      <c r="AD777" s="1632"/>
      <c r="AE777" s="1632"/>
      <c r="AF777" s="1632"/>
      <c r="AG777" s="163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634"/>
      <c r="K778" s="1635"/>
      <c r="L778" s="1635"/>
      <c r="M778" s="1635"/>
      <c r="N778" s="1636"/>
      <c r="O778" s="1394"/>
      <c r="P778" s="1394"/>
      <c r="Q778" s="1394"/>
      <c r="R778" s="1394"/>
      <c r="S778" s="1394"/>
      <c r="T778" s="1745"/>
      <c r="U778" s="1746"/>
      <c r="V778" s="1746"/>
      <c r="W778" s="1747"/>
      <c r="X778" s="1634"/>
      <c r="Y778" s="1635"/>
      <c r="Z778" s="1635"/>
      <c r="AA778" s="1635"/>
      <c r="AB778" s="1636"/>
      <c r="AC778" s="1634"/>
      <c r="AD778" s="1635"/>
      <c r="AE778" s="1635"/>
      <c r="AF778" s="1635"/>
      <c r="AG778" s="163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634"/>
      <c r="K779" s="1635"/>
      <c r="L779" s="1635"/>
      <c r="M779" s="1635"/>
      <c r="N779" s="1636"/>
      <c r="O779" s="1394"/>
      <c r="P779" s="1394"/>
      <c r="Q779" s="1394"/>
      <c r="R779" s="1394"/>
      <c r="S779" s="1394"/>
      <c r="T779" s="1745"/>
      <c r="U779" s="1746"/>
      <c r="V779" s="1746"/>
      <c r="W779" s="1747"/>
      <c r="X779" s="1634"/>
      <c r="Y779" s="1635"/>
      <c r="Z779" s="1635"/>
      <c r="AA779" s="1635"/>
      <c r="AB779" s="1636"/>
      <c r="AC779" s="1634"/>
      <c r="AD779" s="1635"/>
      <c r="AE779" s="1635"/>
      <c r="AF779" s="1635"/>
      <c r="AG779" s="163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637"/>
      <c r="K780" s="1638"/>
      <c r="L780" s="1638"/>
      <c r="M780" s="1638"/>
      <c r="N780" s="1639"/>
      <c r="O780" s="1394"/>
      <c r="P780" s="1394"/>
      <c r="Q780" s="1394"/>
      <c r="R780" s="1394"/>
      <c r="S780" s="1394"/>
      <c r="T780" s="1748"/>
      <c r="U780" s="1749"/>
      <c r="V780" s="1749"/>
      <c r="W780" s="1750"/>
      <c r="X780" s="1637"/>
      <c r="Y780" s="1638"/>
      <c r="Z780" s="1638"/>
      <c r="AA780" s="1638"/>
      <c r="AB780" s="1639"/>
      <c r="AC780" s="1637"/>
      <c r="AD780" s="1638"/>
      <c r="AE780" s="1638"/>
      <c r="AF780" s="1638"/>
      <c r="AG780" s="163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4" t="s">
        <v>164</v>
      </c>
      <c r="K781" s="1365"/>
      <c r="L781" s="1365"/>
      <c r="M781" s="1365"/>
      <c r="N781" s="1366"/>
      <c r="O781" s="1393">
        <v>1</v>
      </c>
      <c r="P781" s="1393"/>
      <c r="Q781" s="1393"/>
      <c r="R781" s="1393"/>
      <c r="S781" s="1393"/>
      <c r="T781" s="1361"/>
      <c r="U781" s="1362"/>
      <c r="V781" s="1362"/>
      <c r="W781" s="1363"/>
      <c r="X781" s="1404"/>
      <c r="Y781" s="1405"/>
      <c r="Z781" s="1405"/>
      <c r="AA781" s="1405"/>
      <c r="AB781" s="1406"/>
      <c r="AC781" s="1401">
        <f>X781*O781</f>
        <v>0</v>
      </c>
      <c r="AD781" s="1402"/>
      <c r="AE781" s="1402"/>
      <c r="AF781" s="1402"/>
      <c r="AG781" s="140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2">
        <f>IF(J781="SRO/Studio",O781,0)</f>
        <v>0</v>
      </c>
      <c r="CQ781" s="1533"/>
      <c r="CR781" s="1533"/>
      <c r="CS781" s="1533"/>
      <c r="CT781" s="1534"/>
      <c r="CU781" s="1536">
        <f>IF(J781="1 Bedroom",O781,0)</f>
        <v>0</v>
      </c>
      <c r="CV781" s="1536"/>
      <c r="CW781" s="1536"/>
      <c r="CX781" s="1536"/>
      <c r="CY781" s="1536"/>
      <c r="CZ781" s="1536">
        <f>IF(J781="2 Bedrooms",O781,0)</f>
        <v>0</v>
      </c>
      <c r="DA781" s="1536"/>
      <c r="DB781" s="1536"/>
      <c r="DC781" s="1536"/>
      <c r="DD781" s="1536"/>
      <c r="DE781" s="1536">
        <f>IF(J781="3 Bedrooms",O781,0)</f>
        <v>1</v>
      </c>
      <c r="DF781" s="1536"/>
      <c r="DG781" s="1536"/>
      <c r="DH781" s="1536"/>
      <c r="DI781" s="1536"/>
      <c r="DJ781" s="1536">
        <f>IF(J781="4 Bedrooms",O781,0)</f>
        <v>0</v>
      </c>
      <c r="DK781" s="1536"/>
      <c r="DL781" s="1536"/>
      <c r="DM781" s="1536"/>
      <c r="DN781" s="1536"/>
      <c r="DO781" s="1536">
        <f>IF(J781="5 Bedrooms",O781,0)</f>
        <v>0</v>
      </c>
      <c r="DP781" s="1536"/>
      <c r="DQ781" s="1536"/>
      <c r="DR781" s="1536"/>
      <c r="DS781" s="1536"/>
      <c r="DT781" s="6"/>
      <c r="DU781" s="3"/>
      <c r="DV781" s="3"/>
    </row>
    <row r="782" spans="1:159" ht="13" customHeight="1">
      <c r="J782" s="1364"/>
      <c r="K782" s="1365"/>
      <c r="L782" s="1365"/>
      <c r="M782" s="1365"/>
      <c r="N782" s="1366"/>
      <c r="O782" s="1393"/>
      <c r="P782" s="1393"/>
      <c r="Q782" s="1393"/>
      <c r="R782" s="1393"/>
      <c r="S782" s="1393"/>
      <c r="T782" s="1361"/>
      <c r="U782" s="1362"/>
      <c r="V782" s="1362"/>
      <c r="W782" s="1363"/>
      <c r="X782" s="1404"/>
      <c r="Y782" s="1405"/>
      <c r="Z782" s="1405"/>
      <c r="AA782" s="1405"/>
      <c r="AB782" s="1406"/>
      <c r="AC782" s="1401">
        <f>X782*O782</f>
        <v>0</v>
      </c>
      <c r="AD782" s="1402"/>
      <c r="AE782" s="1402"/>
      <c r="AF782" s="1402"/>
      <c r="AG782" s="140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2">
        <f>IF(J782="SRO/Studio",O782,0)</f>
        <v>0</v>
      </c>
      <c r="CQ782" s="1533"/>
      <c r="CR782" s="1533"/>
      <c r="CS782" s="1533"/>
      <c r="CT782" s="1534"/>
      <c r="CU782" s="1536">
        <f>IF(J782="1 Bedroom",O782,0)</f>
        <v>0</v>
      </c>
      <c r="CV782" s="1536"/>
      <c r="CW782" s="1536"/>
      <c r="CX782" s="1536"/>
      <c r="CY782" s="1536"/>
      <c r="CZ782" s="1536">
        <f>IF(J782="2 Bedrooms",O782,0)</f>
        <v>0</v>
      </c>
      <c r="DA782" s="1536"/>
      <c r="DB782" s="1536"/>
      <c r="DC782" s="1536"/>
      <c r="DD782" s="1536"/>
      <c r="DE782" s="1536">
        <f>IF(J782="3 Bedrooms",O782,0)</f>
        <v>0</v>
      </c>
      <c r="DF782" s="1536"/>
      <c r="DG782" s="1536"/>
      <c r="DH782" s="1536"/>
      <c r="DI782" s="1536"/>
      <c r="DJ782" s="1536">
        <f>IF(J782="4 Bedrooms",O782,0)</f>
        <v>0</v>
      </c>
      <c r="DK782" s="1536"/>
      <c r="DL782" s="1536"/>
      <c r="DM782" s="1536"/>
      <c r="DN782" s="1536"/>
      <c r="DO782" s="1536">
        <f>IF(J782="5 Bedrooms",O782,0)</f>
        <v>0</v>
      </c>
      <c r="DP782" s="1536"/>
      <c r="DQ782" s="1536"/>
      <c r="DR782" s="1536"/>
      <c r="DS782" s="1536"/>
      <c r="DT782" s="6"/>
      <c r="DU782" s="3"/>
      <c r="DV782" s="3"/>
    </row>
    <row r="783" spans="1:159" ht="13" customHeight="1">
      <c r="J783" s="1364"/>
      <c r="K783" s="1365"/>
      <c r="L783" s="1365"/>
      <c r="M783" s="1365"/>
      <c r="N783" s="1366"/>
      <c r="O783" s="1393"/>
      <c r="P783" s="1393"/>
      <c r="Q783" s="1393"/>
      <c r="R783" s="1393"/>
      <c r="S783" s="1393"/>
      <c r="T783" s="1361"/>
      <c r="U783" s="1362"/>
      <c r="V783" s="1362"/>
      <c r="W783" s="1363"/>
      <c r="X783" s="1404"/>
      <c r="Y783" s="1405"/>
      <c r="Z783" s="1405"/>
      <c r="AA783" s="1405"/>
      <c r="AB783" s="1406"/>
      <c r="AC783" s="1401">
        <f>X783*O783</f>
        <v>0</v>
      </c>
      <c r="AD783" s="1402"/>
      <c r="AE783" s="1402"/>
      <c r="AF783" s="1402"/>
      <c r="AG783" s="140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2">
        <f>IF(J783="SRO/Studio",O783,0)</f>
        <v>0</v>
      </c>
      <c r="CQ783" s="1533"/>
      <c r="CR783" s="1533"/>
      <c r="CS783" s="1533"/>
      <c r="CT783" s="1534"/>
      <c r="CU783" s="1536">
        <f>IF(J783="1 Bedroom",O783,0)</f>
        <v>0</v>
      </c>
      <c r="CV783" s="1536"/>
      <c r="CW783" s="1536"/>
      <c r="CX783" s="1536"/>
      <c r="CY783" s="1536"/>
      <c r="CZ783" s="1536">
        <f>IF(J783="2 Bedrooms",O783,0)</f>
        <v>0</v>
      </c>
      <c r="DA783" s="1536"/>
      <c r="DB783" s="1536"/>
      <c r="DC783" s="1536"/>
      <c r="DD783" s="1536"/>
      <c r="DE783" s="1536">
        <f>IF(J783="3 Bedrooms",O783,0)</f>
        <v>0</v>
      </c>
      <c r="DF783" s="1536"/>
      <c r="DG783" s="1536"/>
      <c r="DH783" s="1536"/>
      <c r="DI783" s="1536"/>
      <c r="DJ783" s="1536">
        <f>IF(J783="4 Bedrooms",O783,0)</f>
        <v>0</v>
      </c>
      <c r="DK783" s="1536"/>
      <c r="DL783" s="1536"/>
      <c r="DM783" s="1536"/>
      <c r="DN783" s="1536"/>
      <c r="DO783" s="1536">
        <f>IF(J783="5 Bedrooms",O783,0)</f>
        <v>0</v>
      </c>
      <c r="DP783" s="1536"/>
      <c r="DQ783" s="1536"/>
      <c r="DR783" s="1536"/>
      <c r="DS783" s="1536"/>
      <c r="DT783" s="1007"/>
    </row>
    <row r="784" spans="1:159" ht="13" customHeight="1">
      <c r="J784" s="1364"/>
      <c r="K784" s="1365"/>
      <c r="L784" s="1365"/>
      <c r="M784" s="1365"/>
      <c r="N784" s="1366"/>
      <c r="O784" s="1393"/>
      <c r="P784" s="1393"/>
      <c r="Q784" s="1393"/>
      <c r="R784" s="1393"/>
      <c r="S784" s="1393"/>
      <c r="T784" s="1361"/>
      <c r="U784" s="1362"/>
      <c r="V784" s="1362"/>
      <c r="W784" s="1363"/>
      <c r="X784" s="1404"/>
      <c r="Y784" s="1405"/>
      <c r="Z784" s="1405"/>
      <c r="AA784" s="1405"/>
      <c r="AB784" s="1406"/>
      <c r="AC784" s="1401">
        <f>X784*O784</f>
        <v>0</v>
      </c>
      <c r="AD784" s="1402"/>
      <c r="AE784" s="1402"/>
      <c r="AF784" s="1402"/>
      <c r="AG784" s="140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2">
        <f>IF(J784="SRO/Studio",O784,0)</f>
        <v>0</v>
      </c>
      <c r="CQ784" s="1533"/>
      <c r="CR784" s="1533"/>
      <c r="CS784" s="1533"/>
      <c r="CT784" s="1534"/>
      <c r="CU784" s="1536">
        <f>IF(J784="1 Bedroom",O784,0)</f>
        <v>0</v>
      </c>
      <c r="CV784" s="1536"/>
      <c r="CW784" s="1536"/>
      <c r="CX784" s="1536"/>
      <c r="CY784" s="1536"/>
      <c r="CZ784" s="1536">
        <f>IF(J784="2 Bedrooms",O784,0)</f>
        <v>0</v>
      </c>
      <c r="DA784" s="1536"/>
      <c r="DB784" s="1536"/>
      <c r="DC784" s="1536"/>
      <c r="DD784" s="1536"/>
      <c r="DE784" s="1536">
        <f>IF(J784="3 Bedrooms",O784,0)</f>
        <v>0</v>
      </c>
      <c r="DF784" s="1536"/>
      <c r="DG784" s="1536"/>
      <c r="DH784" s="1536"/>
      <c r="DI784" s="1536"/>
      <c r="DJ784" s="1536">
        <f>IF(J784="4 Bedrooms",O784,0)</f>
        <v>0</v>
      </c>
      <c r="DK784" s="1536"/>
      <c r="DL784" s="1536"/>
      <c r="DM784" s="1536"/>
      <c r="DN784" s="1536"/>
      <c r="DO784" s="1536">
        <f>IF(J784="5 Bedrooms",O784,0)</f>
        <v>0</v>
      </c>
      <c r="DP784" s="1536"/>
      <c r="DQ784" s="1536"/>
      <c r="DR784" s="1536"/>
      <c r="DS784" s="1536"/>
    </row>
    <row r="785" spans="1:154" ht="13" customHeight="1">
      <c r="J785" s="1524" t="s">
        <v>125</v>
      </c>
      <c r="K785" s="1525"/>
      <c r="L785" s="1525"/>
      <c r="M785" s="1525"/>
      <c r="N785" s="1526"/>
      <c r="O785" s="1539">
        <f>SUM(O781:S784)</f>
        <v>1</v>
      </c>
      <c r="P785" s="1690"/>
      <c r="Q785" s="1690"/>
      <c r="R785" s="1690"/>
      <c r="S785" s="1540"/>
      <c r="X785" s="1524" t="s">
        <v>124</v>
      </c>
      <c r="Y785" s="1525"/>
      <c r="Z785" s="1525"/>
      <c r="AA785" s="1525"/>
      <c r="AB785" s="1526"/>
      <c r="AC785" s="1401">
        <f>SUM(AC781:AG784)</f>
        <v>0</v>
      </c>
      <c r="AD785" s="1402"/>
      <c r="AE785" s="1402"/>
      <c r="AF785" s="1402"/>
      <c r="AG785" s="140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9">
        <f>SUM(CP781:CT784)</f>
        <v>0</v>
      </c>
      <c r="CQ785" s="1690"/>
      <c r="CR785" s="1690"/>
      <c r="CS785" s="1690"/>
      <c r="CT785" s="1540"/>
      <c r="CU785" s="1541">
        <f>SUM(CU781:CY784)</f>
        <v>0</v>
      </c>
      <c r="CV785" s="1542"/>
      <c r="CW785" s="1542"/>
      <c r="CX785" s="1542"/>
      <c r="CY785" s="1543"/>
      <c r="CZ785" s="1541">
        <f>SUM(CZ781:DD784)</f>
        <v>0</v>
      </c>
      <c r="DA785" s="1542"/>
      <c r="DB785" s="1542"/>
      <c r="DC785" s="1542"/>
      <c r="DD785" s="1543"/>
      <c r="DE785" s="1541">
        <f>SUM(DE781:DI784)</f>
        <v>1</v>
      </c>
      <c r="DF785" s="1542"/>
      <c r="DG785" s="1542"/>
      <c r="DH785" s="1542"/>
      <c r="DI785" s="1543"/>
      <c r="DJ785" s="1541">
        <f>SUM(DJ781:DN784)</f>
        <v>0</v>
      </c>
      <c r="DK785" s="1542"/>
      <c r="DL785" s="1542"/>
      <c r="DM785" s="1542"/>
      <c r="DN785" s="1543"/>
      <c r="DO785" s="1541">
        <f>SUM(DO781:DS784)</f>
        <v>0</v>
      </c>
      <c r="DP785" s="1542"/>
      <c r="DQ785" s="1542"/>
      <c r="DR785" s="1542"/>
      <c r="DS785" s="1543"/>
      <c r="DU785" s="857">
        <f>CP785+CU785+CZ785+DE785+DJ785+DO785</f>
        <v>1</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3" customHeight="1">
      <c r="B787" s="56"/>
      <c r="C787" s="56"/>
      <c r="D787" s="56"/>
      <c r="E787" s="56"/>
      <c r="F787" s="56"/>
      <c r="G787" s="6"/>
      <c r="H787" s="6"/>
      <c r="I787" s="6"/>
      <c r="J787" s="1475" t="s">
        <v>668</v>
      </c>
      <c r="K787" s="1475"/>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31" t="s">
        <v>389</v>
      </c>
      <c r="K791" s="1632"/>
      <c r="L791" s="1632"/>
      <c r="M791" s="1632"/>
      <c r="N791" s="1633"/>
      <c r="O791" s="1394" t="s">
        <v>285</v>
      </c>
      <c r="P791" s="1394"/>
      <c r="Q791" s="1394"/>
      <c r="R791" s="1394"/>
      <c r="S791" s="1394"/>
      <c r="T791" s="1742" t="s">
        <v>1667</v>
      </c>
      <c r="U791" s="1743"/>
      <c r="V791" s="1743"/>
      <c r="W791" s="1744"/>
      <c r="X791" s="1631" t="s">
        <v>447</v>
      </c>
      <c r="Y791" s="1632"/>
      <c r="Z791" s="1632"/>
      <c r="AA791" s="1632"/>
      <c r="AB791" s="1633"/>
      <c r="AC791" s="1631" t="s">
        <v>286</v>
      </c>
      <c r="AD791" s="1632"/>
      <c r="AE791" s="1632"/>
      <c r="AF791" s="1632"/>
      <c r="AG791" s="163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634"/>
      <c r="K792" s="1635"/>
      <c r="L792" s="1635"/>
      <c r="M792" s="1635"/>
      <c r="N792" s="1636"/>
      <c r="O792" s="1394"/>
      <c r="P792" s="1394"/>
      <c r="Q792" s="1394"/>
      <c r="R792" s="1394"/>
      <c r="S792" s="1394"/>
      <c r="T792" s="1745"/>
      <c r="U792" s="1746"/>
      <c r="V792" s="1746"/>
      <c r="W792" s="1747"/>
      <c r="X792" s="1634"/>
      <c r="Y792" s="1635"/>
      <c r="Z792" s="1635"/>
      <c r="AA792" s="1635"/>
      <c r="AB792" s="1636"/>
      <c r="AC792" s="1634"/>
      <c r="AD792" s="1635"/>
      <c r="AE792" s="1635"/>
      <c r="AF792" s="1635"/>
      <c r="AG792" s="163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634"/>
      <c r="K793" s="1635"/>
      <c r="L793" s="1635"/>
      <c r="M793" s="1635"/>
      <c r="N793" s="1636"/>
      <c r="O793" s="1394"/>
      <c r="P793" s="1394"/>
      <c r="Q793" s="1394"/>
      <c r="R793" s="1394"/>
      <c r="S793" s="1394"/>
      <c r="T793" s="1745"/>
      <c r="U793" s="1746"/>
      <c r="V793" s="1746"/>
      <c r="W793" s="1747"/>
      <c r="X793" s="1634"/>
      <c r="Y793" s="1635"/>
      <c r="Z793" s="1635"/>
      <c r="AA793" s="1635"/>
      <c r="AB793" s="1636"/>
      <c r="AC793" s="1634"/>
      <c r="AD793" s="1635"/>
      <c r="AE793" s="1635"/>
      <c r="AF793" s="1635"/>
      <c r="AG793" s="163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637"/>
      <c r="K794" s="1638"/>
      <c r="L794" s="1638"/>
      <c r="M794" s="1638"/>
      <c r="N794" s="1639"/>
      <c r="O794" s="1394"/>
      <c r="P794" s="1394"/>
      <c r="Q794" s="1394"/>
      <c r="R794" s="1394"/>
      <c r="S794" s="1394"/>
      <c r="T794" s="1748"/>
      <c r="U794" s="1749"/>
      <c r="V794" s="1749"/>
      <c r="W794" s="1750"/>
      <c r="X794" s="1637"/>
      <c r="Y794" s="1638"/>
      <c r="Z794" s="1638"/>
      <c r="AA794" s="1638"/>
      <c r="AB794" s="1639"/>
      <c r="AC794" s="1637"/>
      <c r="AD794" s="1638"/>
      <c r="AE794" s="1638"/>
      <c r="AF794" s="1638"/>
      <c r="AG794" s="163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64"/>
      <c r="K795" s="1365"/>
      <c r="L795" s="1365"/>
      <c r="M795" s="1365"/>
      <c r="N795" s="1366"/>
      <c r="O795" s="1393"/>
      <c r="P795" s="1393"/>
      <c r="Q795" s="1393"/>
      <c r="R795" s="1393"/>
      <c r="S795" s="1393"/>
      <c r="T795" s="1361"/>
      <c r="U795" s="1362"/>
      <c r="V795" s="1362"/>
      <c r="W795" s="1363"/>
      <c r="X795" s="1404"/>
      <c r="Y795" s="1405"/>
      <c r="Z795" s="1405"/>
      <c r="AA795" s="1405"/>
      <c r="AB795" s="1406"/>
      <c r="AC795" s="1401">
        <f t="shared" ref="AC795:AC804" si="42">X795*O795</f>
        <v>0</v>
      </c>
      <c r="AD795" s="1402"/>
      <c r="AE795" s="1402"/>
      <c r="AF795" s="1402"/>
      <c r="AG795" s="140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2">
        <f t="shared" ref="CP795:CP804" si="43">IF(J795="SRO/Studio",O795,0)</f>
        <v>0</v>
      </c>
      <c r="CQ795" s="1533"/>
      <c r="CR795" s="1533"/>
      <c r="CS795" s="1533"/>
      <c r="CT795" s="1534"/>
      <c r="CU795" s="1532">
        <f t="shared" ref="CU795:CU804" si="44">IF(J795="1 Bedroom",O795,0)</f>
        <v>0</v>
      </c>
      <c r="CV795" s="1533"/>
      <c r="CW795" s="1533"/>
      <c r="CX795" s="1533"/>
      <c r="CY795" s="1534"/>
      <c r="CZ795" s="1532">
        <f t="shared" ref="CZ795:CZ804" si="45">IF(J795="2 Bedrooms",O795,0)</f>
        <v>0</v>
      </c>
      <c r="DA795" s="1533"/>
      <c r="DB795" s="1533"/>
      <c r="DC795" s="1533"/>
      <c r="DD795" s="1534"/>
      <c r="DE795" s="1532">
        <f t="shared" ref="DE795:DE804" si="46">IF(J795="3 Bedrooms",O795,0)</f>
        <v>0</v>
      </c>
      <c r="DF795" s="1533"/>
      <c r="DG795" s="1533"/>
      <c r="DH795" s="1533"/>
      <c r="DI795" s="1534"/>
      <c r="DJ795" s="1532">
        <f t="shared" ref="DJ795:DJ804" si="47">IF(J795="4 Bedrooms",O795,0)</f>
        <v>0</v>
      </c>
      <c r="DK795" s="1533"/>
      <c r="DL795" s="1533"/>
      <c r="DM795" s="1533"/>
      <c r="DN795" s="1534"/>
      <c r="DO795" s="1532">
        <f t="shared" ref="DO795:DO804" si="48">IF(J795="5 Bedrooms",O795,0)</f>
        <v>0</v>
      </c>
      <c r="DP795" s="1533"/>
      <c r="DQ795" s="1533"/>
      <c r="DR795" s="1533"/>
      <c r="DS795" s="1534"/>
      <c r="DT795" s="6"/>
      <c r="DU795" s="1532">
        <f t="shared" ref="DU795:DU804" si="49">IF(AND(CP795&gt;=1,AH795&gt;=0.1,AH795&lt;=1),O795,0)</f>
        <v>0</v>
      </c>
      <c r="DV795" s="1533"/>
      <c r="DW795" s="1533"/>
      <c r="DX795" s="1533"/>
      <c r="DY795" s="1534"/>
      <c r="DZ795" s="1532">
        <f t="shared" ref="DZ795:DZ804" si="50">IF(AND(CU795&gt;=1,AH795&gt;=0.1,AH795&lt;=1),O795,0)</f>
        <v>0</v>
      </c>
      <c r="EA795" s="1533"/>
      <c r="EB795" s="1533"/>
      <c r="EC795" s="1533"/>
      <c r="ED795" s="1534"/>
      <c r="EE795" s="1532">
        <f t="shared" ref="EE795:EE804" si="51">IF(AND(CZ795&gt;=1,AH795&gt;=0.1,AH795&lt;=1),O795,0)</f>
        <v>0</v>
      </c>
      <c r="EF795" s="1533"/>
      <c r="EG795" s="1533"/>
      <c r="EH795" s="1533"/>
      <c r="EI795" s="1534"/>
      <c r="EJ795" s="1532">
        <f t="shared" ref="EJ795:EJ804" si="52">IF(AND(DE795&gt;=1,AH795&gt;=0.1,AH795&lt;=1),O795,0)</f>
        <v>0</v>
      </c>
      <c r="EK795" s="1533"/>
      <c r="EL795" s="1533"/>
      <c r="EM795" s="1533"/>
      <c r="EN795" s="1534"/>
      <c r="EO795" s="1532">
        <f t="shared" ref="EO795:EO804" si="53">IF(AND(DJ795&gt;=1,AH795&gt;=0.1,AH795&lt;=1),O795,0)</f>
        <v>0</v>
      </c>
      <c r="EP795" s="1533"/>
      <c r="EQ795" s="1533"/>
      <c r="ER795" s="1533"/>
      <c r="ES795" s="1534"/>
      <c r="ET795" s="1532">
        <f t="shared" ref="ET795:ET804" si="54">IF(AND(DO795&gt;=1,AH795&gt;=0.1,AH795&lt;=1),O795,0)</f>
        <v>0</v>
      </c>
      <c r="EU795" s="1533"/>
      <c r="EV795" s="1533"/>
      <c r="EW795" s="1533"/>
      <c r="EX795" s="1534"/>
    </row>
    <row r="796" spans="1:154" s="14" customFormat="1" ht="13" customHeight="1">
      <c r="A796"/>
      <c r="B796"/>
      <c r="C796"/>
      <c r="D796"/>
      <c r="E796"/>
      <c r="F796"/>
      <c r="G796"/>
      <c r="H796"/>
      <c r="I796"/>
      <c r="J796" s="1364"/>
      <c r="K796" s="1365"/>
      <c r="L796" s="1365"/>
      <c r="M796" s="1365"/>
      <c r="N796" s="1366"/>
      <c r="O796" s="1393"/>
      <c r="P796" s="1393"/>
      <c r="Q796" s="1393"/>
      <c r="R796" s="1393"/>
      <c r="S796" s="1393"/>
      <c r="T796" s="1361"/>
      <c r="U796" s="1362"/>
      <c r="V796" s="1362"/>
      <c r="W796" s="1363"/>
      <c r="X796" s="1404"/>
      <c r="Y796" s="1405"/>
      <c r="Z796" s="1405"/>
      <c r="AA796" s="1405"/>
      <c r="AB796" s="1406"/>
      <c r="AC796" s="1401">
        <f t="shared" si="42"/>
        <v>0</v>
      </c>
      <c r="AD796" s="1402"/>
      <c r="AE796" s="1402"/>
      <c r="AF796" s="1402"/>
      <c r="AG796" s="140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2">
        <f t="shared" si="43"/>
        <v>0</v>
      </c>
      <c r="CQ796" s="1533"/>
      <c r="CR796" s="1533"/>
      <c r="CS796" s="1533"/>
      <c r="CT796" s="1534"/>
      <c r="CU796" s="1532">
        <f t="shared" si="44"/>
        <v>0</v>
      </c>
      <c r="CV796" s="1533"/>
      <c r="CW796" s="1533"/>
      <c r="CX796" s="1533"/>
      <c r="CY796" s="1534"/>
      <c r="CZ796" s="1532">
        <f t="shared" si="45"/>
        <v>0</v>
      </c>
      <c r="DA796" s="1533"/>
      <c r="DB796" s="1533"/>
      <c r="DC796" s="1533"/>
      <c r="DD796" s="1534"/>
      <c r="DE796" s="1532">
        <f t="shared" si="46"/>
        <v>0</v>
      </c>
      <c r="DF796" s="1533"/>
      <c r="DG796" s="1533"/>
      <c r="DH796" s="1533"/>
      <c r="DI796" s="1534"/>
      <c r="DJ796" s="1532">
        <f t="shared" si="47"/>
        <v>0</v>
      </c>
      <c r="DK796" s="1533"/>
      <c r="DL796" s="1533"/>
      <c r="DM796" s="1533"/>
      <c r="DN796" s="1534"/>
      <c r="DO796" s="1532">
        <f t="shared" si="48"/>
        <v>0</v>
      </c>
      <c r="DP796" s="1533"/>
      <c r="DQ796" s="1533"/>
      <c r="DR796" s="1533"/>
      <c r="DS796" s="1534"/>
      <c r="DT796" s="6"/>
      <c r="DU796" s="1532">
        <f t="shared" si="49"/>
        <v>0</v>
      </c>
      <c r="DV796" s="1533"/>
      <c r="DW796" s="1533"/>
      <c r="DX796" s="1533"/>
      <c r="DY796" s="1534"/>
      <c r="DZ796" s="1532">
        <f t="shared" si="50"/>
        <v>0</v>
      </c>
      <c r="EA796" s="1533"/>
      <c r="EB796" s="1533"/>
      <c r="EC796" s="1533"/>
      <c r="ED796" s="1534"/>
      <c r="EE796" s="1532">
        <f t="shared" si="51"/>
        <v>0</v>
      </c>
      <c r="EF796" s="1533"/>
      <c r="EG796" s="1533"/>
      <c r="EH796" s="1533"/>
      <c r="EI796" s="1534"/>
      <c r="EJ796" s="1532">
        <f t="shared" si="52"/>
        <v>0</v>
      </c>
      <c r="EK796" s="1533"/>
      <c r="EL796" s="1533"/>
      <c r="EM796" s="1533"/>
      <c r="EN796" s="1534"/>
      <c r="EO796" s="1532">
        <f t="shared" si="53"/>
        <v>0</v>
      </c>
      <c r="EP796" s="1533"/>
      <c r="EQ796" s="1533"/>
      <c r="ER796" s="1533"/>
      <c r="ES796" s="1534"/>
      <c r="ET796" s="1532">
        <f t="shared" si="54"/>
        <v>0</v>
      </c>
      <c r="EU796" s="1533"/>
      <c r="EV796" s="1533"/>
      <c r="EW796" s="1533"/>
      <c r="EX796" s="1534"/>
    </row>
    <row r="797" spans="1:154" s="14" customFormat="1" ht="13" customHeight="1">
      <c r="A797"/>
      <c r="B797"/>
      <c r="C797"/>
      <c r="D797"/>
      <c r="E797"/>
      <c r="F797"/>
      <c r="G797"/>
      <c r="H797"/>
      <c r="I797"/>
      <c r="J797" s="1364"/>
      <c r="K797" s="1365"/>
      <c r="L797" s="1365"/>
      <c r="M797" s="1365"/>
      <c r="N797" s="1366"/>
      <c r="O797" s="1393"/>
      <c r="P797" s="1393"/>
      <c r="Q797" s="1393"/>
      <c r="R797" s="1393"/>
      <c r="S797" s="1393"/>
      <c r="T797" s="1361"/>
      <c r="U797" s="1362"/>
      <c r="V797" s="1362"/>
      <c r="W797" s="1363"/>
      <c r="X797" s="1404"/>
      <c r="Y797" s="1405"/>
      <c r="Z797" s="1405"/>
      <c r="AA797" s="1405"/>
      <c r="AB797" s="1406"/>
      <c r="AC797" s="1401">
        <f t="shared" si="42"/>
        <v>0</v>
      </c>
      <c r="AD797" s="1402"/>
      <c r="AE797" s="1402"/>
      <c r="AF797" s="1402"/>
      <c r="AG797" s="140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2">
        <f t="shared" si="43"/>
        <v>0</v>
      </c>
      <c r="CQ797" s="1533"/>
      <c r="CR797" s="1533"/>
      <c r="CS797" s="1533"/>
      <c r="CT797" s="1534"/>
      <c r="CU797" s="1532">
        <f t="shared" si="44"/>
        <v>0</v>
      </c>
      <c r="CV797" s="1533"/>
      <c r="CW797" s="1533"/>
      <c r="CX797" s="1533"/>
      <c r="CY797" s="1534"/>
      <c r="CZ797" s="1532">
        <f t="shared" si="45"/>
        <v>0</v>
      </c>
      <c r="DA797" s="1533"/>
      <c r="DB797" s="1533"/>
      <c r="DC797" s="1533"/>
      <c r="DD797" s="1534"/>
      <c r="DE797" s="1532">
        <f t="shared" si="46"/>
        <v>0</v>
      </c>
      <c r="DF797" s="1533"/>
      <c r="DG797" s="1533"/>
      <c r="DH797" s="1533"/>
      <c r="DI797" s="1534"/>
      <c r="DJ797" s="1532">
        <f t="shared" si="47"/>
        <v>0</v>
      </c>
      <c r="DK797" s="1533"/>
      <c r="DL797" s="1533"/>
      <c r="DM797" s="1533"/>
      <c r="DN797" s="1534"/>
      <c r="DO797" s="1532">
        <f t="shared" si="48"/>
        <v>0</v>
      </c>
      <c r="DP797" s="1533"/>
      <c r="DQ797" s="1533"/>
      <c r="DR797" s="1533"/>
      <c r="DS797" s="1534"/>
      <c r="DT797" s="6"/>
      <c r="DU797" s="1532">
        <f t="shared" si="49"/>
        <v>0</v>
      </c>
      <c r="DV797" s="1533"/>
      <c r="DW797" s="1533"/>
      <c r="DX797" s="1533"/>
      <c r="DY797" s="1534"/>
      <c r="DZ797" s="1532">
        <f t="shared" si="50"/>
        <v>0</v>
      </c>
      <c r="EA797" s="1533"/>
      <c r="EB797" s="1533"/>
      <c r="EC797" s="1533"/>
      <c r="ED797" s="1534"/>
      <c r="EE797" s="1532">
        <f t="shared" si="51"/>
        <v>0</v>
      </c>
      <c r="EF797" s="1533"/>
      <c r="EG797" s="1533"/>
      <c r="EH797" s="1533"/>
      <c r="EI797" s="1534"/>
      <c r="EJ797" s="1532">
        <f t="shared" si="52"/>
        <v>0</v>
      </c>
      <c r="EK797" s="1533"/>
      <c r="EL797" s="1533"/>
      <c r="EM797" s="1533"/>
      <c r="EN797" s="1534"/>
      <c r="EO797" s="1532">
        <f t="shared" si="53"/>
        <v>0</v>
      </c>
      <c r="EP797" s="1533"/>
      <c r="EQ797" s="1533"/>
      <c r="ER797" s="1533"/>
      <c r="ES797" s="1534"/>
      <c r="ET797" s="1532">
        <f t="shared" si="54"/>
        <v>0</v>
      </c>
      <c r="EU797" s="1533"/>
      <c r="EV797" s="1533"/>
      <c r="EW797" s="1533"/>
      <c r="EX797" s="1534"/>
    </row>
    <row r="798" spans="1:154" s="14" customFormat="1" ht="13" customHeight="1">
      <c r="A798"/>
      <c r="B798"/>
      <c r="C798"/>
      <c r="D798"/>
      <c r="E798"/>
      <c r="F798"/>
      <c r="G798"/>
      <c r="H798"/>
      <c r="I798"/>
      <c r="J798" s="1364"/>
      <c r="K798" s="1365"/>
      <c r="L798" s="1365"/>
      <c r="M798" s="1365"/>
      <c r="N798" s="1366"/>
      <c r="O798" s="1393"/>
      <c r="P798" s="1393"/>
      <c r="Q798" s="1393"/>
      <c r="R798" s="1393"/>
      <c r="S798" s="1393"/>
      <c r="T798" s="1361"/>
      <c r="U798" s="1362"/>
      <c r="V798" s="1362"/>
      <c r="W798" s="1363"/>
      <c r="X798" s="1404"/>
      <c r="Y798" s="1405"/>
      <c r="Z798" s="1405"/>
      <c r="AA798" s="1405"/>
      <c r="AB798" s="1406"/>
      <c r="AC798" s="1401">
        <f t="shared" si="42"/>
        <v>0</v>
      </c>
      <c r="AD798" s="1402"/>
      <c r="AE798" s="1402"/>
      <c r="AF798" s="1402"/>
      <c r="AG798" s="140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2">
        <f t="shared" si="43"/>
        <v>0</v>
      </c>
      <c r="CQ798" s="1533"/>
      <c r="CR798" s="1533"/>
      <c r="CS798" s="1533"/>
      <c r="CT798" s="1534"/>
      <c r="CU798" s="1532">
        <f t="shared" si="44"/>
        <v>0</v>
      </c>
      <c r="CV798" s="1533"/>
      <c r="CW798" s="1533"/>
      <c r="CX798" s="1533"/>
      <c r="CY798" s="1534"/>
      <c r="CZ798" s="1532">
        <f t="shared" si="45"/>
        <v>0</v>
      </c>
      <c r="DA798" s="1533"/>
      <c r="DB798" s="1533"/>
      <c r="DC798" s="1533"/>
      <c r="DD798" s="1534"/>
      <c r="DE798" s="1532">
        <f t="shared" si="46"/>
        <v>0</v>
      </c>
      <c r="DF798" s="1533"/>
      <c r="DG798" s="1533"/>
      <c r="DH798" s="1533"/>
      <c r="DI798" s="1534"/>
      <c r="DJ798" s="1532">
        <f t="shared" si="47"/>
        <v>0</v>
      </c>
      <c r="DK798" s="1533"/>
      <c r="DL798" s="1533"/>
      <c r="DM798" s="1533"/>
      <c r="DN798" s="1534"/>
      <c r="DO798" s="1532">
        <f t="shared" si="48"/>
        <v>0</v>
      </c>
      <c r="DP798" s="1533"/>
      <c r="DQ798" s="1533"/>
      <c r="DR798" s="1533"/>
      <c r="DS798" s="1534"/>
      <c r="DT798" s="6"/>
      <c r="DU798" s="1532">
        <f t="shared" si="49"/>
        <v>0</v>
      </c>
      <c r="DV798" s="1533"/>
      <c r="DW798" s="1533"/>
      <c r="DX798" s="1533"/>
      <c r="DY798" s="1534"/>
      <c r="DZ798" s="1532">
        <f t="shared" si="50"/>
        <v>0</v>
      </c>
      <c r="EA798" s="1533"/>
      <c r="EB798" s="1533"/>
      <c r="EC798" s="1533"/>
      <c r="ED798" s="1534"/>
      <c r="EE798" s="1532">
        <f t="shared" si="51"/>
        <v>0</v>
      </c>
      <c r="EF798" s="1533"/>
      <c r="EG798" s="1533"/>
      <c r="EH798" s="1533"/>
      <c r="EI798" s="1534"/>
      <c r="EJ798" s="1532">
        <f t="shared" si="52"/>
        <v>0</v>
      </c>
      <c r="EK798" s="1533"/>
      <c r="EL798" s="1533"/>
      <c r="EM798" s="1533"/>
      <c r="EN798" s="1534"/>
      <c r="EO798" s="1532">
        <f t="shared" si="53"/>
        <v>0</v>
      </c>
      <c r="EP798" s="1533"/>
      <c r="EQ798" s="1533"/>
      <c r="ER798" s="1533"/>
      <c r="ES798" s="1534"/>
      <c r="ET798" s="1532">
        <f t="shared" si="54"/>
        <v>0</v>
      </c>
      <c r="EU798" s="1533"/>
      <c r="EV798" s="1533"/>
      <c r="EW798" s="1533"/>
      <c r="EX798" s="1534"/>
    </row>
    <row r="799" spans="1:154" s="14" customFormat="1" ht="13" customHeight="1">
      <c r="A799"/>
      <c r="B799"/>
      <c r="C799"/>
      <c r="D799"/>
      <c r="E799"/>
      <c r="F799"/>
      <c r="G799"/>
      <c r="H799"/>
      <c r="I799"/>
      <c r="J799" s="1364"/>
      <c r="K799" s="1365"/>
      <c r="L799" s="1365"/>
      <c r="M799" s="1365"/>
      <c r="N799" s="1366"/>
      <c r="O799" s="1393"/>
      <c r="P799" s="1393"/>
      <c r="Q799" s="1393"/>
      <c r="R799" s="1393"/>
      <c r="S799" s="1393"/>
      <c r="T799" s="1361"/>
      <c r="U799" s="1362"/>
      <c r="V799" s="1362"/>
      <c r="W799" s="1363"/>
      <c r="X799" s="1404"/>
      <c r="Y799" s="1405"/>
      <c r="Z799" s="1405"/>
      <c r="AA799" s="1405"/>
      <c r="AB799" s="1406"/>
      <c r="AC799" s="1401">
        <f t="shared" si="42"/>
        <v>0</v>
      </c>
      <c r="AD799" s="1402"/>
      <c r="AE799" s="1402"/>
      <c r="AF799" s="1402"/>
      <c r="AG799" s="140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2">
        <f t="shared" si="43"/>
        <v>0</v>
      </c>
      <c r="CQ799" s="1533"/>
      <c r="CR799" s="1533"/>
      <c r="CS799" s="1533"/>
      <c r="CT799" s="1534"/>
      <c r="CU799" s="1532">
        <f t="shared" si="44"/>
        <v>0</v>
      </c>
      <c r="CV799" s="1533"/>
      <c r="CW799" s="1533"/>
      <c r="CX799" s="1533"/>
      <c r="CY799" s="1534"/>
      <c r="CZ799" s="1532">
        <f t="shared" si="45"/>
        <v>0</v>
      </c>
      <c r="DA799" s="1533"/>
      <c r="DB799" s="1533"/>
      <c r="DC799" s="1533"/>
      <c r="DD799" s="1534"/>
      <c r="DE799" s="1532">
        <f t="shared" si="46"/>
        <v>0</v>
      </c>
      <c r="DF799" s="1533"/>
      <c r="DG799" s="1533"/>
      <c r="DH799" s="1533"/>
      <c r="DI799" s="1534"/>
      <c r="DJ799" s="1532">
        <f t="shared" si="47"/>
        <v>0</v>
      </c>
      <c r="DK799" s="1533"/>
      <c r="DL799" s="1533"/>
      <c r="DM799" s="1533"/>
      <c r="DN799" s="1534"/>
      <c r="DO799" s="1532">
        <f t="shared" si="48"/>
        <v>0</v>
      </c>
      <c r="DP799" s="1533"/>
      <c r="DQ799" s="1533"/>
      <c r="DR799" s="1533"/>
      <c r="DS799" s="1534"/>
      <c r="DT799" s="6"/>
      <c r="DU799" s="1532">
        <f t="shared" si="49"/>
        <v>0</v>
      </c>
      <c r="DV799" s="1533"/>
      <c r="DW799" s="1533"/>
      <c r="DX799" s="1533"/>
      <c r="DY799" s="1534"/>
      <c r="DZ799" s="1532">
        <f t="shared" si="50"/>
        <v>0</v>
      </c>
      <c r="EA799" s="1533"/>
      <c r="EB799" s="1533"/>
      <c r="EC799" s="1533"/>
      <c r="ED799" s="1534"/>
      <c r="EE799" s="1532">
        <f t="shared" si="51"/>
        <v>0</v>
      </c>
      <c r="EF799" s="1533"/>
      <c r="EG799" s="1533"/>
      <c r="EH799" s="1533"/>
      <c r="EI799" s="1534"/>
      <c r="EJ799" s="1532">
        <f t="shared" si="52"/>
        <v>0</v>
      </c>
      <c r="EK799" s="1533"/>
      <c r="EL799" s="1533"/>
      <c r="EM799" s="1533"/>
      <c r="EN799" s="1534"/>
      <c r="EO799" s="1532">
        <f t="shared" si="53"/>
        <v>0</v>
      </c>
      <c r="EP799" s="1533"/>
      <c r="EQ799" s="1533"/>
      <c r="ER799" s="1533"/>
      <c r="ES799" s="1534"/>
      <c r="ET799" s="1532">
        <f t="shared" si="54"/>
        <v>0</v>
      </c>
      <c r="EU799" s="1533"/>
      <c r="EV799" s="1533"/>
      <c r="EW799" s="1533"/>
      <c r="EX799" s="1534"/>
    </row>
    <row r="800" spans="1:154" s="14" customFormat="1" ht="13" customHeight="1">
      <c r="A800"/>
      <c r="B800"/>
      <c r="C800"/>
      <c r="D800"/>
      <c r="E800"/>
      <c r="F800"/>
      <c r="G800"/>
      <c r="H800"/>
      <c r="I800"/>
      <c r="J800" s="1364"/>
      <c r="K800" s="1365"/>
      <c r="L800" s="1365"/>
      <c r="M800" s="1365"/>
      <c r="N800" s="1366"/>
      <c r="O800" s="1393"/>
      <c r="P800" s="1393"/>
      <c r="Q800" s="1393"/>
      <c r="R800" s="1393"/>
      <c r="S800" s="1393"/>
      <c r="T800" s="1361"/>
      <c r="U800" s="1362"/>
      <c r="V800" s="1362"/>
      <c r="W800" s="1363"/>
      <c r="X800" s="1404"/>
      <c r="Y800" s="1405"/>
      <c r="Z800" s="1405"/>
      <c r="AA800" s="1405"/>
      <c r="AB800" s="1406"/>
      <c r="AC800" s="1401">
        <f t="shared" si="42"/>
        <v>0</v>
      </c>
      <c r="AD800" s="1402"/>
      <c r="AE800" s="1402"/>
      <c r="AF800" s="1402"/>
      <c r="AG800" s="140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2">
        <f t="shared" si="43"/>
        <v>0</v>
      </c>
      <c r="CQ800" s="1533"/>
      <c r="CR800" s="1533"/>
      <c r="CS800" s="1533"/>
      <c r="CT800" s="1534"/>
      <c r="CU800" s="1532">
        <f t="shared" si="44"/>
        <v>0</v>
      </c>
      <c r="CV800" s="1533"/>
      <c r="CW800" s="1533"/>
      <c r="CX800" s="1533"/>
      <c r="CY800" s="1534"/>
      <c r="CZ800" s="1532">
        <f t="shared" si="45"/>
        <v>0</v>
      </c>
      <c r="DA800" s="1533"/>
      <c r="DB800" s="1533"/>
      <c r="DC800" s="1533"/>
      <c r="DD800" s="1534"/>
      <c r="DE800" s="1532">
        <f t="shared" si="46"/>
        <v>0</v>
      </c>
      <c r="DF800" s="1533"/>
      <c r="DG800" s="1533"/>
      <c r="DH800" s="1533"/>
      <c r="DI800" s="1534"/>
      <c r="DJ800" s="1532">
        <f t="shared" si="47"/>
        <v>0</v>
      </c>
      <c r="DK800" s="1533"/>
      <c r="DL800" s="1533"/>
      <c r="DM800" s="1533"/>
      <c r="DN800" s="1534"/>
      <c r="DO800" s="1532">
        <f t="shared" si="48"/>
        <v>0</v>
      </c>
      <c r="DP800" s="1533"/>
      <c r="DQ800" s="1533"/>
      <c r="DR800" s="1533"/>
      <c r="DS800" s="1534"/>
      <c r="DT800" s="6"/>
      <c r="DU800" s="1532">
        <f t="shared" si="49"/>
        <v>0</v>
      </c>
      <c r="DV800" s="1533"/>
      <c r="DW800" s="1533"/>
      <c r="DX800" s="1533"/>
      <c r="DY800" s="1534"/>
      <c r="DZ800" s="1532">
        <f t="shared" si="50"/>
        <v>0</v>
      </c>
      <c r="EA800" s="1533"/>
      <c r="EB800" s="1533"/>
      <c r="EC800" s="1533"/>
      <c r="ED800" s="1534"/>
      <c r="EE800" s="1532">
        <f t="shared" si="51"/>
        <v>0</v>
      </c>
      <c r="EF800" s="1533"/>
      <c r="EG800" s="1533"/>
      <c r="EH800" s="1533"/>
      <c r="EI800" s="1534"/>
      <c r="EJ800" s="1532">
        <f t="shared" si="52"/>
        <v>0</v>
      </c>
      <c r="EK800" s="1533"/>
      <c r="EL800" s="1533"/>
      <c r="EM800" s="1533"/>
      <c r="EN800" s="1534"/>
      <c r="EO800" s="1532">
        <f t="shared" si="53"/>
        <v>0</v>
      </c>
      <c r="EP800" s="1533"/>
      <c r="EQ800" s="1533"/>
      <c r="ER800" s="1533"/>
      <c r="ES800" s="1534"/>
      <c r="ET800" s="1532">
        <f t="shared" si="54"/>
        <v>0</v>
      </c>
      <c r="EU800" s="1533"/>
      <c r="EV800" s="1533"/>
      <c r="EW800" s="1533"/>
      <c r="EX800" s="1534"/>
    </row>
    <row r="801" spans="1:154" s="14" customFormat="1" ht="13" customHeight="1">
      <c r="A801"/>
      <c r="B801"/>
      <c r="C801"/>
      <c r="D801"/>
      <c r="E801"/>
      <c r="F801"/>
      <c r="G801"/>
      <c r="H801"/>
      <c r="I801"/>
      <c r="J801" s="1364"/>
      <c r="K801" s="1365"/>
      <c r="L801" s="1365"/>
      <c r="M801" s="1365"/>
      <c r="N801" s="1366"/>
      <c r="O801" s="1393"/>
      <c r="P801" s="1393"/>
      <c r="Q801" s="1393"/>
      <c r="R801" s="1393"/>
      <c r="S801" s="1393"/>
      <c r="T801" s="1361"/>
      <c r="U801" s="1362"/>
      <c r="V801" s="1362"/>
      <c r="W801" s="1363"/>
      <c r="X801" s="1404"/>
      <c r="Y801" s="1405"/>
      <c r="Z801" s="1405"/>
      <c r="AA801" s="1405"/>
      <c r="AB801" s="1406"/>
      <c r="AC801" s="1401">
        <f t="shared" si="42"/>
        <v>0</v>
      </c>
      <c r="AD801" s="1402"/>
      <c r="AE801" s="1402"/>
      <c r="AF801" s="1402"/>
      <c r="AG801" s="140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2">
        <f t="shared" si="43"/>
        <v>0</v>
      </c>
      <c r="CQ801" s="1533"/>
      <c r="CR801" s="1533"/>
      <c r="CS801" s="1533"/>
      <c r="CT801" s="1534"/>
      <c r="CU801" s="1532">
        <f t="shared" si="44"/>
        <v>0</v>
      </c>
      <c r="CV801" s="1533"/>
      <c r="CW801" s="1533"/>
      <c r="CX801" s="1533"/>
      <c r="CY801" s="1534"/>
      <c r="CZ801" s="1532">
        <f t="shared" si="45"/>
        <v>0</v>
      </c>
      <c r="DA801" s="1533"/>
      <c r="DB801" s="1533"/>
      <c r="DC801" s="1533"/>
      <c r="DD801" s="1534"/>
      <c r="DE801" s="1532">
        <f t="shared" si="46"/>
        <v>0</v>
      </c>
      <c r="DF801" s="1533"/>
      <c r="DG801" s="1533"/>
      <c r="DH801" s="1533"/>
      <c r="DI801" s="1534"/>
      <c r="DJ801" s="1532">
        <f t="shared" si="47"/>
        <v>0</v>
      </c>
      <c r="DK801" s="1533"/>
      <c r="DL801" s="1533"/>
      <c r="DM801" s="1533"/>
      <c r="DN801" s="1534"/>
      <c r="DO801" s="1532">
        <f t="shared" si="48"/>
        <v>0</v>
      </c>
      <c r="DP801" s="1533"/>
      <c r="DQ801" s="1533"/>
      <c r="DR801" s="1533"/>
      <c r="DS801" s="1534"/>
      <c r="DT801" s="6"/>
      <c r="DU801" s="1532">
        <f t="shared" si="49"/>
        <v>0</v>
      </c>
      <c r="DV801" s="1533"/>
      <c r="DW801" s="1533"/>
      <c r="DX801" s="1533"/>
      <c r="DY801" s="1534"/>
      <c r="DZ801" s="1532">
        <f t="shared" si="50"/>
        <v>0</v>
      </c>
      <c r="EA801" s="1533"/>
      <c r="EB801" s="1533"/>
      <c r="EC801" s="1533"/>
      <c r="ED801" s="1534"/>
      <c r="EE801" s="1532">
        <f t="shared" si="51"/>
        <v>0</v>
      </c>
      <c r="EF801" s="1533"/>
      <c r="EG801" s="1533"/>
      <c r="EH801" s="1533"/>
      <c r="EI801" s="1534"/>
      <c r="EJ801" s="1532">
        <f t="shared" si="52"/>
        <v>0</v>
      </c>
      <c r="EK801" s="1533"/>
      <c r="EL801" s="1533"/>
      <c r="EM801" s="1533"/>
      <c r="EN801" s="1534"/>
      <c r="EO801" s="1532">
        <f t="shared" si="53"/>
        <v>0</v>
      </c>
      <c r="EP801" s="1533"/>
      <c r="EQ801" s="1533"/>
      <c r="ER801" s="1533"/>
      <c r="ES801" s="1534"/>
      <c r="ET801" s="1532">
        <f t="shared" si="54"/>
        <v>0</v>
      </c>
      <c r="EU801" s="1533"/>
      <c r="EV801" s="1533"/>
      <c r="EW801" s="1533"/>
      <c r="EX801" s="1534"/>
    </row>
    <row r="802" spans="1:154" s="14" customFormat="1" ht="13" customHeight="1">
      <c r="A802"/>
      <c r="B802"/>
      <c r="C802"/>
      <c r="D802"/>
      <c r="E802"/>
      <c r="F802"/>
      <c r="G802"/>
      <c r="H802"/>
      <c r="I802"/>
      <c r="J802" s="1364"/>
      <c r="K802" s="1365"/>
      <c r="L802" s="1365"/>
      <c r="M802" s="1365"/>
      <c r="N802" s="1366"/>
      <c r="O802" s="1393"/>
      <c r="P802" s="1393"/>
      <c r="Q802" s="1393"/>
      <c r="R802" s="1393"/>
      <c r="S802" s="1393"/>
      <c r="T802" s="1361"/>
      <c r="U802" s="1362"/>
      <c r="V802" s="1362"/>
      <c r="W802" s="1363"/>
      <c r="X802" s="1404"/>
      <c r="Y802" s="1405"/>
      <c r="Z802" s="1405"/>
      <c r="AA802" s="1405"/>
      <c r="AB802" s="1406"/>
      <c r="AC802" s="1401">
        <f t="shared" si="42"/>
        <v>0</v>
      </c>
      <c r="AD802" s="1402"/>
      <c r="AE802" s="1402"/>
      <c r="AF802" s="1402"/>
      <c r="AG802" s="140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2">
        <f t="shared" si="43"/>
        <v>0</v>
      </c>
      <c r="CQ802" s="1533"/>
      <c r="CR802" s="1533"/>
      <c r="CS802" s="1533"/>
      <c r="CT802" s="1534"/>
      <c r="CU802" s="1532">
        <f t="shared" si="44"/>
        <v>0</v>
      </c>
      <c r="CV802" s="1533"/>
      <c r="CW802" s="1533"/>
      <c r="CX802" s="1533"/>
      <c r="CY802" s="1534"/>
      <c r="CZ802" s="1532">
        <f t="shared" si="45"/>
        <v>0</v>
      </c>
      <c r="DA802" s="1533"/>
      <c r="DB802" s="1533"/>
      <c r="DC802" s="1533"/>
      <c r="DD802" s="1534"/>
      <c r="DE802" s="1532">
        <f t="shared" si="46"/>
        <v>0</v>
      </c>
      <c r="DF802" s="1533"/>
      <c r="DG802" s="1533"/>
      <c r="DH802" s="1533"/>
      <c r="DI802" s="1534"/>
      <c r="DJ802" s="1532">
        <f t="shared" si="47"/>
        <v>0</v>
      </c>
      <c r="DK802" s="1533"/>
      <c r="DL802" s="1533"/>
      <c r="DM802" s="1533"/>
      <c r="DN802" s="1534"/>
      <c r="DO802" s="1532">
        <f t="shared" si="48"/>
        <v>0</v>
      </c>
      <c r="DP802" s="1533"/>
      <c r="DQ802" s="1533"/>
      <c r="DR802" s="1533"/>
      <c r="DS802" s="1534"/>
      <c r="DT802" s="6"/>
      <c r="DU802" s="1532">
        <f t="shared" si="49"/>
        <v>0</v>
      </c>
      <c r="DV802" s="1533"/>
      <c r="DW802" s="1533"/>
      <c r="DX802" s="1533"/>
      <c r="DY802" s="1534"/>
      <c r="DZ802" s="1532">
        <f t="shared" si="50"/>
        <v>0</v>
      </c>
      <c r="EA802" s="1533"/>
      <c r="EB802" s="1533"/>
      <c r="EC802" s="1533"/>
      <c r="ED802" s="1534"/>
      <c r="EE802" s="1532">
        <f t="shared" si="51"/>
        <v>0</v>
      </c>
      <c r="EF802" s="1533"/>
      <c r="EG802" s="1533"/>
      <c r="EH802" s="1533"/>
      <c r="EI802" s="1534"/>
      <c r="EJ802" s="1532">
        <f t="shared" si="52"/>
        <v>0</v>
      </c>
      <c r="EK802" s="1533"/>
      <c r="EL802" s="1533"/>
      <c r="EM802" s="1533"/>
      <c r="EN802" s="1534"/>
      <c r="EO802" s="1532">
        <f t="shared" si="53"/>
        <v>0</v>
      </c>
      <c r="EP802" s="1533"/>
      <c r="EQ802" s="1533"/>
      <c r="ER802" s="1533"/>
      <c r="ES802" s="1534"/>
      <c r="ET802" s="1532">
        <f t="shared" si="54"/>
        <v>0</v>
      </c>
      <c r="EU802" s="1533"/>
      <c r="EV802" s="1533"/>
      <c r="EW802" s="1533"/>
      <c r="EX802" s="1534"/>
    </row>
    <row r="803" spans="1:154" s="14" customFormat="1" ht="13" customHeight="1">
      <c r="A803"/>
      <c r="B803"/>
      <c r="C803"/>
      <c r="D803"/>
      <c r="E803"/>
      <c r="F803"/>
      <c r="G803"/>
      <c r="H803"/>
      <c r="I803"/>
      <c r="J803" s="1364"/>
      <c r="K803" s="1365"/>
      <c r="L803" s="1365"/>
      <c r="M803" s="1365"/>
      <c r="N803" s="1366"/>
      <c r="O803" s="1393"/>
      <c r="P803" s="1393"/>
      <c r="Q803" s="1393"/>
      <c r="R803" s="1393"/>
      <c r="S803" s="1393"/>
      <c r="T803" s="1361"/>
      <c r="U803" s="1362"/>
      <c r="V803" s="1362"/>
      <c r="W803" s="1363"/>
      <c r="X803" s="1404"/>
      <c r="Y803" s="1405"/>
      <c r="Z803" s="1405"/>
      <c r="AA803" s="1405"/>
      <c r="AB803" s="1406"/>
      <c r="AC803" s="1401">
        <f t="shared" si="42"/>
        <v>0</v>
      </c>
      <c r="AD803" s="1402"/>
      <c r="AE803" s="1402"/>
      <c r="AF803" s="1402"/>
      <c r="AG803" s="140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2">
        <f t="shared" si="43"/>
        <v>0</v>
      </c>
      <c r="CQ803" s="1533"/>
      <c r="CR803" s="1533"/>
      <c r="CS803" s="1533"/>
      <c r="CT803" s="1534"/>
      <c r="CU803" s="1532">
        <f t="shared" si="44"/>
        <v>0</v>
      </c>
      <c r="CV803" s="1533"/>
      <c r="CW803" s="1533"/>
      <c r="CX803" s="1533"/>
      <c r="CY803" s="1534"/>
      <c r="CZ803" s="1532">
        <f t="shared" si="45"/>
        <v>0</v>
      </c>
      <c r="DA803" s="1533"/>
      <c r="DB803" s="1533"/>
      <c r="DC803" s="1533"/>
      <c r="DD803" s="1534"/>
      <c r="DE803" s="1532">
        <f t="shared" si="46"/>
        <v>0</v>
      </c>
      <c r="DF803" s="1533"/>
      <c r="DG803" s="1533"/>
      <c r="DH803" s="1533"/>
      <c r="DI803" s="1534"/>
      <c r="DJ803" s="1532">
        <f t="shared" si="47"/>
        <v>0</v>
      </c>
      <c r="DK803" s="1533"/>
      <c r="DL803" s="1533"/>
      <c r="DM803" s="1533"/>
      <c r="DN803" s="1534"/>
      <c r="DO803" s="1532">
        <f t="shared" si="48"/>
        <v>0</v>
      </c>
      <c r="DP803" s="1533"/>
      <c r="DQ803" s="1533"/>
      <c r="DR803" s="1533"/>
      <c r="DS803" s="1534"/>
      <c r="DT803" s="6"/>
      <c r="DU803" s="1532">
        <f t="shared" si="49"/>
        <v>0</v>
      </c>
      <c r="DV803" s="1533"/>
      <c r="DW803" s="1533"/>
      <c r="DX803" s="1533"/>
      <c r="DY803" s="1534"/>
      <c r="DZ803" s="1532">
        <f t="shared" si="50"/>
        <v>0</v>
      </c>
      <c r="EA803" s="1533"/>
      <c r="EB803" s="1533"/>
      <c r="EC803" s="1533"/>
      <c r="ED803" s="1534"/>
      <c r="EE803" s="1532">
        <f t="shared" si="51"/>
        <v>0</v>
      </c>
      <c r="EF803" s="1533"/>
      <c r="EG803" s="1533"/>
      <c r="EH803" s="1533"/>
      <c r="EI803" s="1534"/>
      <c r="EJ803" s="1532">
        <f t="shared" si="52"/>
        <v>0</v>
      </c>
      <c r="EK803" s="1533"/>
      <c r="EL803" s="1533"/>
      <c r="EM803" s="1533"/>
      <c r="EN803" s="1534"/>
      <c r="EO803" s="1532">
        <f t="shared" si="53"/>
        <v>0</v>
      </c>
      <c r="EP803" s="1533"/>
      <c r="EQ803" s="1533"/>
      <c r="ER803" s="1533"/>
      <c r="ES803" s="1534"/>
      <c r="ET803" s="1532">
        <f t="shared" si="54"/>
        <v>0</v>
      </c>
      <c r="EU803" s="1533"/>
      <c r="EV803" s="1533"/>
      <c r="EW803" s="1533"/>
      <c r="EX803" s="1534"/>
    </row>
    <row r="804" spans="1:154" s="4" customFormat="1" ht="13" customHeight="1">
      <c r="A804"/>
      <c r="B804"/>
      <c r="C804"/>
      <c r="D804"/>
      <c r="E804"/>
      <c r="F804"/>
      <c r="G804"/>
      <c r="H804"/>
      <c r="I804"/>
      <c r="J804" s="1364"/>
      <c r="K804" s="1365"/>
      <c r="L804" s="1365"/>
      <c r="M804" s="1365"/>
      <c r="N804" s="1366"/>
      <c r="O804" s="1393"/>
      <c r="P804" s="1393"/>
      <c r="Q804" s="1393"/>
      <c r="R804" s="1393"/>
      <c r="S804" s="1393"/>
      <c r="T804" s="1361"/>
      <c r="U804" s="1362"/>
      <c r="V804" s="1362"/>
      <c r="W804" s="1363"/>
      <c r="X804" s="1404"/>
      <c r="Y804" s="1405"/>
      <c r="Z804" s="1405"/>
      <c r="AA804" s="1405"/>
      <c r="AB804" s="1406"/>
      <c r="AC804" s="1401">
        <f t="shared" si="42"/>
        <v>0</v>
      </c>
      <c r="AD804" s="1402"/>
      <c r="AE804" s="1402"/>
      <c r="AF804" s="1402"/>
      <c r="AG804" s="1403"/>
      <c r="AH804"/>
      <c r="AI804"/>
      <c r="AJ804"/>
      <c r="AK804"/>
      <c r="AL804"/>
      <c r="AM804"/>
      <c r="AN804"/>
      <c r="AO804"/>
      <c r="AP804"/>
      <c r="AQ804"/>
      <c r="AR804"/>
      <c r="AS804"/>
      <c r="AT804"/>
      <c r="AU804"/>
      <c r="AV804"/>
      <c r="AW804"/>
      <c r="AX804"/>
      <c r="AY804"/>
      <c r="AZ804" s="3"/>
      <c r="CP804" s="1532">
        <f t="shared" si="43"/>
        <v>0</v>
      </c>
      <c r="CQ804" s="1533"/>
      <c r="CR804" s="1533"/>
      <c r="CS804" s="1533"/>
      <c r="CT804" s="1534"/>
      <c r="CU804" s="1532">
        <f t="shared" si="44"/>
        <v>0</v>
      </c>
      <c r="CV804" s="1533"/>
      <c r="CW804" s="1533"/>
      <c r="CX804" s="1533"/>
      <c r="CY804" s="1534"/>
      <c r="CZ804" s="1532">
        <f t="shared" si="45"/>
        <v>0</v>
      </c>
      <c r="DA804" s="1533"/>
      <c r="DB804" s="1533"/>
      <c r="DC804" s="1533"/>
      <c r="DD804" s="1534"/>
      <c r="DE804" s="1532">
        <f t="shared" si="46"/>
        <v>0</v>
      </c>
      <c r="DF804" s="1533"/>
      <c r="DG804" s="1533"/>
      <c r="DH804" s="1533"/>
      <c r="DI804" s="1534"/>
      <c r="DJ804" s="1532">
        <f t="shared" si="47"/>
        <v>0</v>
      </c>
      <c r="DK804" s="1533"/>
      <c r="DL804" s="1533"/>
      <c r="DM804" s="1533"/>
      <c r="DN804" s="1534"/>
      <c r="DO804" s="1532">
        <f t="shared" si="48"/>
        <v>0</v>
      </c>
      <c r="DP804" s="1533"/>
      <c r="DQ804" s="1533"/>
      <c r="DR804" s="1533"/>
      <c r="DS804" s="1534"/>
      <c r="DT804" s="6"/>
      <c r="DU804" s="1532">
        <f t="shared" si="49"/>
        <v>0</v>
      </c>
      <c r="DV804" s="1533"/>
      <c r="DW804" s="1533"/>
      <c r="DX804" s="1533"/>
      <c r="DY804" s="1534"/>
      <c r="DZ804" s="1532">
        <f t="shared" si="50"/>
        <v>0</v>
      </c>
      <c r="EA804" s="1533"/>
      <c r="EB804" s="1533"/>
      <c r="EC804" s="1533"/>
      <c r="ED804" s="1534"/>
      <c r="EE804" s="1532">
        <f t="shared" si="51"/>
        <v>0</v>
      </c>
      <c r="EF804" s="1533"/>
      <c r="EG804" s="1533"/>
      <c r="EH804" s="1533"/>
      <c r="EI804" s="1534"/>
      <c r="EJ804" s="1532">
        <f t="shared" si="52"/>
        <v>0</v>
      </c>
      <c r="EK804" s="1533"/>
      <c r="EL804" s="1533"/>
      <c r="EM804" s="1533"/>
      <c r="EN804" s="1534"/>
      <c r="EO804" s="1532">
        <f t="shared" si="53"/>
        <v>0</v>
      </c>
      <c r="EP804" s="1533"/>
      <c r="EQ804" s="1533"/>
      <c r="ER804" s="1533"/>
      <c r="ES804" s="1534"/>
      <c r="ET804" s="1532">
        <f t="shared" si="54"/>
        <v>0</v>
      </c>
      <c r="EU804" s="1533"/>
      <c r="EV804" s="1533"/>
      <c r="EW804" s="1533"/>
      <c r="EX804" s="1534"/>
    </row>
    <row r="805" spans="1:154" s="4" customFormat="1" ht="13" customHeight="1">
      <c r="A805"/>
      <c r="B805"/>
      <c r="C805"/>
      <c r="D805"/>
      <c r="E805"/>
      <c r="F805"/>
      <c r="G805"/>
      <c r="H805"/>
      <c r="I805"/>
      <c r="J805" s="1524" t="s">
        <v>125</v>
      </c>
      <c r="K805" s="1525"/>
      <c r="L805" s="1525"/>
      <c r="M805" s="1525"/>
      <c r="N805" s="1526"/>
      <c r="O805" s="1752">
        <f>SUM(O795:S804)</f>
        <v>0</v>
      </c>
      <c r="P805" s="1752"/>
      <c r="Q805" s="1752"/>
      <c r="R805" s="1752"/>
      <c r="S805" s="1752"/>
      <c r="T805"/>
      <c r="U805"/>
      <c r="V805"/>
      <c r="W805"/>
      <c r="X805" s="898" t="s">
        <v>124</v>
      </c>
      <c r="Y805" s="11"/>
      <c r="Z805" s="11"/>
      <c r="AA805" s="11"/>
      <c r="AB805" s="905"/>
      <c r="AC805" s="1401">
        <f>SUM(AC795:AG804)</f>
        <v>0</v>
      </c>
      <c r="AD805" s="1402"/>
      <c r="AE805" s="1402"/>
      <c r="AF805" s="1402"/>
      <c r="AG805" s="1403"/>
      <c r="AH805"/>
      <c r="AI805"/>
      <c r="AJ805"/>
      <c r="AK805"/>
      <c r="AL805"/>
      <c r="AM805"/>
      <c r="AN805"/>
      <c r="AO805"/>
      <c r="AP805"/>
      <c r="AQ805"/>
      <c r="AR805"/>
      <c r="AS805"/>
      <c r="AT805"/>
      <c r="AU805"/>
      <c r="AV805"/>
      <c r="AW805"/>
      <c r="AX805"/>
      <c r="AY805"/>
      <c r="AZ805" s="3"/>
      <c r="BA805"/>
      <c r="CP805" s="1539">
        <f>SUM(CP795:CT804)</f>
        <v>0</v>
      </c>
      <c r="CQ805" s="1690"/>
      <c r="CR805" s="1690"/>
      <c r="CS805" s="1690"/>
      <c r="CT805" s="1540"/>
      <c r="CU805" s="1541">
        <f>SUM(CU795:CY804)</f>
        <v>0</v>
      </c>
      <c r="CV805" s="1542"/>
      <c r="CW805" s="1542"/>
      <c r="CX805" s="1542"/>
      <c r="CY805" s="1543"/>
      <c r="CZ805" s="1541">
        <f>SUM(CZ795:DD804)</f>
        <v>0</v>
      </c>
      <c r="DA805" s="1542"/>
      <c r="DB805" s="1542"/>
      <c r="DC805" s="1542"/>
      <c r="DD805" s="1543"/>
      <c r="DE805" s="1541">
        <f>SUM(DE795:DI804)</f>
        <v>0</v>
      </c>
      <c r="DF805" s="1542"/>
      <c r="DG805" s="1542"/>
      <c r="DH805" s="1542"/>
      <c r="DI805" s="1543"/>
      <c r="DJ805" s="1541">
        <f>SUM(DJ795:DN804)</f>
        <v>0</v>
      </c>
      <c r="DK805" s="1542"/>
      <c r="DL805" s="1542"/>
      <c r="DM805" s="1542"/>
      <c r="DN805" s="1543"/>
      <c r="DO805" s="1541">
        <f>SUM(DO795:DS804)</f>
        <v>0</v>
      </c>
      <c r="DP805" s="1542"/>
      <c r="DQ805" s="1542"/>
      <c r="DR805" s="1542"/>
      <c r="DS805" s="1543"/>
      <c r="DT805" s="1007"/>
      <c r="DU805" s="1539">
        <f>SUM(DU795:DY804)</f>
        <v>0</v>
      </c>
      <c r="DV805" s="1690"/>
      <c r="DW805" s="1690"/>
      <c r="DX805" s="1690"/>
      <c r="DY805" s="1540"/>
      <c r="DZ805" s="1539">
        <f>SUM(DZ795:ED804)</f>
        <v>0</v>
      </c>
      <c r="EA805" s="1690"/>
      <c r="EB805" s="1690"/>
      <c r="EC805" s="1690"/>
      <c r="ED805" s="1540"/>
      <c r="EE805" s="1539">
        <f>SUM(EE795:EI804)</f>
        <v>0</v>
      </c>
      <c r="EF805" s="1690"/>
      <c r="EG805" s="1690"/>
      <c r="EH805" s="1690"/>
      <c r="EI805" s="1540"/>
      <c r="EJ805" s="1539">
        <f>SUM(EJ795:EN804)</f>
        <v>0</v>
      </c>
      <c r="EK805" s="1690"/>
      <c r="EL805" s="1690"/>
      <c r="EM805" s="1690"/>
      <c r="EN805" s="1540"/>
      <c r="EO805" s="1539">
        <f>SUM(EO795:ES804)</f>
        <v>0</v>
      </c>
      <c r="EP805" s="1690"/>
      <c r="EQ805" s="1690"/>
      <c r="ER805" s="1690"/>
      <c r="ES805" s="1540"/>
      <c r="ET805" s="1539">
        <f>SUM(ET795:EX804)</f>
        <v>0</v>
      </c>
      <c r="EU805" s="1690"/>
      <c r="EV805" s="1690"/>
      <c r="EW805" s="1690"/>
      <c r="EX805" s="1540"/>
    </row>
    <row r="806" spans="1:154" s="4" customFormat="1" ht="13" customHeight="1">
      <c r="A806"/>
      <c r="B806"/>
      <c r="C806" s="1741" t="str">
        <f>IF(O805&lt;&gt;AG447,"! Total market rate units in the Unit Mix Table above does not match the number of  market rate units on row #"&amp;TEXT(ROW(D447),"#"),"")</f>
        <v/>
      </c>
      <c r="D806" s="1741"/>
      <c r="E806" s="1741"/>
      <c r="F806" s="1741"/>
      <c r="G806" s="1741"/>
      <c r="H806" s="1741"/>
      <c r="I806" s="1741"/>
      <c r="J806" s="1741"/>
      <c r="K806" s="1741"/>
      <c r="L806" s="1741"/>
      <c r="M806" s="1741"/>
      <c r="N806" s="1741"/>
      <c r="O806" s="1741"/>
      <c r="P806" s="1741"/>
      <c r="Q806" s="1741"/>
      <c r="R806" s="1741"/>
      <c r="S806" s="1741"/>
      <c r="T806" s="1741"/>
      <c r="U806" s="1741"/>
      <c r="V806" s="1741"/>
      <c r="W806" s="1741"/>
      <c r="X806" s="1741"/>
      <c r="Y806" s="1741"/>
      <c r="Z806" s="1741"/>
      <c r="AA806" s="1741"/>
      <c r="AB806" s="1741"/>
      <c r="AC806" s="1741"/>
      <c r="AD806" s="1741"/>
      <c r="AE806" s="1741"/>
      <c r="AF806" s="1741"/>
      <c r="AG806" s="1741"/>
      <c r="AH806" s="1741"/>
      <c r="AI806" s="1741"/>
      <c r="AJ806" s="1741"/>
      <c r="AK806" s="1741"/>
      <c r="AL806" s="1741"/>
      <c r="AM806" s="1741"/>
      <c r="AN806" s="174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41"/>
      <c r="D807" s="1741"/>
      <c r="E807" s="1741"/>
      <c r="F807" s="1741"/>
      <c r="G807" s="1741"/>
      <c r="H807" s="1741"/>
      <c r="I807" s="1741"/>
      <c r="J807" s="1741"/>
      <c r="K807" s="1741"/>
      <c r="L807" s="1741"/>
      <c r="M807" s="1741"/>
      <c r="N807" s="1741"/>
      <c r="O807" s="1741"/>
      <c r="P807" s="1741"/>
      <c r="Q807" s="1741"/>
      <c r="R807" s="1741"/>
      <c r="S807" s="1741"/>
      <c r="T807" s="1741"/>
      <c r="U807" s="1741"/>
      <c r="V807" s="1741"/>
      <c r="W807" s="1741"/>
      <c r="X807" s="1741"/>
      <c r="Y807" s="1741"/>
      <c r="Z807" s="1741"/>
      <c r="AA807" s="1741"/>
      <c r="AB807" s="1741"/>
      <c r="AC807" s="1741"/>
      <c r="AD807" s="1741"/>
      <c r="AE807" s="1741"/>
      <c r="AF807" s="1741"/>
      <c r="AG807" s="1741"/>
      <c r="AH807" s="1741"/>
      <c r="AI807" s="1741"/>
      <c r="AJ807" s="1741"/>
      <c r="AK807" s="1741"/>
      <c r="AL807" s="1741"/>
      <c r="AM807" s="1741"/>
      <c r="AN807" s="174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64">
        <f>SUM(DU805:EX805)</f>
        <v>0</v>
      </c>
      <c r="EU807" s="1865"/>
      <c r="EV807" s="1865"/>
      <c r="EW807" s="1865"/>
      <c r="EX807" s="1866"/>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9">
        <f>O761+AC785+AC805</f>
        <v>257998</v>
      </c>
      <c r="Z808" s="1689"/>
      <c r="AA808" s="1689"/>
      <c r="AB808" s="1689"/>
      <c r="AC808" s="168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9">
        <f>(O761+AC785+AC805)*12</f>
        <v>3095976</v>
      </c>
      <c r="Z809" s="1689"/>
      <c r="AA809" s="1689"/>
      <c r="AB809" s="1689"/>
      <c r="AC809" s="168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1">
        <f>CP761+CP785+CP805</f>
        <v>0</v>
      </c>
      <c r="CQ810" s="1542"/>
      <c r="CR810" s="1542"/>
      <c r="CS810" s="1542"/>
      <c r="CT810" s="1543"/>
      <c r="CU810" s="1541">
        <f>CU761+CU785+CU805</f>
        <v>0</v>
      </c>
      <c r="CV810" s="1542"/>
      <c r="CW810" s="1542"/>
      <c r="CX810" s="1542"/>
      <c r="CY810" s="1543"/>
      <c r="CZ810" s="1541">
        <f>CZ761+CZ785+CZ805</f>
        <v>34</v>
      </c>
      <c r="DA810" s="1542"/>
      <c r="DB810" s="1542"/>
      <c r="DC810" s="1542"/>
      <c r="DD810" s="1543"/>
      <c r="DE810" s="1541">
        <f>DE761+DE785+DE805</f>
        <v>62</v>
      </c>
      <c r="DF810" s="1542"/>
      <c r="DG810" s="1542"/>
      <c r="DH810" s="1542"/>
      <c r="DI810" s="1543"/>
      <c r="DJ810" s="1541">
        <f>DJ761+DJ785+DJ805</f>
        <v>0</v>
      </c>
      <c r="DK810" s="1542"/>
      <c r="DL810" s="1542"/>
      <c r="DM810" s="1542"/>
      <c r="DN810" s="1543"/>
      <c r="DO810" s="1547">
        <f>DO805+DO785+DO761</f>
        <v>0</v>
      </c>
      <c r="DP810" s="1548"/>
      <c r="DQ810" s="1548"/>
      <c r="DR810" s="1548"/>
      <c r="DS810" s="1549"/>
      <c r="DT810" s="3"/>
      <c r="DU810" s="857">
        <f>DU763+DU808</f>
        <v>251</v>
      </c>
      <c r="DV810" s="57" t="s">
        <v>1836</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70"/>
      <c r="AA814" s="1671"/>
      <c r="AB814" s="1671"/>
      <c r="AC814" s="1671"/>
      <c r="AD814" s="1671"/>
      <c r="AE814" s="167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51"/>
      <c r="AA815" s="1671"/>
      <c r="AB815" s="1671"/>
      <c r="AC815" s="1671"/>
      <c r="AD815" s="1671"/>
      <c r="AE815" s="167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93"/>
      <c r="AA816" s="1621"/>
      <c r="AB816" s="1621"/>
      <c r="AC816" s="1621"/>
      <c r="AD816" s="1621"/>
      <c r="AE816" s="162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0">
        <f>'Subsidy Contract Calculation'!J40</f>
        <v>0</v>
      </c>
      <c r="AA817" s="1521"/>
      <c r="AB817" s="1521"/>
      <c r="AC817" s="1521"/>
      <c r="AD817" s="1521"/>
      <c r="AE817" s="152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95"/>
      <c r="AA821" s="1396"/>
      <c r="AB821" s="1396"/>
      <c r="AC821" s="1396"/>
      <c r="AD821" s="1396"/>
      <c r="AE821" s="139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95"/>
      <c r="AA822" s="1396"/>
      <c r="AB822" s="1396"/>
      <c r="AC822" s="1396"/>
      <c r="AD822" s="1396"/>
      <c r="AE822" s="139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95"/>
      <c r="AA823" s="1396"/>
      <c r="AB823" s="1396"/>
      <c r="AC823" s="1396"/>
      <c r="AD823" s="1396"/>
      <c r="AE823" s="139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8" t="s">
        <v>2748</v>
      </c>
      <c r="Q824" s="1659"/>
      <c r="R824" s="1659"/>
      <c r="S824" s="1659"/>
      <c r="T824" s="1659"/>
      <c r="U824" s="1659"/>
      <c r="V824" s="1659"/>
      <c r="W824" s="1659"/>
      <c r="X824" s="1659"/>
      <c r="Y824" s="1660"/>
      <c r="Z824" s="1395">
        <v>13824</v>
      </c>
      <c r="AA824" s="1396"/>
      <c r="AB824" s="1396"/>
      <c r="AC824" s="1396"/>
      <c r="AD824" s="1396"/>
      <c r="AE824" s="139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0">
        <f>SUM(Z821:AE824)</f>
        <v>13824</v>
      </c>
      <c r="AA825" s="1521"/>
      <c r="AB825" s="1521"/>
      <c r="AC825" s="1521"/>
      <c r="AD825" s="1521"/>
      <c r="AE825" s="152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20">
        <f>Z825+Y809+Z817</f>
        <v>3109800</v>
      </c>
      <c r="AA826" s="1521"/>
      <c r="AB826" s="1521"/>
      <c r="AC826" s="1521"/>
      <c r="AD826" s="1521"/>
      <c r="AE826" s="152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598" t="s">
        <v>126</v>
      </c>
      <c r="N831" s="1598"/>
      <c r="O831" s="1598"/>
      <c r="P831" s="1673"/>
      <c r="Q831" s="1707" t="s">
        <v>290</v>
      </c>
      <c r="R831" s="1707"/>
      <c r="S831" s="1707"/>
      <c r="T831" s="1707"/>
      <c r="U831" s="1707" t="s">
        <v>291</v>
      </c>
      <c r="V831" s="1707"/>
      <c r="W831" s="1707"/>
      <c r="X831" s="1707"/>
      <c r="Y831" s="1707" t="s">
        <v>292</v>
      </c>
      <c r="Z831" s="1707"/>
      <c r="AA831" s="1707"/>
      <c r="AB831" s="1707"/>
      <c r="AC831" s="1707" t="s">
        <v>361</v>
      </c>
      <c r="AD831" s="1707"/>
      <c r="AE831" s="1707"/>
      <c r="AF831" s="1707"/>
      <c r="AG831" s="1739" t="s">
        <v>335</v>
      </c>
      <c r="AH831" s="1739"/>
      <c r="AI831" s="1739"/>
      <c r="AJ831" s="1739"/>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02"/>
      <c r="N832" s="1602"/>
      <c r="O832" s="1602"/>
      <c r="P832" s="1666"/>
      <c r="Q832" s="1707"/>
      <c r="R832" s="1707"/>
      <c r="S832" s="1707"/>
      <c r="T832" s="1707"/>
      <c r="U832" s="1707"/>
      <c r="V832" s="1707"/>
      <c r="W832" s="1707"/>
      <c r="X832" s="1707"/>
      <c r="Y832" s="1707"/>
      <c r="Z832" s="1707"/>
      <c r="AA832" s="1707"/>
      <c r="AB832" s="1707"/>
      <c r="AC832" s="1707"/>
      <c r="AD832" s="1707"/>
      <c r="AE832" s="1707"/>
      <c r="AF832" s="1707"/>
      <c r="AG832" s="1739"/>
      <c r="AH832" s="1739"/>
      <c r="AI832" s="1739"/>
      <c r="AJ832" s="1739"/>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23" t="s">
        <v>40</v>
      </c>
      <c r="D833" s="1446"/>
      <c r="E833" s="1446"/>
      <c r="F833" s="1446"/>
      <c r="G833" s="1446"/>
      <c r="H833" s="1446"/>
      <c r="I833" s="48"/>
      <c r="J833" s="48"/>
      <c r="K833" s="48"/>
      <c r="L833" s="49"/>
      <c r="M833" s="1646"/>
      <c r="N833" s="1646"/>
      <c r="O833" s="1646"/>
      <c r="P833" s="1646"/>
      <c r="Q833" s="1646"/>
      <c r="R833" s="1646"/>
      <c r="S833" s="1646"/>
      <c r="T833" s="1646"/>
      <c r="U833" s="1646">
        <v>58</v>
      </c>
      <c r="V833" s="1646"/>
      <c r="W833" s="1646"/>
      <c r="X833" s="1646"/>
      <c r="Y833" s="1646">
        <v>71</v>
      </c>
      <c r="Z833" s="1646"/>
      <c r="AA833" s="1646"/>
      <c r="AB833" s="1646"/>
      <c r="AC833" s="1544"/>
      <c r="AD833" s="1545"/>
      <c r="AE833" s="1545"/>
      <c r="AF833" s="1546"/>
      <c r="AG833" s="1544"/>
      <c r="AH833" s="1545"/>
      <c r="AI833" s="1545"/>
      <c r="AJ833" s="1546"/>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76" t="s">
        <v>41</v>
      </c>
      <c r="D834" s="1675"/>
      <c r="E834" s="1675"/>
      <c r="F834" s="1675"/>
      <c r="G834" s="1675"/>
      <c r="H834" s="1675"/>
      <c r="I834" s="5"/>
      <c r="J834" s="5"/>
      <c r="K834" s="5"/>
      <c r="L834" s="46"/>
      <c r="M834" s="1646"/>
      <c r="N834" s="1646"/>
      <c r="O834" s="1646"/>
      <c r="P834" s="1646"/>
      <c r="Q834" s="1646"/>
      <c r="R834" s="1646"/>
      <c r="S834" s="1646"/>
      <c r="T834" s="1646"/>
      <c r="U834" s="1646"/>
      <c r="V834" s="1646"/>
      <c r="W834" s="1646"/>
      <c r="X834" s="1646"/>
      <c r="Y834" s="1646"/>
      <c r="Z834" s="1646"/>
      <c r="AA834" s="1646"/>
      <c r="AB834" s="1646"/>
      <c r="AC834" s="1544"/>
      <c r="AD834" s="1545"/>
      <c r="AE834" s="1545"/>
      <c r="AF834" s="1546"/>
      <c r="AG834" s="1544"/>
      <c r="AH834" s="1545"/>
      <c r="AI834" s="1545"/>
      <c r="AJ834" s="1546"/>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76" t="s">
        <v>42</v>
      </c>
      <c r="D835" s="1675"/>
      <c r="E835" s="1675"/>
      <c r="F835" s="1675"/>
      <c r="G835" s="1675"/>
      <c r="H835" s="1675"/>
      <c r="I835" s="60"/>
      <c r="J835" s="60"/>
      <c r="K835" s="60"/>
      <c r="L835" s="61"/>
      <c r="M835" s="1646"/>
      <c r="N835" s="1646"/>
      <c r="O835" s="1646"/>
      <c r="P835" s="1646"/>
      <c r="Q835" s="1646"/>
      <c r="R835" s="1646"/>
      <c r="S835" s="1646"/>
      <c r="T835" s="1646"/>
      <c r="U835" s="1646">
        <v>29</v>
      </c>
      <c r="V835" s="1646"/>
      <c r="W835" s="1646"/>
      <c r="X835" s="1646"/>
      <c r="Y835" s="1646">
        <v>37</v>
      </c>
      <c r="Z835" s="1646"/>
      <c r="AA835" s="1646"/>
      <c r="AB835" s="1646"/>
      <c r="AC835" s="1544"/>
      <c r="AD835" s="1545"/>
      <c r="AE835" s="1545"/>
      <c r="AF835" s="1546"/>
      <c r="AG835" s="1544"/>
      <c r="AH835" s="1545"/>
      <c r="AI835" s="1545"/>
      <c r="AJ835" s="1546"/>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76" t="s">
        <v>761</v>
      </c>
      <c r="D836" s="1675"/>
      <c r="E836" s="1675"/>
      <c r="F836" s="1675"/>
      <c r="G836" s="1675"/>
      <c r="H836" s="1675"/>
      <c r="I836" s="60"/>
      <c r="J836" s="60"/>
      <c r="K836" s="60"/>
      <c r="L836" s="61"/>
      <c r="M836" s="1646"/>
      <c r="N836" s="1646"/>
      <c r="O836" s="1646"/>
      <c r="P836" s="1646"/>
      <c r="Q836" s="1646"/>
      <c r="R836" s="1646"/>
      <c r="S836" s="1646"/>
      <c r="T836" s="1646"/>
      <c r="U836" s="1646"/>
      <c r="V836" s="1646"/>
      <c r="W836" s="1646"/>
      <c r="X836" s="1646"/>
      <c r="Y836" s="1646"/>
      <c r="Z836" s="1646"/>
      <c r="AA836" s="1646"/>
      <c r="AB836" s="1646"/>
      <c r="AC836" s="1544"/>
      <c r="AD836" s="1545"/>
      <c r="AE836" s="1545"/>
      <c r="AF836" s="1546"/>
      <c r="AG836" s="1544"/>
      <c r="AH836" s="1545"/>
      <c r="AI836" s="1545"/>
      <c r="AJ836" s="1546"/>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76" t="s">
        <v>459</v>
      </c>
      <c r="D837" s="1675"/>
      <c r="E837" s="1675"/>
      <c r="F837" s="1675"/>
      <c r="G837" s="1675"/>
      <c r="H837" s="1675"/>
      <c r="I837" s="60"/>
      <c r="J837" s="60"/>
      <c r="K837" s="60"/>
      <c r="L837" s="61"/>
      <c r="M837" s="1646"/>
      <c r="N837" s="1646"/>
      <c r="O837" s="1646"/>
      <c r="P837" s="1646"/>
      <c r="Q837" s="1646"/>
      <c r="R837" s="1646"/>
      <c r="S837" s="1646"/>
      <c r="T837" s="1646"/>
      <c r="U837" s="1646">
        <v>95</v>
      </c>
      <c r="V837" s="1646"/>
      <c r="W837" s="1646"/>
      <c r="X837" s="1646"/>
      <c r="Y837" s="1646">
        <v>128</v>
      </c>
      <c r="Z837" s="1646"/>
      <c r="AA837" s="1646"/>
      <c r="AB837" s="1646"/>
      <c r="AC837" s="1544"/>
      <c r="AD837" s="1545"/>
      <c r="AE837" s="1545"/>
      <c r="AF837" s="1546"/>
      <c r="AG837" s="1544"/>
      <c r="AH837" s="1545"/>
      <c r="AI837" s="1545"/>
      <c r="AJ837" s="1546"/>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74" t="s">
        <v>782</v>
      </c>
      <c r="D838" s="1675"/>
      <c r="E838" s="1675"/>
      <c r="F838" s="1675"/>
      <c r="G838" s="1675"/>
      <c r="H838" s="1675"/>
      <c r="I838" s="60"/>
      <c r="J838" s="60"/>
      <c r="K838" s="60"/>
      <c r="L838" s="61"/>
      <c r="M838" s="1646"/>
      <c r="N838" s="1646"/>
      <c r="O838" s="1646"/>
      <c r="P838" s="1646"/>
      <c r="Q838" s="1646"/>
      <c r="R838" s="1646"/>
      <c r="S838" s="1646"/>
      <c r="T838" s="1646"/>
      <c r="U838" s="1646"/>
      <c r="V838" s="1646"/>
      <c r="W838" s="1646"/>
      <c r="X838" s="1646"/>
      <c r="Y838" s="1646"/>
      <c r="Z838" s="1646"/>
      <c r="AA838" s="1646"/>
      <c r="AB838" s="1646"/>
      <c r="AC838" s="1544"/>
      <c r="AD838" s="1545"/>
      <c r="AE838" s="1545"/>
      <c r="AF838" s="1546"/>
      <c r="AG838" s="1544"/>
      <c r="AH838" s="1545"/>
      <c r="AI838" s="1545"/>
      <c r="AJ838" s="1546"/>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58" t="s">
        <v>334</v>
      </c>
      <c r="G839" s="1659"/>
      <c r="H839" s="1659"/>
      <c r="I839" s="1659"/>
      <c r="J839" s="1659"/>
      <c r="K839" s="1659"/>
      <c r="L839" s="1659"/>
      <c r="M839" s="1646"/>
      <c r="N839" s="1646"/>
      <c r="O839" s="1646"/>
      <c r="P839" s="1646"/>
      <c r="Q839" s="1646"/>
      <c r="R839" s="1646"/>
      <c r="S839" s="1646"/>
      <c r="T839" s="1646"/>
      <c r="U839" s="1646"/>
      <c r="V839" s="1646"/>
      <c r="W839" s="1646"/>
      <c r="X839" s="1646"/>
      <c r="Y839" s="1646"/>
      <c r="Z839" s="1646"/>
      <c r="AA839" s="1646"/>
      <c r="AB839" s="1646"/>
      <c r="AC839" s="1544"/>
      <c r="AD839" s="1545"/>
      <c r="AE839" s="1545"/>
      <c r="AF839" s="1546"/>
      <c r="AG839" s="1544"/>
      <c r="AH839" s="1545"/>
      <c r="AI839" s="1545"/>
      <c r="AJ839" s="1546"/>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24" t="s">
        <v>124</v>
      </c>
      <c r="D840" s="1525"/>
      <c r="E840" s="1525"/>
      <c r="F840" s="1525"/>
      <c r="G840" s="1525"/>
      <c r="H840" s="1525"/>
      <c r="I840" s="1525"/>
      <c r="J840" s="1525"/>
      <c r="K840" s="1525"/>
      <c r="L840" s="1526"/>
      <c r="M840" s="1677">
        <f>SUM(M833:P839)</f>
        <v>0</v>
      </c>
      <c r="N840" s="1677"/>
      <c r="O840" s="1677"/>
      <c r="P840" s="1677"/>
      <c r="Q840" s="1677">
        <f>SUM(Q833:T839)</f>
        <v>0</v>
      </c>
      <c r="R840" s="1677"/>
      <c r="S840" s="1677"/>
      <c r="T840" s="1677"/>
      <c r="U840" s="1677">
        <f>SUM(U833:X839)</f>
        <v>182</v>
      </c>
      <c r="V840" s="1677"/>
      <c r="W840" s="1677"/>
      <c r="X840" s="1677"/>
      <c r="Y840" s="1677">
        <f>SUM(Y833:AB839)</f>
        <v>236</v>
      </c>
      <c r="Z840" s="1677"/>
      <c r="AA840" s="1677"/>
      <c r="AB840" s="1677"/>
      <c r="AC840" s="1677">
        <f>SUM(AC833:AF839)</f>
        <v>0</v>
      </c>
      <c r="AD840" s="1677"/>
      <c r="AE840" s="1677"/>
      <c r="AF840" s="1677"/>
      <c r="AG840" s="1677">
        <f>SUM(AG833:AJ839)</f>
        <v>0</v>
      </c>
      <c r="AH840" s="1677"/>
      <c r="AI840" s="1677"/>
      <c r="AJ840" s="1677"/>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86" t="s">
        <v>2739</v>
      </c>
      <c r="D845" s="1687"/>
      <c r="E845" s="1687"/>
      <c r="F845" s="1687"/>
      <c r="G845" s="1687"/>
      <c r="H845" s="1687"/>
      <c r="I845" s="1687"/>
      <c r="J845" s="1687"/>
      <c r="K845" s="1687"/>
      <c r="L845" s="1687"/>
      <c r="M845" s="1687"/>
      <c r="N845" s="1687"/>
      <c r="O845" s="1687"/>
      <c r="P845" s="1687"/>
      <c r="Q845" s="1687"/>
      <c r="R845" s="1687"/>
      <c r="S845" s="1687"/>
      <c r="T845" s="1687"/>
      <c r="U845" s="1687"/>
      <c r="V845" s="1687"/>
      <c r="W845" s="1687"/>
      <c r="X845" s="1687"/>
      <c r="Y845" s="1687"/>
      <c r="Z845" s="1687"/>
      <c r="AA845" s="1687"/>
      <c r="AB845" s="1687"/>
      <c r="AC845" s="1687"/>
      <c r="AD845" s="1687"/>
      <c r="AE845" s="1687"/>
      <c r="AF845" s="1687"/>
      <c r="AG845" s="1687"/>
      <c r="AH845" s="1687"/>
      <c r="AI845" s="1687"/>
      <c r="AJ845" s="1688"/>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706"/>
      <c r="BJ849" s="1706"/>
      <c r="BK849" s="1706"/>
      <c r="BL849" s="1706"/>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550">
        <v>15000</v>
      </c>
      <c r="X850" s="1550"/>
      <c r="Y850" s="1550"/>
      <c r="Z850" s="1550"/>
      <c r="AA850" s="1550"/>
      <c r="AB850" s="1550"/>
      <c r="AC850" s="1550"/>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550">
        <v>8000</v>
      </c>
      <c r="X851" s="1550"/>
      <c r="Y851" s="1550"/>
      <c r="Z851" s="1550"/>
      <c r="AA851" s="1550"/>
      <c r="AB851" s="1550"/>
      <c r="AC851" s="1550"/>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550">
        <v>15000</v>
      </c>
      <c r="X852" s="1550"/>
      <c r="Y852" s="1550"/>
      <c r="Z852" s="1550"/>
      <c r="AA852" s="1550"/>
      <c r="AB852" s="1550"/>
      <c r="AC852" s="1550"/>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550"/>
      <c r="X853" s="1550"/>
      <c r="Y853" s="1550"/>
      <c r="Z853" s="1550"/>
      <c r="AA853" s="1550"/>
      <c r="AB853" s="1550"/>
      <c r="AC853" s="1550"/>
      <c r="AZ853" s="30"/>
      <c r="BA853" s="30"/>
      <c r="BB853" s="14"/>
      <c r="BC853" s="14"/>
      <c r="BD853" s="14"/>
      <c r="BE853" s="14"/>
      <c r="BF853" s="14"/>
      <c r="BG853" s="14"/>
      <c r="BH853" s="14"/>
      <c r="BI853" s="14"/>
      <c r="BJ853" s="14"/>
      <c r="BK853" s="14"/>
      <c r="BL853" s="14"/>
    </row>
    <row r="854" spans="1:64" ht="13" customHeight="1">
      <c r="J854" s="45" t="s">
        <v>170</v>
      </c>
      <c r="K854" s="5"/>
      <c r="L854" s="5"/>
      <c r="M854" s="1658" t="s">
        <v>2746</v>
      </c>
      <c r="N854" s="1659"/>
      <c r="O854" s="1659"/>
      <c r="P854" s="1659"/>
      <c r="Q854" s="1659"/>
      <c r="R854" s="1659"/>
      <c r="S854" s="1659"/>
      <c r="T854" s="1659"/>
      <c r="U854" s="1659"/>
      <c r="V854" s="1660"/>
      <c r="W854" s="1550">
        <v>13632</v>
      </c>
      <c r="X854" s="1550"/>
      <c r="Y854" s="1550"/>
      <c r="Z854" s="1550"/>
      <c r="AA854" s="1550"/>
      <c r="AB854" s="1550"/>
      <c r="AC854" s="1550"/>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520">
        <f>SUM(W850:W854)</f>
        <v>51632</v>
      </c>
      <c r="X855" s="1521"/>
      <c r="Y855" s="1521"/>
      <c r="Z855" s="1521"/>
      <c r="AA855" s="1521"/>
      <c r="AB855" s="1521"/>
      <c r="AC855" s="1522"/>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82"/>
      <c r="BH856" s="1682"/>
      <c r="BI856" s="1682"/>
      <c r="BJ856" s="1682"/>
      <c r="BK856" s="1682"/>
      <c r="BL856" s="1682"/>
    </row>
    <row r="857" spans="1:64" ht="13" customHeight="1">
      <c r="C857" s="2" t="s">
        <v>344</v>
      </c>
      <c r="J857" s="1524" t="s">
        <v>345</v>
      </c>
      <c r="K857" s="1525"/>
      <c r="L857" s="1525"/>
      <c r="M857" s="1525"/>
      <c r="N857" s="1525"/>
      <c r="O857" s="1525"/>
      <c r="P857" s="1525"/>
      <c r="Q857" s="1525"/>
      <c r="R857" s="1525"/>
      <c r="S857" s="1525"/>
      <c r="T857" s="1525"/>
      <c r="U857" s="1525"/>
      <c r="V857" s="1526"/>
      <c r="W857" s="1395">
        <v>120960</v>
      </c>
      <c r="X857" s="1396"/>
      <c r="Y857" s="1396"/>
      <c r="Z857" s="1396"/>
      <c r="AA857" s="1396"/>
      <c r="AB857" s="1396"/>
      <c r="AC857" s="1397"/>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84"/>
      <c r="X859" s="1684"/>
      <c r="Y859" s="1684"/>
      <c r="Z859" s="1684"/>
      <c r="AA859" s="1684"/>
      <c r="AB859" s="1684"/>
      <c r="AC859" s="1684"/>
      <c r="AZ859" s="1735"/>
      <c r="BA859" s="1735"/>
      <c r="BB859" s="14"/>
      <c r="BC859" s="14"/>
    </row>
    <row r="860" spans="1:64" ht="13" customHeight="1">
      <c r="J860" s="45" t="s">
        <v>351</v>
      </c>
      <c r="K860" s="5"/>
      <c r="L860" s="5"/>
      <c r="M860" s="5"/>
      <c r="N860" s="5"/>
      <c r="O860" s="5"/>
      <c r="P860" s="5"/>
      <c r="Q860" s="5"/>
      <c r="R860" s="5"/>
      <c r="S860" s="5"/>
      <c r="T860" s="5"/>
      <c r="U860" s="5"/>
      <c r="V860" s="46"/>
      <c r="W860" s="1684"/>
      <c r="X860" s="1684"/>
      <c r="Y860" s="1684"/>
      <c r="Z860" s="1684"/>
      <c r="AA860" s="1684"/>
      <c r="AB860" s="1684"/>
      <c r="AC860" s="1684"/>
      <c r="AZ860" s="30"/>
      <c r="BA860" s="30"/>
      <c r="BB860" s="14"/>
      <c r="BC860" s="14"/>
    </row>
    <row r="861" spans="1:64" ht="13" customHeight="1">
      <c r="J861" s="45" t="s">
        <v>459</v>
      </c>
      <c r="K861" s="5"/>
      <c r="L861" s="5"/>
      <c r="M861" s="5"/>
      <c r="N861" s="5"/>
      <c r="O861" s="5"/>
      <c r="P861" s="5"/>
      <c r="Q861" s="5"/>
      <c r="R861" s="5"/>
      <c r="S861" s="5"/>
      <c r="T861" s="5"/>
      <c r="U861" s="5"/>
      <c r="V861" s="46"/>
      <c r="W861" s="1684">
        <v>55000</v>
      </c>
      <c r="X861" s="1684"/>
      <c r="Y861" s="1684"/>
      <c r="Z861" s="1684"/>
      <c r="AA861" s="1684"/>
      <c r="AB861" s="1684"/>
      <c r="AC861" s="1684"/>
      <c r="AZ861" s="30"/>
      <c r="BA861" s="30"/>
      <c r="BB861" s="14"/>
      <c r="BC861" s="14"/>
    </row>
    <row r="862" spans="1:64" ht="13" customHeight="1">
      <c r="J862" s="62" t="s">
        <v>620</v>
      </c>
      <c r="K862" s="5"/>
      <c r="L862" s="5"/>
      <c r="M862" s="5"/>
      <c r="N862" s="5"/>
      <c r="O862" s="5"/>
      <c r="P862" s="5"/>
      <c r="Q862" s="5"/>
      <c r="R862" s="5"/>
      <c r="S862" s="5"/>
      <c r="T862" s="5"/>
      <c r="U862" s="5"/>
      <c r="V862" s="46"/>
      <c r="W862" s="1684">
        <v>65000</v>
      </c>
      <c r="X862" s="1684"/>
      <c r="Y862" s="1684"/>
      <c r="Z862" s="1684"/>
      <c r="AA862" s="1684"/>
      <c r="AB862" s="1684"/>
      <c r="AC862" s="1684"/>
      <c r="AZ862" s="34"/>
      <c r="BA862" s="34"/>
      <c r="BB862" s="34"/>
      <c r="BC862" s="34"/>
    </row>
    <row r="863" spans="1:64" ht="13" customHeight="1">
      <c r="J863" s="63"/>
      <c r="K863" s="48"/>
      <c r="L863" s="48"/>
      <c r="M863" s="48"/>
      <c r="N863" s="48"/>
      <c r="O863" s="48"/>
      <c r="P863" s="48"/>
      <c r="Q863" s="48"/>
      <c r="R863" s="48"/>
      <c r="S863" s="48"/>
      <c r="T863" s="48"/>
      <c r="U863" s="48"/>
      <c r="V863" s="54" t="s">
        <v>272</v>
      </c>
      <c r="W863" s="1685">
        <f>SUM(W859:W862)</f>
        <v>120000</v>
      </c>
      <c r="X863" s="1685"/>
      <c r="Y863" s="1685"/>
      <c r="Z863" s="1685"/>
      <c r="AA863" s="1685"/>
      <c r="AB863" s="1685"/>
      <c r="AC863" s="1685"/>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47">
        <v>70888</v>
      </c>
      <c r="X865" s="1648"/>
      <c r="Y865" s="1648"/>
      <c r="Z865" s="1648"/>
      <c r="AA865" s="1648"/>
      <c r="AB865" s="1648"/>
      <c r="AC865" s="1649"/>
      <c r="AD865" s="528"/>
      <c r="AZ865" s="34"/>
      <c r="BA865" s="34"/>
      <c r="BB865" s="34"/>
      <c r="BC865" s="34"/>
    </row>
    <row r="866" spans="3:55" ht="13" customHeight="1">
      <c r="C866" s="2" t="s">
        <v>347</v>
      </c>
      <c r="J866" s="121" t="s">
        <v>1643</v>
      </c>
      <c r="K866" s="5"/>
      <c r="L866" s="5"/>
      <c r="M866" s="5"/>
      <c r="N866" s="5"/>
      <c r="O866" s="5"/>
      <c r="P866" s="5"/>
      <c r="Q866" s="5"/>
      <c r="R866" s="5"/>
      <c r="S866" s="5"/>
      <c r="T866" s="1694">
        <v>1</v>
      </c>
      <c r="U866" s="1695"/>
      <c r="V866" s="1696"/>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47">
        <v>65000</v>
      </c>
      <c r="X867" s="1648"/>
      <c r="Y867" s="1648"/>
      <c r="Z867" s="1648"/>
      <c r="AA867" s="1648"/>
      <c r="AB867" s="1648"/>
      <c r="AC867" s="1649"/>
      <c r="AD867" s="533"/>
      <c r="AZ867" s="34"/>
      <c r="BA867" s="34"/>
      <c r="BB867" s="34"/>
      <c r="BC867" s="34"/>
    </row>
    <row r="868" spans="3:55" ht="13" customHeight="1">
      <c r="C868" s="2"/>
      <c r="J868" s="121" t="s">
        <v>1644</v>
      </c>
      <c r="K868" s="5"/>
      <c r="L868" s="5"/>
      <c r="M868" s="5"/>
      <c r="N868" s="5"/>
      <c r="O868" s="5"/>
      <c r="P868" s="5"/>
      <c r="Q868" s="5"/>
      <c r="R868" s="5"/>
      <c r="S868" s="5"/>
      <c r="T868" s="1694">
        <v>1</v>
      </c>
      <c r="U868" s="1695"/>
      <c r="V868" s="1696"/>
      <c r="W868" s="870"/>
      <c r="X868" s="871"/>
      <c r="Y868" s="871"/>
      <c r="Z868" s="871"/>
      <c r="AA868" s="871"/>
      <c r="AB868" s="871"/>
      <c r="AC868" s="872"/>
      <c r="AD868" s="533"/>
      <c r="AZ868" s="34"/>
      <c r="BA868" s="34"/>
      <c r="BB868" s="34"/>
      <c r="BC868" s="34"/>
    </row>
    <row r="869" spans="3:55" ht="13" customHeight="1">
      <c r="J869" s="45" t="s">
        <v>170</v>
      </c>
      <c r="K869" s="5"/>
      <c r="L869" s="5"/>
      <c r="M869" s="1658" t="s">
        <v>2747</v>
      </c>
      <c r="N869" s="1659"/>
      <c r="O869" s="1659"/>
      <c r="P869" s="1659"/>
      <c r="Q869" s="1659"/>
      <c r="R869" s="1659"/>
      <c r="S869" s="1659"/>
      <c r="T869" s="1659"/>
      <c r="U869" s="1659"/>
      <c r="V869" s="1660"/>
      <c r="W869" s="1647">
        <v>27000</v>
      </c>
      <c r="X869" s="1648"/>
      <c r="Y869" s="1648"/>
      <c r="Z869" s="1648"/>
      <c r="AA869" s="1648"/>
      <c r="AB869" s="1648"/>
      <c r="AC869" s="1649"/>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97">
        <f>SUM(W865:W869)</f>
        <v>162888</v>
      </c>
      <c r="X870" s="1698"/>
      <c r="Y870" s="1698"/>
      <c r="Z870" s="1698"/>
      <c r="AA870" s="1698"/>
      <c r="AB870" s="1698"/>
      <c r="AC870" s="1699"/>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47">
        <v>80000</v>
      </c>
      <c r="X872" s="1648"/>
      <c r="Y872" s="1648"/>
      <c r="Z872" s="1648"/>
      <c r="AA872" s="1648"/>
      <c r="AB872" s="1648"/>
      <c r="AC872" s="1649"/>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550">
        <v>6000</v>
      </c>
      <c r="X874" s="1550"/>
      <c r="Y874" s="1550"/>
      <c r="Z874" s="1550"/>
      <c r="AA874" s="1550"/>
      <c r="AB874" s="1550"/>
      <c r="AC874" s="1550"/>
      <c r="AU874" s="14"/>
      <c r="AZ874" s="34"/>
      <c r="BA874" s="34"/>
      <c r="BB874" s="34"/>
      <c r="BC874" s="34"/>
    </row>
    <row r="875" spans="3:55" ht="13" customHeight="1">
      <c r="J875" s="45" t="s">
        <v>522</v>
      </c>
      <c r="K875" s="5"/>
      <c r="L875" s="5"/>
      <c r="M875" s="5"/>
      <c r="N875" s="5"/>
      <c r="O875" s="5"/>
      <c r="P875" s="5"/>
      <c r="Q875" s="5"/>
      <c r="R875" s="5"/>
      <c r="S875" s="5"/>
      <c r="T875" s="5"/>
      <c r="U875" s="5"/>
      <c r="V875" s="46"/>
      <c r="W875" s="1550">
        <v>10000</v>
      </c>
      <c r="X875" s="1550"/>
      <c r="Y875" s="1550"/>
      <c r="Z875" s="1550"/>
      <c r="AA875" s="1550"/>
      <c r="AB875" s="1550"/>
      <c r="AC875" s="1550"/>
      <c r="AU875" s="4"/>
      <c r="AZ875" s="34"/>
      <c r="BA875" s="34"/>
      <c r="BB875" s="34"/>
      <c r="BC875" s="34"/>
    </row>
    <row r="876" spans="3:55" ht="13" customHeight="1">
      <c r="J876" s="45" t="s">
        <v>521</v>
      </c>
      <c r="K876" s="5"/>
      <c r="L876" s="5"/>
      <c r="M876" s="5"/>
      <c r="N876" s="5"/>
      <c r="O876" s="5"/>
      <c r="P876" s="5"/>
      <c r="Q876" s="5"/>
      <c r="R876" s="5"/>
      <c r="S876" s="5"/>
      <c r="T876" s="5"/>
      <c r="U876" s="5"/>
      <c r="V876" s="46"/>
      <c r="W876" s="1550">
        <v>29720</v>
      </c>
      <c r="X876" s="1550"/>
      <c r="Y876" s="1550"/>
      <c r="Z876" s="1550"/>
      <c r="AA876" s="1550"/>
      <c r="AB876" s="1550"/>
      <c r="AC876" s="1550"/>
      <c r="AU876" s="4"/>
      <c r="AZ876" s="34"/>
      <c r="BA876" s="34"/>
      <c r="BB876" s="34"/>
      <c r="BC876" s="34"/>
    </row>
    <row r="877" spans="3:55" ht="13" customHeight="1">
      <c r="J877" s="45" t="s">
        <v>520</v>
      </c>
      <c r="K877" s="5"/>
      <c r="L877" s="5"/>
      <c r="M877" s="5"/>
      <c r="N877" s="5"/>
      <c r="O877" s="5"/>
      <c r="P877" s="5"/>
      <c r="Q877" s="5"/>
      <c r="R877" s="5"/>
      <c r="S877" s="5"/>
      <c r="T877" s="5"/>
      <c r="U877" s="5"/>
      <c r="V877" s="46"/>
      <c r="W877" s="1550"/>
      <c r="X877" s="1550"/>
      <c r="Y877" s="1550"/>
      <c r="Z877" s="1550"/>
      <c r="AA877" s="1550"/>
      <c r="AB877" s="1550"/>
      <c r="AC877" s="1550"/>
      <c r="AU877" s="4"/>
      <c r="AZ877" s="34"/>
      <c r="BA877" s="34"/>
      <c r="BB877" s="34"/>
      <c r="BC877" s="34"/>
    </row>
    <row r="878" spans="3:55" ht="13" customHeight="1">
      <c r="J878" s="45" t="s">
        <v>519</v>
      </c>
      <c r="K878" s="5"/>
      <c r="L878" s="5"/>
      <c r="M878" s="5"/>
      <c r="N878" s="5"/>
      <c r="O878" s="5"/>
      <c r="P878" s="5"/>
      <c r="Q878" s="5"/>
      <c r="R878" s="5"/>
      <c r="S878" s="5"/>
      <c r="T878" s="5"/>
      <c r="U878" s="5"/>
      <c r="V878" s="46"/>
      <c r="W878" s="1550"/>
      <c r="X878" s="1550"/>
      <c r="Y878" s="1550"/>
      <c r="Z878" s="1550"/>
      <c r="AA878" s="1550"/>
      <c r="AB878" s="1550"/>
      <c r="AC878" s="1550"/>
      <c r="AU878" s="4"/>
      <c r="AZ878" s="34"/>
      <c r="BA878" s="34"/>
      <c r="BB878" s="34"/>
      <c r="BC878" s="34"/>
    </row>
    <row r="879" spans="3:55" ht="13" customHeight="1">
      <c r="J879" s="45" t="s">
        <v>518</v>
      </c>
      <c r="K879" s="5"/>
      <c r="L879" s="5"/>
      <c r="M879" s="5"/>
      <c r="N879" s="5"/>
      <c r="O879" s="5"/>
      <c r="P879" s="5"/>
      <c r="Q879" s="5"/>
      <c r="R879" s="5"/>
      <c r="S879" s="5"/>
      <c r="T879" s="5"/>
      <c r="U879" s="5"/>
      <c r="V879" s="46"/>
      <c r="W879" s="1550">
        <v>14000</v>
      </c>
      <c r="X879" s="1550"/>
      <c r="Y879" s="1550"/>
      <c r="Z879" s="1550"/>
      <c r="AA879" s="1550"/>
      <c r="AB879" s="1550"/>
      <c r="AC879" s="1550"/>
      <c r="AU879" s="4"/>
      <c r="AZ879" s="34"/>
      <c r="BA879" s="34"/>
      <c r="BB879" s="34"/>
      <c r="BC879" s="34"/>
    </row>
    <row r="880" spans="3:55" ht="13" customHeight="1">
      <c r="J880" s="45" t="s">
        <v>170</v>
      </c>
      <c r="K880" s="5"/>
      <c r="L880" s="5"/>
      <c r="M880" s="1658" t="s">
        <v>334</v>
      </c>
      <c r="N880" s="1659"/>
      <c r="O880" s="1659"/>
      <c r="P880" s="1659"/>
      <c r="Q880" s="1659"/>
      <c r="R880" s="1659"/>
      <c r="S880" s="1659"/>
      <c r="T880" s="1659"/>
      <c r="U880" s="1659"/>
      <c r="V880" s="1660"/>
      <c r="W880" s="1550"/>
      <c r="X880" s="1550"/>
      <c r="Y880" s="1550"/>
      <c r="Z880" s="1550"/>
      <c r="AA880" s="1550"/>
      <c r="AB880" s="1550"/>
      <c r="AC880" s="1550"/>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89">
        <f>SUM(W874:W880)</f>
        <v>59720</v>
      </c>
      <c r="X881" s="1689"/>
      <c r="Y881" s="1689"/>
      <c r="Z881" s="1689"/>
      <c r="AA881" s="1689"/>
      <c r="AB881" s="1689"/>
      <c r="AC881" s="1689"/>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170</v>
      </c>
      <c r="K883" s="5"/>
      <c r="L883" s="5"/>
      <c r="M883" s="1658" t="s">
        <v>334</v>
      </c>
      <c r="N883" s="1659"/>
      <c r="O883" s="1659"/>
      <c r="P883" s="1659"/>
      <c r="Q883" s="1659"/>
      <c r="R883" s="1659"/>
      <c r="S883" s="1659"/>
      <c r="T883" s="1659"/>
      <c r="U883" s="1659"/>
      <c r="V883" s="1660"/>
      <c r="W883" s="1395"/>
      <c r="X883" s="1396"/>
      <c r="Y883" s="1396"/>
      <c r="Z883" s="1396"/>
      <c r="AA883" s="1396"/>
      <c r="AB883" s="1396"/>
      <c r="AC883" s="1397"/>
      <c r="AD883" s="533"/>
      <c r="AV883" s="14"/>
      <c r="AW883" s="14"/>
      <c r="AX883" s="14"/>
      <c r="AY883" s="14"/>
      <c r="AZ883" s="34"/>
      <c r="BA883" s="34"/>
      <c r="BB883" s="34"/>
      <c r="BC883" s="34"/>
    </row>
    <row r="884" spans="3:55" ht="13" customHeight="1">
      <c r="C884" s="2" t="s">
        <v>1243</v>
      </c>
      <c r="J884" s="45" t="s">
        <v>170</v>
      </c>
      <c r="K884" s="5"/>
      <c r="L884" s="5"/>
      <c r="M884" s="1658" t="s">
        <v>334</v>
      </c>
      <c r="N884" s="1659"/>
      <c r="O884" s="1659"/>
      <c r="P884" s="1659"/>
      <c r="Q884" s="1659"/>
      <c r="R884" s="1659"/>
      <c r="S884" s="1659"/>
      <c r="T884" s="1659"/>
      <c r="U884" s="1659"/>
      <c r="V884" s="1660"/>
      <c r="W884" s="1395"/>
      <c r="X884" s="1396"/>
      <c r="Y884" s="1396"/>
      <c r="Z884" s="1396"/>
      <c r="AA884" s="1396"/>
      <c r="AB884" s="1396"/>
      <c r="AC884" s="1397"/>
      <c r="AD884" s="533"/>
      <c r="AV884" s="14"/>
      <c r="AW884" s="14"/>
      <c r="AX884" s="14"/>
      <c r="AY884" s="14"/>
      <c r="AZ884" s="34"/>
      <c r="BA884" s="34"/>
      <c r="BB884" s="34"/>
      <c r="BC884" s="34"/>
    </row>
    <row r="885" spans="3:55" ht="13" customHeight="1">
      <c r="J885" s="45" t="s">
        <v>170</v>
      </c>
      <c r="K885" s="5"/>
      <c r="L885" s="5"/>
      <c r="M885" s="1658" t="s">
        <v>334</v>
      </c>
      <c r="N885" s="1659"/>
      <c r="O885" s="1659"/>
      <c r="P885" s="1659"/>
      <c r="Q885" s="1659"/>
      <c r="R885" s="1659"/>
      <c r="S885" s="1659"/>
      <c r="T885" s="1659"/>
      <c r="U885" s="1659"/>
      <c r="V885" s="1660"/>
      <c r="W885" s="1395"/>
      <c r="X885" s="1396"/>
      <c r="Y885" s="1396"/>
      <c r="Z885" s="1396"/>
      <c r="AA885" s="1396"/>
      <c r="AB885" s="1396"/>
      <c r="AC885" s="1397"/>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58" t="s">
        <v>334</v>
      </c>
      <c r="N886" s="1659"/>
      <c r="O886" s="1659"/>
      <c r="P886" s="1659"/>
      <c r="Q886" s="1659"/>
      <c r="R886" s="1659"/>
      <c r="S886" s="1659"/>
      <c r="T886" s="1659"/>
      <c r="U886" s="1659"/>
      <c r="V886" s="1660"/>
      <c r="W886" s="1395"/>
      <c r="X886" s="1396"/>
      <c r="Y886" s="1396"/>
      <c r="Z886" s="1396"/>
      <c r="AA886" s="1396"/>
      <c r="AB886" s="1396"/>
      <c r="AC886" s="1397"/>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58" t="s">
        <v>334</v>
      </c>
      <c r="N887" s="1659"/>
      <c r="O887" s="1659"/>
      <c r="P887" s="1659"/>
      <c r="Q887" s="1659"/>
      <c r="R887" s="1659"/>
      <c r="S887" s="1659"/>
      <c r="T887" s="1659"/>
      <c r="U887" s="1659"/>
      <c r="V887" s="1660"/>
      <c r="W887" s="1395"/>
      <c r="X887" s="1396"/>
      <c r="Y887" s="1396"/>
      <c r="Z887" s="1396"/>
      <c r="AA887" s="1396"/>
      <c r="AB887" s="1396"/>
      <c r="AC887" s="1397"/>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520">
        <f>SUM(W883:W887)</f>
        <v>0</v>
      </c>
      <c r="X888" s="1521"/>
      <c r="Y888" s="1521"/>
      <c r="Z888" s="1521"/>
      <c r="AA888" s="1521"/>
      <c r="AB888" s="1521"/>
      <c r="AC888" s="1522"/>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1">
        <f>W855+W863+W870+W872+W881+W888+W857</f>
        <v>595200</v>
      </c>
      <c r="AD892" s="1521"/>
      <c r="AE892" s="1521"/>
      <c r="AF892" s="1521"/>
      <c r="AG892" s="1521"/>
      <c r="AH892" s="1522"/>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6">
        <f>O805+O785+G761</f>
        <v>96</v>
      </c>
      <c r="AD893" s="1656"/>
      <c r="AE893" s="1656"/>
      <c r="AF893" s="1656"/>
      <c r="AG893" s="1656"/>
      <c r="AH893" s="1657"/>
      <c r="AL893" s="4"/>
      <c r="AM893" s="4"/>
      <c r="AN893" s="4"/>
      <c r="AO893" s="4"/>
      <c r="AP893" s="4"/>
      <c r="AQ893" s="4"/>
      <c r="AR893" s="4"/>
      <c r="AS893" s="4"/>
      <c r="AT893" s="4"/>
      <c r="AZ893" s="34"/>
      <c r="BA893" s="34"/>
      <c r="BB893" s="34"/>
      <c r="BC893" s="34"/>
    </row>
    <row r="894" spans="3:55" ht="13" customHeight="1">
      <c r="C894" s="41"/>
      <c r="D894" s="42"/>
      <c r="E894" s="1691" t="s">
        <v>32</v>
      </c>
      <c r="F894" s="1691"/>
      <c r="G894" s="1691"/>
      <c r="H894" s="1691"/>
      <c r="I894" s="1691"/>
      <c r="J894" s="1691"/>
      <c r="K894" s="1691"/>
      <c r="L894" s="1691"/>
      <c r="M894" s="1691"/>
      <c r="N894" s="1691"/>
      <c r="O894" s="1691"/>
      <c r="P894" s="1691"/>
      <c r="Q894" s="1691"/>
      <c r="R894" s="1691"/>
      <c r="S894" s="1691"/>
      <c r="T894" s="1691"/>
      <c r="U894" s="1691"/>
      <c r="V894" s="1691"/>
      <c r="W894" s="1691"/>
      <c r="X894" s="1691"/>
      <c r="Y894" s="1691"/>
      <c r="Z894" s="1691"/>
      <c r="AA894" s="1691"/>
      <c r="AB894" s="1692"/>
      <c r="AC894" s="1689">
        <f>IF(ISERROR((ROUNDDOWN(AC892/AC893,0))),0,(ROUNDDOWN(AC892/AC893,0)))</f>
        <v>6200</v>
      </c>
      <c r="AD894" s="1689"/>
      <c r="AE894" s="1689"/>
      <c r="AF894" s="1689"/>
      <c r="AG894" s="1689"/>
      <c r="AH894" s="1689"/>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33"/>
      <c r="AD895" s="1734"/>
      <c r="AE895" s="1734"/>
      <c r="AF895" s="1734"/>
      <c r="AG895" s="1734"/>
      <c r="AH895" s="1734"/>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97"/>
      <c r="AD896" s="1550"/>
      <c r="AE896" s="1550"/>
      <c r="AF896" s="1550"/>
      <c r="AG896" s="1550"/>
      <c r="AH896" s="1550"/>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96">
        <v>30000</v>
      </c>
      <c r="AD897" s="1396"/>
      <c r="AE897" s="1396"/>
      <c r="AF897" s="1396"/>
      <c r="AG897" s="1396"/>
      <c r="AH897" s="1397"/>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96">
        <f>250*96</f>
        <v>24000</v>
      </c>
      <c r="AD898" s="1396"/>
      <c r="AE898" s="1396"/>
      <c r="AF898" s="1396"/>
      <c r="AG898" s="1396"/>
      <c r="AH898" s="1397"/>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44">
        <v>14495</v>
      </c>
      <c r="AD899" s="1545"/>
      <c r="AE899" s="1545"/>
      <c r="AF899" s="1545"/>
      <c r="AG899" s="1545"/>
      <c r="AH899" s="1546"/>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96">
        <v>19675</v>
      </c>
      <c r="AD900" s="1396"/>
      <c r="AE900" s="1396"/>
      <c r="AF900" s="1396"/>
      <c r="AG900" s="1396"/>
      <c r="AH900" s="1397"/>
      <c r="AZ900" s="34"/>
      <c r="BA900" s="34"/>
      <c r="BB900" s="34"/>
      <c r="BC900" s="34"/>
    </row>
    <row r="901" spans="1:58" ht="13" hidden="1" customHeight="1">
      <c r="C901" s="1524" t="s">
        <v>2185</v>
      </c>
      <c r="D901" s="1525"/>
      <c r="E901" s="1525"/>
      <c r="F901" s="1525"/>
      <c r="G901" s="1525"/>
      <c r="H901" s="1525"/>
      <c r="I901" s="1525"/>
      <c r="J901" s="1525"/>
      <c r="K901" s="1525"/>
      <c r="L901" s="1525"/>
      <c r="M901" s="1525"/>
      <c r="N901" s="1525"/>
      <c r="O901" s="1525"/>
      <c r="P901" s="1525"/>
      <c r="Q901" s="1525"/>
      <c r="R901" s="1525"/>
      <c r="S901" s="1525"/>
      <c r="T901" s="1525"/>
      <c r="U901" s="1525"/>
      <c r="V901" s="1525"/>
      <c r="W901" s="1525"/>
      <c r="X901" s="1525"/>
      <c r="Y901" s="1525"/>
      <c r="Z901" s="1525"/>
      <c r="AA901" s="1525"/>
      <c r="AB901" s="1526"/>
      <c r="AC901" s="1396"/>
      <c r="AD901" s="1396"/>
      <c r="AE901" s="1396"/>
      <c r="AF901" s="1396"/>
      <c r="AG901" s="1396"/>
      <c r="AH901" s="1397"/>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96"/>
      <c r="AD902" s="1396"/>
      <c r="AE902" s="1396"/>
      <c r="AF902" s="1396"/>
      <c r="AG902" s="1396"/>
      <c r="AH902" s="1397"/>
      <c r="AZ902" s="34"/>
      <c r="BA902" s="34"/>
      <c r="BB902" s="34"/>
      <c r="BC902" s="34"/>
    </row>
    <row r="903" spans="1:58" ht="13" customHeight="1">
      <c r="C903" s="1650" t="s">
        <v>955</v>
      </c>
      <c r="D903" s="1651"/>
      <c r="E903" s="1651"/>
      <c r="F903" s="1651"/>
      <c r="G903" s="1651"/>
      <c r="H903" s="1651"/>
      <c r="I903" s="1651"/>
      <c r="J903" s="1651"/>
      <c r="K903" s="1651"/>
      <c r="L903" s="1651"/>
      <c r="M903" s="1651"/>
      <c r="N903" s="1651"/>
      <c r="O903" s="1651"/>
      <c r="P903" s="1651"/>
      <c r="Q903" s="1651"/>
      <c r="R903" s="1651"/>
      <c r="S903" s="1651"/>
      <c r="T903" s="1651"/>
      <c r="U903" s="1651"/>
      <c r="V903" s="1651"/>
      <c r="W903" s="1651"/>
      <c r="X903" s="1651"/>
      <c r="Y903" s="1651"/>
      <c r="Z903" s="1651"/>
      <c r="AA903" s="1651"/>
      <c r="AB903" s="1652"/>
      <c r="AC903" s="1550"/>
      <c r="AD903" s="1550"/>
      <c r="AE903" s="1550"/>
      <c r="AF903" s="1550"/>
      <c r="AG903" s="1550"/>
      <c r="AH903" s="1550"/>
      <c r="AZ903" s="34"/>
      <c r="BA903" s="34"/>
      <c r="BB903" s="34"/>
      <c r="BC903" s="34"/>
    </row>
    <row r="904" spans="1:58" ht="13" customHeight="1">
      <c r="C904" s="1650" t="s">
        <v>955</v>
      </c>
      <c r="D904" s="1651"/>
      <c r="E904" s="1651"/>
      <c r="F904" s="1651"/>
      <c r="G904" s="1651"/>
      <c r="H904" s="1651"/>
      <c r="I904" s="1651"/>
      <c r="J904" s="1651"/>
      <c r="K904" s="1651"/>
      <c r="L904" s="1651"/>
      <c r="M904" s="1651"/>
      <c r="N904" s="1651"/>
      <c r="O904" s="1651"/>
      <c r="P904" s="1651"/>
      <c r="Q904" s="1651"/>
      <c r="R904" s="1651"/>
      <c r="S904" s="1651"/>
      <c r="T904" s="1651"/>
      <c r="U904" s="1651"/>
      <c r="V904" s="1651"/>
      <c r="W904" s="1651"/>
      <c r="X904" s="1651"/>
      <c r="Y904" s="1651"/>
      <c r="Z904" s="1651"/>
      <c r="AA904" s="1651"/>
      <c r="AB904" s="1652"/>
      <c r="AC904" s="1550"/>
      <c r="AD904" s="1550"/>
      <c r="AE904" s="1550"/>
      <c r="AF904" s="1550"/>
      <c r="AG904" s="1550"/>
      <c r="AH904" s="1550"/>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395"/>
      <c r="AA908" s="1396"/>
      <c r="AB908" s="1396"/>
      <c r="AC908" s="1396"/>
      <c r="AD908" s="1396"/>
      <c r="AE908" s="1397"/>
      <c r="AF908" s="533"/>
      <c r="AZ908" s="34"/>
      <c r="BB908" s="30"/>
      <c r="BC908" s="812"/>
      <c r="BD908" s="1683"/>
      <c r="BE908" s="1683"/>
      <c r="BF908" s="14"/>
    </row>
    <row r="909" spans="1:58" ht="13" customHeight="1">
      <c r="H909" s="121" t="s">
        <v>239</v>
      </c>
      <c r="I909" s="5"/>
      <c r="J909" s="5"/>
      <c r="K909" s="5"/>
      <c r="L909" s="5"/>
      <c r="M909" s="5"/>
      <c r="N909" s="5"/>
      <c r="O909" s="5"/>
      <c r="P909" s="5"/>
      <c r="Q909" s="5"/>
      <c r="R909" s="5"/>
      <c r="S909" s="5"/>
      <c r="T909" s="5"/>
      <c r="U909" s="5"/>
      <c r="V909" s="5"/>
      <c r="W909" s="5"/>
      <c r="X909" s="5"/>
      <c r="Y909" s="5"/>
      <c r="Z909" s="1395"/>
      <c r="AA909" s="1396"/>
      <c r="AB909" s="1396"/>
      <c r="AC909" s="1396"/>
      <c r="AD909" s="1396"/>
      <c r="AE909" s="1397"/>
      <c r="AZ909" s="34"/>
      <c r="BB909" s="30"/>
      <c r="BC909" s="812"/>
      <c r="BD909" s="1683"/>
      <c r="BE909" s="1683"/>
      <c r="BF909" s="14"/>
    </row>
    <row r="910" spans="1:58" ht="13" customHeight="1">
      <c r="H910" s="121" t="s">
        <v>240</v>
      </c>
      <c r="I910" s="5"/>
      <c r="J910" s="5"/>
      <c r="K910" s="5"/>
      <c r="L910" s="5"/>
      <c r="M910" s="5"/>
      <c r="N910" s="5"/>
      <c r="O910" s="5"/>
      <c r="P910" s="5"/>
      <c r="Q910" s="5"/>
      <c r="R910" s="5"/>
      <c r="S910" s="5"/>
      <c r="T910" s="5"/>
      <c r="U910" s="5"/>
      <c r="V910" s="5"/>
      <c r="W910" s="5"/>
      <c r="X910" s="5"/>
      <c r="Y910" s="5"/>
      <c r="Z910" s="1395"/>
      <c r="AA910" s="1396"/>
      <c r="AB910" s="1396"/>
      <c r="AC910" s="1396"/>
      <c r="AD910" s="1396"/>
      <c r="AE910" s="1397"/>
      <c r="AZ910" s="34"/>
      <c r="BB910" s="30"/>
      <c r="BC910" s="812"/>
      <c r="BD910" s="1682"/>
      <c r="BE910" s="1682"/>
      <c r="BF910" s="14"/>
    </row>
    <row r="911" spans="1:58" ht="13" customHeight="1">
      <c r="H911" s="45"/>
      <c r="I911" s="5"/>
      <c r="J911" s="5"/>
      <c r="K911" s="5"/>
      <c r="L911" s="5"/>
      <c r="M911" s="5"/>
      <c r="N911" s="5"/>
      <c r="O911" s="5"/>
      <c r="P911" s="5"/>
      <c r="Q911" s="5"/>
      <c r="R911" s="5"/>
      <c r="S911" s="5"/>
      <c r="T911" s="5"/>
      <c r="U911" s="5"/>
      <c r="V911" s="5"/>
      <c r="W911" s="5"/>
      <c r="X911" s="5"/>
      <c r="Y911" s="181" t="s">
        <v>241</v>
      </c>
      <c r="Z911" s="1520">
        <f>Z908-(Z909+Z910)</f>
        <v>0</v>
      </c>
      <c r="AA911" s="1521"/>
      <c r="AB911" s="1521"/>
      <c r="AC911" s="1521"/>
      <c r="AD911" s="1521"/>
      <c r="AE911" s="1522"/>
      <c r="AZ911" s="34"/>
      <c r="BB911" s="30"/>
      <c r="BC911" s="812"/>
      <c r="BD911" s="1682"/>
      <c r="BE911" s="1682"/>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2"/>
      <c r="BE912" s="1682"/>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3"/>
      <c r="BE913" s="1682"/>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40"/>
      <c r="BE914" s="1740"/>
      <c r="BF914" s="1740"/>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706"/>
      <c r="BE915" s="1706"/>
      <c r="BF915" s="1706"/>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2"/>
      <c r="BE916" s="1682"/>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3"/>
      <c r="BE917" s="1682"/>
      <c r="BF917" s="14"/>
    </row>
    <row r="918" spans="1:58" ht="13" customHeight="1">
      <c r="AZ918" s="34"/>
      <c r="BB918" s="30"/>
      <c r="BC918" s="812"/>
    </row>
    <row r="919" spans="1:58" ht="13" customHeight="1">
      <c r="A919" s="1496" t="s">
        <v>96</v>
      </c>
      <c r="B919" s="1496"/>
      <c r="C919" s="1496"/>
      <c r="D919" s="1496"/>
      <c r="E919" s="1496"/>
      <c r="F919" s="1496"/>
      <c r="G919" s="1496"/>
      <c r="H919" s="1496"/>
      <c r="I919" s="1496"/>
      <c r="J919" s="1496"/>
      <c r="K919" s="1496"/>
      <c r="L919" s="1496"/>
      <c r="M919" s="1496"/>
      <c r="N919" s="1496"/>
      <c r="O919" s="1496"/>
      <c r="P919" s="1496"/>
      <c r="Q919" s="1496"/>
      <c r="R919" s="1496"/>
      <c r="S919" s="1496"/>
      <c r="T919" s="1496"/>
      <c r="U919" s="1496"/>
      <c r="V919" s="1496"/>
      <c r="W919" s="1496"/>
      <c r="X919" s="1496"/>
      <c r="Y919" s="1496"/>
      <c r="Z919" s="1496"/>
      <c r="AA919" s="1496"/>
      <c r="AB919" s="1496"/>
      <c r="AC919" s="1496"/>
      <c r="AD919" s="1496"/>
      <c r="AE919" s="1496"/>
      <c r="AF919" s="1496"/>
      <c r="AG919" s="1496"/>
      <c r="AH919" s="1496"/>
      <c r="AI919" s="1496"/>
      <c r="AJ919" s="1496"/>
      <c r="AK919" s="1496"/>
      <c r="AL919" s="1496"/>
      <c r="AM919" s="1496"/>
      <c r="AN919" s="1496"/>
      <c r="AO919" s="1496"/>
      <c r="AP919" s="1496"/>
      <c r="AQ919" s="1496"/>
      <c r="AR919" s="1496"/>
      <c r="AS919" s="1496"/>
      <c r="AT919" s="1496"/>
      <c r="AZ919" s="34"/>
      <c r="BA919" s="34"/>
      <c r="BB919" s="30"/>
      <c r="BC919" s="30"/>
      <c r="BD919" s="1683"/>
      <c r="BE919" s="1682"/>
      <c r="BF919" s="907"/>
    </row>
    <row r="920" spans="1:58" ht="13" customHeight="1">
      <c r="A920" s="1496"/>
      <c r="B920" s="1496"/>
      <c r="C920" s="1496"/>
      <c r="D920" s="1496"/>
      <c r="E920" s="1496"/>
      <c r="F920" s="1496"/>
      <c r="G920" s="1496"/>
      <c r="H920" s="1496"/>
      <c r="I920" s="1496"/>
      <c r="J920" s="1496"/>
      <c r="K920" s="1496"/>
      <c r="L920" s="1496"/>
      <c r="M920" s="1496"/>
      <c r="N920" s="1496"/>
      <c r="O920" s="1496"/>
      <c r="P920" s="1496"/>
      <c r="Q920" s="1496"/>
      <c r="R920" s="1496"/>
      <c r="S920" s="1496"/>
      <c r="T920" s="1496"/>
      <c r="U920" s="1496"/>
      <c r="V920" s="1496"/>
      <c r="W920" s="1496"/>
      <c r="X920" s="1496"/>
      <c r="Y920" s="1496"/>
      <c r="Z920" s="1496"/>
      <c r="AA920" s="1496"/>
      <c r="AB920" s="1496"/>
      <c r="AC920" s="1496"/>
      <c r="AD920" s="1496"/>
      <c r="AE920" s="1496"/>
      <c r="AF920" s="1496"/>
      <c r="AG920" s="1496"/>
      <c r="AH920" s="1496"/>
      <c r="AI920" s="1496"/>
      <c r="AJ920" s="1496"/>
      <c r="AK920" s="1496"/>
      <c r="AL920" s="1496"/>
      <c r="AM920" s="1496"/>
      <c r="AN920" s="1496"/>
      <c r="AO920" s="1496"/>
      <c r="AP920" s="1496"/>
      <c r="AQ920" s="1496"/>
      <c r="AR920" s="1496"/>
      <c r="AS920" s="1496"/>
      <c r="AT920" s="1496"/>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30" t="s">
        <v>791</v>
      </c>
      <c r="G924" s="1731"/>
      <c r="H924" s="1731"/>
      <c r="I924" s="1731"/>
      <c r="J924" s="1731"/>
      <c r="K924" s="1731"/>
      <c r="L924" s="1731"/>
      <c r="M924" s="1731"/>
      <c r="N924" s="1731"/>
      <c r="O924" s="1731"/>
      <c r="P924" s="1731"/>
      <c r="Q924" s="1731"/>
      <c r="R924" s="1731"/>
      <c r="S924" s="1731"/>
      <c r="T924" s="1732"/>
      <c r="U924" s="1597" t="s">
        <v>31</v>
      </c>
      <c r="V924" s="1598"/>
      <c r="W924" s="1598"/>
      <c r="X924" s="1598"/>
      <c r="Y924" s="1598"/>
      <c r="Z924" s="1598"/>
      <c r="AA924" s="43"/>
      <c r="AB924" s="105"/>
      <c r="AC924" s="105"/>
      <c r="AD924" s="105"/>
      <c r="AE924" s="105"/>
      <c r="AF924" s="106"/>
      <c r="AZ924" s="34"/>
      <c r="BA924" s="34"/>
      <c r="BB924" s="34"/>
      <c r="BC924" s="34"/>
    </row>
    <row r="925" spans="1:58" ht="13" customHeight="1">
      <c r="B925" s="2"/>
      <c r="F925" s="1599" t="s">
        <v>817</v>
      </c>
      <c r="G925" s="1600"/>
      <c r="H925" s="1600"/>
      <c r="I925" s="1600"/>
      <c r="J925" s="1600"/>
      <c r="K925" s="1600"/>
      <c r="L925" s="1600"/>
      <c r="M925" s="1600"/>
      <c r="N925" s="1600"/>
      <c r="O925" s="1600"/>
      <c r="P925" s="1600"/>
      <c r="Q925" s="1600"/>
      <c r="R925" s="1600"/>
      <c r="S925" s="1600"/>
      <c r="T925" s="1665"/>
      <c r="U925" s="1599"/>
      <c r="V925" s="1600"/>
      <c r="W925" s="1600"/>
      <c r="X925" s="1600"/>
      <c r="Y925" s="1600"/>
      <c r="Z925" s="1600"/>
      <c r="AA925" s="44"/>
      <c r="AB925" s="4"/>
      <c r="AC925" s="4"/>
      <c r="AD925" s="4"/>
      <c r="AE925" s="4"/>
      <c r="AF925" s="107"/>
      <c r="AZ925" s="34"/>
      <c r="BA925" s="34"/>
      <c r="BB925" s="34"/>
      <c r="BC925" s="34"/>
    </row>
    <row r="926" spans="1:58" ht="13" customHeight="1">
      <c r="B926" s="2"/>
      <c r="F926" s="1601"/>
      <c r="G926" s="1602"/>
      <c r="H926" s="1602"/>
      <c r="I926" s="1602"/>
      <c r="J926" s="1602"/>
      <c r="K926" s="1602"/>
      <c r="L926" s="1602"/>
      <c r="M926" s="1602"/>
      <c r="N926" s="1602"/>
      <c r="O926" s="1602"/>
      <c r="P926" s="1602"/>
      <c r="Q926" s="1602"/>
      <c r="R926" s="1602"/>
      <c r="S926" s="1602"/>
      <c r="T926" s="1666"/>
      <c r="U926" s="1601"/>
      <c r="V926" s="1602"/>
      <c r="W926" s="1602"/>
      <c r="X926" s="1602"/>
      <c r="Y926" s="1602"/>
      <c r="Z926" s="1602"/>
      <c r="AA926" s="108"/>
      <c r="AB926" s="1477" t="s">
        <v>391</v>
      </c>
      <c r="AC926" s="1477"/>
      <c r="AD926" s="1477"/>
      <c r="AE926" s="1477"/>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376" t="s">
        <v>545</v>
      </c>
      <c r="V927" s="1377"/>
      <c r="W927" s="1377"/>
      <c r="X927" s="1377"/>
      <c r="Y927" s="1377"/>
      <c r="Z927" s="1378"/>
      <c r="AA927" s="1429">
        <f>SUM(AM562)</f>
        <v>21287300</v>
      </c>
      <c r="AB927" s="1430"/>
      <c r="AC927" s="1430"/>
      <c r="AD927" s="1430"/>
      <c r="AE927" s="1430"/>
      <c r="AF927" s="1431"/>
      <c r="AG927" s="1191" t="str">
        <f>IF(NOT(AA927=AW927),"!","")</f>
        <v/>
      </c>
      <c r="AH927" s="3"/>
      <c r="AW927" s="1342">
        <f>SUMIF($M$562:$M$573,"Loan, Tax-Exempt",$AM$562:$AM$573)</f>
        <v>21287300</v>
      </c>
      <c r="AX927" s="1342"/>
      <c r="AY927" s="1342"/>
      <c r="AZ927" s="3" t="s">
        <v>2536</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376" t="s">
        <v>591</v>
      </c>
      <c r="V928" s="1377"/>
      <c r="W928" s="1377"/>
      <c r="X928" s="1377"/>
      <c r="Y928" s="1377"/>
      <c r="Z928" s="1378"/>
      <c r="AA928" s="1429">
        <f>AM564</f>
        <v>29226330</v>
      </c>
      <c r="AB928" s="1430"/>
      <c r="AC928" s="1430"/>
      <c r="AD928" s="1430"/>
      <c r="AE928" s="1430"/>
      <c r="AF928" s="1431"/>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376" t="s">
        <v>591</v>
      </c>
      <c r="V929" s="1377"/>
      <c r="W929" s="1377"/>
      <c r="X929" s="1377"/>
      <c r="Y929" s="1377"/>
      <c r="Z929" s="1378"/>
      <c r="AA929" s="1429"/>
      <c r="AB929" s="1430"/>
      <c r="AC929" s="1430"/>
      <c r="AD929" s="1430"/>
      <c r="AE929" s="1430"/>
      <c r="AF929" s="1431"/>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376" t="s">
        <v>591</v>
      </c>
      <c r="V930" s="1377"/>
      <c r="W930" s="1377"/>
      <c r="X930" s="1377"/>
      <c r="Y930" s="1377"/>
      <c r="Z930" s="1378"/>
      <c r="AA930" s="1429"/>
      <c r="AB930" s="1430"/>
      <c r="AC930" s="1430"/>
      <c r="AD930" s="1430"/>
      <c r="AE930" s="1430"/>
      <c r="AF930" s="1431"/>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376" t="s">
        <v>591</v>
      </c>
      <c r="V931" s="1377"/>
      <c r="W931" s="1377"/>
      <c r="X931" s="1377"/>
      <c r="Y931" s="1377"/>
      <c r="Z931" s="1378"/>
      <c r="AA931" s="1429"/>
      <c r="AB931" s="1430"/>
      <c r="AC931" s="1430"/>
      <c r="AD931" s="1430"/>
      <c r="AE931" s="1430"/>
      <c r="AF931" s="1431"/>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376" t="s">
        <v>591</v>
      </c>
      <c r="V932" s="1377"/>
      <c r="W932" s="1377"/>
      <c r="X932" s="1377"/>
      <c r="Y932" s="1377"/>
      <c r="Z932" s="1378"/>
      <c r="AA932" s="1429"/>
      <c r="AB932" s="1430"/>
      <c r="AC932" s="1430"/>
      <c r="AD932" s="1430"/>
      <c r="AE932" s="1430"/>
      <c r="AF932" s="1431"/>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376" t="s">
        <v>591</v>
      </c>
      <c r="V933" s="1377"/>
      <c r="W933" s="1377"/>
      <c r="X933" s="1377"/>
      <c r="Y933" s="1377"/>
      <c r="Z933" s="1378"/>
      <c r="AA933" s="1429"/>
      <c r="AB933" s="1430"/>
      <c r="AC933" s="1430"/>
      <c r="AD933" s="1430"/>
      <c r="AE933" s="1430"/>
      <c r="AF933" s="1431"/>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376" t="s">
        <v>591</v>
      </c>
      <c r="V934" s="1377"/>
      <c r="W934" s="1377"/>
      <c r="X934" s="1377"/>
      <c r="Y934" s="1377"/>
      <c r="Z934" s="1378"/>
      <c r="AA934" s="1429"/>
      <c r="AB934" s="1430"/>
      <c r="AC934" s="1430"/>
      <c r="AD934" s="1430"/>
      <c r="AE934" s="1430"/>
      <c r="AF934" s="1431"/>
      <c r="AZ934" s="34"/>
      <c r="BA934" s="34"/>
      <c r="BB934" s="34"/>
      <c r="BC934" s="34"/>
    </row>
    <row r="935" spans="6:55" ht="13" customHeight="1">
      <c r="F935" s="1643" t="s">
        <v>2145</v>
      </c>
      <c r="G935" s="1644"/>
      <c r="H935" s="1644"/>
      <c r="I935" s="1644"/>
      <c r="J935" s="1644"/>
      <c r="K935" s="1644"/>
      <c r="L935" s="1644"/>
      <c r="M935" s="1644"/>
      <c r="N935" s="1644"/>
      <c r="O935" s="1644"/>
      <c r="P935" s="1644"/>
      <c r="Q935" s="1644"/>
      <c r="R935" s="1644"/>
      <c r="S935" s="1644"/>
      <c r="T935" s="1645"/>
      <c r="U935" s="1376" t="s">
        <v>591</v>
      </c>
      <c r="V935" s="1377"/>
      <c r="W935" s="1377"/>
      <c r="X935" s="1377"/>
      <c r="Y935" s="1377"/>
      <c r="Z935" s="1378"/>
      <c r="AA935" s="1429"/>
      <c r="AB935" s="1430"/>
      <c r="AC935" s="1430"/>
      <c r="AD935" s="1430"/>
      <c r="AE935" s="1430"/>
      <c r="AF935" s="1431"/>
      <c r="AZ935" s="34"/>
      <c r="BA935" s="34"/>
      <c r="BB935" s="34"/>
      <c r="BC935" s="34"/>
    </row>
    <row r="936" spans="6:55" ht="13" customHeight="1">
      <c r="F936" s="1643" t="s">
        <v>678</v>
      </c>
      <c r="G936" s="1644"/>
      <c r="H936" s="1644"/>
      <c r="I936" s="1644"/>
      <c r="J936" s="1644"/>
      <c r="K936" s="1644"/>
      <c r="L936" s="1644"/>
      <c r="M936" s="1644"/>
      <c r="N936" s="1644"/>
      <c r="O936" s="1644"/>
      <c r="P936" s="1644"/>
      <c r="Q936" s="1644"/>
      <c r="R936" s="1644"/>
      <c r="S936" s="1644"/>
      <c r="T936" s="1645"/>
      <c r="U936" s="1376" t="s">
        <v>591</v>
      </c>
      <c r="V936" s="1377"/>
      <c r="W936" s="1377"/>
      <c r="X936" s="1377"/>
      <c r="Y936" s="1377"/>
      <c r="Z936" s="1378"/>
      <c r="AA936" s="1429"/>
      <c r="AB936" s="1430"/>
      <c r="AC936" s="1430"/>
      <c r="AD936" s="1430"/>
      <c r="AE936" s="1430"/>
      <c r="AF936" s="1431"/>
      <c r="AU936" s="2"/>
      <c r="AZ936" s="34"/>
      <c r="BA936" s="34"/>
      <c r="BB936" s="34"/>
      <c r="BC936" s="34"/>
    </row>
    <row r="937" spans="6:55" ht="13" customHeight="1">
      <c r="F937" s="1643" t="s">
        <v>2146</v>
      </c>
      <c r="G937" s="1644"/>
      <c r="H937" s="1644"/>
      <c r="I937" s="1644"/>
      <c r="J937" s="1644"/>
      <c r="K937" s="1644"/>
      <c r="L937" s="1644"/>
      <c r="M937" s="1644"/>
      <c r="N937" s="1644"/>
      <c r="O937" s="1644"/>
      <c r="P937" s="1644"/>
      <c r="Q937" s="1644"/>
      <c r="R937" s="1644"/>
      <c r="S937" s="1644"/>
      <c r="T937" s="1645"/>
      <c r="U937" s="1376" t="s">
        <v>591</v>
      </c>
      <c r="V937" s="1377"/>
      <c r="W937" s="1377"/>
      <c r="X937" s="1377"/>
      <c r="Y937" s="1377"/>
      <c r="Z937" s="1378"/>
      <c r="AA937" s="1429"/>
      <c r="AB937" s="1430"/>
      <c r="AC937" s="1430"/>
      <c r="AD937" s="1430"/>
      <c r="AE937" s="1430"/>
      <c r="AF937" s="1431"/>
      <c r="AU937" s="2"/>
      <c r="AZ937" s="34"/>
      <c r="BA937" s="34"/>
      <c r="BB937" s="34"/>
      <c r="BC937" s="34"/>
    </row>
    <row r="938" spans="6:55" ht="13" customHeight="1">
      <c r="F938" s="1643" t="s">
        <v>2147</v>
      </c>
      <c r="G938" s="1644"/>
      <c r="H938" s="1644"/>
      <c r="I938" s="1644"/>
      <c r="J938" s="1644"/>
      <c r="K938" s="1644"/>
      <c r="L938" s="1644"/>
      <c r="M938" s="1644"/>
      <c r="N938" s="1644"/>
      <c r="O938" s="1644"/>
      <c r="P938" s="1644"/>
      <c r="Q938" s="1644"/>
      <c r="R938" s="1644"/>
      <c r="S938" s="1644"/>
      <c r="T938" s="1645"/>
      <c r="U938" s="1376" t="s">
        <v>591</v>
      </c>
      <c r="V938" s="1377"/>
      <c r="W938" s="1377"/>
      <c r="X938" s="1377"/>
      <c r="Y938" s="1377"/>
      <c r="Z938" s="1378"/>
      <c r="AA938" s="1429"/>
      <c r="AB938" s="1430"/>
      <c r="AC938" s="1430"/>
      <c r="AD938" s="1430"/>
      <c r="AE938" s="1430"/>
      <c r="AF938" s="1431"/>
      <c r="AU938" s="2"/>
      <c r="AZ938" s="34"/>
      <c r="BA938" s="34"/>
      <c r="BB938" s="34"/>
      <c r="BC938" s="34"/>
    </row>
    <row r="939" spans="6:55" ht="13" customHeight="1">
      <c r="F939" s="1643" t="s">
        <v>2148</v>
      </c>
      <c r="G939" s="1644"/>
      <c r="H939" s="1644"/>
      <c r="I939" s="1644"/>
      <c r="J939" s="1644"/>
      <c r="K939" s="1644"/>
      <c r="L939" s="1644"/>
      <c r="M939" s="1644"/>
      <c r="N939" s="1644"/>
      <c r="O939" s="1644"/>
      <c r="P939" s="1644"/>
      <c r="Q939" s="1644"/>
      <c r="R939" s="1644"/>
      <c r="S939" s="1644"/>
      <c r="T939" s="1645"/>
      <c r="U939" s="1376" t="s">
        <v>591</v>
      </c>
      <c r="V939" s="1377"/>
      <c r="W939" s="1377"/>
      <c r="X939" s="1377"/>
      <c r="Y939" s="1377"/>
      <c r="Z939" s="1378"/>
      <c r="AA939" s="1429"/>
      <c r="AB939" s="1430"/>
      <c r="AC939" s="1430"/>
      <c r="AD939" s="1430"/>
      <c r="AE939" s="1430"/>
      <c r="AF939" s="1431"/>
      <c r="AU939" s="2"/>
      <c r="AZ939" s="34"/>
      <c r="BA939" s="34"/>
      <c r="BB939" s="34"/>
      <c r="BC939" s="34"/>
    </row>
    <row r="940" spans="6:55" ht="13" customHeight="1">
      <c r="F940" s="1643" t="s">
        <v>2149</v>
      </c>
      <c r="G940" s="1644"/>
      <c r="H940" s="1644"/>
      <c r="I940" s="1644"/>
      <c r="J940" s="1644"/>
      <c r="K940" s="1644"/>
      <c r="L940" s="1644"/>
      <c r="M940" s="1644"/>
      <c r="N940" s="1644"/>
      <c r="O940" s="1644"/>
      <c r="P940" s="1644"/>
      <c r="Q940" s="1644"/>
      <c r="R940" s="1644"/>
      <c r="S940" s="1644"/>
      <c r="T940" s="1645"/>
      <c r="U940" s="1376" t="s">
        <v>591</v>
      </c>
      <c r="V940" s="1377"/>
      <c r="W940" s="1377"/>
      <c r="X940" s="1377"/>
      <c r="Y940" s="1377"/>
      <c r="Z940" s="1378"/>
      <c r="AA940" s="1429"/>
      <c r="AB940" s="1430"/>
      <c r="AC940" s="1430"/>
      <c r="AD940" s="1430"/>
      <c r="AE940" s="1430"/>
      <c r="AF940" s="1431"/>
      <c r="AU940" s="2"/>
      <c r="AZ940" s="34"/>
      <c r="BA940" s="34"/>
      <c r="BB940" s="34"/>
      <c r="BC940" s="34"/>
    </row>
    <row r="941" spans="6:55" ht="13" customHeight="1">
      <c r="F941" s="1643" t="s">
        <v>2150</v>
      </c>
      <c r="G941" s="1644"/>
      <c r="H941" s="1644"/>
      <c r="I941" s="1644"/>
      <c r="J941" s="1644"/>
      <c r="K941" s="1644"/>
      <c r="L941" s="1644"/>
      <c r="M941" s="1644"/>
      <c r="N941" s="1644"/>
      <c r="O941" s="1644"/>
      <c r="P941" s="1644"/>
      <c r="Q941" s="1644"/>
      <c r="R941" s="1644"/>
      <c r="S941" s="1644"/>
      <c r="T941" s="1645"/>
      <c r="U941" s="1376" t="s">
        <v>591</v>
      </c>
      <c r="V941" s="1377"/>
      <c r="W941" s="1377"/>
      <c r="X941" s="1377"/>
      <c r="Y941" s="1377"/>
      <c r="Z941" s="1378"/>
      <c r="AA941" s="1429"/>
      <c r="AB941" s="1430"/>
      <c r="AC941" s="1430"/>
      <c r="AD941" s="1430"/>
      <c r="AE941" s="1430"/>
      <c r="AF941" s="1431"/>
      <c r="AZ941" s="30"/>
      <c r="BA941" s="30"/>
    </row>
    <row r="942" spans="6:55" ht="13" customHeight="1">
      <c r="F942" s="178" t="s">
        <v>675</v>
      </c>
      <c r="G942" s="5"/>
      <c r="H942" s="5"/>
      <c r="I942" s="5"/>
      <c r="J942" s="5"/>
      <c r="K942" s="5"/>
      <c r="L942" s="5"/>
      <c r="M942" s="5"/>
      <c r="N942" s="5"/>
      <c r="O942" s="5"/>
      <c r="P942" s="5"/>
      <c r="Q942" s="5"/>
      <c r="R942" s="5"/>
      <c r="S942" s="5"/>
      <c r="T942" s="46"/>
      <c r="U942" s="1376" t="s">
        <v>591</v>
      </c>
      <c r="V942" s="1377"/>
      <c r="W942" s="1377"/>
      <c r="X942" s="1377"/>
      <c r="Y942" s="1377"/>
      <c r="Z942" s="1378"/>
      <c r="AA942" s="1429"/>
      <c r="AB942" s="1430"/>
      <c r="AC942" s="1430"/>
      <c r="AD942" s="1430"/>
      <c r="AE942" s="1430"/>
      <c r="AF942" s="1431"/>
    </row>
    <row r="943" spans="6:55" ht="13" customHeight="1">
      <c r="F943" s="121" t="s">
        <v>1276</v>
      </c>
      <c r="G943" s="5"/>
      <c r="H943" s="5"/>
      <c r="I943" s="5"/>
      <c r="J943" s="5"/>
      <c r="K943" s="5"/>
      <c r="L943" s="5"/>
      <c r="M943" s="5"/>
      <c r="N943" s="5"/>
      <c r="O943" s="5"/>
      <c r="P943" s="5"/>
      <c r="Q943" s="5"/>
      <c r="R943" s="5"/>
      <c r="S943" s="5"/>
      <c r="T943" s="46"/>
      <c r="U943" s="1376" t="s">
        <v>591</v>
      </c>
      <c r="V943" s="1377"/>
      <c r="W943" s="1377"/>
      <c r="X943" s="1377"/>
      <c r="Y943" s="1377"/>
      <c r="Z943" s="1378"/>
      <c r="AA943" s="1429"/>
      <c r="AB943" s="1430"/>
      <c r="AC943" s="1430"/>
      <c r="AD943" s="1430"/>
      <c r="AE943" s="1430"/>
      <c r="AF943" s="1431"/>
      <c r="AZ943" s="30"/>
      <c r="BA943" s="14"/>
    </row>
    <row r="944" spans="6:55" ht="13" customHeight="1">
      <c r="F944" s="66" t="s">
        <v>801</v>
      </c>
      <c r="G944" s="5"/>
      <c r="H944" s="5"/>
      <c r="I944" s="5"/>
      <c r="J944" s="5"/>
      <c r="K944" s="5"/>
      <c r="L944" s="5"/>
      <c r="M944" s="5"/>
      <c r="N944" s="5"/>
      <c r="O944" s="5"/>
      <c r="P944" s="5"/>
      <c r="Q944" s="5"/>
      <c r="R944" s="5"/>
      <c r="S944" s="5"/>
      <c r="T944" s="46"/>
      <c r="U944" s="1376" t="s">
        <v>591</v>
      </c>
      <c r="V944" s="1377"/>
      <c r="W944" s="1377"/>
      <c r="X944" s="1377"/>
      <c r="Y944" s="1377"/>
      <c r="Z944" s="1378"/>
      <c r="AA944" s="1429"/>
      <c r="AB944" s="1430"/>
      <c r="AC944" s="1430"/>
      <c r="AD944" s="1430"/>
      <c r="AE944" s="1430"/>
      <c r="AF944" s="1431"/>
      <c r="AZ944" s="30"/>
      <c r="BA944" s="14"/>
    </row>
    <row r="945" spans="6:55" ht="13" customHeight="1">
      <c r="F945" s="1653" t="s">
        <v>2154</v>
      </c>
      <c r="G945" s="1654"/>
      <c r="H945" s="1654"/>
      <c r="I945" s="1654"/>
      <c r="J945" s="1654"/>
      <c r="K945" s="1654"/>
      <c r="L945" s="1654"/>
      <c r="M945" s="1654"/>
      <c r="N945" s="1654"/>
      <c r="O945" s="1654"/>
      <c r="P945" s="1654"/>
      <c r="Q945" s="1654"/>
      <c r="R945" s="1654"/>
      <c r="S945" s="1654"/>
      <c r="T945" s="1655"/>
      <c r="U945" s="1376" t="s">
        <v>591</v>
      </c>
      <c r="V945" s="1377"/>
      <c r="W945" s="1377"/>
      <c r="X945" s="1377"/>
      <c r="Y945" s="1377"/>
      <c r="Z945" s="1378"/>
      <c r="AA945" s="1429"/>
      <c r="AB945" s="1430"/>
      <c r="AC945" s="1430"/>
      <c r="AD945" s="1430"/>
      <c r="AE945" s="1430"/>
      <c r="AF945" s="1431"/>
      <c r="AZ945" s="30"/>
      <c r="BA945" s="14"/>
    </row>
    <row r="946" spans="6:55" ht="13" customHeight="1">
      <c r="F946" s="1653" t="s">
        <v>2155</v>
      </c>
      <c r="G946" s="1654"/>
      <c r="H946" s="1654"/>
      <c r="I946" s="1654"/>
      <c r="J946" s="1654"/>
      <c r="K946" s="1654"/>
      <c r="L946" s="1654"/>
      <c r="M946" s="1654"/>
      <c r="N946" s="1654"/>
      <c r="O946" s="1654"/>
      <c r="P946" s="1654"/>
      <c r="Q946" s="1654"/>
      <c r="R946" s="1654"/>
      <c r="S946" s="1654"/>
      <c r="T946" s="1655"/>
      <c r="U946" s="1376" t="s">
        <v>591</v>
      </c>
      <c r="V946" s="1377"/>
      <c r="W946" s="1377"/>
      <c r="X946" s="1377"/>
      <c r="Y946" s="1377"/>
      <c r="Z946" s="1378"/>
      <c r="AA946" s="1429"/>
      <c r="AB946" s="1430"/>
      <c r="AC946" s="1430"/>
      <c r="AD946" s="1430"/>
      <c r="AE946" s="1430"/>
      <c r="AF946" s="1431"/>
      <c r="AZ946" s="30"/>
      <c r="BA946" s="30"/>
    </row>
    <row r="947" spans="6:55" ht="13" customHeight="1">
      <c r="F947" s="1643" t="s">
        <v>2151</v>
      </c>
      <c r="G947" s="1644"/>
      <c r="H947" s="1644"/>
      <c r="I947" s="1644"/>
      <c r="J947" s="1644"/>
      <c r="K947" s="1644"/>
      <c r="L947" s="1644"/>
      <c r="M947" s="1644"/>
      <c r="N947" s="1644"/>
      <c r="O947" s="1644"/>
      <c r="P947" s="1644"/>
      <c r="Q947" s="1644"/>
      <c r="R947" s="1644"/>
      <c r="S947" s="1644"/>
      <c r="T947" s="1645"/>
      <c r="U947" s="1376" t="s">
        <v>591</v>
      </c>
      <c r="V947" s="1377"/>
      <c r="W947" s="1377"/>
      <c r="X947" s="1377"/>
      <c r="Y947" s="1377"/>
      <c r="Z947" s="1378"/>
      <c r="AA947" s="1429"/>
      <c r="AB947" s="1430"/>
      <c r="AC947" s="1430"/>
      <c r="AD947" s="1430"/>
      <c r="AE947" s="1430"/>
      <c r="AF947" s="1431"/>
      <c r="AZ947" s="30"/>
      <c r="BA947" s="30"/>
    </row>
    <row r="948" spans="6:55" ht="13" customHeight="1">
      <c r="F948" s="1643" t="s">
        <v>2152</v>
      </c>
      <c r="G948" s="1644"/>
      <c r="H948" s="1644"/>
      <c r="I948" s="1644"/>
      <c r="J948" s="1644"/>
      <c r="K948" s="1644"/>
      <c r="L948" s="1644"/>
      <c r="M948" s="1644"/>
      <c r="N948" s="1644"/>
      <c r="O948" s="1644"/>
      <c r="P948" s="1644"/>
      <c r="Q948" s="1644"/>
      <c r="R948" s="1644"/>
      <c r="S948" s="1644"/>
      <c r="T948" s="1645"/>
      <c r="U948" s="1376" t="s">
        <v>591</v>
      </c>
      <c r="V948" s="1377"/>
      <c r="W948" s="1377"/>
      <c r="X948" s="1377"/>
      <c r="Y948" s="1377"/>
      <c r="Z948" s="1378"/>
      <c r="AA948" s="1429"/>
      <c r="AB948" s="1430"/>
      <c r="AC948" s="1430"/>
      <c r="AD948" s="1430"/>
      <c r="AE948" s="1430"/>
      <c r="AF948" s="1431"/>
      <c r="AZ948" s="30"/>
      <c r="BA948" s="30"/>
    </row>
    <row r="949" spans="6:55" ht="13" customHeight="1">
      <c r="F949" s="1643" t="s">
        <v>2153</v>
      </c>
      <c r="G949" s="1644"/>
      <c r="H949" s="1644"/>
      <c r="I949" s="1644"/>
      <c r="J949" s="1644"/>
      <c r="K949" s="1644"/>
      <c r="L949" s="1644"/>
      <c r="M949" s="1644"/>
      <c r="N949" s="1644"/>
      <c r="O949" s="1644"/>
      <c r="P949" s="1644"/>
      <c r="Q949" s="1644"/>
      <c r="R949" s="1644"/>
      <c r="S949" s="1644"/>
      <c r="T949" s="1645"/>
      <c r="U949" s="1376" t="s">
        <v>591</v>
      </c>
      <c r="V949" s="1377"/>
      <c r="W949" s="1377"/>
      <c r="X949" s="1377"/>
      <c r="Y949" s="1377"/>
      <c r="Z949" s="1378"/>
      <c r="AA949" s="1429"/>
      <c r="AB949" s="1430"/>
      <c r="AC949" s="1430"/>
      <c r="AD949" s="1430"/>
      <c r="AE949" s="1430"/>
      <c r="AF949" s="1431"/>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376" t="s">
        <v>591</v>
      </c>
      <c r="V950" s="1377"/>
      <c r="W950" s="1377"/>
      <c r="X950" s="1377"/>
      <c r="Y950" s="1377"/>
      <c r="Z950" s="1378"/>
      <c r="AA950" s="1429"/>
      <c r="AB950" s="1430"/>
      <c r="AC950" s="1430"/>
      <c r="AD950" s="1430"/>
      <c r="AE950" s="1430"/>
      <c r="AF950" s="1431"/>
      <c r="AZ950" s="34"/>
      <c r="BA950" s="34"/>
      <c r="BB950" s="14"/>
      <c r="BC950" s="14"/>
    </row>
    <row r="951" spans="6:55" ht="13" customHeight="1">
      <c r="F951" s="1653" t="s">
        <v>2156</v>
      </c>
      <c r="G951" s="1654"/>
      <c r="H951" s="1654"/>
      <c r="I951" s="1654"/>
      <c r="J951" s="1654"/>
      <c r="K951" s="1654"/>
      <c r="L951" s="1654"/>
      <c r="M951" s="1654"/>
      <c r="N951" s="1654"/>
      <c r="O951" s="1654"/>
      <c r="P951" s="1654"/>
      <c r="Q951" s="1654"/>
      <c r="R951" s="1654"/>
      <c r="S951" s="1654"/>
      <c r="T951" s="1655"/>
      <c r="U951" s="1376" t="s">
        <v>591</v>
      </c>
      <c r="V951" s="1377"/>
      <c r="W951" s="1377"/>
      <c r="X951" s="1377"/>
      <c r="Y951" s="1377"/>
      <c r="Z951" s="1378"/>
      <c r="AA951" s="1429"/>
      <c r="AB951" s="1430"/>
      <c r="AC951" s="1430"/>
      <c r="AD951" s="1430"/>
      <c r="AE951" s="1430"/>
      <c r="AF951" s="1431"/>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376" t="s">
        <v>591</v>
      </c>
      <c r="V952" s="1377"/>
      <c r="W952" s="1377"/>
      <c r="X952" s="1377"/>
      <c r="Y952" s="1377"/>
      <c r="Z952" s="1378"/>
      <c r="AA952" s="1429"/>
      <c r="AB952" s="1430"/>
      <c r="AC952" s="1430"/>
      <c r="AD952" s="1430"/>
      <c r="AE952" s="1430"/>
      <c r="AF952" s="1431"/>
      <c r="AZ952" s="34"/>
      <c r="BA952" s="34"/>
      <c r="BB952" s="34"/>
      <c r="BC952" s="34"/>
    </row>
    <row r="953" spans="6:55" ht="13" customHeight="1">
      <c r="F953" s="1653" t="s">
        <v>2157</v>
      </c>
      <c r="G953" s="1654"/>
      <c r="H953" s="1654"/>
      <c r="I953" s="1654"/>
      <c r="J953" s="1654"/>
      <c r="K953" s="1654"/>
      <c r="L953" s="1654"/>
      <c r="M953" s="1654"/>
      <c r="N953" s="1654"/>
      <c r="O953" s="1654"/>
      <c r="P953" s="1654"/>
      <c r="Q953" s="1654"/>
      <c r="R953" s="1654"/>
      <c r="S953" s="1654"/>
      <c r="T953" s="1655"/>
      <c r="U953" s="1376" t="s">
        <v>591</v>
      </c>
      <c r="V953" s="1377"/>
      <c r="W953" s="1377"/>
      <c r="X953" s="1377"/>
      <c r="Y953" s="1377"/>
      <c r="Z953" s="1378"/>
      <c r="AA953" s="1429"/>
      <c r="AB953" s="1430"/>
      <c r="AC953" s="1430"/>
      <c r="AD953" s="1430"/>
      <c r="AE953" s="1430"/>
      <c r="AF953" s="1431"/>
      <c r="AZ953" s="34"/>
      <c r="BA953" s="34"/>
      <c r="BB953" s="34"/>
      <c r="BC953" s="34"/>
    </row>
    <row r="954" spans="6:55" ht="13" customHeight="1">
      <c r="F954" s="45" t="s">
        <v>805</v>
      </c>
      <c r="G954" s="5"/>
      <c r="H954" s="5"/>
      <c r="I954" s="5"/>
      <c r="J954" s="5"/>
      <c r="K954" s="5"/>
      <c r="L954" s="5"/>
      <c r="M954" s="5"/>
      <c r="N954" s="5"/>
      <c r="O954" s="5"/>
      <c r="P954" s="1376" t="s">
        <v>668</v>
      </c>
      <c r="Q954" s="1377"/>
      <c r="R954" s="1377"/>
      <c r="S954" s="1377"/>
      <c r="T954" s="1378"/>
      <c r="U954" s="1376" t="s">
        <v>591</v>
      </c>
      <c r="V954" s="1377"/>
      <c r="W954" s="1377"/>
      <c r="X954" s="1377"/>
      <c r="Y954" s="1377"/>
      <c r="Z954" s="1378"/>
      <c r="AA954" s="1429"/>
      <c r="AB954" s="1430"/>
      <c r="AC954" s="1430"/>
      <c r="AD954" s="1430"/>
      <c r="AE954" s="1430"/>
      <c r="AF954" s="1431"/>
      <c r="AZ954" s="34"/>
      <c r="BA954" s="34"/>
      <c r="BB954" s="34"/>
      <c r="BC954" s="34"/>
    </row>
    <row r="955" spans="6:55" ht="13" customHeight="1">
      <c r="F955" s="1643" t="s">
        <v>2144</v>
      </c>
      <c r="G955" s="1644"/>
      <c r="H955" s="1645"/>
      <c r="I955" s="1658" t="s">
        <v>2717</v>
      </c>
      <c r="J955" s="1659"/>
      <c r="K955" s="1659"/>
      <c r="L955" s="1659"/>
      <c r="M955" s="1659"/>
      <c r="N955" s="1659"/>
      <c r="O955" s="1659"/>
      <c r="P955" s="1659"/>
      <c r="Q955" s="1659"/>
      <c r="R955" s="1659"/>
      <c r="S955" s="1659"/>
      <c r="T955" s="1660"/>
      <c r="U955" s="1376" t="s">
        <v>545</v>
      </c>
      <c r="V955" s="1377"/>
      <c r="W955" s="1377"/>
      <c r="X955" s="1377"/>
      <c r="Y955" s="1377"/>
      <c r="Z955" s="1378"/>
      <c r="AA955" s="1429">
        <v>29652725</v>
      </c>
      <c r="AB955" s="1430"/>
      <c r="AC955" s="1430"/>
      <c r="AD955" s="1430"/>
      <c r="AE955" s="1430"/>
      <c r="AF955" s="1431"/>
      <c r="AZ955" s="34"/>
      <c r="BA955" s="34"/>
      <c r="BB955" s="34"/>
      <c r="BC955" s="34"/>
    </row>
    <row r="956" spans="6:55" ht="13" customHeight="1">
      <c r="F956" s="45" t="s">
        <v>86</v>
      </c>
      <c r="G956" s="48"/>
      <c r="H956" s="48"/>
      <c r="I956" s="1658" t="s">
        <v>2718</v>
      </c>
      <c r="J956" s="1659"/>
      <c r="K956" s="1659"/>
      <c r="L956" s="1659"/>
      <c r="M956" s="1659"/>
      <c r="N956" s="1659"/>
      <c r="O956" s="1659"/>
      <c r="P956" s="1659"/>
      <c r="Q956" s="1659"/>
      <c r="R956" s="1659"/>
      <c r="S956" s="1659"/>
      <c r="T956" s="1660"/>
      <c r="U956" s="1376" t="s">
        <v>545</v>
      </c>
      <c r="V956" s="1377"/>
      <c r="W956" s="1377"/>
      <c r="X956" s="1377"/>
      <c r="Y956" s="1377"/>
      <c r="Z956" s="1378"/>
      <c r="AA956" s="1429">
        <v>11125000</v>
      </c>
      <c r="AB956" s="1430"/>
      <c r="AC956" s="1430"/>
      <c r="AD956" s="1430"/>
      <c r="AE956" s="1430"/>
      <c r="AF956" s="1431"/>
      <c r="AZ956" s="34"/>
      <c r="BA956" s="34"/>
      <c r="BB956" s="34"/>
      <c r="BC956" s="34"/>
    </row>
    <row r="957" spans="6:55" ht="13" customHeight="1">
      <c r="F957" s="45" t="s">
        <v>10</v>
      </c>
      <c r="G957" s="48"/>
      <c r="H957" s="48"/>
      <c r="I957" s="1407" t="s">
        <v>334</v>
      </c>
      <c r="J957" s="1408"/>
      <c r="K957" s="1408"/>
      <c r="L957" s="1408"/>
      <c r="M957" s="1408"/>
      <c r="N957" s="1408"/>
      <c r="O957" s="1408"/>
      <c r="P957" s="1408"/>
      <c r="Q957" s="1408"/>
      <c r="R957" s="1408"/>
      <c r="S957" s="1408"/>
      <c r="T957" s="1409"/>
      <c r="U957" s="1376" t="s">
        <v>591</v>
      </c>
      <c r="V957" s="1377"/>
      <c r="W957" s="1377"/>
      <c r="X957" s="1377"/>
      <c r="Y957" s="1377"/>
      <c r="Z957" s="1378"/>
      <c r="AA957" s="1429"/>
      <c r="AB957" s="1430"/>
      <c r="AC957" s="1430"/>
      <c r="AD957" s="1430"/>
      <c r="AE957" s="1430"/>
      <c r="AF957" s="1431"/>
      <c r="AV957" s="2"/>
      <c r="AW957" s="2"/>
      <c r="AX957" s="2"/>
      <c r="AY957" s="2"/>
      <c r="AZ957" s="34"/>
      <c r="BA957" s="34"/>
      <c r="BB957" s="34"/>
      <c r="BC957" s="34"/>
    </row>
    <row r="958" spans="6:55" ht="13" customHeight="1">
      <c r="F958" s="47" t="s">
        <v>170</v>
      </c>
      <c r="G958" s="48"/>
      <c r="H958" s="48"/>
      <c r="I958" s="1658" t="s">
        <v>2749</v>
      </c>
      <c r="J958" s="1408"/>
      <c r="K958" s="1408"/>
      <c r="L958" s="1408"/>
      <c r="M958" s="1408"/>
      <c r="N958" s="1408"/>
      <c r="O958" s="1408"/>
      <c r="P958" s="1408"/>
      <c r="Q958" s="1408"/>
      <c r="R958" s="1408"/>
      <c r="S958" s="1408"/>
      <c r="T958" s="1409"/>
      <c r="U958" s="1376" t="s">
        <v>545</v>
      </c>
      <c r="V958" s="1377"/>
      <c r="W958" s="1377"/>
      <c r="X958" s="1377"/>
      <c r="Y958" s="1377"/>
      <c r="Z958" s="1378"/>
      <c r="AA958" s="1429">
        <f>AM563</f>
        <v>7702700</v>
      </c>
      <c r="AB958" s="1430"/>
      <c r="AC958" s="1430"/>
      <c r="AD958" s="1430"/>
      <c r="AE958" s="1430"/>
      <c r="AF958" s="1431"/>
      <c r="AU958" s="2"/>
      <c r="AZ958" s="34"/>
      <c r="BA958" s="34"/>
      <c r="BB958" s="34"/>
      <c r="BC958" s="34"/>
    </row>
    <row r="959" spans="6:55" ht="13" customHeight="1">
      <c r="F959" s="47" t="s">
        <v>170</v>
      </c>
      <c r="G959" s="48"/>
      <c r="H959" s="48"/>
      <c r="I959" s="1407" t="s">
        <v>334</v>
      </c>
      <c r="J959" s="1408"/>
      <c r="K959" s="1408"/>
      <c r="L959" s="1408"/>
      <c r="M959" s="1408"/>
      <c r="N959" s="1408"/>
      <c r="O959" s="1408"/>
      <c r="P959" s="1408"/>
      <c r="Q959" s="1408"/>
      <c r="R959" s="1408"/>
      <c r="S959" s="1408"/>
      <c r="T959" s="1409"/>
      <c r="U959" s="1376" t="s">
        <v>591</v>
      </c>
      <c r="V959" s="1377"/>
      <c r="W959" s="1377"/>
      <c r="X959" s="1377"/>
      <c r="Y959" s="1377"/>
      <c r="Z959" s="1378"/>
      <c r="AA959" s="1429"/>
      <c r="AB959" s="1430"/>
      <c r="AC959" s="1430"/>
      <c r="AD959" s="1430"/>
      <c r="AE959" s="1430"/>
      <c r="AF959" s="1431"/>
      <c r="AU959" s="2"/>
      <c r="AZ959" s="34"/>
      <c r="BA959" s="34"/>
      <c r="BB959" s="34"/>
      <c r="BC959" s="34"/>
    </row>
    <row r="960" spans="6:55" ht="13" customHeight="1">
      <c r="AU960" s="2"/>
      <c r="AZ960" s="34"/>
      <c r="BA960" s="34"/>
      <c r="BB960" s="34"/>
      <c r="BC960" s="34"/>
    </row>
    <row r="961" spans="1:64" ht="13" customHeight="1">
      <c r="A961" s="2" t="s">
        <v>576</v>
      </c>
      <c r="C961" s="2" t="s">
        <v>750</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0"/>
      <c r="N964" s="1621"/>
      <c r="O964" s="1621"/>
      <c r="P964" s="1621"/>
      <c r="Q964" s="1621"/>
      <c r="R964" s="1621"/>
      <c r="S964" s="1622"/>
      <c r="U964" s="66" t="s">
        <v>11</v>
      </c>
      <c r="V964" s="5"/>
      <c r="W964" s="5"/>
      <c r="X964" s="5"/>
      <c r="Y964" s="5"/>
      <c r="Z964" s="5"/>
      <c r="AA964" s="5"/>
      <c r="AB964" s="5"/>
      <c r="AC964" s="5"/>
      <c r="AD964" s="46"/>
      <c r="AE964" s="1620"/>
      <c r="AF964" s="1621"/>
      <c r="AG964" s="1621"/>
      <c r="AH964" s="1621"/>
      <c r="AI964" s="1621"/>
      <c r="AJ964" s="1621"/>
      <c r="AK964" s="1622"/>
      <c r="AZ964" s="34"/>
      <c r="BA964" s="34"/>
      <c r="BB964" s="34"/>
      <c r="BC964" s="34"/>
    </row>
    <row r="965" spans="1:64" ht="13" customHeight="1">
      <c r="C965" s="66" t="s">
        <v>12</v>
      </c>
      <c r="D965" s="5"/>
      <c r="E965" s="5"/>
      <c r="F965" s="5"/>
      <c r="G965" s="5"/>
      <c r="H965" s="5"/>
      <c r="I965" s="5"/>
      <c r="J965" s="5"/>
      <c r="K965" s="5"/>
      <c r="L965" s="46"/>
      <c r="M965" s="1382"/>
      <c r="N965" s="1383"/>
      <c r="O965" s="1383"/>
      <c r="P965" s="1383"/>
      <c r="Q965" s="1383"/>
      <c r="R965" s="1383"/>
      <c r="S965" s="1384"/>
      <c r="U965" s="66" t="s">
        <v>12</v>
      </c>
      <c r="V965" s="5"/>
      <c r="W965" s="5"/>
      <c r="X965" s="5"/>
      <c r="Y965" s="5"/>
      <c r="Z965" s="5"/>
      <c r="AA965" s="5"/>
      <c r="AB965" s="5"/>
      <c r="AC965" s="5"/>
      <c r="AD965" s="46"/>
      <c r="AE965" s="1382"/>
      <c r="AF965" s="1383"/>
      <c r="AG965" s="1383"/>
      <c r="AH965" s="1383"/>
      <c r="AI965" s="1383"/>
      <c r="AJ965" s="1383"/>
      <c r="AK965" s="1384"/>
      <c r="AZ965" s="34"/>
      <c r="BA965" s="34"/>
      <c r="BB965" s="34"/>
      <c r="BC965" s="34"/>
    </row>
    <row r="966" spans="1:64" ht="13" customHeight="1">
      <c r="C966" s="66" t="s">
        <v>879</v>
      </c>
      <c r="D966" s="5"/>
      <c r="E966" s="5"/>
      <c r="J966" s="1385" t="s">
        <v>307</v>
      </c>
      <c r="K966" s="1386"/>
      <c r="L966" s="1386"/>
      <c r="M966" s="1386"/>
      <c r="N966" s="1386"/>
      <c r="O966" s="1386"/>
      <c r="P966" s="1386"/>
      <c r="Q966" s="1386"/>
      <c r="R966" s="1386"/>
      <c r="S966" s="1387"/>
      <c r="U966" s="66" t="s">
        <v>879</v>
      </c>
      <c r="V966" s="5"/>
      <c r="W966" s="5"/>
      <c r="AB966" s="1385" t="s">
        <v>307</v>
      </c>
      <c r="AC966" s="1386"/>
      <c r="AD966" s="1386"/>
      <c r="AE966" s="1386"/>
      <c r="AF966" s="1386"/>
      <c r="AG966" s="1386"/>
      <c r="AH966" s="1386"/>
      <c r="AI966" s="1386"/>
      <c r="AJ966" s="1386"/>
      <c r="AK966" s="1387"/>
      <c r="AZ966" s="34"/>
      <c r="BA966" s="34"/>
      <c r="BB966" s="34"/>
      <c r="BC966" s="34"/>
    </row>
    <row r="967" spans="1:64" ht="13" customHeight="1">
      <c r="C967" s="66" t="s">
        <v>13</v>
      </c>
      <c r="D967" s="5"/>
      <c r="E967" s="5"/>
      <c r="F967" s="5"/>
      <c r="G967" s="5"/>
      <c r="H967" s="5"/>
      <c r="I967" s="5"/>
      <c r="J967" s="5"/>
      <c r="K967" s="5"/>
      <c r="L967" s="46"/>
      <c r="M967" s="1661"/>
      <c r="N967" s="1662"/>
      <c r="O967" s="1662"/>
      <c r="P967" s="1662"/>
      <c r="Q967" s="1662"/>
      <c r="R967" s="1662"/>
      <c r="S967" s="1663"/>
      <c r="U967" s="66" t="s">
        <v>13</v>
      </c>
      <c r="V967" s="5"/>
      <c r="W967" s="5"/>
      <c r="X967" s="5"/>
      <c r="Y967" s="5"/>
      <c r="Z967" s="5"/>
      <c r="AA967" s="5"/>
      <c r="AB967" s="5"/>
      <c r="AC967" s="5"/>
      <c r="AD967" s="46"/>
      <c r="AE967" s="1664"/>
      <c r="AF967" s="1662"/>
      <c r="AG967" s="1662"/>
      <c r="AH967" s="1662"/>
      <c r="AI967" s="1662"/>
      <c r="AJ967" s="1662"/>
      <c r="AK967" s="1663"/>
      <c r="AZ967" s="34"/>
      <c r="BA967" s="34"/>
      <c r="BB967" s="34"/>
      <c r="BC967" s="34"/>
    </row>
    <row r="968" spans="1:64" ht="13" customHeight="1">
      <c r="C968" s="66" t="s">
        <v>14</v>
      </c>
      <c r="D968" s="5"/>
      <c r="E968" s="5"/>
      <c r="F968" s="5"/>
      <c r="G968" s="5"/>
      <c r="H968" s="5"/>
      <c r="I968" s="5"/>
      <c r="J968" s="5"/>
      <c r="K968" s="5"/>
      <c r="L968" s="46"/>
      <c r="M968" s="1670"/>
      <c r="N968" s="1671"/>
      <c r="O968" s="1671"/>
      <c r="P968" s="1671"/>
      <c r="Q968" s="1671"/>
      <c r="R968" s="1671"/>
      <c r="S968" s="1672"/>
      <c r="U968" s="66" t="s">
        <v>14</v>
      </c>
      <c r="V968" s="5"/>
      <c r="W968" s="5"/>
      <c r="X968" s="5"/>
      <c r="Y968" s="5"/>
      <c r="Z968" s="5"/>
      <c r="AA968" s="5"/>
      <c r="AB968" s="5"/>
      <c r="AC968" s="5"/>
      <c r="AD968" s="46"/>
      <c r="AE968" s="1670"/>
      <c r="AF968" s="1671"/>
      <c r="AG968" s="1671"/>
      <c r="AH968" s="1671"/>
      <c r="AI968" s="1671"/>
      <c r="AJ968" s="1671"/>
      <c r="AK968" s="1672"/>
      <c r="AV968" s="2"/>
      <c r="AW968" s="2"/>
      <c r="AX968" s="2"/>
      <c r="AY968" s="2"/>
      <c r="AZ968" s="34"/>
      <c r="BA968" s="34"/>
      <c r="BB968" s="34"/>
      <c r="BC968" s="34"/>
    </row>
    <row r="969" spans="1:64" ht="13" customHeight="1">
      <c r="C969" s="66" t="s">
        <v>15</v>
      </c>
      <c r="D969" s="5"/>
      <c r="E969" s="5"/>
      <c r="F969" s="5"/>
      <c r="G969" s="5"/>
      <c r="H969" s="5"/>
      <c r="I969" s="5"/>
      <c r="J969" s="5"/>
      <c r="K969" s="5"/>
      <c r="L969" s="46"/>
      <c r="M969" s="1429"/>
      <c r="N969" s="1430"/>
      <c r="O969" s="1430"/>
      <c r="P969" s="1430"/>
      <c r="Q969" s="1430"/>
      <c r="R969" s="1430"/>
      <c r="S969" s="1431"/>
      <c r="U969" s="66" t="s">
        <v>15</v>
      </c>
      <c r="V969" s="5"/>
      <c r="W969" s="5"/>
      <c r="X969" s="5"/>
      <c r="Y969" s="5"/>
      <c r="Z969" s="5"/>
      <c r="AA969" s="5"/>
      <c r="AB969" s="5"/>
      <c r="AC969" s="5"/>
      <c r="AD969" s="46"/>
      <c r="AE969" s="1429"/>
      <c r="AF969" s="1430"/>
      <c r="AG969" s="1430"/>
      <c r="AH969" s="1430"/>
      <c r="AI969" s="1430"/>
      <c r="AJ969" s="1430"/>
      <c r="AK969" s="1431"/>
      <c r="AV969" s="2"/>
      <c r="AW969" s="2"/>
      <c r="AX969" s="2"/>
      <c r="AY969" s="2"/>
      <c r="AZ969" s="34"/>
      <c r="BA969" s="34"/>
      <c r="BB969" s="34"/>
      <c r="BC969" s="34"/>
    </row>
    <row r="970" spans="1:64" ht="13" customHeight="1">
      <c r="C970" s="66" t="s">
        <v>16</v>
      </c>
      <c r="D970" s="5"/>
      <c r="E970" s="5"/>
      <c r="F970" s="5"/>
      <c r="G970" s="5"/>
      <c r="H970" s="5"/>
      <c r="I970" s="5"/>
      <c r="J970" s="5"/>
      <c r="K970" s="5"/>
      <c r="L970" s="46"/>
      <c r="M970" s="1429"/>
      <c r="N970" s="1430"/>
      <c r="O970" s="1430"/>
      <c r="P970" s="1430"/>
      <c r="Q970" s="1430"/>
      <c r="R970" s="1430"/>
      <c r="S970" s="1431"/>
      <c r="U970" s="66" t="s">
        <v>16</v>
      </c>
      <c r="V970" s="5"/>
      <c r="W970" s="5"/>
      <c r="X970" s="5"/>
      <c r="Y970" s="5"/>
      <c r="Z970" s="5"/>
      <c r="AA970" s="5"/>
      <c r="AB970" s="5"/>
      <c r="AC970" s="5"/>
      <c r="AD970" s="46"/>
      <c r="AE970" s="1429"/>
      <c r="AF970" s="1430"/>
      <c r="AG970" s="1430"/>
      <c r="AH970" s="1430"/>
      <c r="AI970" s="1430"/>
      <c r="AJ970" s="1430"/>
      <c r="AK970" s="1431"/>
      <c r="AV970" s="2"/>
      <c r="AW970" s="2"/>
      <c r="AX970" s="2"/>
      <c r="AY970" s="2"/>
      <c r="AZ970" s="34"/>
      <c r="BB970" s="34"/>
      <c r="BC970" s="34"/>
    </row>
    <row r="971" spans="1:64" ht="13" customHeight="1">
      <c r="C971" s="121" t="s">
        <v>1649</v>
      </c>
      <c r="D971" s="5"/>
      <c r="E971" s="5"/>
      <c r="F971" s="5"/>
      <c r="G971" s="5"/>
      <c r="H971" s="5"/>
      <c r="I971" s="5"/>
      <c r="J971" s="5"/>
      <c r="K971" s="5"/>
      <c r="L971" s="46"/>
      <c r="M971" s="1426"/>
      <c r="N971" s="1427"/>
      <c r="O971" s="1427"/>
      <c r="P971" s="1427"/>
      <c r="Q971" s="1427"/>
      <c r="R971" s="1427"/>
      <c r="S971" s="1428"/>
      <c r="U971" s="121" t="s">
        <v>1649</v>
      </c>
      <c r="V971" s="5"/>
      <c r="W971" s="5"/>
      <c r="X971" s="5"/>
      <c r="Y971" s="5"/>
      <c r="Z971" s="5"/>
      <c r="AA971" s="5"/>
      <c r="AB971" s="5"/>
      <c r="AC971" s="5"/>
      <c r="AD971" s="46"/>
      <c r="AE971" s="1426"/>
      <c r="AF971" s="1427"/>
      <c r="AG971" s="1427"/>
      <c r="AH971" s="1427"/>
      <c r="AI971" s="1427"/>
      <c r="AJ971" s="1427"/>
      <c r="AK971" s="1428"/>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379"/>
      <c r="N976" s="1380"/>
      <c r="O976" s="1380"/>
      <c r="P976" s="1380"/>
      <c r="Q976" s="1380"/>
      <c r="R976" s="1380"/>
      <c r="S976" s="1381"/>
      <c r="T976" s="66" t="s">
        <v>789</v>
      </c>
      <c r="U976" s="5"/>
      <c r="V976" s="5"/>
      <c r="W976" s="5"/>
      <c r="X976" s="5"/>
      <c r="Y976" s="5"/>
      <c r="Z976" s="46"/>
      <c r="AA976" s="1379"/>
      <c r="AB976" s="1380"/>
      <c r="AC976" s="1380"/>
      <c r="AD976" s="1380"/>
      <c r="AE976" s="1380"/>
      <c r="AF976" s="1380"/>
      <c r="AG976" s="138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379"/>
      <c r="N977" s="1380"/>
      <c r="O977" s="1380"/>
      <c r="P977" s="1380"/>
      <c r="Q977" s="1380"/>
      <c r="R977" s="1380"/>
      <c r="S977" s="1381"/>
      <c r="T977" s="66" t="s">
        <v>788</v>
      </c>
      <c r="U977" s="5"/>
      <c r="V977" s="5"/>
      <c r="W977" s="5"/>
      <c r="X977" s="5"/>
      <c r="Y977" s="5"/>
      <c r="Z977" s="46"/>
      <c r="AA977" s="1379"/>
      <c r="AB977" s="1380"/>
      <c r="AC977" s="1380"/>
      <c r="AD977" s="1380"/>
      <c r="AE977" s="1380"/>
      <c r="AF977" s="1380"/>
      <c r="AG977" s="138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667" t="s">
        <v>591</v>
      </c>
      <c r="N978" s="1668"/>
      <c r="O978" s="1668"/>
      <c r="P978" s="1668"/>
      <c r="Q978" s="1668"/>
      <c r="R978" s="1668"/>
      <c r="S978" s="1669"/>
      <c r="T978" s="45" t="s">
        <v>337</v>
      </c>
      <c r="U978" s="5"/>
      <c r="V978" s="5"/>
      <c r="W978" s="5"/>
      <c r="X978" s="5"/>
      <c r="Y978" s="5"/>
      <c r="Z978" s="46"/>
      <c r="AA978" s="1379"/>
      <c r="AB978" s="1380"/>
      <c r="AC978" s="1380"/>
      <c r="AD978" s="1380"/>
      <c r="AE978" s="1380"/>
      <c r="AF978" s="1380"/>
      <c r="AG978" s="138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379"/>
      <c r="N979" s="1380"/>
      <c r="O979" s="1380"/>
      <c r="P979" s="1380"/>
      <c r="Q979" s="1380"/>
      <c r="R979" s="1380"/>
      <c r="S979" s="1381"/>
      <c r="T979" s="45" t="s">
        <v>338</v>
      </c>
      <c r="U979" s="5"/>
      <c r="V979" s="5"/>
      <c r="W979" s="5"/>
      <c r="X979" s="5"/>
      <c r="Y979" s="5"/>
      <c r="Z979" s="46"/>
      <c r="AA979" s="1379"/>
      <c r="AB979" s="1380"/>
      <c r="AC979" s="1380"/>
      <c r="AD979" s="1380"/>
      <c r="AE979" s="1380"/>
      <c r="AF979" s="1380"/>
      <c r="AG979" s="138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379"/>
      <c r="N980" s="1380"/>
      <c r="O980" s="1380"/>
      <c r="P980" s="1380"/>
      <c r="Q980" s="1380"/>
      <c r="R980" s="1380"/>
      <c r="S980" s="1381"/>
      <c r="T980" s="45" t="s">
        <v>376</v>
      </c>
      <c r="U980" s="5"/>
      <c r="V980" s="5"/>
      <c r="W980" s="5"/>
      <c r="X980" s="5"/>
      <c r="Y980" s="5"/>
      <c r="Z980" s="46"/>
      <c r="AA980" s="1379"/>
      <c r="AB980" s="1380"/>
      <c r="AC980" s="1380"/>
      <c r="AD980" s="1380"/>
      <c r="AE980" s="1380"/>
      <c r="AF980" s="1380"/>
      <c r="AG980" s="138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385" t="s">
        <v>307</v>
      </c>
      <c r="N981" s="1386"/>
      <c r="O981" s="1386"/>
      <c r="P981" s="1386"/>
      <c r="Q981" s="1386"/>
      <c r="R981" s="1386"/>
      <c r="S981" s="1387"/>
      <c r="T981" s="1389"/>
      <c r="U981" s="1390"/>
      <c r="V981" s="1390"/>
      <c r="W981" s="1390"/>
      <c r="X981" s="1390"/>
      <c r="Y981" s="1390"/>
      <c r="Z981" s="1391"/>
      <c r="AA981" s="1379"/>
      <c r="AB981" s="1380"/>
      <c r="AC981" s="1380"/>
      <c r="AD981" s="1380"/>
      <c r="AE981" s="1380"/>
      <c r="AF981" s="1380"/>
      <c r="AG981" s="138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379"/>
      <c r="N982" s="1380"/>
      <c r="O982" s="1380"/>
      <c r="P982" s="1380"/>
      <c r="Q982" s="1380"/>
      <c r="R982" s="1380"/>
      <c r="S982" s="1381"/>
      <c r="T982" s="1389"/>
      <c r="U982" s="1390"/>
      <c r="V982" s="1390"/>
      <c r="W982" s="1390"/>
      <c r="X982" s="1390"/>
      <c r="Y982" s="1390"/>
      <c r="Z982" s="1391"/>
      <c r="AA982" s="1379"/>
      <c r="AB982" s="1380"/>
      <c r="AC982" s="1380"/>
      <c r="AD982" s="1380"/>
      <c r="AE982" s="1380"/>
      <c r="AF982" s="1380"/>
      <c r="AG982" s="138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66" t="s">
        <v>668</v>
      </c>
      <c r="P983" s="1567"/>
      <c r="Q983" s="92"/>
      <c r="R983" s="92"/>
      <c r="S983" s="93"/>
      <c r="T983" s="41" t="s">
        <v>170</v>
      </c>
      <c r="U983" s="42"/>
      <c r="V983" s="42"/>
      <c r="W983" s="1581" t="s">
        <v>334</v>
      </c>
      <c r="X983" s="1582"/>
      <c r="Y983" s="1582"/>
      <c r="Z983" s="1582"/>
      <c r="AA983" s="1582"/>
      <c r="AB983" s="1582"/>
      <c r="AC983" s="1582"/>
      <c r="AD983" s="1582"/>
      <c r="AE983" s="1582"/>
      <c r="AF983" s="1582"/>
      <c r="AG983" s="1583"/>
      <c r="AU983" s="68"/>
      <c r="AV983" s="95"/>
      <c r="AW983" s="95"/>
      <c r="AX983" s="95"/>
      <c r="AY983" s="95"/>
      <c r="AZ983" s="34"/>
      <c r="BB983" s="34"/>
      <c r="BC983" s="34"/>
      <c r="BD983" s="34"/>
      <c r="BE983" s="34"/>
      <c r="BF983" s="34"/>
      <c r="BG983" s="34"/>
      <c r="BH983" s="34"/>
      <c r="BI983" s="34"/>
      <c r="BJ983" s="34"/>
      <c r="BK983" s="34"/>
      <c r="BL983" s="34"/>
    </row>
    <row r="984" spans="1:64" ht="13" customHeight="1">
      <c r="F984" s="1623" t="s">
        <v>33</v>
      </c>
      <c r="G984" s="1446"/>
      <c r="H984" s="1446"/>
      <c r="I984" s="1446"/>
      <c r="J984" s="1446"/>
      <c r="K984" s="1446"/>
      <c r="L984" s="1446"/>
      <c r="M984" s="1379"/>
      <c r="N984" s="1380"/>
      <c r="O984" s="1380"/>
      <c r="P984" s="1380"/>
      <c r="Q984" s="1380"/>
      <c r="R984" s="1380"/>
      <c r="S984" s="1381"/>
      <c r="T984" s="47"/>
      <c r="U984" s="48"/>
      <c r="V984" s="48"/>
      <c r="W984" s="48"/>
      <c r="X984" s="48"/>
      <c r="Y984" s="48"/>
      <c r="Z984" s="124" t="s">
        <v>134</v>
      </c>
      <c r="AA984" s="1603"/>
      <c r="AB984" s="1604"/>
      <c r="AC984" s="1604"/>
      <c r="AD984" s="1604"/>
      <c r="AE984" s="1604"/>
      <c r="AF984" s="1604"/>
      <c r="AG984" s="1605"/>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82"/>
      <c r="BH985" s="1682"/>
      <c r="BI985" s="1682"/>
      <c r="BJ985" s="1682"/>
      <c r="BK985" s="1682"/>
      <c r="BL985" s="1682"/>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96" t="s">
        <v>548</v>
      </c>
      <c r="B988" s="1496"/>
      <c r="C988" s="1496"/>
      <c r="D988" s="1496"/>
      <c r="E988" s="1496"/>
      <c r="F988" s="1496"/>
      <c r="G988" s="1496"/>
      <c r="H988" s="1496"/>
      <c r="I988" s="1496"/>
      <c r="J988" s="1496"/>
      <c r="K988" s="1496"/>
      <c r="L988" s="1496"/>
      <c r="M988" s="1496"/>
      <c r="N988" s="1496"/>
      <c r="O988" s="1496"/>
      <c r="P988" s="1496"/>
      <c r="Q988" s="1496"/>
      <c r="R988" s="1496"/>
      <c r="S988" s="1496"/>
      <c r="T988" s="1496"/>
      <c r="U988" s="1496"/>
      <c r="V988" s="1496"/>
      <c r="W988" s="1496"/>
      <c r="X988" s="1496"/>
      <c r="Y988" s="1496"/>
      <c r="Z988" s="1496"/>
      <c r="AA988" s="1496"/>
      <c r="AB988" s="1496"/>
      <c r="AC988" s="1496"/>
      <c r="AD988" s="1496"/>
      <c r="AE988" s="1496"/>
      <c r="AF988" s="1496"/>
      <c r="AG988" s="1496"/>
      <c r="AH988" s="1496"/>
      <c r="AI988" s="1496"/>
      <c r="AJ988" s="1496"/>
      <c r="AK988" s="1496"/>
      <c r="AL988" s="1496"/>
      <c r="AM988" s="1496"/>
      <c r="AN988" s="1496"/>
      <c r="AO988" s="1496"/>
      <c r="AP988" s="1496"/>
      <c r="AQ988" s="1496"/>
      <c r="AR988" s="1496"/>
      <c r="AS988" s="1496"/>
      <c r="AT988" s="1496"/>
      <c r="AU988" s="68"/>
      <c r="AV988" s="68"/>
      <c r="AW988" s="68"/>
      <c r="AX988" s="68"/>
      <c r="AY988" s="68"/>
      <c r="AZ988" s="14"/>
      <c r="BA988" s="14"/>
      <c r="BB988" s="908"/>
      <c r="BC988" s="908"/>
    </row>
    <row r="989" spans="1:64" ht="13" customHeight="1">
      <c r="A989" s="1496"/>
      <c r="B989" s="1496"/>
      <c r="C989" s="1496"/>
      <c r="D989" s="1496"/>
      <c r="E989" s="1496"/>
      <c r="F989" s="1496"/>
      <c r="G989" s="1496"/>
      <c r="H989" s="1496"/>
      <c r="I989" s="1496"/>
      <c r="J989" s="1496"/>
      <c r="K989" s="1496"/>
      <c r="L989" s="1496"/>
      <c r="M989" s="1496"/>
      <c r="N989" s="1496"/>
      <c r="O989" s="1496"/>
      <c r="P989" s="1496"/>
      <c r="Q989" s="1496"/>
      <c r="R989" s="1496"/>
      <c r="S989" s="1496"/>
      <c r="T989" s="1496"/>
      <c r="U989" s="1496"/>
      <c r="V989" s="1496"/>
      <c r="W989" s="1496"/>
      <c r="X989" s="1496"/>
      <c r="Y989" s="1496"/>
      <c r="Z989" s="1496"/>
      <c r="AA989" s="1496"/>
      <c r="AB989" s="1496"/>
      <c r="AC989" s="1496"/>
      <c r="AD989" s="1496"/>
      <c r="AE989" s="1496"/>
      <c r="AF989" s="1496"/>
      <c r="AG989" s="1496"/>
      <c r="AH989" s="1496"/>
      <c r="AI989" s="1496"/>
      <c r="AJ989" s="1496"/>
      <c r="AK989" s="1496"/>
      <c r="AL989" s="1496"/>
      <c r="AM989" s="1496"/>
      <c r="AN989" s="1496"/>
      <c r="AO989" s="1496"/>
      <c r="AP989" s="1496"/>
      <c r="AQ989" s="1496"/>
      <c r="AR989" s="1496"/>
      <c r="AS989" s="1496"/>
      <c r="AT989" s="1496"/>
      <c r="AU989" s="68"/>
      <c r="AV989" s="68"/>
      <c r="AW989" s="68"/>
      <c r="AX989" s="68"/>
      <c r="AY989" s="68"/>
      <c r="AZ989" s="30"/>
      <c r="BA989" s="14"/>
      <c r="BB989" s="14"/>
      <c r="BC989" s="14"/>
    </row>
    <row r="990" spans="1:64" ht="13" customHeight="1">
      <c r="A990" s="1496"/>
      <c r="B990" s="1496"/>
      <c r="C990" s="1496"/>
      <c r="D990" s="1496"/>
      <c r="E990" s="1496"/>
      <c r="F990" s="1496"/>
      <c r="G990" s="1496"/>
      <c r="H990" s="1496"/>
      <c r="I990" s="1496"/>
      <c r="J990" s="1496"/>
      <c r="K990" s="1496"/>
      <c r="L990" s="1496"/>
      <c r="M990" s="1496"/>
      <c r="N990" s="1496"/>
      <c r="O990" s="1496"/>
      <c r="P990" s="1496"/>
      <c r="Q990" s="1496"/>
      <c r="R990" s="1496"/>
      <c r="S990" s="1496"/>
      <c r="T990" s="1496"/>
      <c r="U990" s="1496"/>
      <c r="V990" s="1496"/>
      <c r="W990" s="1496"/>
      <c r="X990" s="1496"/>
      <c r="Y990" s="1496"/>
      <c r="Z990" s="1496"/>
      <c r="AA990" s="1496"/>
      <c r="AB990" s="1496"/>
      <c r="AC990" s="1496"/>
      <c r="AD990" s="1496"/>
      <c r="AE990" s="1496"/>
      <c r="AF990" s="1496"/>
      <c r="AG990" s="1496"/>
      <c r="AH990" s="1496"/>
      <c r="AI990" s="1496"/>
      <c r="AJ990" s="1496"/>
      <c r="AK990" s="1496"/>
      <c r="AL990" s="1496"/>
      <c r="AM990" s="1496"/>
      <c r="AN990" s="1496"/>
      <c r="AO990" s="1496"/>
      <c r="AP990" s="1496"/>
      <c r="AQ990" s="1496"/>
      <c r="AR990" s="1496"/>
      <c r="AS990" s="1496"/>
      <c r="AT990" s="1496"/>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49" t="s">
        <v>637</v>
      </c>
      <c r="E994" s="1450"/>
      <c r="F994" s="1450"/>
      <c r="G994" s="1450"/>
      <c r="H994" s="1450"/>
      <c r="I994" s="1450"/>
      <c r="J994" s="1450"/>
      <c r="K994" s="1450"/>
      <c r="L994" s="1450"/>
      <c r="M994" s="1450"/>
      <c r="N994" s="1450"/>
      <c r="O994" s="1450"/>
      <c r="P994" s="1450"/>
      <c r="Q994" s="1451"/>
      <c r="R994" s="1449" t="s">
        <v>638</v>
      </c>
      <c r="S994" s="1450"/>
      <c r="T994" s="1450"/>
      <c r="U994" s="1450"/>
      <c r="V994" s="1450"/>
      <c r="W994" s="1450"/>
      <c r="X994" s="1450"/>
      <c r="Y994" s="1450"/>
      <c r="Z994" s="1450"/>
      <c r="AA994" s="1451"/>
      <c r="AB994" s="1449" t="s">
        <v>639</v>
      </c>
      <c r="AC994" s="1450"/>
      <c r="AD994" s="1450"/>
      <c r="AE994" s="1450"/>
      <c r="AF994" s="1450"/>
      <c r="AG994" s="1450"/>
      <c r="AH994" s="1450"/>
      <c r="AI994" s="1451"/>
      <c r="AJ994" s="1449" t="s">
        <v>640</v>
      </c>
      <c r="AK994" s="1450"/>
      <c r="AL994" s="1450"/>
      <c r="AM994" s="1450"/>
      <c r="AN994" s="1450"/>
      <c r="AO994" s="1450"/>
      <c r="AP994" s="1450"/>
      <c r="AQ994" s="1451"/>
      <c r="AR994" s="68"/>
      <c r="AS994" s="68"/>
      <c r="AT994" s="68"/>
      <c r="AU994" s="68"/>
      <c r="AV994" s="68"/>
      <c r="AW994" s="68"/>
      <c r="AX994" s="68"/>
      <c r="AY994" s="68"/>
      <c r="AZ994" s="30"/>
      <c r="BB994" s="14"/>
      <c r="BC994" s="14"/>
    </row>
    <row r="995" spans="1:55" ht="13" customHeight="1">
      <c r="A995" s="14"/>
      <c r="B995" s="73"/>
      <c r="C995" s="925"/>
      <c r="D995" s="1413" t="s">
        <v>632</v>
      </c>
      <c r="E995" s="1414"/>
      <c r="F995" s="1414"/>
      <c r="G995" s="1414"/>
      <c r="H995" s="1414"/>
      <c r="I995" s="1414"/>
      <c r="J995" s="1414"/>
      <c r="K995" s="1414"/>
      <c r="L995" s="1414"/>
      <c r="M995" s="1414"/>
      <c r="N995" s="1414"/>
      <c r="O995" s="1414"/>
      <c r="P995" s="1414"/>
      <c r="Q995" s="1415"/>
      <c r="R995" s="1416">
        <f>IF(ISNA(IF($CU$122="4%",(INDEX($CS$160:$CW$217,MATCH($DG$122,$CR$160:$CR$217,0),MATCH(D995,$CS$159:$CW$159,0))),(INDEX($CZ$160:$DD$217,MATCH($DG$122,$CY$160:$CY$217,0),MATCH(D995,$CZ$159:$DD$159,0))))),0,IF($CU$122="4%",(INDEX($CS$160:$CW$217,MATCH($DG$122,$CR$160:$CR$217,0),MATCH(D995,$CS$159:$CW$159,0))),(INDEX($CZ$160:$DD$217,MATCH($DG$122,$CY$160:$CY$217,0),MATCH(D995,$CZ$159:$DD$159,0)))))</f>
        <v>442904</v>
      </c>
      <c r="S995" s="1416"/>
      <c r="T995" s="1416"/>
      <c r="U995" s="1416"/>
      <c r="V995" s="1416"/>
      <c r="W995" s="1416"/>
      <c r="X995" s="1416"/>
      <c r="Y995" s="1416"/>
      <c r="Z995" s="1416"/>
      <c r="AA995" s="1416"/>
      <c r="AB995" s="1410">
        <f>CP810</f>
        <v>0</v>
      </c>
      <c r="AC995" s="1411"/>
      <c r="AD995" s="1411"/>
      <c r="AE995" s="1411"/>
      <c r="AF995" s="1411"/>
      <c r="AG995" s="1411"/>
      <c r="AH995" s="1411"/>
      <c r="AI995" s="1412"/>
      <c r="AJ995" s="1417">
        <f>IF(ISERROR((R995*AB995)),0,(R995*AB995))</f>
        <v>0</v>
      </c>
      <c r="AK995" s="1418"/>
      <c r="AL995" s="1418"/>
      <c r="AM995" s="1418"/>
      <c r="AN995" s="1418"/>
      <c r="AO995" s="1418"/>
      <c r="AP995" s="1418"/>
      <c r="AQ995" s="1419"/>
      <c r="AR995" s="68"/>
      <c r="AS995" s="68"/>
      <c r="AT995" s="68"/>
      <c r="AU995" s="68"/>
      <c r="AV995" s="68"/>
      <c r="AW995" s="68"/>
      <c r="AX995" s="68"/>
      <c r="AY995" s="68"/>
      <c r="AZ995" s="30"/>
      <c r="BB995" s="14"/>
      <c r="BC995" s="14"/>
    </row>
    <row r="996" spans="1:55" ht="13" customHeight="1">
      <c r="A996" s="14"/>
      <c r="B996" s="73"/>
      <c r="C996" s="83"/>
      <c r="D996" s="1413" t="s">
        <v>325</v>
      </c>
      <c r="E996" s="1414"/>
      <c r="F996" s="1414"/>
      <c r="G996" s="1414"/>
      <c r="H996" s="1414"/>
      <c r="I996" s="1414"/>
      <c r="J996" s="1414"/>
      <c r="K996" s="1414"/>
      <c r="L996" s="1414"/>
      <c r="M996" s="1414"/>
      <c r="N996" s="1414"/>
      <c r="O996" s="1414"/>
      <c r="P996" s="1414"/>
      <c r="Q996" s="1415"/>
      <c r="R996" s="1416">
        <f>IF(ISNA(IF($CU$122="4%",(INDEX($CS$160:$CW$217,MATCH($DG$122,$CR$160:$CR$217,0),MATCH(D996,$CS$159:$CW$159,0))),(INDEX($CZ$160:$DD$217,MATCH($DG$122,$CY$160:$CY$217,0),MATCH(D996,$CZ$159:$DD$159,0))))),0,IF($CU$122="4%",(INDEX($CS$160:$CW$217,MATCH($DG$122,$CR$160:$CR$217,0),MATCH(D996,$CS$159:$CW$159,0))),(INDEX($CZ$160:$DD$217,MATCH($DG$122,$CY$160:$CY$217,0),MATCH(D996,$CZ$159:$DD$159,0)))))</f>
        <v>510664</v>
      </c>
      <c r="S996" s="1416"/>
      <c r="T996" s="1416"/>
      <c r="U996" s="1416"/>
      <c r="V996" s="1416"/>
      <c r="W996" s="1416"/>
      <c r="X996" s="1416"/>
      <c r="Y996" s="1416"/>
      <c r="Z996" s="1416"/>
      <c r="AA996" s="1416"/>
      <c r="AB996" s="1410">
        <f>CU810</f>
        <v>0</v>
      </c>
      <c r="AC996" s="1411"/>
      <c r="AD996" s="1411"/>
      <c r="AE996" s="1411"/>
      <c r="AF996" s="1411"/>
      <c r="AG996" s="1411"/>
      <c r="AH996" s="1411"/>
      <c r="AI996" s="1412"/>
      <c r="AJ996" s="1417">
        <f>IF(ISERROR((R996*AB996)),0,(R996*AB996))</f>
        <v>0</v>
      </c>
      <c r="AK996" s="1418"/>
      <c r="AL996" s="1418"/>
      <c r="AM996" s="1418"/>
      <c r="AN996" s="1418"/>
      <c r="AO996" s="1418"/>
      <c r="AP996" s="1418"/>
      <c r="AQ996" s="1419"/>
      <c r="AR996" s="68"/>
      <c r="AS996" s="68"/>
      <c r="AT996" s="68"/>
      <c r="AU996" s="68"/>
      <c r="AV996" s="68"/>
      <c r="AW996" s="68"/>
      <c r="AX996" s="68"/>
      <c r="AY996" s="68"/>
      <c r="AZ996" s="30"/>
      <c r="BB996" s="14"/>
      <c r="BC996" s="14"/>
    </row>
    <row r="997" spans="1:55" ht="13" customHeight="1">
      <c r="A997" s="14"/>
      <c r="B997" s="73"/>
      <c r="C997" s="83"/>
      <c r="D997" s="1413" t="s">
        <v>163</v>
      </c>
      <c r="E997" s="1414"/>
      <c r="F997" s="1414"/>
      <c r="G997" s="1414"/>
      <c r="H997" s="1414"/>
      <c r="I997" s="1414"/>
      <c r="J997" s="1414"/>
      <c r="K997" s="1414"/>
      <c r="L997" s="1414"/>
      <c r="M997" s="1414"/>
      <c r="N997" s="1414"/>
      <c r="O997" s="1414"/>
      <c r="P997" s="1414"/>
      <c r="Q997" s="1415"/>
      <c r="R997" s="1416">
        <f>IF(ISNA(IF($CU$122="4%",(INDEX($CS$160:$CW$217,MATCH($DG$122,$CR$160:$CR$217,0),MATCH(D997,$CS$159:$CW$159,0))),(INDEX($CZ$160:$DD$217,MATCH($DG$122,$CY$160:$CY$217,0),MATCH(D997,$CZ$159:$DD$159,0))))),0,IF($CU$122="4%",(INDEX($CS$160:$CW$217,MATCH($DG$122,$CR$160:$CR$217,0),MATCH(D997,$CS$159:$CW$159,0))),(INDEX($CZ$160:$DD$217,MATCH($DG$122,$CY$160:$CY$217,0),MATCH(D997,$CZ$159:$DD$159,0)))))</f>
        <v>616000</v>
      </c>
      <c r="S997" s="1416"/>
      <c r="T997" s="1416"/>
      <c r="U997" s="1416"/>
      <c r="V997" s="1416"/>
      <c r="W997" s="1416"/>
      <c r="X997" s="1416"/>
      <c r="Y997" s="1416"/>
      <c r="Z997" s="1416"/>
      <c r="AA997" s="1416"/>
      <c r="AB997" s="1410">
        <f>CZ810</f>
        <v>34</v>
      </c>
      <c r="AC997" s="1411"/>
      <c r="AD997" s="1411"/>
      <c r="AE997" s="1411"/>
      <c r="AF997" s="1411"/>
      <c r="AG997" s="1411"/>
      <c r="AH997" s="1411"/>
      <c r="AI997" s="1412"/>
      <c r="AJ997" s="1417">
        <f>IF(ISERROR((R997*AB997)),0,(R997*AB997))</f>
        <v>20944000</v>
      </c>
      <c r="AK997" s="1418"/>
      <c r="AL997" s="1418"/>
      <c r="AM997" s="1418"/>
      <c r="AN997" s="1418"/>
      <c r="AO997" s="1418"/>
      <c r="AP997" s="1418"/>
      <c r="AQ997" s="1419"/>
      <c r="AR997" s="68"/>
      <c r="AS997" s="68"/>
      <c r="AT997" s="68"/>
      <c r="AU997" s="68"/>
      <c r="AV997" s="68"/>
      <c r="AW997" s="68"/>
      <c r="AX997" s="68"/>
      <c r="AY997" s="68"/>
      <c r="AZ997" s="30"/>
      <c r="BB997" s="14"/>
      <c r="BC997" s="14"/>
    </row>
    <row r="998" spans="1:55" ht="13" customHeight="1">
      <c r="A998" s="14"/>
      <c r="B998" s="73"/>
      <c r="C998" s="83"/>
      <c r="D998" s="1413" t="s">
        <v>164</v>
      </c>
      <c r="E998" s="1414"/>
      <c r="F998" s="1414"/>
      <c r="G998" s="1414"/>
      <c r="H998" s="1414"/>
      <c r="I998" s="1414"/>
      <c r="J998" s="1414"/>
      <c r="K998" s="1414"/>
      <c r="L998" s="1414"/>
      <c r="M998" s="1414"/>
      <c r="N998" s="1414"/>
      <c r="O998" s="1414"/>
      <c r="P998" s="1414"/>
      <c r="Q998" s="1415"/>
      <c r="R998" s="1416">
        <f>IF(ISNA(IF($CU$122="4%",(INDEX($CS$160:$CW$217,MATCH($DG$122,$CR$160:$CR$217,0),MATCH(D998,$CS$159:$CW$159,0))),(INDEX($CZ$160:$DD$217,MATCH($DG$122,$CY$160:$CY$217,0),MATCH(D998,$CZ$159:$DD$159,0))))),0,IF($CU$122="4%",(INDEX($CS$160:$CW$217,MATCH($DG$122,$CR$160:$CR$217,0),MATCH(D998,$CS$159:$CW$159,0))),(INDEX($CZ$160:$DD$217,MATCH($DG$122,$CY$160:$CY$217,0),MATCH(D998,$CZ$159:$DD$159,0)))))</f>
        <v>788480</v>
      </c>
      <c r="S998" s="1416"/>
      <c r="T998" s="1416"/>
      <c r="U998" s="1416"/>
      <c r="V998" s="1416"/>
      <c r="W998" s="1416"/>
      <c r="X998" s="1416"/>
      <c r="Y998" s="1416"/>
      <c r="Z998" s="1416"/>
      <c r="AA998" s="1416"/>
      <c r="AB998" s="1410">
        <f>DE810</f>
        <v>62</v>
      </c>
      <c r="AC998" s="1411"/>
      <c r="AD998" s="1411"/>
      <c r="AE998" s="1411"/>
      <c r="AF998" s="1411"/>
      <c r="AG998" s="1411"/>
      <c r="AH998" s="1411"/>
      <c r="AI998" s="1412"/>
      <c r="AJ998" s="1417">
        <f>IF(ISERROR((R998*AB998)),0,(R998*AB998))</f>
        <v>48885760</v>
      </c>
      <c r="AK998" s="1418"/>
      <c r="AL998" s="1418"/>
      <c r="AM998" s="1418"/>
      <c r="AN998" s="1418"/>
      <c r="AO998" s="1418"/>
      <c r="AP998" s="1418"/>
      <c r="AQ998" s="1419"/>
      <c r="AR998" s="68"/>
      <c r="AS998" s="68"/>
      <c r="AT998" s="68"/>
      <c r="AU998" s="68"/>
      <c r="AV998" s="68"/>
      <c r="AW998" s="68"/>
      <c r="AX998" s="68"/>
      <c r="AY998" s="68"/>
      <c r="AZ998" s="30"/>
      <c r="BA998" s="34"/>
      <c r="BB998" s="14"/>
      <c r="BC998" s="14"/>
    </row>
    <row r="999" spans="1:55" ht="13" customHeight="1">
      <c r="A999" s="14"/>
      <c r="B999" s="47"/>
      <c r="C999" s="78"/>
      <c r="D999" s="1413" t="s">
        <v>460</v>
      </c>
      <c r="E999" s="1414"/>
      <c r="F999" s="1414"/>
      <c r="G999" s="1414"/>
      <c r="H999" s="1414"/>
      <c r="I999" s="1414"/>
      <c r="J999" s="1414"/>
      <c r="K999" s="1414"/>
      <c r="L999" s="1414"/>
      <c r="M999" s="1414"/>
      <c r="N999" s="1414"/>
      <c r="O999" s="1414"/>
      <c r="P999" s="1414"/>
      <c r="Q999" s="1415"/>
      <c r="R999" s="1416">
        <f>IF(ISNA(IF($CU$122="4%",(INDEX($CS$160:$CW$217,MATCH($DG$122,$CR$160:$CR$217,0),MATCH(D999,$CS$159:$CW$159,0))),(INDEX($CZ$160:$DD$217,MATCH($DG$122,$CY$160:$CY$217,0),MATCH(D999,$CZ$159:$DD$159,0))))),0,IF($CU$122="4%",(INDEX($CS$160:$CW$217,MATCH($DG$122,$CR$160:$CR$217,0),MATCH(D999,$CS$159:$CW$159,0))),(INDEX($CZ$160:$DD$217,MATCH($DG$122,$CY$160:$CY$217,0),MATCH(D999,$CZ$159:$DD$159,0)))))</f>
        <v>878416</v>
      </c>
      <c r="S999" s="1416"/>
      <c r="T999" s="1416"/>
      <c r="U999" s="1416"/>
      <c r="V999" s="1416"/>
      <c r="W999" s="1416"/>
      <c r="X999" s="1416"/>
      <c r="Y999" s="1416"/>
      <c r="Z999" s="1416"/>
      <c r="AA999" s="1416"/>
      <c r="AB999" s="1410">
        <f>DO810+DJ810</f>
        <v>0</v>
      </c>
      <c r="AC999" s="1411"/>
      <c r="AD999" s="1411"/>
      <c r="AE999" s="1411"/>
      <c r="AF999" s="1411"/>
      <c r="AG999" s="1411"/>
      <c r="AH999" s="1411"/>
      <c r="AI999" s="1412"/>
      <c r="AJ999" s="1417">
        <f>IF(ISERROR((R999*AB999)),0,(R999*AB999))</f>
        <v>0</v>
      </c>
      <c r="AK999" s="1418"/>
      <c r="AL999" s="1418"/>
      <c r="AM999" s="1418"/>
      <c r="AN999" s="1418"/>
      <c r="AO999" s="1418"/>
      <c r="AP999" s="1418"/>
      <c r="AQ999" s="1419"/>
      <c r="AR999" s="68"/>
      <c r="AS999" s="68"/>
      <c r="AT999" s="68"/>
      <c r="AU999" s="68"/>
      <c r="AV999" s="68"/>
      <c r="AW999" s="68"/>
      <c r="AX999" s="68"/>
      <c r="AY999" s="68"/>
      <c r="AZ999" s="30"/>
      <c r="BB999" s="14"/>
      <c r="BC999" s="14"/>
    </row>
    <row r="1000" spans="1:55" ht="13" customHeight="1">
      <c r="A1000" s="14"/>
      <c r="B1000" s="1640" t="s">
        <v>790</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410">
        <f>SUM(AB995:AI999)</f>
        <v>96</v>
      </c>
      <c r="AC1000" s="1411"/>
      <c r="AD1000" s="1411"/>
      <c r="AE1000" s="1411"/>
      <c r="AF1000" s="1411"/>
      <c r="AG1000" s="1411"/>
      <c r="AH1000" s="1411"/>
      <c r="AI1000" s="1412"/>
      <c r="AJ1000" s="1417"/>
      <c r="AK1000" s="1418"/>
      <c r="AL1000" s="1418"/>
      <c r="AM1000" s="1418"/>
      <c r="AN1000" s="1418"/>
      <c r="AO1000" s="1418"/>
      <c r="AP1000" s="1418"/>
      <c r="AQ1000" s="1419"/>
      <c r="AR1000" s="68"/>
      <c r="AS1000" s="68"/>
      <c r="AT1000" s="68"/>
      <c r="AU1000" s="68"/>
      <c r="AV1000" s="68"/>
      <c r="AW1000" s="68"/>
      <c r="AX1000" s="68"/>
      <c r="AY1000" s="68"/>
      <c r="AZ1000" s="34"/>
      <c r="BA1000" s="34"/>
      <c r="BB1000" s="14"/>
      <c r="BC1000" s="14"/>
    </row>
    <row r="1001" spans="1:55" ht="13" customHeight="1">
      <c r="A1001" s="14"/>
      <c r="B1001" s="1624" t="s">
        <v>512</v>
      </c>
      <c r="C1001" s="1625"/>
      <c r="D1001" s="1625"/>
      <c r="E1001" s="1625"/>
      <c r="F1001" s="1625"/>
      <c r="G1001" s="1625"/>
      <c r="H1001" s="1625"/>
      <c r="I1001" s="1625"/>
      <c r="J1001" s="1625"/>
      <c r="K1001" s="1625"/>
      <c r="L1001" s="1625"/>
      <c r="M1001" s="1625"/>
      <c r="N1001" s="1625"/>
      <c r="O1001" s="1625"/>
      <c r="P1001" s="1625"/>
      <c r="Q1001" s="1625"/>
      <c r="R1001" s="1625"/>
      <c r="S1001" s="1625"/>
      <c r="T1001" s="1625"/>
      <c r="U1001" s="1625"/>
      <c r="V1001" s="1625"/>
      <c r="W1001" s="1625"/>
      <c r="X1001" s="1625"/>
      <c r="Y1001" s="1625"/>
      <c r="Z1001" s="1625"/>
      <c r="AA1001" s="1625"/>
      <c r="AB1001" s="1625"/>
      <c r="AC1001" s="1625"/>
      <c r="AD1001" s="1625"/>
      <c r="AE1001" s="1625"/>
      <c r="AF1001" s="1625"/>
      <c r="AG1001" s="1625"/>
      <c r="AH1001" s="1625"/>
      <c r="AI1001" s="1626"/>
      <c r="AJ1001" s="1417">
        <f>SUM(AJ995:AQ999)</f>
        <v>69829760</v>
      </c>
      <c r="AK1001" s="1418"/>
      <c r="AL1001" s="1418"/>
      <c r="AM1001" s="1418"/>
      <c r="AN1001" s="1418"/>
      <c r="AO1001" s="1418"/>
      <c r="AP1001" s="1418"/>
      <c r="AQ1001" s="1419"/>
      <c r="AR1001" s="68"/>
      <c r="AS1001" s="68"/>
      <c r="AT1001" s="68"/>
      <c r="AU1001" s="68"/>
      <c r="AV1001" s="68"/>
      <c r="AW1001" s="68"/>
      <c r="AX1001" s="68"/>
      <c r="AY1001" s="68"/>
      <c r="AZ1001" s="34"/>
      <c r="BB1001" s="34"/>
      <c r="BC1001" s="34"/>
    </row>
    <row r="1002" spans="1:55" ht="13" customHeight="1">
      <c r="A1002" s="14"/>
      <c r="B1002" s="1423"/>
      <c r="C1002" s="1424"/>
      <c r="D1002" s="1424"/>
      <c r="E1002" s="1424"/>
      <c r="F1002" s="1424"/>
      <c r="G1002" s="1424"/>
      <c r="H1002" s="1424"/>
      <c r="I1002" s="1424"/>
      <c r="J1002" s="1424"/>
      <c r="K1002" s="1424"/>
      <c r="L1002" s="1424"/>
      <c r="M1002" s="1424"/>
      <c r="N1002" s="1424"/>
      <c r="O1002" s="1424"/>
      <c r="P1002" s="1424"/>
      <c r="Q1002" s="1424"/>
      <c r="R1002" s="1424"/>
      <c r="S1002" s="1424"/>
      <c r="T1002" s="1424"/>
      <c r="U1002" s="1424"/>
      <c r="V1002" s="1424"/>
      <c r="W1002" s="1424"/>
      <c r="X1002" s="1424"/>
      <c r="Y1002" s="1424"/>
      <c r="Z1002" s="1424"/>
      <c r="AA1002" s="1424"/>
      <c r="AB1002" s="1424"/>
      <c r="AC1002" s="1424"/>
      <c r="AD1002" s="1424"/>
      <c r="AE1002" s="1425"/>
      <c r="AF1002" s="1606" t="s">
        <v>665</v>
      </c>
      <c r="AG1002" s="1607"/>
      <c r="AH1002" s="1607"/>
      <c r="AI1002" s="1608"/>
      <c r="AJ1002" s="1423"/>
      <c r="AK1002" s="1424"/>
      <c r="AL1002" s="1424"/>
      <c r="AM1002" s="1424"/>
      <c r="AN1002" s="1424"/>
      <c r="AO1002" s="1424"/>
      <c r="AP1002" s="1424"/>
      <c r="AQ1002" s="1425"/>
      <c r="AR1002" s="68"/>
      <c r="AS1002" s="68"/>
      <c r="AT1002" s="68"/>
      <c r="AU1002" s="68"/>
      <c r="AV1002" s="68"/>
      <c r="AW1002" s="68"/>
      <c r="AX1002" s="68"/>
      <c r="AY1002" s="68"/>
      <c r="AZ1002" s="34"/>
      <c r="BA1002" s="34"/>
      <c r="BB1002" s="34"/>
      <c r="BC1002" s="34"/>
    </row>
    <row r="1003" spans="1:55" ht="13" customHeight="1">
      <c r="A1003" s="14"/>
      <c r="B1003" s="73"/>
      <c r="C1003" s="923" t="s">
        <v>667</v>
      </c>
      <c r="D1003" s="1584" t="s">
        <v>1219</v>
      </c>
      <c r="E1003" s="1585"/>
      <c r="F1003" s="1585"/>
      <c r="G1003" s="1585"/>
      <c r="H1003" s="1585"/>
      <c r="I1003" s="1585"/>
      <c r="J1003" s="1585"/>
      <c r="K1003" s="1585"/>
      <c r="L1003" s="1585"/>
      <c r="M1003" s="1585"/>
      <c r="N1003" s="1585"/>
      <c r="O1003" s="1585"/>
      <c r="P1003" s="1585"/>
      <c r="Q1003" s="1585"/>
      <c r="R1003" s="1585"/>
      <c r="S1003" s="1585"/>
      <c r="T1003" s="1585"/>
      <c r="U1003" s="1585"/>
      <c r="V1003" s="1585"/>
      <c r="W1003" s="1585"/>
      <c r="X1003" s="1585"/>
      <c r="Y1003" s="1585"/>
      <c r="Z1003" s="1585"/>
      <c r="AA1003" s="1585"/>
      <c r="AB1003" s="1585"/>
      <c r="AC1003" s="1585"/>
      <c r="AD1003" s="1585"/>
      <c r="AE1003" s="1586"/>
      <c r="AF1003" s="79"/>
      <c r="AG1003" s="1609" t="s">
        <v>545</v>
      </c>
      <c r="AH1003" s="1610"/>
      <c r="AI1003" s="87"/>
      <c r="AJ1003" s="1367">
        <f>ROUND(IF(AND(AG1003="yes",D1009&gt;0),AJ1001*0.2,0),0)</f>
        <v>13965952</v>
      </c>
      <c r="AK1003" s="1368"/>
      <c r="AL1003" s="1368"/>
      <c r="AM1003" s="1368"/>
      <c r="AN1003" s="1368"/>
      <c r="AO1003" s="1368"/>
      <c r="AP1003" s="1368"/>
      <c r="AQ1003" s="1369"/>
      <c r="AR1003" s="68"/>
      <c r="AS1003" s="68"/>
      <c r="AT1003" s="68"/>
      <c r="AU1003" s="68"/>
      <c r="AV1003" s="68"/>
      <c r="AW1003" s="68"/>
      <c r="AX1003" s="68"/>
      <c r="AY1003" s="68"/>
      <c r="AZ1003" s="34"/>
      <c r="BA1003" s="34"/>
      <c r="BB1003" s="34"/>
      <c r="BC1003" s="34"/>
    </row>
    <row r="1004" spans="1:55" ht="13" customHeight="1">
      <c r="A1004" s="14"/>
      <c r="B1004" s="257"/>
      <c r="C1004" s="256"/>
      <c r="D1004" s="1554" t="s">
        <v>2187</v>
      </c>
      <c r="E1004" s="1555"/>
      <c r="F1004" s="1555"/>
      <c r="G1004" s="1555"/>
      <c r="H1004" s="1555"/>
      <c r="I1004" s="1555"/>
      <c r="J1004" s="1555"/>
      <c r="K1004" s="1555"/>
      <c r="L1004" s="1555"/>
      <c r="M1004" s="1555"/>
      <c r="N1004" s="1555"/>
      <c r="O1004" s="1555"/>
      <c r="P1004" s="1555"/>
      <c r="Q1004" s="1555"/>
      <c r="R1004" s="1555"/>
      <c r="S1004" s="1555"/>
      <c r="T1004" s="1555"/>
      <c r="U1004" s="1555"/>
      <c r="V1004" s="1555"/>
      <c r="W1004" s="1555"/>
      <c r="X1004" s="1555"/>
      <c r="Y1004" s="1555"/>
      <c r="Z1004" s="1555"/>
      <c r="AA1004" s="1555"/>
      <c r="AB1004" s="1555"/>
      <c r="AC1004" s="1555"/>
      <c r="AD1004" s="1555"/>
      <c r="AE1004" s="1556"/>
      <c r="AF1004" s="73"/>
      <c r="AG1004" s="14"/>
      <c r="AH1004" s="14"/>
      <c r="AI1004" s="83"/>
      <c r="AJ1004" s="1370"/>
      <c r="AK1004" s="1371"/>
      <c r="AL1004" s="1371"/>
      <c r="AM1004" s="1371"/>
      <c r="AN1004" s="1371"/>
      <c r="AO1004" s="1371"/>
      <c r="AP1004" s="1371"/>
      <c r="AQ1004" s="1372"/>
      <c r="AR1004" s="68"/>
      <c r="AS1004" s="68"/>
      <c r="AT1004" s="68"/>
      <c r="AU1004" s="68"/>
      <c r="AV1004" s="68"/>
      <c r="AW1004" s="68"/>
      <c r="AX1004" s="68"/>
      <c r="AY1004" s="68"/>
      <c r="AZ1004" s="34"/>
      <c r="BA1004" s="34"/>
      <c r="BB1004" s="34"/>
      <c r="BC1004" s="34"/>
    </row>
    <row r="1005" spans="1:55" ht="13" customHeight="1">
      <c r="A1005" s="14"/>
      <c r="B1005" s="257"/>
      <c r="C1005" s="256"/>
      <c r="D1005" s="1554"/>
      <c r="E1005" s="1555"/>
      <c r="F1005" s="1555"/>
      <c r="G1005" s="1555"/>
      <c r="H1005" s="1555"/>
      <c r="I1005" s="1555"/>
      <c r="J1005" s="1555"/>
      <c r="K1005" s="1555"/>
      <c r="L1005" s="1555"/>
      <c r="M1005" s="1555"/>
      <c r="N1005" s="1555"/>
      <c r="O1005" s="1555"/>
      <c r="P1005" s="1555"/>
      <c r="Q1005" s="1555"/>
      <c r="R1005" s="1555"/>
      <c r="S1005" s="1555"/>
      <c r="T1005" s="1555"/>
      <c r="U1005" s="1555"/>
      <c r="V1005" s="1555"/>
      <c r="W1005" s="1555"/>
      <c r="X1005" s="1555"/>
      <c r="Y1005" s="1555"/>
      <c r="Z1005" s="1555"/>
      <c r="AA1005" s="1555"/>
      <c r="AB1005" s="1555"/>
      <c r="AC1005" s="1555"/>
      <c r="AD1005" s="1555"/>
      <c r="AE1005" s="1556"/>
      <c r="AF1005" s="73"/>
      <c r="AG1005" s="14"/>
      <c r="AH1005" s="14"/>
      <c r="AI1005" s="83"/>
      <c r="AJ1005" s="1370"/>
      <c r="AK1005" s="1371"/>
      <c r="AL1005" s="1371"/>
      <c r="AM1005" s="1371"/>
      <c r="AN1005" s="1371"/>
      <c r="AO1005" s="1371"/>
      <c r="AP1005" s="1371"/>
      <c r="AQ1005" s="1372"/>
      <c r="AR1005" s="68"/>
      <c r="AS1005" s="68"/>
      <c r="AT1005" s="68"/>
      <c r="AU1005" s="68"/>
      <c r="AV1005" s="68"/>
      <c r="AW1005" s="68"/>
      <c r="AX1005" s="68"/>
      <c r="AY1005" s="68"/>
      <c r="AZ1005" s="34"/>
      <c r="BA1005" s="34"/>
      <c r="BB1005" s="34"/>
      <c r="BC1005" s="34"/>
    </row>
    <row r="1006" spans="1:55" ht="13" customHeight="1">
      <c r="A1006" s="14"/>
      <c r="B1006" s="257"/>
      <c r="C1006" s="256"/>
      <c r="D1006" s="1554"/>
      <c r="E1006" s="1555"/>
      <c r="F1006" s="1555"/>
      <c r="G1006" s="1555"/>
      <c r="H1006" s="1555"/>
      <c r="I1006" s="1555"/>
      <c r="J1006" s="1555"/>
      <c r="K1006" s="1555"/>
      <c r="L1006" s="1555"/>
      <c r="M1006" s="1555"/>
      <c r="N1006" s="1555"/>
      <c r="O1006" s="1555"/>
      <c r="P1006" s="1555"/>
      <c r="Q1006" s="1555"/>
      <c r="R1006" s="1555"/>
      <c r="S1006" s="1555"/>
      <c r="T1006" s="1555"/>
      <c r="U1006" s="1555"/>
      <c r="V1006" s="1555"/>
      <c r="W1006" s="1555"/>
      <c r="X1006" s="1555"/>
      <c r="Y1006" s="1555"/>
      <c r="Z1006" s="1555"/>
      <c r="AA1006" s="1555"/>
      <c r="AB1006" s="1555"/>
      <c r="AC1006" s="1555"/>
      <c r="AD1006" s="1555"/>
      <c r="AE1006" s="1556"/>
      <c r="AF1006" s="73"/>
      <c r="AG1006" s="14"/>
      <c r="AH1006" s="14"/>
      <c r="AI1006" s="83"/>
      <c r="AJ1006" s="1370"/>
      <c r="AK1006" s="1371"/>
      <c r="AL1006" s="1371"/>
      <c r="AM1006" s="1371"/>
      <c r="AN1006" s="1371"/>
      <c r="AO1006" s="1371"/>
      <c r="AP1006" s="1371"/>
      <c r="AQ1006" s="1372"/>
      <c r="AR1006" s="68"/>
      <c r="AS1006" s="68"/>
      <c r="AT1006" s="68"/>
      <c r="AU1006" s="68"/>
      <c r="AV1006" s="68"/>
      <c r="AW1006" s="68"/>
      <c r="AX1006" s="68"/>
      <c r="AY1006" s="68"/>
      <c r="AZ1006" s="34"/>
      <c r="BA1006" s="34"/>
      <c r="BB1006" s="34"/>
      <c r="BC1006" s="34"/>
    </row>
    <row r="1007" spans="1:55" ht="13" customHeight="1">
      <c r="A1007" s="14"/>
      <c r="B1007" s="257"/>
      <c r="C1007" s="256"/>
      <c r="D1007" s="1554"/>
      <c r="E1007" s="1555"/>
      <c r="F1007" s="1555"/>
      <c r="G1007" s="1555"/>
      <c r="H1007" s="1555"/>
      <c r="I1007" s="1555"/>
      <c r="J1007" s="1555"/>
      <c r="K1007" s="1555"/>
      <c r="L1007" s="1555"/>
      <c r="M1007" s="1555"/>
      <c r="N1007" s="1555"/>
      <c r="O1007" s="1555"/>
      <c r="P1007" s="1555"/>
      <c r="Q1007" s="1555"/>
      <c r="R1007" s="1555"/>
      <c r="S1007" s="1555"/>
      <c r="T1007" s="1555"/>
      <c r="U1007" s="1555"/>
      <c r="V1007" s="1555"/>
      <c r="W1007" s="1555"/>
      <c r="X1007" s="1555"/>
      <c r="Y1007" s="1555"/>
      <c r="Z1007" s="1555"/>
      <c r="AA1007" s="1555"/>
      <c r="AB1007" s="1555"/>
      <c r="AC1007" s="1555"/>
      <c r="AD1007" s="1555"/>
      <c r="AE1007" s="1556"/>
      <c r="AF1007" s="73"/>
      <c r="AG1007" s="14"/>
      <c r="AH1007" s="14"/>
      <c r="AI1007" s="83"/>
      <c r="AJ1007" s="1370"/>
      <c r="AK1007" s="1371"/>
      <c r="AL1007" s="1371"/>
      <c r="AM1007" s="1371"/>
      <c r="AN1007" s="1371"/>
      <c r="AO1007" s="1371"/>
      <c r="AP1007" s="1371"/>
      <c r="AQ1007" s="1372"/>
      <c r="AR1007" s="68"/>
      <c r="AS1007" s="68"/>
      <c r="AT1007" s="68"/>
      <c r="AU1007" s="68"/>
      <c r="AV1007" s="68"/>
      <c r="AW1007" s="68"/>
      <c r="AX1007" s="68"/>
      <c r="AY1007" s="68"/>
      <c r="AZ1007" s="34"/>
      <c r="BA1007" s="34"/>
      <c r="BB1007" s="34"/>
      <c r="BC1007" s="34"/>
    </row>
    <row r="1008" spans="1:55" ht="13" customHeight="1">
      <c r="A1008" s="14"/>
      <c r="B1008" s="257"/>
      <c r="C1008" s="256"/>
      <c r="D1008" s="1557" t="s">
        <v>2158</v>
      </c>
      <c r="E1008" s="1558"/>
      <c r="F1008" s="1558"/>
      <c r="G1008" s="1558"/>
      <c r="H1008" s="1558"/>
      <c r="I1008" s="1558"/>
      <c r="J1008" s="1558"/>
      <c r="K1008" s="1558"/>
      <c r="L1008" s="1558"/>
      <c r="M1008" s="1558"/>
      <c r="N1008" s="1558"/>
      <c r="O1008" s="1558"/>
      <c r="P1008" s="1558"/>
      <c r="Q1008" s="1558"/>
      <c r="R1008" s="1558"/>
      <c r="S1008" s="1558"/>
      <c r="T1008" s="1558"/>
      <c r="U1008" s="1558"/>
      <c r="V1008" s="1558"/>
      <c r="W1008" s="1558"/>
      <c r="X1008" s="1558"/>
      <c r="Y1008" s="1558"/>
      <c r="Z1008" s="1558"/>
      <c r="AA1008" s="1558"/>
      <c r="AB1008" s="1558"/>
      <c r="AC1008" s="1558"/>
      <c r="AD1008" s="1558"/>
      <c r="AE1008" s="1559"/>
      <c r="AF1008" s="73"/>
      <c r="AG1008" s="14"/>
      <c r="AH1008" s="14"/>
      <c r="AI1008" s="83"/>
      <c r="AJ1008" s="1370"/>
      <c r="AK1008" s="1371"/>
      <c r="AL1008" s="1371"/>
      <c r="AM1008" s="1371"/>
      <c r="AN1008" s="1371"/>
      <c r="AO1008" s="1371"/>
      <c r="AP1008" s="1371"/>
      <c r="AQ1008" s="1372"/>
      <c r="AR1008" s="68"/>
      <c r="AS1008" s="68"/>
      <c r="AT1008" s="68"/>
      <c r="AU1008" s="68"/>
      <c r="AV1008" s="68"/>
      <c r="AW1008" s="68"/>
      <c r="AX1008" s="68"/>
      <c r="AY1008" s="68"/>
      <c r="AZ1008" s="34"/>
      <c r="BA1008" s="34"/>
      <c r="BB1008" s="34"/>
      <c r="BC1008" s="34"/>
    </row>
    <row r="1009" spans="1:55" ht="13" customHeight="1">
      <c r="A1009" s="14"/>
      <c r="B1009" s="257"/>
      <c r="C1009" s="256"/>
      <c r="D1009" s="1551" t="s">
        <v>2725</v>
      </c>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3"/>
      <c r="AF1009" s="77"/>
      <c r="AG1009" s="7"/>
      <c r="AH1009" s="7"/>
      <c r="AI1009" s="78"/>
      <c r="AJ1009" s="1373"/>
      <c r="AK1009" s="1374"/>
      <c r="AL1009" s="1374"/>
      <c r="AM1009" s="1374"/>
      <c r="AN1009" s="1374"/>
      <c r="AO1009" s="1374"/>
      <c r="AP1009" s="1374"/>
      <c r="AQ1009" s="1375"/>
      <c r="AR1009" s="68"/>
      <c r="AS1009" s="68"/>
      <c r="AT1009" s="68"/>
      <c r="AU1009" s="68"/>
      <c r="AV1009" s="68"/>
      <c r="AW1009" s="68"/>
      <c r="AX1009" s="68"/>
      <c r="AY1009" s="68"/>
      <c r="AZ1009" s="34"/>
      <c r="BA1009" s="34"/>
      <c r="BB1009" s="34"/>
      <c r="BC1009" s="34"/>
    </row>
    <row r="1010" spans="1:55" ht="13" customHeight="1">
      <c r="A1010" s="14"/>
      <c r="B1010" s="255"/>
      <c r="C1010" s="318"/>
      <c r="D1010" s="1560" t="s">
        <v>1285</v>
      </c>
      <c r="E1010" s="1561"/>
      <c r="F1010" s="1561"/>
      <c r="G1010" s="1561"/>
      <c r="H1010" s="1561"/>
      <c r="I1010" s="1561"/>
      <c r="J1010" s="1561"/>
      <c r="K1010" s="1561"/>
      <c r="L1010" s="1561"/>
      <c r="M1010" s="1561"/>
      <c r="N1010" s="1561"/>
      <c r="O1010" s="1561"/>
      <c r="P1010" s="1561"/>
      <c r="Q1010" s="1561"/>
      <c r="R1010" s="1561"/>
      <c r="S1010" s="1561"/>
      <c r="T1010" s="1561"/>
      <c r="U1010" s="1561"/>
      <c r="V1010" s="1561"/>
      <c r="W1010" s="1561"/>
      <c r="X1010" s="1561"/>
      <c r="Y1010" s="1561"/>
      <c r="Z1010" s="1561"/>
      <c r="AA1010" s="1561"/>
      <c r="AB1010" s="1561"/>
      <c r="AC1010" s="1561"/>
      <c r="AD1010" s="1561"/>
      <c r="AE1010" s="1562"/>
      <c r="AF1010" s="79"/>
      <c r="AG1010" s="1579" t="s">
        <v>668</v>
      </c>
      <c r="AH1010" s="1580"/>
      <c r="AI1010" s="87"/>
      <c r="AJ1010" s="1367">
        <f>ROUND(IF(AG1010="yes",AJ1001*0.05,0),0)</f>
        <v>0</v>
      </c>
      <c r="AK1010" s="1368"/>
      <c r="AL1010" s="1368"/>
      <c r="AM1010" s="1368"/>
      <c r="AN1010" s="1368"/>
      <c r="AO1010" s="1368"/>
      <c r="AP1010" s="1368"/>
      <c r="AQ1010" s="1369"/>
      <c r="AR1010" s="68"/>
      <c r="AS1010" s="68"/>
      <c r="AT1010" s="68"/>
      <c r="AU1010" s="68"/>
      <c r="AV1010" s="68"/>
      <c r="AW1010" s="68"/>
      <c r="AX1010" s="68"/>
      <c r="AY1010" s="68"/>
      <c r="AZ1010" s="34"/>
      <c r="BA1010" s="34"/>
      <c r="BB1010" s="34"/>
      <c r="BC1010" s="34"/>
    </row>
    <row r="1011" spans="1:55" ht="13" customHeight="1">
      <c r="A1011" s="14"/>
      <c r="B1011" s="257"/>
      <c r="C1011" s="82"/>
      <c r="D1011" s="1554" t="s">
        <v>1283</v>
      </c>
      <c r="E1011" s="1555"/>
      <c r="F1011" s="1555"/>
      <c r="G1011" s="1555"/>
      <c r="H1011" s="1555"/>
      <c r="I1011" s="1555"/>
      <c r="J1011" s="1555"/>
      <c r="K1011" s="1555"/>
      <c r="L1011" s="1555"/>
      <c r="M1011" s="1555"/>
      <c r="N1011" s="1555"/>
      <c r="O1011" s="1555"/>
      <c r="P1011" s="1555"/>
      <c r="Q1011" s="1555"/>
      <c r="R1011" s="1555"/>
      <c r="S1011" s="1555"/>
      <c r="T1011" s="1555"/>
      <c r="U1011" s="1555"/>
      <c r="V1011" s="1555"/>
      <c r="W1011" s="1555"/>
      <c r="X1011" s="1555"/>
      <c r="Y1011" s="1555"/>
      <c r="Z1011" s="1555"/>
      <c r="AA1011" s="1555"/>
      <c r="AB1011" s="1555"/>
      <c r="AC1011" s="1555"/>
      <c r="AD1011" s="1555"/>
      <c r="AE1011" s="1556"/>
      <c r="AF1011" s="73"/>
      <c r="AG1011" s="14"/>
      <c r="AH1011" s="14"/>
      <c r="AI1011" s="83"/>
      <c r="AJ1011" s="1370"/>
      <c r="AK1011" s="1371"/>
      <c r="AL1011" s="1371"/>
      <c r="AM1011" s="1371"/>
      <c r="AN1011" s="1371"/>
      <c r="AO1011" s="1371"/>
      <c r="AP1011" s="1371"/>
      <c r="AQ1011" s="1372"/>
      <c r="AR1011" s="68"/>
      <c r="AS1011" s="68"/>
      <c r="AT1011" s="68"/>
      <c r="AU1011" s="68"/>
      <c r="AV1011" s="68"/>
      <c r="AW1011" s="68"/>
      <c r="AX1011" s="68"/>
      <c r="AY1011" s="34"/>
      <c r="AZ1011" s="34"/>
      <c r="BB1011" s="34"/>
    </row>
    <row r="1012" spans="1:55" ht="13" customHeight="1">
      <c r="A1012" s="14"/>
      <c r="B1012" s="257"/>
      <c r="C1012" s="82"/>
      <c r="D1012" s="1554"/>
      <c r="E1012" s="1555"/>
      <c r="F1012" s="1555"/>
      <c r="G1012" s="1555"/>
      <c r="H1012" s="1555"/>
      <c r="I1012" s="1555"/>
      <c r="J1012" s="1555"/>
      <c r="K1012" s="1555"/>
      <c r="L1012" s="1555"/>
      <c r="M1012" s="1555"/>
      <c r="N1012" s="1555"/>
      <c r="O1012" s="1555"/>
      <c r="P1012" s="1555"/>
      <c r="Q1012" s="1555"/>
      <c r="R1012" s="1555"/>
      <c r="S1012" s="1555"/>
      <c r="T1012" s="1555"/>
      <c r="U1012" s="1555"/>
      <c r="V1012" s="1555"/>
      <c r="W1012" s="1555"/>
      <c r="X1012" s="1555"/>
      <c r="Y1012" s="1555"/>
      <c r="Z1012" s="1555"/>
      <c r="AA1012" s="1555"/>
      <c r="AB1012" s="1555"/>
      <c r="AC1012" s="1555"/>
      <c r="AD1012" s="1555"/>
      <c r="AE1012" s="1556"/>
      <c r="AF1012" s="73"/>
      <c r="AG1012" s="14"/>
      <c r="AH1012" s="14"/>
      <c r="AI1012" s="83"/>
      <c r="AJ1012" s="1370"/>
      <c r="AK1012" s="1371"/>
      <c r="AL1012" s="1371"/>
      <c r="AM1012" s="1371"/>
      <c r="AN1012" s="1371"/>
      <c r="AO1012" s="1371"/>
      <c r="AP1012" s="1371"/>
      <c r="AQ1012" s="1372"/>
      <c r="AR1012" s="68"/>
      <c r="AS1012" s="68"/>
      <c r="AT1012" s="68"/>
      <c r="AU1012" s="68"/>
      <c r="AV1012" s="68"/>
      <c r="AW1012" s="68"/>
      <c r="AX1012" s="68"/>
      <c r="AY1012" s="910">
        <f>G761+O805</f>
        <v>95</v>
      </c>
      <c r="AZ1012" s="34"/>
      <c r="BB1012" s="34"/>
    </row>
    <row r="1013" spans="1:55" ht="13" customHeight="1">
      <c r="A1013" s="14"/>
      <c r="B1013" s="257"/>
      <c r="C1013" s="82"/>
      <c r="D1013" s="1554"/>
      <c r="E1013" s="1555"/>
      <c r="F1013" s="1555"/>
      <c r="G1013" s="1555"/>
      <c r="H1013" s="1555"/>
      <c r="I1013" s="1555"/>
      <c r="J1013" s="1555"/>
      <c r="K1013" s="1555"/>
      <c r="L1013" s="1555"/>
      <c r="M1013" s="1555"/>
      <c r="N1013" s="1555"/>
      <c r="O1013" s="1555"/>
      <c r="P1013" s="1555"/>
      <c r="Q1013" s="1555"/>
      <c r="R1013" s="1555"/>
      <c r="S1013" s="1555"/>
      <c r="T1013" s="1555"/>
      <c r="U1013" s="1555"/>
      <c r="V1013" s="1555"/>
      <c r="W1013" s="1555"/>
      <c r="X1013" s="1555"/>
      <c r="Y1013" s="1555"/>
      <c r="Z1013" s="1555"/>
      <c r="AA1013" s="1555"/>
      <c r="AB1013" s="1555"/>
      <c r="AC1013" s="1555"/>
      <c r="AD1013" s="1555"/>
      <c r="AE1013" s="1556"/>
      <c r="AF1013" s="73"/>
      <c r="AG1013" s="14"/>
      <c r="AH1013" s="14"/>
      <c r="AI1013" s="83"/>
      <c r="AJ1013" s="1370"/>
      <c r="AK1013" s="1371"/>
      <c r="AL1013" s="1371"/>
      <c r="AM1013" s="1371"/>
      <c r="AN1013" s="1371"/>
      <c r="AO1013" s="1371"/>
      <c r="AP1013" s="1371"/>
      <c r="AQ1013" s="1372"/>
      <c r="AR1013" s="68"/>
      <c r="AS1013" s="68"/>
      <c r="AT1013" s="68"/>
      <c r="AU1013" s="68"/>
      <c r="AV1013" s="68"/>
      <c r="AW1013" s="68"/>
      <c r="AX1013" s="68"/>
      <c r="AY1013" s="14"/>
      <c r="AZ1013" s="34"/>
      <c r="BB1013" s="34"/>
    </row>
    <row r="1014" spans="1:55" ht="13" customHeight="1">
      <c r="A1014" s="14"/>
      <c r="B1014" s="257"/>
      <c r="C1014" s="82"/>
      <c r="D1014" s="1554"/>
      <c r="E1014" s="1555"/>
      <c r="F1014" s="1555"/>
      <c r="G1014" s="1555"/>
      <c r="H1014" s="1555"/>
      <c r="I1014" s="1555"/>
      <c r="J1014" s="1555"/>
      <c r="K1014" s="1555"/>
      <c r="L1014" s="1555"/>
      <c r="M1014" s="1555"/>
      <c r="N1014" s="1555"/>
      <c r="O1014" s="1555"/>
      <c r="P1014" s="1555"/>
      <c r="Q1014" s="1555"/>
      <c r="R1014" s="1555"/>
      <c r="S1014" s="1555"/>
      <c r="T1014" s="1555"/>
      <c r="U1014" s="1555"/>
      <c r="V1014" s="1555"/>
      <c r="W1014" s="1555"/>
      <c r="X1014" s="1555"/>
      <c r="Y1014" s="1555"/>
      <c r="Z1014" s="1555"/>
      <c r="AA1014" s="1555"/>
      <c r="AB1014" s="1555"/>
      <c r="AC1014" s="1555"/>
      <c r="AD1014" s="1555"/>
      <c r="AE1014" s="1556"/>
      <c r="AF1014" s="73"/>
      <c r="AG1014" s="14"/>
      <c r="AH1014" s="14"/>
      <c r="AI1014" s="83"/>
      <c r="AJ1014" s="1370"/>
      <c r="AK1014" s="1371"/>
      <c r="AL1014" s="1371"/>
      <c r="AM1014" s="1371"/>
      <c r="AN1014" s="1371"/>
      <c r="AO1014" s="1371"/>
      <c r="AP1014" s="1371"/>
      <c r="AQ1014" s="1372"/>
      <c r="AR1014" s="68"/>
      <c r="AS1014" s="68"/>
      <c r="AT1014" s="68"/>
      <c r="AU1014" s="68"/>
      <c r="AV1014" s="68"/>
      <c r="AW1014" s="68"/>
      <c r="AX1014" s="68"/>
      <c r="AY1014" s="909">
        <f>ROUNDDOWN(X1057/I1057,2)</f>
        <v>0.11</v>
      </c>
      <c r="AZ1014" s="34"/>
      <c r="BB1014" s="34"/>
    </row>
    <row r="1015" spans="1:55" ht="13" customHeight="1">
      <c r="A1015" s="14"/>
      <c r="B1015" s="75"/>
      <c r="C1015" s="76"/>
      <c r="D1015" s="1557"/>
      <c r="E1015" s="1558"/>
      <c r="F1015" s="1558"/>
      <c r="G1015" s="1558"/>
      <c r="H1015" s="1558"/>
      <c r="I1015" s="1558"/>
      <c r="J1015" s="1558"/>
      <c r="K1015" s="1558"/>
      <c r="L1015" s="1558"/>
      <c r="M1015" s="1558"/>
      <c r="N1015" s="1558"/>
      <c r="O1015" s="1558"/>
      <c r="P1015" s="1558"/>
      <c r="Q1015" s="1558"/>
      <c r="R1015" s="1558"/>
      <c r="S1015" s="1558"/>
      <c r="T1015" s="1558"/>
      <c r="U1015" s="1558"/>
      <c r="V1015" s="1558"/>
      <c r="W1015" s="1558"/>
      <c r="X1015" s="1558"/>
      <c r="Y1015" s="1558"/>
      <c r="Z1015" s="1558"/>
      <c r="AA1015" s="1558"/>
      <c r="AB1015" s="1558"/>
      <c r="AC1015" s="1558"/>
      <c r="AD1015" s="1558"/>
      <c r="AE1015" s="1559"/>
      <c r="AF1015" s="77"/>
      <c r="AG1015" s="7"/>
      <c r="AH1015" s="7"/>
      <c r="AI1015" s="78"/>
      <c r="AJ1015" s="1373"/>
      <c r="AK1015" s="1374"/>
      <c r="AL1015" s="1374"/>
      <c r="AM1015" s="1374"/>
      <c r="AN1015" s="1374"/>
      <c r="AO1015" s="1374"/>
      <c r="AP1015" s="1374"/>
      <c r="AQ1015" s="1375"/>
      <c r="AR1015" s="68"/>
      <c r="AS1015" s="68"/>
      <c r="AT1015" s="68"/>
      <c r="AU1015" s="68"/>
      <c r="AV1015" s="68"/>
      <c r="AW1015" s="68"/>
      <c r="AX1015" s="68"/>
      <c r="AY1015" s="909">
        <f>ROUNDDOWN(X1061/I1061,2)</f>
        <v>0.11</v>
      </c>
      <c r="AZ1015" s="34"/>
      <c r="BB1015" s="34"/>
    </row>
    <row r="1016" spans="1:55" ht="13" customHeight="1">
      <c r="A1016" s="14"/>
      <c r="B1016" s="255"/>
      <c r="C1016" s="80" t="s">
        <v>671</v>
      </c>
      <c r="D1016" s="1560" t="s">
        <v>1671</v>
      </c>
      <c r="E1016" s="1561"/>
      <c r="F1016" s="1561"/>
      <c r="G1016" s="1561"/>
      <c r="H1016" s="1561"/>
      <c r="I1016" s="1561"/>
      <c r="J1016" s="1561"/>
      <c r="K1016" s="1561"/>
      <c r="L1016" s="1561"/>
      <c r="M1016" s="1561"/>
      <c r="N1016" s="1561"/>
      <c r="O1016" s="1561"/>
      <c r="P1016" s="1561"/>
      <c r="Q1016" s="1561"/>
      <c r="R1016" s="1561"/>
      <c r="S1016" s="1561"/>
      <c r="T1016" s="1561"/>
      <c r="U1016" s="1561"/>
      <c r="V1016" s="1561"/>
      <c r="W1016" s="1561"/>
      <c r="X1016" s="1561"/>
      <c r="Y1016" s="1561"/>
      <c r="Z1016" s="1561"/>
      <c r="AA1016" s="1561"/>
      <c r="AB1016" s="1561"/>
      <c r="AC1016" s="1561"/>
      <c r="AD1016" s="1561"/>
      <c r="AE1016" s="1562"/>
      <c r="AF1016" s="86"/>
      <c r="AG1016" s="1579" t="s">
        <v>668</v>
      </c>
      <c r="AH1016" s="1580"/>
      <c r="AI1016" s="87"/>
      <c r="AJ1016" s="1367">
        <f>ROUND(IF(AG1016="yes",AJ1001*0.1,0),0)</f>
        <v>0</v>
      </c>
      <c r="AK1016" s="1368"/>
      <c r="AL1016" s="1368"/>
      <c r="AM1016" s="1368"/>
      <c r="AN1016" s="1368"/>
      <c r="AO1016" s="1368"/>
      <c r="AP1016" s="1368"/>
      <c r="AQ1016" s="1369"/>
      <c r="AR1016" s="68"/>
      <c r="AS1016" s="68"/>
      <c r="AT1016" s="68"/>
      <c r="AU1016" s="68"/>
      <c r="AV1016" s="68"/>
      <c r="AW1016" s="68"/>
      <c r="AX1016" s="68"/>
      <c r="BB1016" s="34"/>
    </row>
    <row r="1017" spans="1:55" ht="13" customHeight="1">
      <c r="A1017" s="14"/>
      <c r="B1017" s="73"/>
      <c r="C1017" s="74"/>
      <c r="D1017" s="1570" t="s">
        <v>1284</v>
      </c>
      <c r="E1017" s="1571"/>
      <c r="F1017" s="1571"/>
      <c r="G1017" s="1571"/>
      <c r="H1017" s="1571"/>
      <c r="I1017" s="1571"/>
      <c r="J1017" s="1571"/>
      <c r="K1017" s="1571"/>
      <c r="L1017" s="1571"/>
      <c r="M1017" s="1571"/>
      <c r="N1017" s="1571"/>
      <c r="O1017" s="1571"/>
      <c r="P1017" s="1571"/>
      <c r="Q1017" s="1571"/>
      <c r="R1017" s="1571"/>
      <c r="S1017" s="1571"/>
      <c r="T1017" s="1571"/>
      <c r="U1017" s="1571"/>
      <c r="V1017" s="1571"/>
      <c r="W1017" s="1571"/>
      <c r="X1017" s="1571"/>
      <c r="Y1017" s="1571"/>
      <c r="Z1017" s="1571"/>
      <c r="AA1017" s="1571"/>
      <c r="AB1017" s="1571"/>
      <c r="AC1017" s="1571"/>
      <c r="AD1017" s="1571"/>
      <c r="AE1017" s="1572"/>
      <c r="AF1017" s="73"/>
      <c r="AI1017" s="83"/>
      <c r="AJ1017" s="1370"/>
      <c r="AK1017" s="1371"/>
      <c r="AL1017" s="1371"/>
      <c r="AM1017" s="1371"/>
      <c r="AN1017" s="1371"/>
      <c r="AO1017" s="1371"/>
      <c r="AP1017" s="1371"/>
      <c r="AQ1017" s="1372"/>
      <c r="AR1017" s="68"/>
      <c r="AS1017" s="68"/>
      <c r="AT1017" s="68"/>
      <c r="AU1017" s="68"/>
      <c r="AV1017" s="68"/>
      <c r="AW1017" s="68"/>
      <c r="AX1017" s="68"/>
    </row>
    <row r="1018" spans="1:55" ht="13" customHeight="1">
      <c r="A1018" s="14"/>
      <c r="B1018" s="73"/>
      <c r="C1018" s="74"/>
      <c r="D1018" s="1570"/>
      <c r="E1018" s="1571"/>
      <c r="F1018" s="1571"/>
      <c r="G1018" s="1571"/>
      <c r="H1018" s="1571"/>
      <c r="I1018" s="1571"/>
      <c r="J1018" s="1571"/>
      <c r="K1018" s="1571"/>
      <c r="L1018" s="1571"/>
      <c r="M1018" s="1571"/>
      <c r="N1018" s="1571"/>
      <c r="O1018" s="1571"/>
      <c r="P1018" s="1571"/>
      <c r="Q1018" s="1571"/>
      <c r="R1018" s="1571"/>
      <c r="S1018" s="1571"/>
      <c r="T1018" s="1571"/>
      <c r="U1018" s="1571"/>
      <c r="V1018" s="1571"/>
      <c r="W1018" s="1571"/>
      <c r="X1018" s="1571"/>
      <c r="Y1018" s="1571"/>
      <c r="Z1018" s="1571"/>
      <c r="AA1018" s="1571"/>
      <c r="AB1018" s="1571"/>
      <c r="AC1018" s="1571"/>
      <c r="AD1018" s="1571"/>
      <c r="AE1018" s="1572"/>
      <c r="AF1018" s="73"/>
      <c r="AG1018" s="14"/>
      <c r="AH1018" s="14"/>
      <c r="AI1018" s="83"/>
      <c r="AJ1018" s="1370"/>
      <c r="AK1018" s="1371"/>
      <c r="AL1018" s="1371"/>
      <c r="AM1018" s="1371"/>
      <c r="AN1018" s="1371"/>
      <c r="AO1018" s="1371"/>
      <c r="AP1018" s="1371"/>
      <c r="AQ1018" s="1372"/>
      <c r="AR1018" s="68"/>
      <c r="AS1018" s="68"/>
      <c r="AT1018" s="68"/>
      <c r="AU1018" s="68"/>
      <c r="AV1018" s="68"/>
      <c r="AW1018" s="68"/>
      <c r="AX1018" s="68"/>
    </row>
    <row r="1019" spans="1:55" ht="13" customHeight="1">
      <c r="A1019" s="14"/>
      <c r="B1019" s="85"/>
      <c r="C1019" s="76"/>
      <c r="D1019" s="1563"/>
      <c r="E1019" s="1564"/>
      <c r="F1019" s="1564"/>
      <c r="G1019" s="1564"/>
      <c r="H1019" s="1564"/>
      <c r="I1019" s="1564"/>
      <c r="J1019" s="1564"/>
      <c r="K1019" s="1564"/>
      <c r="L1019" s="1564"/>
      <c r="M1019" s="1564"/>
      <c r="N1019" s="1564"/>
      <c r="O1019" s="1564"/>
      <c r="P1019" s="1564"/>
      <c r="Q1019" s="1564"/>
      <c r="R1019" s="1564"/>
      <c r="S1019" s="1564"/>
      <c r="T1019" s="1564"/>
      <c r="U1019" s="1564"/>
      <c r="V1019" s="1564"/>
      <c r="W1019" s="1564"/>
      <c r="X1019" s="1564"/>
      <c r="Y1019" s="1564"/>
      <c r="Z1019" s="1564"/>
      <c r="AA1019" s="1564"/>
      <c r="AB1019" s="1564"/>
      <c r="AC1019" s="1564"/>
      <c r="AD1019" s="1564"/>
      <c r="AE1019" s="1565"/>
      <c r="AF1019" s="77"/>
      <c r="AG1019" s="7"/>
      <c r="AH1019" s="7"/>
      <c r="AI1019" s="78"/>
      <c r="AJ1019" s="1373"/>
      <c r="AK1019" s="1374"/>
      <c r="AL1019" s="1374"/>
      <c r="AM1019" s="1374"/>
      <c r="AN1019" s="1374"/>
      <c r="AO1019" s="1374"/>
      <c r="AP1019" s="1374"/>
      <c r="AQ1019" s="1375"/>
      <c r="AR1019" s="68"/>
      <c r="AS1019" s="68"/>
      <c r="AT1019" s="68"/>
      <c r="AU1019" s="68"/>
      <c r="AV1019" s="68"/>
      <c r="AW1019" s="68"/>
      <c r="AX1019" s="68"/>
    </row>
    <row r="1020" spans="1:55" ht="13" customHeight="1">
      <c r="A1020" s="14"/>
      <c r="B1020" s="79"/>
      <c r="C1020" s="80" t="s">
        <v>212</v>
      </c>
      <c r="D1020" s="1560" t="s">
        <v>1286</v>
      </c>
      <c r="E1020" s="1561"/>
      <c r="F1020" s="1561"/>
      <c r="G1020" s="1561"/>
      <c r="H1020" s="1561"/>
      <c r="I1020" s="1561"/>
      <c r="J1020" s="1561"/>
      <c r="K1020" s="1561"/>
      <c r="L1020" s="1561"/>
      <c r="M1020" s="1561"/>
      <c r="N1020" s="1561"/>
      <c r="O1020" s="1561"/>
      <c r="P1020" s="1561"/>
      <c r="Q1020" s="1561"/>
      <c r="R1020" s="1561"/>
      <c r="S1020" s="1561"/>
      <c r="T1020" s="1561"/>
      <c r="U1020" s="1561"/>
      <c r="V1020" s="1561"/>
      <c r="W1020" s="1561"/>
      <c r="X1020" s="1561"/>
      <c r="Y1020" s="1561"/>
      <c r="Z1020" s="1561"/>
      <c r="AA1020" s="1561"/>
      <c r="AB1020" s="1561"/>
      <c r="AC1020" s="1561"/>
      <c r="AD1020" s="1561"/>
      <c r="AE1020" s="1562"/>
      <c r="AF1020" s="79"/>
      <c r="AG1020" s="1579" t="s">
        <v>668</v>
      </c>
      <c r="AH1020" s="1580"/>
      <c r="AI1020" s="87"/>
      <c r="AJ1020" s="1367">
        <f>ROUND(IF(AG1020="yes",AJ1001*0.02,0),0)</f>
        <v>0</v>
      </c>
      <c r="AK1020" s="1368"/>
      <c r="AL1020" s="1368"/>
      <c r="AM1020" s="1368"/>
      <c r="AN1020" s="1368"/>
      <c r="AO1020" s="1368"/>
      <c r="AP1020" s="1368"/>
      <c r="AQ1020" s="1369"/>
      <c r="AR1020" s="68"/>
      <c r="AS1020" s="68"/>
      <c r="AT1020" s="68"/>
      <c r="AU1020" s="68"/>
      <c r="AV1020" s="68"/>
      <c r="AW1020" s="68"/>
      <c r="AX1020" s="68"/>
    </row>
    <row r="1021" spans="1:55" ht="14.25" customHeight="1">
      <c r="A1021" s="14"/>
      <c r="B1021" s="73"/>
      <c r="C1021" s="74"/>
      <c r="D1021" s="1563" t="s">
        <v>1287</v>
      </c>
      <c r="E1021" s="1564"/>
      <c r="F1021" s="1564"/>
      <c r="G1021" s="1564"/>
      <c r="H1021" s="1564"/>
      <c r="I1021" s="1564"/>
      <c r="J1021" s="1564"/>
      <c r="K1021" s="1564"/>
      <c r="L1021" s="1564"/>
      <c r="M1021" s="1564"/>
      <c r="N1021" s="1564"/>
      <c r="O1021" s="1564"/>
      <c r="P1021" s="1564"/>
      <c r="Q1021" s="1564"/>
      <c r="R1021" s="1564"/>
      <c r="S1021" s="1564"/>
      <c r="T1021" s="1564"/>
      <c r="U1021" s="1564"/>
      <c r="V1021" s="1564"/>
      <c r="W1021" s="1564"/>
      <c r="X1021" s="1564"/>
      <c r="Y1021" s="1564"/>
      <c r="Z1021" s="1564"/>
      <c r="AA1021" s="1564"/>
      <c r="AB1021" s="1564"/>
      <c r="AC1021" s="1564"/>
      <c r="AD1021" s="1564"/>
      <c r="AE1021" s="1565"/>
      <c r="AF1021" s="77"/>
      <c r="AG1021" s="7"/>
      <c r="AH1021" s="7"/>
      <c r="AI1021" s="78"/>
      <c r="AJ1021" s="1373"/>
      <c r="AK1021" s="1374"/>
      <c r="AL1021" s="1374"/>
      <c r="AM1021" s="1374"/>
      <c r="AN1021" s="1374"/>
      <c r="AO1021" s="1374"/>
      <c r="AP1021" s="1374"/>
      <c r="AQ1021" s="1375"/>
      <c r="AR1021" s="68"/>
      <c r="AS1021" s="68"/>
      <c r="AT1021" s="68"/>
      <c r="AU1021" s="68"/>
      <c r="AV1021" s="68"/>
      <c r="AW1021" s="68"/>
      <c r="AX1021" s="3" t="s">
        <v>1816</v>
      </c>
      <c r="AZ1021" s="3" t="s">
        <v>2530</v>
      </c>
    </row>
    <row r="1022" spans="1:55" ht="13" customHeight="1">
      <c r="A1022" s="14"/>
      <c r="B1022" s="79"/>
      <c r="C1022" s="80" t="s">
        <v>215</v>
      </c>
      <c r="D1022" s="1560" t="s">
        <v>1288</v>
      </c>
      <c r="E1022" s="1561"/>
      <c r="F1022" s="1561"/>
      <c r="G1022" s="1561"/>
      <c r="H1022" s="1561"/>
      <c r="I1022" s="1561"/>
      <c r="J1022" s="1561"/>
      <c r="K1022" s="1561"/>
      <c r="L1022" s="1561"/>
      <c r="M1022" s="1561"/>
      <c r="N1022" s="1561"/>
      <c r="O1022" s="1561"/>
      <c r="P1022" s="1561"/>
      <c r="Q1022" s="1561"/>
      <c r="R1022" s="1561"/>
      <c r="S1022" s="1561"/>
      <c r="T1022" s="1561"/>
      <c r="U1022" s="1561"/>
      <c r="V1022" s="1561"/>
      <c r="W1022" s="1561"/>
      <c r="X1022" s="1561"/>
      <c r="Y1022" s="1561"/>
      <c r="Z1022" s="1561"/>
      <c r="AA1022" s="1561"/>
      <c r="AB1022" s="1561"/>
      <c r="AC1022" s="1561"/>
      <c r="AD1022" s="1561"/>
      <c r="AE1022" s="1562"/>
      <c r="AF1022" s="79"/>
      <c r="AG1022" s="1579" t="s">
        <v>668</v>
      </c>
      <c r="AH1022" s="1580"/>
      <c r="AI1022" s="79"/>
      <c r="AJ1022" s="1367">
        <f>ROUND(IF(AG1022="yes",AJ1001*0.02,0),0)</f>
        <v>0</v>
      </c>
      <c r="AK1022" s="1368"/>
      <c r="AL1022" s="1368"/>
      <c r="AM1022" s="1368"/>
      <c r="AN1022" s="1368"/>
      <c r="AO1022" s="1368"/>
      <c r="AP1022" s="1368"/>
      <c r="AQ1022" s="1369"/>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70" t="s">
        <v>1289</v>
      </c>
      <c r="E1023" s="1571"/>
      <c r="F1023" s="1571"/>
      <c r="G1023" s="1571"/>
      <c r="H1023" s="1571"/>
      <c r="I1023" s="1571"/>
      <c r="J1023" s="1571"/>
      <c r="K1023" s="1571"/>
      <c r="L1023" s="1571"/>
      <c r="M1023" s="1571"/>
      <c r="N1023" s="1571"/>
      <c r="O1023" s="1571"/>
      <c r="P1023" s="1571"/>
      <c r="Q1023" s="1571"/>
      <c r="R1023" s="1571"/>
      <c r="S1023" s="1571"/>
      <c r="T1023" s="1571"/>
      <c r="U1023" s="1571"/>
      <c r="V1023" s="1571"/>
      <c r="W1023" s="1571"/>
      <c r="X1023" s="1571"/>
      <c r="Y1023" s="1571"/>
      <c r="Z1023" s="1571"/>
      <c r="AA1023" s="1571"/>
      <c r="AB1023" s="1571"/>
      <c r="AC1023" s="1571"/>
      <c r="AD1023" s="1571"/>
      <c r="AE1023" s="1572"/>
      <c r="AF1023" s="1351" t="str">
        <f>IF(AND(AG1022="yes",T212&lt;&gt;1),"The project may not be eligible for this boost","")</f>
        <v/>
      </c>
      <c r="AG1023" s="1352"/>
      <c r="AH1023" s="1352"/>
      <c r="AI1023" s="1353"/>
      <c r="AJ1023" s="1370"/>
      <c r="AK1023" s="1371"/>
      <c r="AL1023" s="1371"/>
      <c r="AM1023" s="1371"/>
      <c r="AN1023" s="1371"/>
      <c r="AO1023" s="1371"/>
      <c r="AP1023" s="1371"/>
      <c r="AQ1023" s="1372"/>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63"/>
      <c r="E1024" s="1564"/>
      <c r="F1024" s="1564"/>
      <c r="G1024" s="1564"/>
      <c r="H1024" s="1564"/>
      <c r="I1024" s="1564"/>
      <c r="J1024" s="1564"/>
      <c r="K1024" s="1564"/>
      <c r="L1024" s="1564"/>
      <c r="M1024" s="1564"/>
      <c r="N1024" s="1564"/>
      <c r="O1024" s="1564"/>
      <c r="P1024" s="1564"/>
      <c r="Q1024" s="1564"/>
      <c r="R1024" s="1564"/>
      <c r="S1024" s="1564"/>
      <c r="T1024" s="1564"/>
      <c r="U1024" s="1564"/>
      <c r="V1024" s="1564"/>
      <c r="W1024" s="1564"/>
      <c r="X1024" s="1564"/>
      <c r="Y1024" s="1564"/>
      <c r="Z1024" s="1564"/>
      <c r="AA1024" s="1564"/>
      <c r="AB1024" s="1564"/>
      <c r="AC1024" s="1564"/>
      <c r="AD1024" s="1564"/>
      <c r="AE1024" s="1565"/>
      <c r="AF1024" s="1354"/>
      <c r="AG1024" s="1355"/>
      <c r="AH1024" s="1355"/>
      <c r="AI1024" s="1356"/>
      <c r="AJ1024" s="1373"/>
      <c r="AK1024" s="1374"/>
      <c r="AL1024" s="1374"/>
      <c r="AM1024" s="1374"/>
      <c r="AN1024" s="1374"/>
      <c r="AO1024" s="1374"/>
      <c r="AP1024" s="1374"/>
      <c r="AQ1024" s="1375"/>
      <c r="AR1024" s="68"/>
      <c r="AS1024" s="68"/>
      <c r="AT1024" s="68"/>
      <c r="AU1024" s="68"/>
      <c r="AV1024" s="68"/>
      <c r="AW1024" s="68"/>
      <c r="AX1024" s="3">
        <v>3</v>
      </c>
      <c r="AY1024" s="200">
        <f t="shared" si="55"/>
        <v>0</v>
      </c>
      <c r="AZ1024" s="1189">
        <v>0.05</v>
      </c>
    </row>
    <row r="1025" spans="1:52" ht="13" customHeight="1">
      <c r="A1025" s="14"/>
      <c r="B1025" s="79"/>
      <c r="C1025" s="80" t="s">
        <v>218</v>
      </c>
      <c r="D1025" s="1584" t="s">
        <v>2188</v>
      </c>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6"/>
      <c r="AF1025" s="79"/>
      <c r="AG1025" s="1579" t="s">
        <v>668</v>
      </c>
      <c r="AH1025" s="1580"/>
      <c r="AI1025" s="87"/>
      <c r="AJ1025" s="1367">
        <f>IF(AG1025="yes",AJ1001*AY1033,0)</f>
        <v>0</v>
      </c>
      <c r="AK1025" s="1368"/>
      <c r="AL1025" s="1368"/>
      <c r="AM1025" s="1368"/>
      <c r="AN1025" s="1368"/>
      <c r="AO1025" s="1368"/>
      <c r="AP1025" s="1368"/>
      <c r="AQ1025" s="1369"/>
      <c r="AR1025" s="68"/>
      <c r="AS1025" s="68"/>
      <c r="AT1025" s="68"/>
      <c r="AU1025" s="68"/>
      <c r="AV1025" s="68"/>
      <c r="AW1025" s="68"/>
      <c r="AX1025" s="3">
        <v>4</v>
      </c>
      <c r="AY1025" s="200">
        <f t="shared" si="55"/>
        <v>0</v>
      </c>
      <c r="AZ1025" s="1189">
        <v>0.02</v>
      </c>
    </row>
    <row r="1026" spans="1:52" ht="13" customHeight="1">
      <c r="A1026" s="14"/>
      <c r="B1026" s="73"/>
      <c r="C1026" s="74"/>
      <c r="D1026" s="1570" t="s">
        <v>2592</v>
      </c>
      <c r="E1026" s="1571"/>
      <c r="F1026" s="1571"/>
      <c r="G1026" s="1571"/>
      <c r="H1026" s="1571"/>
      <c r="I1026" s="1571"/>
      <c r="J1026" s="1571"/>
      <c r="K1026" s="1571"/>
      <c r="L1026" s="1571"/>
      <c r="M1026" s="1571"/>
      <c r="N1026" s="1571"/>
      <c r="O1026" s="1571"/>
      <c r="P1026" s="1571"/>
      <c r="Q1026" s="1571"/>
      <c r="R1026" s="1571"/>
      <c r="S1026" s="1571"/>
      <c r="T1026" s="1571"/>
      <c r="U1026" s="1571"/>
      <c r="V1026" s="1571"/>
      <c r="W1026" s="1571"/>
      <c r="X1026" s="1571"/>
      <c r="Y1026" s="1571"/>
      <c r="Z1026" s="1571"/>
      <c r="AA1026" s="1571"/>
      <c r="AB1026" s="1571"/>
      <c r="AC1026" s="1571"/>
      <c r="AD1026" s="1571"/>
      <c r="AE1026" s="1572"/>
      <c r="AF1026" s="1345" t="str">
        <f>IF(AND(AG1025="Yes",AY1033=0),AY1036,"")</f>
        <v/>
      </c>
      <c r="AG1026" s="1346"/>
      <c r="AH1026" s="1346"/>
      <c r="AI1026" s="1347"/>
      <c r="AJ1026" s="1370"/>
      <c r="AK1026" s="1371"/>
      <c r="AL1026" s="1371"/>
      <c r="AM1026" s="1371"/>
      <c r="AN1026" s="1371"/>
      <c r="AO1026" s="1371"/>
      <c r="AP1026" s="1371"/>
      <c r="AQ1026" s="1372"/>
      <c r="AR1026" s="68"/>
      <c r="AS1026" s="68"/>
      <c r="AT1026" s="68"/>
      <c r="AU1026" s="68"/>
      <c r="AV1026" s="68"/>
      <c r="AW1026" s="68"/>
      <c r="AX1026" s="3">
        <v>5</v>
      </c>
      <c r="AY1026" s="200">
        <f t="shared" si="55"/>
        <v>0</v>
      </c>
      <c r="AZ1026" s="1189">
        <v>0.04</v>
      </c>
    </row>
    <row r="1027" spans="1:52" ht="13" customHeight="1">
      <c r="A1027" s="14"/>
      <c r="B1027" s="73"/>
      <c r="C1027" s="74"/>
      <c r="D1027" s="1570"/>
      <c r="E1027" s="1571"/>
      <c r="F1027" s="1571"/>
      <c r="G1027" s="1571"/>
      <c r="H1027" s="1571"/>
      <c r="I1027" s="1571"/>
      <c r="J1027" s="1571"/>
      <c r="K1027" s="1571"/>
      <c r="L1027" s="1571"/>
      <c r="M1027" s="1571"/>
      <c r="N1027" s="1571"/>
      <c r="O1027" s="1571"/>
      <c r="P1027" s="1571"/>
      <c r="Q1027" s="1571"/>
      <c r="R1027" s="1571"/>
      <c r="S1027" s="1571"/>
      <c r="T1027" s="1571"/>
      <c r="U1027" s="1571"/>
      <c r="V1027" s="1571"/>
      <c r="W1027" s="1571"/>
      <c r="X1027" s="1571"/>
      <c r="Y1027" s="1571"/>
      <c r="Z1027" s="1571"/>
      <c r="AA1027" s="1571"/>
      <c r="AB1027" s="1571"/>
      <c r="AC1027" s="1571"/>
      <c r="AD1027" s="1571"/>
      <c r="AE1027" s="1572"/>
      <c r="AF1027" s="1345"/>
      <c r="AG1027" s="1346"/>
      <c r="AH1027" s="1346"/>
      <c r="AI1027" s="1347"/>
      <c r="AJ1027" s="1370"/>
      <c r="AK1027" s="1371"/>
      <c r="AL1027" s="1371"/>
      <c r="AM1027" s="1371"/>
      <c r="AN1027" s="1371"/>
      <c r="AO1027" s="1371"/>
      <c r="AP1027" s="1371"/>
      <c r="AQ1027" s="1372"/>
      <c r="AR1027" s="68"/>
      <c r="AS1027" s="68"/>
      <c r="AT1027" s="68"/>
      <c r="AU1027" s="68"/>
      <c r="AV1027" s="68"/>
      <c r="AW1027" s="68"/>
      <c r="AX1027" s="3">
        <v>6</v>
      </c>
      <c r="AY1027" s="200">
        <f t="shared" si="55"/>
        <v>0</v>
      </c>
      <c r="AZ1027" s="1189">
        <v>0.04</v>
      </c>
    </row>
    <row r="1028" spans="1:52" ht="13" customHeight="1">
      <c r="A1028" s="14"/>
      <c r="B1028" s="81"/>
      <c r="C1028" s="82"/>
      <c r="D1028" s="1563"/>
      <c r="E1028" s="1564"/>
      <c r="F1028" s="1564"/>
      <c r="G1028" s="1564"/>
      <c r="H1028" s="1564"/>
      <c r="I1028" s="1564"/>
      <c r="J1028" s="1564"/>
      <c r="K1028" s="1564"/>
      <c r="L1028" s="1564"/>
      <c r="M1028" s="1564"/>
      <c r="N1028" s="1564"/>
      <c r="O1028" s="1564"/>
      <c r="P1028" s="1564"/>
      <c r="Q1028" s="1564"/>
      <c r="R1028" s="1564"/>
      <c r="S1028" s="1564"/>
      <c r="T1028" s="1564"/>
      <c r="U1028" s="1564"/>
      <c r="V1028" s="1564"/>
      <c r="W1028" s="1564"/>
      <c r="X1028" s="1564"/>
      <c r="Y1028" s="1564"/>
      <c r="Z1028" s="1564"/>
      <c r="AA1028" s="1564"/>
      <c r="AB1028" s="1564"/>
      <c r="AC1028" s="1564"/>
      <c r="AD1028" s="1564"/>
      <c r="AE1028" s="1565"/>
      <c r="AF1028" s="1348"/>
      <c r="AG1028" s="1349"/>
      <c r="AH1028" s="1349"/>
      <c r="AI1028" s="1350"/>
      <c r="AJ1028" s="1373"/>
      <c r="AK1028" s="1374"/>
      <c r="AL1028" s="1374"/>
      <c r="AM1028" s="1374"/>
      <c r="AN1028" s="1374"/>
      <c r="AO1028" s="1374"/>
      <c r="AP1028" s="1374"/>
      <c r="AQ1028" s="1375"/>
      <c r="AR1028" s="68"/>
      <c r="AS1028" s="68"/>
      <c r="AT1028" s="68"/>
      <c r="AU1028" s="68"/>
      <c r="AV1028" s="68"/>
      <c r="AW1028" s="68"/>
      <c r="AX1028" s="3">
        <v>7</v>
      </c>
      <c r="AY1028" s="200">
        <f t="shared" si="55"/>
        <v>0</v>
      </c>
      <c r="AZ1028" s="1189">
        <v>0.01</v>
      </c>
    </row>
    <row r="1029" spans="1:52" ht="13" customHeight="1">
      <c r="A1029" s="14"/>
      <c r="B1029" s="79"/>
      <c r="C1029" s="80" t="s">
        <v>223</v>
      </c>
      <c r="D1029" s="1611" t="s">
        <v>1290</v>
      </c>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3"/>
      <c r="AF1029" s="79"/>
      <c r="AG1029" s="1579" t="s">
        <v>668</v>
      </c>
      <c r="AH1029" s="1580"/>
      <c r="AI1029" s="87"/>
      <c r="AJ1029" s="1367">
        <f>ROUND(IF(AND(AG1029="Yes",J1033&lt;&gt;"N/A",AF1032&lt;&gt;""),MIN(AF1032,(0.15*AJ1001)),0),0)</f>
        <v>0</v>
      </c>
      <c r="AK1029" s="1368"/>
      <c r="AL1029" s="1368"/>
      <c r="AM1029" s="1368"/>
      <c r="AN1029" s="1368"/>
      <c r="AO1029" s="1368"/>
      <c r="AP1029" s="1368"/>
      <c r="AQ1029" s="1369"/>
      <c r="AR1029" s="68"/>
      <c r="AS1029" s="68"/>
      <c r="AT1029" s="68"/>
      <c r="AU1029" s="68"/>
      <c r="AV1029" s="68"/>
      <c r="AW1029" s="68"/>
      <c r="AX1029" s="3">
        <v>8</v>
      </c>
      <c r="AY1029" s="200">
        <f t="shared" si="55"/>
        <v>0</v>
      </c>
      <c r="AZ1029" s="1189">
        <v>0.01</v>
      </c>
    </row>
    <row r="1030" spans="1:52" ht="13" customHeight="1">
      <c r="A1030" s="14"/>
      <c r="B1030" s="81"/>
      <c r="C1030" s="84"/>
      <c r="D1030" s="1614"/>
      <c r="E1030" s="1615"/>
      <c r="F1030" s="1615"/>
      <c r="G1030" s="1615"/>
      <c r="H1030" s="1615"/>
      <c r="I1030" s="1615"/>
      <c r="J1030" s="1615"/>
      <c r="K1030" s="1615"/>
      <c r="L1030" s="1615"/>
      <c r="M1030" s="1615"/>
      <c r="N1030" s="1615"/>
      <c r="O1030" s="1615"/>
      <c r="P1030" s="1615"/>
      <c r="Q1030" s="1615"/>
      <c r="R1030" s="1615"/>
      <c r="S1030" s="1615"/>
      <c r="T1030" s="1615"/>
      <c r="U1030" s="1615"/>
      <c r="V1030" s="1615"/>
      <c r="W1030" s="1615"/>
      <c r="X1030" s="1615"/>
      <c r="Y1030" s="1615"/>
      <c r="Z1030" s="1615"/>
      <c r="AA1030" s="1615"/>
      <c r="AB1030" s="1615"/>
      <c r="AC1030" s="1615"/>
      <c r="AD1030" s="1615"/>
      <c r="AE1030" s="1616"/>
      <c r="AF1030" s="1627" t="str">
        <f>IF(AG1029="yes","Please Select Type and Enter Amount:","")</f>
        <v/>
      </c>
      <c r="AG1030" s="1628"/>
      <c r="AH1030" s="1628"/>
      <c r="AI1030" s="1629"/>
      <c r="AJ1030" s="1370"/>
      <c r="AK1030" s="1371"/>
      <c r="AL1030" s="1371"/>
      <c r="AM1030" s="1371"/>
      <c r="AN1030" s="1371"/>
      <c r="AO1030" s="1371"/>
      <c r="AP1030" s="1371"/>
      <c r="AQ1030" s="1372"/>
      <c r="AR1030" s="68"/>
      <c r="AS1030" s="68"/>
      <c r="AT1030" s="68"/>
      <c r="AU1030" s="68"/>
      <c r="AV1030" s="68"/>
      <c r="AW1030" s="68"/>
      <c r="AX1030" s="3">
        <v>9</v>
      </c>
      <c r="AY1030" s="200">
        <f t="shared" si="55"/>
        <v>0</v>
      </c>
      <c r="AZ1030" s="1189">
        <v>0.01</v>
      </c>
    </row>
    <row r="1031" spans="1:52" ht="13" customHeight="1">
      <c r="A1031" s="14"/>
      <c r="B1031" s="81"/>
      <c r="C1031" s="84"/>
      <c r="D1031" s="1570" t="s">
        <v>1291</v>
      </c>
      <c r="E1031" s="1571"/>
      <c r="F1031" s="1571"/>
      <c r="G1031" s="1571"/>
      <c r="H1031" s="1571"/>
      <c r="I1031" s="1571"/>
      <c r="J1031" s="1571"/>
      <c r="K1031" s="1571"/>
      <c r="L1031" s="1571"/>
      <c r="M1031" s="1571"/>
      <c r="N1031" s="1571"/>
      <c r="O1031" s="1571"/>
      <c r="P1031" s="1571"/>
      <c r="Q1031" s="1571"/>
      <c r="R1031" s="1571"/>
      <c r="S1031" s="1571"/>
      <c r="T1031" s="1571"/>
      <c r="U1031" s="1571"/>
      <c r="V1031" s="1571"/>
      <c r="W1031" s="1571"/>
      <c r="X1031" s="1571"/>
      <c r="Y1031" s="1571"/>
      <c r="Z1031" s="1571"/>
      <c r="AA1031" s="1571"/>
      <c r="AB1031" s="1571"/>
      <c r="AC1031" s="1571"/>
      <c r="AD1031" s="1571"/>
      <c r="AE1031" s="1572"/>
      <c r="AF1031" s="1627"/>
      <c r="AG1031" s="1628"/>
      <c r="AH1031" s="1628"/>
      <c r="AI1031" s="1629"/>
      <c r="AJ1031" s="1370"/>
      <c r="AK1031" s="1371"/>
      <c r="AL1031" s="1371"/>
      <c r="AM1031" s="1371"/>
      <c r="AN1031" s="1371"/>
      <c r="AO1031" s="1371"/>
      <c r="AP1031" s="1371"/>
      <c r="AQ1031" s="1372"/>
      <c r="AR1031" s="68"/>
      <c r="AS1031" s="68"/>
      <c r="AT1031" s="68"/>
      <c r="AU1031" s="68"/>
      <c r="AV1031" s="68"/>
      <c r="AW1031" s="68"/>
      <c r="AX1031" s="3">
        <v>10</v>
      </c>
      <c r="AY1031" s="200">
        <f t="shared" si="55"/>
        <v>0</v>
      </c>
      <c r="AZ1031" s="1189">
        <v>0.02</v>
      </c>
    </row>
    <row r="1032" spans="1:52" ht="13" customHeight="1">
      <c r="A1032" s="14"/>
      <c r="B1032" s="81"/>
      <c r="C1032" s="84"/>
      <c r="D1032" s="1570"/>
      <c r="E1032" s="1571"/>
      <c r="F1032" s="1571"/>
      <c r="G1032" s="1571"/>
      <c r="H1032" s="1571"/>
      <c r="I1032" s="1571"/>
      <c r="J1032" s="1571"/>
      <c r="K1032" s="1571"/>
      <c r="L1032" s="1571"/>
      <c r="M1032" s="1571"/>
      <c r="N1032" s="1571"/>
      <c r="O1032" s="1571"/>
      <c r="P1032" s="1571"/>
      <c r="Q1032" s="1571"/>
      <c r="R1032" s="1571"/>
      <c r="S1032" s="1571"/>
      <c r="T1032" s="1571"/>
      <c r="U1032" s="1571"/>
      <c r="V1032" s="1571"/>
      <c r="W1032" s="1571"/>
      <c r="X1032" s="1571"/>
      <c r="Y1032" s="1571"/>
      <c r="Z1032" s="1571"/>
      <c r="AA1032" s="1571"/>
      <c r="AB1032" s="1571"/>
      <c r="AC1032" s="1571"/>
      <c r="AD1032" s="1571"/>
      <c r="AE1032" s="1572"/>
      <c r="AF1032" s="1388"/>
      <c r="AG1032" s="1388"/>
      <c r="AH1032" s="1388"/>
      <c r="AI1032" s="1388"/>
      <c r="AJ1032" s="1370"/>
      <c r="AK1032" s="1371"/>
      <c r="AL1032" s="1371"/>
      <c r="AM1032" s="1371"/>
      <c r="AN1032" s="1371"/>
      <c r="AO1032" s="1371"/>
      <c r="AP1032" s="1371"/>
      <c r="AQ1032" s="1372"/>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420" t="s">
        <v>591</v>
      </c>
      <c r="K1033" s="1421"/>
      <c r="L1033" s="1421"/>
      <c r="M1033" s="1421"/>
      <c r="N1033" s="1421"/>
      <c r="O1033" s="1421"/>
      <c r="P1033" s="1421"/>
      <c r="Q1033" s="1421"/>
      <c r="R1033" s="1421"/>
      <c r="S1033" s="1421"/>
      <c r="T1033" s="1421"/>
      <c r="U1033" s="1421"/>
      <c r="V1033" s="1421"/>
      <c r="W1033" s="1421"/>
      <c r="X1033" s="1421"/>
      <c r="Y1033" s="1421"/>
      <c r="Z1033" s="1421"/>
      <c r="AA1033" s="1421"/>
      <c r="AB1033" s="1421"/>
      <c r="AC1033" s="1421"/>
      <c r="AD1033" s="1421"/>
      <c r="AE1033" s="1422"/>
      <c r="AF1033" s="1388"/>
      <c r="AG1033" s="1388"/>
      <c r="AH1033" s="1388"/>
      <c r="AI1033" s="1388"/>
      <c r="AJ1033" s="1373"/>
      <c r="AK1033" s="1374"/>
      <c r="AL1033" s="1374"/>
      <c r="AM1033" s="1374"/>
      <c r="AN1033" s="1374"/>
      <c r="AO1033" s="1374"/>
      <c r="AP1033" s="1374"/>
      <c r="AQ1033" s="1375"/>
      <c r="AR1033" s="68"/>
      <c r="AS1033" s="68"/>
      <c r="AT1033" s="68"/>
      <c r="AU1033" s="68"/>
      <c r="AV1033" s="68"/>
      <c r="AW1033" s="68"/>
      <c r="AX1033" s="1027" t="s">
        <v>2529</v>
      </c>
      <c r="AY1033" s="201">
        <f>IF(SUM(AY1022:AY1032)&lt;=0.2,SUM(AY1022:AY1032),0.2)</f>
        <v>0</v>
      </c>
    </row>
    <row r="1034" spans="1:52" ht="13" customHeight="1">
      <c r="A1034" s="14"/>
      <c r="B1034" s="79"/>
      <c r="C1034" s="80" t="s">
        <v>229</v>
      </c>
      <c r="D1034" s="1560" t="s">
        <v>1292</v>
      </c>
      <c r="E1034" s="1561"/>
      <c r="F1034" s="1561"/>
      <c r="G1034" s="1561"/>
      <c r="H1034" s="1561"/>
      <c r="I1034" s="1561"/>
      <c r="J1034" s="1561"/>
      <c r="K1034" s="1561"/>
      <c r="L1034" s="1561"/>
      <c r="M1034" s="1561"/>
      <c r="N1034" s="1561"/>
      <c r="O1034" s="1561"/>
      <c r="P1034" s="1561"/>
      <c r="Q1034" s="1561"/>
      <c r="R1034" s="1561"/>
      <c r="S1034" s="1561"/>
      <c r="T1034" s="1561"/>
      <c r="U1034" s="1561"/>
      <c r="V1034" s="1561"/>
      <c r="W1034" s="1561"/>
      <c r="X1034" s="1561"/>
      <c r="Y1034" s="1561"/>
      <c r="Z1034" s="1561"/>
      <c r="AA1034" s="1561"/>
      <c r="AB1034" s="1561"/>
      <c r="AC1034" s="1561"/>
      <c r="AD1034" s="1561"/>
      <c r="AE1034" s="1562"/>
      <c r="AF1034" s="79"/>
      <c r="AG1034" s="1579" t="s">
        <v>668</v>
      </c>
      <c r="AH1034" s="1580"/>
      <c r="AI1034" s="87"/>
      <c r="AJ1034" s="1367">
        <f>ROUND(IF(AG1034="Yes",AF1036,0),0)</f>
        <v>0</v>
      </c>
      <c r="AK1034" s="1368"/>
      <c r="AL1034" s="1368"/>
      <c r="AM1034" s="1368"/>
      <c r="AN1034" s="1368"/>
      <c r="AO1034" s="1368"/>
      <c r="AP1034" s="1368"/>
      <c r="AQ1034" s="1369"/>
      <c r="AR1034" s="68"/>
      <c r="AS1034" s="68"/>
      <c r="AT1034" s="68"/>
      <c r="AU1034" s="68"/>
      <c r="AV1034" s="68"/>
      <c r="AW1034" s="68"/>
      <c r="AX1034" s="68"/>
      <c r="AY1034" s="68"/>
    </row>
    <row r="1035" spans="1:52" ht="13" customHeight="1">
      <c r="A1035" s="14"/>
      <c r="B1035" s="73"/>
      <c r="C1035" s="74"/>
      <c r="D1035" s="1570" t="s">
        <v>1678</v>
      </c>
      <c r="E1035" s="1571"/>
      <c r="F1035" s="1571"/>
      <c r="G1035" s="1571"/>
      <c r="H1035" s="1571"/>
      <c r="I1035" s="1571"/>
      <c r="J1035" s="1571"/>
      <c r="K1035" s="1571"/>
      <c r="L1035" s="1571"/>
      <c r="M1035" s="1571"/>
      <c r="N1035" s="1571"/>
      <c r="O1035" s="1571"/>
      <c r="P1035" s="1571"/>
      <c r="Q1035" s="1571"/>
      <c r="R1035" s="1571"/>
      <c r="S1035" s="1571"/>
      <c r="T1035" s="1571"/>
      <c r="U1035" s="1571"/>
      <c r="V1035" s="1571"/>
      <c r="W1035" s="1571"/>
      <c r="X1035" s="1571"/>
      <c r="Y1035" s="1571"/>
      <c r="Z1035" s="1571"/>
      <c r="AA1035" s="1571"/>
      <c r="AB1035" s="1571"/>
      <c r="AC1035" s="1571"/>
      <c r="AD1035" s="1571"/>
      <c r="AE1035" s="1572"/>
      <c r="AF1035" s="1617" t="str">
        <f>IF(AG1034="yes","Enter Amount:","")</f>
        <v/>
      </c>
      <c r="AG1035" s="1618"/>
      <c r="AH1035" s="1618"/>
      <c r="AI1035" s="1619"/>
      <c r="AJ1035" s="1370"/>
      <c r="AK1035" s="1371"/>
      <c r="AL1035" s="1371"/>
      <c r="AM1035" s="1371"/>
      <c r="AN1035" s="1371"/>
      <c r="AO1035" s="1371"/>
      <c r="AP1035" s="1371"/>
      <c r="AQ1035" s="1372"/>
      <c r="AR1035" s="68"/>
      <c r="AS1035" s="68"/>
      <c r="AT1035" s="68"/>
      <c r="AU1035" s="68"/>
      <c r="AV1035" s="68"/>
      <c r="AW1035" s="68"/>
      <c r="AX1035" s="68"/>
      <c r="AY1035" s="68"/>
    </row>
    <row r="1036" spans="1:52" ht="13" customHeight="1">
      <c r="A1036" s="14"/>
      <c r="B1036" s="73"/>
      <c r="C1036" s="74"/>
      <c r="D1036" s="1570"/>
      <c r="E1036" s="1571"/>
      <c r="F1036" s="1571"/>
      <c r="G1036" s="1571"/>
      <c r="H1036" s="1571"/>
      <c r="I1036" s="1571"/>
      <c r="J1036" s="1571"/>
      <c r="K1036" s="1571"/>
      <c r="L1036" s="1571"/>
      <c r="M1036" s="1571"/>
      <c r="N1036" s="1571"/>
      <c r="O1036" s="1571"/>
      <c r="P1036" s="1571"/>
      <c r="Q1036" s="1571"/>
      <c r="R1036" s="1571"/>
      <c r="S1036" s="1571"/>
      <c r="T1036" s="1571"/>
      <c r="U1036" s="1571"/>
      <c r="V1036" s="1571"/>
      <c r="W1036" s="1571"/>
      <c r="X1036" s="1571"/>
      <c r="Y1036" s="1571"/>
      <c r="Z1036" s="1571"/>
      <c r="AA1036" s="1571"/>
      <c r="AB1036" s="1571"/>
      <c r="AC1036" s="1571"/>
      <c r="AD1036" s="1571"/>
      <c r="AE1036" s="1572"/>
      <c r="AF1036" s="1388"/>
      <c r="AG1036" s="1388"/>
      <c r="AH1036" s="1388"/>
      <c r="AI1036" s="1388"/>
      <c r="AJ1036" s="1370"/>
      <c r="AK1036" s="1371"/>
      <c r="AL1036" s="1371"/>
      <c r="AM1036" s="1371"/>
      <c r="AN1036" s="1371"/>
      <c r="AO1036" s="1371"/>
      <c r="AP1036" s="1371"/>
      <c r="AQ1036" s="1372"/>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63"/>
      <c r="E1037" s="1564"/>
      <c r="F1037" s="1564"/>
      <c r="G1037" s="1564"/>
      <c r="H1037" s="1564"/>
      <c r="I1037" s="1564"/>
      <c r="J1037" s="1564"/>
      <c r="K1037" s="1564"/>
      <c r="L1037" s="1564"/>
      <c r="M1037" s="1564"/>
      <c r="N1037" s="1564"/>
      <c r="O1037" s="1564"/>
      <c r="P1037" s="1564"/>
      <c r="Q1037" s="1564"/>
      <c r="R1037" s="1564"/>
      <c r="S1037" s="1564"/>
      <c r="T1037" s="1564"/>
      <c r="U1037" s="1564"/>
      <c r="V1037" s="1564"/>
      <c r="W1037" s="1564"/>
      <c r="X1037" s="1564"/>
      <c r="Y1037" s="1564"/>
      <c r="Z1037" s="1564"/>
      <c r="AA1037" s="1564"/>
      <c r="AB1037" s="1564"/>
      <c r="AC1037" s="1564"/>
      <c r="AD1037" s="1564"/>
      <c r="AE1037" s="1565"/>
      <c r="AF1037" s="1388"/>
      <c r="AG1037" s="1388"/>
      <c r="AH1037" s="1388"/>
      <c r="AI1037" s="1388"/>
      <c r="AJ1037" s="1373"/>
      <c r="AK1037" s="1374"/>
      <c r="AL1037" s="1374"/>
      <c r="AM1037" s="1374"/>
      <c r="AN1037" s="1374"/>
      <c r="AO1037" s="1374"/>
      <c r="AP1037" s="1374"/>
      <c r="AQ1037" s="1375"/>
      <c r="AR1037" s="68"/>
      <c r="AS1037" s="68"/>
      <c r="AT1037" s="68"/>
      <c r="AU1037" s="68"/>
      <c r="AV1037" s="68"/>
      <c r="AW1037" s="68"/>
      <c r="AX1037" s="68"/>
      <c r="AY1037" s="68"/>
    </row>
    <row r="1038" spans="1:52" ht="13" customHeight="1">
      <c r="A1038" s="14"/>
      <c r="B1038" s="79"/>
      <c r="C1038" s="80" t="s">
        <v>234</v>
      </c>
      <c r="D1038" s="1584" t="s">
        <v>1293</v>
      </c>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6"/>
      <c r="AF1038" s="79"/>
      <c r="AG1038" s="1579" t="s">
        <v>545</v>
      </c>
      <c r="AH1038" s="1580"/>
      <c r="AI1038" s="87"/>
      <c r="AJ1038" s="1367">
        <f>ROUND(IF(AG1038="yes",(AJ1001*0.1),0),0)</f>
        <v>6982976</v>
      </c>
      <c r="AK1038" s="1368"/>
      <c r="AL1038" s="1368"/>
      <c r="AM1038" s="1368"/>
      <c r="AN1038" s="1368"/>
      <c r="AO1038" s="1368"/>
      <c r="AP1038" s="1368"/>
      <c r="AQ1038" s="1369"/>
      <c r="AR1038" s="68"/>
      <c r="AS1038" s="68"/>
      <c r="AT1038" s="68"/>
      <c r="AU1038" s="68"/>
      <c r="AV1038" s="68"/>
      <c r="AW1038" s="68"/>
      <c r="AX1038" s="68"/>
      <c r="AY1038" s="68"/>
    </row>
    <row r="1039" spans="1:52" ht="13" customHeight="1">
      <c r="A1039" s="14"/>
      <c r="B1039" s="73"/>
      <c r="C1039" s="74"/>
      <c r="D1039" s="1570" t="s">
        <v>1294</v>
      </c>
      <c r="E1039" s="1571"/>
      <c r="F1039" s="1571"/>
      <c r="G1039" s="1571"/>
      <c r="H1039" s="1571"/>
      <c r="I1039" s="1571"/>
      <c r="J1039" s="1571"/>
      <c r="K1039" s="1571"/>
      <c r="L1039" s="1571"/>
      <c r="M1039" s="1571"/>
      <c r="N1039" s="1571"/>
      <c r="O1039" s="1571"/>
      <c r="P1039" s="1571"/>
      <c r="Q1039" s="1571"/>
      <c r="R1039" s="1571"/>
      <c r="S1039" s="1571"/>
      <c r="T1039" s="1571"/>
      <c r="U1039" s="1571"/>
      <c r="V1039" s="1571"/>
      <c r="W1039" s="1571"/>
      <c r="X1039" s="1571"/>
      <c r="Y1039" s="1571"/>
      <c r="Z1039" s="1571"/>
      <c r="AA1039" s="1571"/>
      <c r="AB1039" s="1571"/>
      <c r="AC1039" s="1571"/>
      <c r="AD1039" s="1571"/>
      <c r="AE1039" s="1572"/>
      <c r="AF1039" s="73"/>
      <c r="AG1039" s="14"/>
      <c r="AH1039" s="14"/>
      <c r="AI1039" s="83"/>
      <c r="AJ1039" s="1370"/>
      <c r="AK1039" s="1371"/>
      <c r="AL1039" s="1371"/>
      <c r="AM1039" s="1371"/>
      <c r="AN1039" s="1371"/>
      <c r="AO1039" s="1371"/>
      <c r="AP1039" s="1371"/>
      <c r="AQ1039" s="1372"/>
      <c r="AR1039" s="68"/>
      <c r="AS1039" s="68"/>
      <c r="AT1039" s="68"/>
      <c r="AU1039" s="68"/>
      <c r="AV1039" s="68"/>
      <c r="AW1039" s="68"/>
      <c r="AX1039" s="68"/>
      <c r="AY1039" s="68"/>
    </row>
    <row r="1040" spans="1:52" ht="13" customHeight="1">
      <c r="A1040" s="14"/>
      <c r="B1040" s="77"/>
      <c r="C1040" s="74"/>
      <c r="D1040" s="1563"/>
      <c r="E1040" s="1564"/>
      <c r="F1040" s="1564"/>
      <c r="G1040" s="1564"/>
      <c r="H1040" s="1564"/>
      <c r="I1040" s="1564"/>
      <c r="J1040" s="1564"/>
      <c r="K1040" s="1564"/>
      <c r="L1040" s="1564"/>
      <c r="M1040" s="1564"/>
      <c r="N1040" s="1564"/>
      <c r="O1040" s="1564"/>
      <c r="P1040" s="1564"/>
      <c r="Q1040" s="1564"/>
      <c r="R1040" s="1564"/>
      <c r="S1040" s="1564"/>
      <c r="T1040" s="1564"/>
      <c r="U1040" s="1564"/>
      <c r="V1040" s="1564"/>
      <c r="W1040" s="1564"/>
      <c r="X1040" s="1564"/>
      <c r="Y1040" s="1564"/>
      <c r="Z1040" s="1564"/>
      <c r="AA1040" s="1564"/>
      <c r="AB1040" s="1564"/>
      <c r="AC1040" s="1564"/>
      <c r="AD1040" s="1564"/>
      <c r="AE1040" s="1565"/>
      <c r="AF1040" s="73"/>
      <c r="AG1040" s="14"/>
      <c r="AH1040" s="14"/>
      <c r="AI1040" s="83"/>
      <c r="AJ1040" s="1373"/>
      <c r="AK1040" s="1374"/>
      <c r="AL1040" s="1374"/>
      <c r="AM1040" s="1374"/>
      <c r="AN1040" s="1374"/>
      <c r="AO1040" s="1374"/>
      <c r="AP1040" s="1374"/>
      <c r="AQ1040" s="1375"/>
      <c r="AR1040" s="68"/>
      <c r="AS1040" s="68"/>
      <c r="AT1040" s="68"/>
      <c r="AU1040" s="68"/>
      <c r="AV1040" s="68"/>
      <c r="AW1040" s="68"/>
      <c r="AX1040" s="68"/>
      <c r="AY1040" s="68"/>
    </row>
    <row r="1041" spans="1:57" ht="13" customHeight="1">
      <c r="A1041" s="14"/>
      <c r="B1041" s="73"/>
      <c r="C1041" s="339" t="s">
        <v>686</v>
      </c>
      <c r="D1041" s="1560" t="s">
        <v>1674</v>
      </c>
      <c r="E1041" s="1561"/>
      <c r="F1041" s="1561"/>
      <c r="G1041" s="1561"/>
      <c r="H1041" s="1561"/>
      <c r="I1041" s="1561"/>
      <c r="J1041" s="1561"/>
      <c r="K1041" s="1561"/>
      <c r="L1041" s="1561"/>
      <c r="M1041" s="1561"/>
      <c r="N1041" s="1561"/>
      <c r="O1041" s="1561"/>
      <c r="P1041" s="1561"/>
      <c r="Q1041" s="1561"/>
      <c r="R1041" s="1561"/>
      <c r="S1041" s="1561"/>
      <c r="T1041" s="1561"/>
      <c r="U1041" s="1561"/>
      <c r="V1041" s="1561"/>
      <c r="W1041" s="1561"/>
      <c r="X1041" s="1561"/>
      <c r="Y1041" s="1561"/>
      <c r="Z1041" s="1561"/>
      <c r="AA1041" s="1561"/>
      <c r="AB1041" s="1561"/>
      <c r="AC1041" s="1561"/>
      <c r="AD1041" s="1561"/>
      <c r="AE1041" s="1562"/>
      <c r="AF1041" s="79"/>
      <c r="AG1041" s="1579" t="s">
        <v>668</v>
      </c>
      <c r="AH1041" s="1580"/>
      <c r="AI1041" s="87"/>
      <c r="AJ1041" s="1367">
        <f>ROUND(IF(AG1041="yes",(AJ1001*0.15),0),0)</f>
        <v>0</v>
      </c>
      <c r="AK1041" s="1368"/>
      <c r="AL1041" s="1368"/>
      <c r="AM1041" s="1368"/>
      <c r="AN1041" s="1368"/>
      <c r="AO1041" s="1368"/>
      <c r="AP1041" s="1368"/>
      <c r="AQ1041" s="1369"/>
      <c r="AR1041" s="68"/>
      <c r="AS1041" s="68"/>
      <c r="AT1041" s="68"/>
      <c r="AU1041" s="68"/>
      <c r="AV1041" s="68"/>
      <c r="AW1041" s="68"/>
      <c r="AX1041" s="68"/>
      <c r="AY1041" s="68"/>
    </row>
    <row r="1042" spans="1:57" ht="13" customHeight="1">
      <c r="A1042" s="14"/>
      <c r="B1042" s="73"/>
      <c r="C1042" s="74"/>
      <c r="D1042" s="1590" t="s">
        <v>1675</v>
      </c>
      <c r="E1042" s="1267"/>
      <c r="F1042" s="1267"/>
      <c r="G1042" s="1267"/>
      <c r="H1042" s="1267"/>
      <c r="I1042" s="1267"/>
      <c r="J1042" s="1267"/>
      <c r="K1042" s="1267"/>
      <c r="L1042" s="1267"/>
      <c r="M1042" s="1267"/>
      <c r="N1042" s="1267"/>
      <c r="O1042" s="1267"/>
      <c r="P1042" s="1267"/>
      <c r="Q1042" s="1267"/>
      <c r="R1042" s="1267"/>
      <c r="S1042" s="1267"/>
      <c r="T1042" s="1267"/>
      <c r="U1042" s="1267"/>
      <c r="V1042" s="1267"/>
      <c r="W1042" s="1267"/>
      <c r="X1042" s="1267"/>
      <c r="Y1042" s="1267"/>
      <c r="Z1042" s="1267"/>
      <c r="AA1042" s="1267"/>
      <c r="AB1042" s="1267"/>
      <c r="AC1042" s="1267"/>
      <c r="AD1042" s="1267"/>
      <c r="AE1042" s="1591"/>
      <c r="AF1042" s="911"/>
      <c r="AG1042" s="912"/>
      <c r="AH1042" s="912"/>
      <c r="AI1042" s="913"/>
      <c r="AJ1042" s="1370"/>
      <c r="AK1042" s="1371"/>
      <c r="AL1042" s="1371"/>
      <c r="AM1042" s="1371"/>
      <c r="AN1042" s="1371"/>
      <c r="AO1042" s="1371"/>
      <c r="AP1042" s="1371"/>
      <c r="AQ1042" s="1372"/>
      <c r="AR1042" s="68"/>
      <c r="AS1042" s="68"/>
      <c r="AT1042" s="68"/>
      <c r="AU1042" s="68"/>
      <c r="AV1042" s="68"/>
      <c r="AW1042" s="68"/>
      <c r="AX1042" s="68"/>
      <c r="AY1042" s="68"/>
    </row>
    <row r="1043" spans="1:57" ht="13" customHeight="1">
      <c r="A1043" s="14"/>
      <c r="B1043" s="73"/>
      <c r="C1043" s="74"/>
      <c r="D1043" s="1590"/>
      <c r="E1043" s="1267"/>
      <c r="F1043" s="1267"/>
      <c r="G1043" s="1267"/>
      <c r="H1043" s="1267"/>
      <c r="I1043" s="1267"/>
      <c r="J1043" s="1267"/>
      <c r="K1043" s="1267"/>
      <c r="L1043" s="1267"/>
      <c r="M1043" s="1267"/>
      <c r="N1043" s="1267"/>
      <c r="O1043" s="1267"/>
      <c r="P1043" s="1267"/>
      <c r="Q1043" s="1267"/>
      <c r="R1043" s="1267"/>
      <c r="S1043" s="1267"/>
      <c r="T1043" s="1267"/>
      <c r="U1043" s="1267"/>
      <c r="V1043" s="1267"/>
      <c r="W1043" s="1267"/>
      <c r="X1043" s="1267"/>
      <c r="Y1043" s="1267"/>
      <c r="Z1043" s="1267"/>
      <c r="AA1043" s="1267"/>
      <c r="AB1043" s="1267"/>
      <c r="AC1043" s="1267"/>
      <c r="AD1043" s="1267"/>
      <c r="AE1043" s="1591"/>
      <c r="AF1043" s="911"/>
      <c r="AG1043" s="912"/>
      <c r="AH1043" s="912"/>
      <c r="AI1043" s="913"/>
      <c r="AJ1043" s="1370"/>
      <c r="AK1043" s="1371"/>
      <c r="AL1043" s="1371"/>
      <c r="AM1043" s="1371"/>
      <c r="AN1043" s="1371"/>
      <c r="AO1043" s="1371"/>
      <c r="AP1043" s="1371"/>
      <c r="AQ1043" s="1372"/>
      <c r="AR1043" s="68"/>
      <c r="AS1043" s="68"/>
      <c r="AT1043" s="68"/>
      <c r="AU1043" s="68"/>
      <c r="AV1043" s="68"/>
      <c r="AW1043" s="68"/>
      <c r="AX1043" s="68"/>
      <c r="AY1043" s="68"/>
    </row>
    <row r="1044" spans="1:57" ht="13" customHeight="1">
      <c r="A1044" s="14"/>
      <c r="B1044" s="73"/>
      <c r="C1044" s="74"/>
      <c r="D1044" s="1592"/>
      <c r="E1044" s="1593"/>
      <c r="F1044" s="1593"/>
      <c r="G1044" s="1593"/>
      <c r="H1044" s="1593"/>
      <c r="I1044" s="1593"/>
      <c r="J1044" s="1593"/>
      <c r="K1044" s="1593"/>
      <c r="L1044" s="1593"/>
      <c r="M1044" s="1593"/>
      <c r="N1044" s="1593"/>
      <c r="O1044" s="1593"/>
      <c r="P1044" s="1593"/>
      <c r="Q1044" s="1593"/>
      <c r="R1044" s="1593"/>
      <c r="S1044" s="1593"/>
      <c r="T1044" s="1593"/>
      <c r="U1044" s="1593"/>
      <c r="V1044" s="1593"/>
      <c r="W1044" s="1593"/>
      <c r="X1044" s="1593"/>
      <c r="Y1044" s="1593"/>
      <c r="Z1044" s="1593"/>
      <c r="AA1044" s="1593"/>
      <c r="AB1044" s="1593"/>
      <c r="AC1044" s="1593"/>
      <c r="AD1044" s="1593"/>
      <c r="AE1044" s="1594"/>
      <c r="AF1044" s="914"/>
      <c r="AG1044" s="915"/>
      <c r="AH1044" s="915"/>
      <c r="AI1044" s="916"/>
      <c r="AJ1044" s="1373"/>
      <c r="AK1044" s="1374"/>
      <c r="AL1044" s="1374"/>
      <c r="AM1044" s="1374"/>
      <c r="AN1044" s="1374"/>
      <c r="AO1044" s="1374"/>
      <c r="AP1044" s="1374"/>
      <c r="AQ1044" s="1375"/>
      <c r="AR1044" s="68"/>
      <c r="AS1044" s="68"/>
      <c r="AT1044" s="68"/>
      <c r="AU1044" s="68"/>
      <c r="AV1044" s="68"/>
      <c r="AW1044" s="68"/>
      <c r="AX1044" s="68"/>
      <c r="AY1044" s="68"/>
    </row>
    <row r="1045" spans="1:57" ht="13" customHeight="1">
      <c r="A1045" s="14"/>
      <c r="B1045" s="73"/>
      <c r="C1045" s="339" t="s">
        <v>686</v>
      </c>
      <c r="D1045" s="1584" t="s">
        <v>1676</v>
      </c>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6"/>
      <c r="AF1045" s="73"/>
      <c r="AG1045" s="1595" t="s">
        <v>545</v>
      </c>
      <c r="AH1045" s="1596"/>
      <c r="AI1045" s="83"/>
      <c r="AJ1045" s="1367">
        <f>ROUND(IF(AND(AG1045="yes",AJ1041=0),(AJ1001*0.1),0),0)</f>
        <v>6982976</v>
      </c>
      <c r="AK1045" s="1368"/>
      <c r="AL1045" s="1368"/>
      <c r="AM1045" s="1368"/>
      <c r="AN1045" s="1368"/>
      <c r="AO1045" s="1368"/>
      <c r="AP1045" s="1368"/>
      <c r="AQ1045" s="1369"/>
      <c r="AR1045" s="68"/>
      <c r="AS1045" s="68"/>
      <c r="AT1045" s="68"/>
      <c r="AU1045" s="68"/>
      <c r="AV1045" s="68"/>
      <c r="AW1045" s="68"/>
      <c r="AX1045" s="68"/>
      <c r="AY1045" s="68"/>
    </row>
    <row r="1046" spans="1:57" ht="13" customHeight="1">
      <c r="A1046" s="14"/>
      <c r="B1046" s="73"/>
      <c r="C1046" s="74"/>
      <c r="D1046" s="1590" t="s">
        <v>1677</v>
      </c>
      <c r="E1046" s="1267"/>
      <c r="F1046" s="1267"/>
      <c r="G1046" s="1267"/>
      <c r="H1046" s="1267"/>
      <c r="I1046" s="1267"/>
      <c r="J1046" s="1267"/>
      <c r="K1046" s="1267"/>
      <c r="L1046" s="1267"/>
      <c r="M1046" s="1267"/>
      <c r="N1046" s="1267"/>
      <c r="O1046" s="1267"/>
      <c r="P1046" s="1267"/>
      <c r="Q1046" s="1267"/>
      <c r="R1046" s="1267"/>
      <c r="S1046" s="1267"/>
      <c r="T1046" s="1267"/>
      <c r="U1046" s="1267"/>
      <c r="V1046" s="1267"/>
      <c r="W1046" s="1267"/>
      <c r="X1046" s="1267"/>
      <c r="Y1046" s="1267"/>
      <c r="Z1046" s="1267"/>
      <c r="AA1046" s="1267"/>
      <c r="AB1046" s="1267"/>
      <c r="AC1046" s="1267"/>
      <c r="AD1046" s="1267"/>
      <c r="AE1046" s="1591"/>
      <c r="AF1046" s="73"/>
      <c r="AG1046" s="14"/>
      <c r="AH1046" s="14"/>
      <c r="AI1046" s="83"/>
      <c r="AJ1046" s="1370"/>
      <c r="AK1046" s="1371"/>
      <c r="AL1046" s="1371"/>
      <c r="AM1046" s="1371"/>
      <c r="AN1046" s="1371"/>
      <c r="AO1046" s="1371"/>
      <c r="AP1046" s="1371"/>
      <c r="AQ1046" s="1372"/>
      <c r="AR1046" s="68"/>
      <c r="AS1046" s="68"/>
      <c r="AT1046" s="68"/>
      <c r="AU1046" s="68"/>
      <c r="AV1046" s="68"/>
      <c r="AW1046" s="68"/>
      <c r="AX1046" s="68"/>
      <c r="AY1046" s="68"/>
    </row>
    <row r="1047" spans="1:57" ht="13" customHeight="1">
      <c r="A1047" s="14"/>
      <c r="B1047" s="73"/>
      <c r="C1047" s="74"/>
      <c r="D1047" s="1590"/>
      <c r="E1047" s="1267"/>
      <c r="F1047" s="1267"/>
      <c r="G1047" s="1267"/>
      <c r="H1047" s="1267"/>
      <c r="I1047" s="1267"/>
      <c r="J1047" s="1267"/>
      <c r="K1047" s="1267"/>
      <c r="L1047" s="1267"/>
      <c r="M1047" s="1267"/>
      <c r="N1047" s="1267"/>
      <c r="O1047" s="1267"/>
      <c r="P1047" s="1267"/>
      <c r="Q1047" s="1267"/>
      <c r="R1047" s="1267"/>
      <c r="S1047" s="1267"/>
      <c r="T1047" s="1267"/>
      <c r="U1047" s="1267"/>
      <c r="V1047" s="1267"/>
      <c r="W1047" s="1267"/>
      <c r="X1047" s="1267"/>
      <c r="Y1047" s="1267"/>
      <c r="Z1047" s="1267"/>
      <c r="AA1047" s="1267"/>
      <c r="AB1047" s="1267"/>
      <c r="AC1047" s="1267"/>
      <c r="AD1047" s="1267"/>
      <c r="AE1047" s="1591"/>
      <c r="AF1047" s="73"/>
      <c r="AG1047" s="14"/>
      <c r="AH1047" s="14"/>
      <c r="AI1047" s="83"/>
      <c r="AJ1047" s="1370"/>
      <c r="AK1047" s="1371"/>
      <c r="AL1047" s="1371"/>
      <c r="AM1047" s="1371"/>
      <c r="AN1047" s="1371"/>
      <c r="AO1047" s="1371"/>
      <c r="AP1047" s="1371"/>
      <c r="AQ1047" s="1372"/>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 customHeight="1">
      <c r="A1048" s="14"/>
      <c r="B1048" s="73"/>
      <c r="C1048" s="74"/>
      <c r="D1048" s="1590"/>
      <c r="E1048" s="1267"/>
      <c r="F1048" s="1267"/>
      <c r="G1048" s="1267"/>
      <c r="H1048" s="1267"/>
      <c r="I1048" s="1267"/>
      <c r="J1048" s="1267"/>
      <c r="K1048" s="1267"/>
      <c r="L1048" s="1267"/>
      <c r="M1048" s="1267"/>
      <c r="N1048" s="1267"/>
      <c r="O1048" s="1267"/>
      <c r="P1048" s="1267"/>
      <c r="Q1048" s="1267"/>
      <c r="R1048" s="1267"/>
      <c r="S1048" s="1267"/>
      <c r="T1048" s="1267"/>
      <c r="U1048" s="1267"/>
      <c r="V1048" s="1267"/>
      <c r="W1048" s="1267"/>
      <c r="X1048" s="1267"/>
      <c r="Y1048" s="1267"/>
      <c r="Z1048" s="1267"/>
      <c r="AA1048" s="1267"/>
      <c r="AB1048" s="1267"/>
      <c r="AC1048" s="1267"/>
      <c r="AD1048" s="1267"/>
      <c r="AE1048" s="1591"/>
      <c r="AF1048" s="73"/>
      <c r="AG1048" s="14"/>
      <c r="AH1048" s="14"/>
      <c r="AI1048" s="83"/>
      <c r="AJ1048" s="1370"/>
      <c r="AK1048" s="1371"/>
      <c r="AL1048" s="1371"/>
      <c r="AM1048" s="1371"/>
      <c r="AN1048" s="1371"/>
      <c r="AO1048" s="1371"/>
      <c r="AP1048" s="1371"/>
      <c r="AQ1048" s="1372"/>
      <c r="AR1048" s="68"/>
      <c r="AS1048" s="68"/>
      <c r="AT1048" s="68"/>
      <c r="AU1048" s="68"/>
      <c r="AV1048" s="68"/>
      <c r="AW1048" s="68"/>
      <c r="AX1048" s="68"/>
      <c r="AY1048" s="68"/>
      <c r="BA1048">
        <f>IFERROR((($CI$761+$CM$761)/$AG$449),0)</f>
        <v>0.23157894736842105</v>
      </c>
      <c r="BB1048" s="3" t="s">
        <v>2421</v>
      </c>
    </row>
    <row r="1049" spans="1:57" ht="13" customHeight="1">
      <c r="A1049" s="14"/>
      <c r="B1049" s="73"/>
      <c r="C1049" s="74"/>
      <c r="D1049" s="1592"/>
      <c r="E1049" s="1593"/>
      <c r="F1049" s="1593"/>
      <c r="G1049" s="1593"/>
      <c r="H1049" s="1593"/>
      <c r="I1049" s="1593"/>
      <c r="J1049" s="1593"/>
      <c r="K1049" s="1593"/>
      <c r="L1049" s="1593"/>
      <c r="M1049" s="1593"/>
      <c r="N1049" s="1593"/>
      <c r="O1049" s="1593"/>
      <c r="P1049" s="1593"/>
      <c r="Q1049" s="1593"/>
      <c r="R1049" s="1593"/>
      <c r="S1049" s="1593"/>
      <c r="T1049" s="1593"/>
      <c r="U1049" s="1593"/>
      <c r="V1049" s="1593"/>
      <c r="W1049" s="1593"/>
      <c r="X1049" s="1593"/>
      <c r="Y1049" s="1593"/>
      <c r="Z1049" s="1593"/>
      <c r="AA1049" s="1593"/>
      <c r="AB1049" s="1593"/>
      <c r="AC1049" s="1593"/>
      <c r="AD1049" s="1593"/>
      <c r="AE1049" s="1594"/>
      <c r="AF1049" s="73"/>
      <c r="AG1049" s="14"/>
      <c r="AH1049" s="14"/>
      <c r="AI1049" s="83"/>
      <c r="AJ1049" s="1370"/>
      <c r="AK1049" s="1371"/>
      <c r="AL1049" s="1371"/>
      <c r="AM1049" s="1371"/>
      <c r="AN1049" s="1371"/>
      <c r="AO1049" s="1371"/>
      <c r="AP1049" s="1371"/>
      <c r="AQ1049" s="1372"/>
      <c r="AR1049" s="68"/>
      <c r="AS1049" s="68"/>
      <c r="AT1049" s="68"/>
      <c r="AU1049" s="68"/>
      <c r="AV1049" s="68"/>
      <c r="AW1049" s="68"/>
      <c r="AX1049" s="68"/>
      <c r="AY1049" s="68"/>
      <c r="BA1049" t="b">
        <f>'Points System'!AJ163="Yes"</f>
        <v>0</v>
      </c>
      <c r="BB1049" s="3" t="s">
        <v>2418</v>
      </c>
    </row>
    <row r="1050" spans="1:57" ht="13" customHeight="1">
      <c r="A1050" s="14"/>
      <c r="B1050" s="79"/>
      <c r="C1050" s="131" t="s">
        <v>1009</v>
      </c>
      <c r="D1050" s="1560" t="s">
        <v>1295</v>
      </c>
      <c r="E1050" s="1561"/>
      <c r="F1050" s="1561"/>
      <c r="G1050" s="1561"/>
      <c r="H1050" s="1561"/>
      <c r="I1050" s="1561"/>
      <c r="J1050" s="1561"/>
      <c r="K1050" s="1561"/>
      <c r="L1050" s="1561"/>
      <c r="M1050" s="1561"/>
      <c r="N1050" s="1561"/>
      <c r="O1050" s="1561"/>
      <c r="P1050" s="1561"/>
      <c r="Q1050" s="1561"/>
      <c r="R1050" s="1561"/>
      <c r="S1050" s="1561"/>
      <c r="T1050" s="1561"/>
      <c r="U1050" s="1561"/>
      <c r="V1050" s="1561"/>
      <c r="W1050" s="1561"/>
      <c r="X1050" s="1561"/>
      <c r="Y1050" s="1561"/>
      <c r="Z1050" s="1561"/>
      <c r="AA1050" s="1561"/>
      <c r="AB1050" s="1561"/>
      <c r="AC1050" s="1561"/>
      <c r="AD1050" s="1561"/>
      <c r="AE1050" s="1562"/>
      <c r="AF1050" s="79"/>
      <c r="AG1050" s="1579" t="s">
        <v>668</v>
      </c>
      <c r="AH1050" s="1580"/>
      <c r="AI1050" s="87"/>
      <c r="AJ1050" s="1367">
        <f>ROUND(IF(AG1050="yes",(AJ1001*0.1),0),0)</f>
        <v>0</v>
      </c>
      <c r="AK1050" s="1368"/>
      <c r="AL1050" s="1368"/>
      <c r="AM1050" s="1368"/>
      <c r="AN1050" s="1368"/>
      <c r="AO1050" s="1368"/>
      <c r="AP1050" s="1368"/>
      <c r="AQ1050" s="1369"/>
      <c r="AR1050" s="68"/>
      <c r="AS1050" s="68"/>
      <c r="AT1050" s="68"/>
      <c r="AU1050" s="68"/>
      <c r="AV1050" s="68"/>
      <c r="AW1050" s="68"/>
      <c r="AX1050" s="68"/>
      <c r="AY1050" s="68"/>
      <c r="BA1050">
        <f>Q212</f>
        <v>0</v>
      </c>
      <c r="BB1050" s="3" t="s">
        <v>2419</v>
      </c>
    </row>
    <row r="1051" spans="1:57" ht="13" customHeight="1">
      <c r="A1051" s="14"/>
      <c r="B1051" s="73"/>
      <c r="C1051" s="74"/>
      <c r="D1051" s="1570" t="s">
        <v>2097</v>
      </c>
      <c r="E1051" s="1571"/>
      <c r="F1051" s="1571"/>
      <c r="G1051" s="1571"/>
      <c r="H1051" s="1571"/>
      <c r="I1051" s="1571"/>
      <c r="J1051" s="1571"/>
      <c r="K1051" s="1571"/>
      <c r="L1051" s="1571"/>
      <c r="M1051" s="1571"/>
      <c r="N1051" s="1571"/>
      <c r="O1051" s="1571"/>
      <c r="P1051" s="1571"/>
      <c r="Q1051" s="1571"/>
      <c r="R1051" s="1571"/>
      <c r="S1051" s="1571"/>
      <c r="T1051" s="1571"/>
      <c r="U1051" s="1571"/>
      <c r="V1051" s="1571"/>
      <c r="W1051" s="1571"/>
      <c r="X1051" s="1571"/>
      <c r="Y1051" s="1571"/>
      <c r="Z1051" s="1571"/>
      <c r="AA1051" s="1571"/>
      <c r="AB1051" s="1571"/>
      <c r="AC1051" s="1571"/>
      <c r="AD1051" s="1571"/>
      <c r="AE1051" s="1572"/>
      <c r="AF1051" s="73"/>
      <c r="AG1051" s="14"/>
      <c r="AH1051" s="14"/>
      <c r="AI1051" s="83"/>
      <c r="AJ1051" s="1370"/>
      <c r="AK1051" s="1371"/>
      <c r="AL1051" s="1371"/>
      <c r="AM1051" s="1371"/>
      <c r="AN1051" s="1371"/>
      <c r="AO1051" s="1371"/>
      <c r="AP1051" s="1371"/>
      <c r="AQ1051" s="1372"/>
      <c r="AR1051" s="68"/>
      <c r="AS1051" s="68"/>
      <c r="AT1051" s="68"/>
      <c r="AU1051" s="68"/>
      <c r="AV1051" s="68"/>
      <c r="AW1051" s="68"/>
      <c r="AX1051" s="68"/>
      <c r="AY1051" s="68"/>
      <c r="BA1051" s="1177">
        <f>T212</f>
        <v>0</v>
      </c>
      <c r="BB1051" s="3" t="s">
        <v>2420</v>
      </c>
    </row>
    <row r="1052" spans="1:57" ht="13" customHeight="1">
      <c r="A1052" s="14"/>
      <c r="B1052" s="73"/>
      <c r="C1052" s="74"/>
      <c r="D1052" s="1570"/>
      <c r="E1052" s="1571"/>
      <c r="F1052" s="1571"/>
      <c r="G1052" s="1571"/>
      <c r="H1052" s="1571"/>
      <c r="I1052" s="1571"/>
      <c r="J1052" s="1571"/>
      <c r="K1052" s="1571"/>
      <c r="L1052" s="1571"/>
      <c r="M1052" s="1571"/>
      <c r="N1052" s="1571"/>
      <c r="O1052" s="1571"/>
      <c r="P1052" s="1571"/>
      <c r="Q1052" s="1571"/>
      <c r="R1052" s="1571"/>
      <c r="S1052" s="1571"/>
      <c r="T1052" s="1571"/>
      <c r="U1052" s="1571"/>
      <c r="V1052" s="1571"/>
      <c r="W1052" s="1571"/>
      <c r="X1052" s="1571"/>
      <c r="Y1052" s="1571"/>
      <c r="Z1052" s="1571"/>
      <c r="AA1052" s="1571"/>
      <c r="AB1052" s="1571"/>
      <c r="AC1052" s="1571"/>
      <c r="AD1052" s="1571"/>
      <c r="AE1052" s="1572"/>
      <c r="AF1052" s="73"/>
      <c r="AG1052" s="14"/>
      <c r="AH1052" s="14"/>
      <c r="AI1052" s="83"/>
      <c r="AJ1052" s="1370"/>
      <c r="AK1052" s="1371"/>
      <c r="AL1052" s="1371"/>
      <c r="AM1052" s="1371"/>
      <c r="AN1052" s="1371"/>
      <c r="AO1052" s="1371"/>
      <c r="AP1052" s="1371"/>
      <c r="AQ1052" s="1372"/>
      <c r="AR1052" s="68"/>
      <c r="AS1052" s="68"/>
      <c r="AT1052" s="68"/>
      <c r="AU1052" s="68"/>
      <c r="AV1052" s="68"/>
      <c r="AW1052" s="68"/>
      <c r="AX1052" s="68"/>
      <c r="AY1052" s="68"/>
    </row>
    <row r="1053" spans="1:57" ht="13" customHeight="1">
      <c r="A1053" s="14"/>
      <c r="B1053" s="73"/>
      <c r="C1053" s="74"/>
      <c r="D1053" s="1563"/>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5"/>
      <c r="AF1053" s="73"/>
      <c r="AG1053" s="14"/>
      <c r="AH1053" s="14"/>
      <c r="AI1053" s="83"/>
      <c r="AJ1053" s="1373"/>
      <c r="AK1053" s="1374"/>
      <c r="AL1053" s="1374"/>
      <c r="AM1053" s="1374"/>
      <c r="AN1053" s="1374"/>
      <c r="AO1053" s="1374"/>
      <c r="AP1053" s="1374"/>
      <c r="AQ1053" s="1375"/>
      <c r="AR1053" s="68"/>
      <c r="AS1053" s="68"/>
      <c r="AT1053" s="68"/>
      <c r="AU1053" s="68"/>
      <c r="AV1053" s="68"/>
      <c r="AW1053" s="68"/>
      <c r="AX1053" s="68"/>
      <c r="AY1053" s="68"/>
    </row>
    <row r="1054" spans="1:57" ht="13" customHeight="1">
      <c r="A1054" s="14"/>
      <c r="B1054" s="79"/>
      <c r="C1054" s="131" t="s">
        <v>1672</v>
      </c>
      <c r="D1054" s="1584" t="s">
        <v>1837</v>
      </c>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6"/>
      <c r="AF1054" s="79"/>
      <c r="AG1054" s="1577" t="str">
        <f>IF(X1057&gt;0,"Yes","No")</f>
        <v>Yes</v>
      </c>
      <c r="AH1054" s="1578"/>
      <c r="AI1054" s="87"/>
      <c r="AJ1054" s="1367">
        <f>IF((X1057=0),0,AY1014*AJ1001)</f>
        <v>7681273.5999999996</v>
      </c>
      <c r="AK1054" s="1368"/>
      <c r="AL1054" s="1368"/>
      <c r="AM1054" s="1368"/>
      <c r="AN1054" s="1368"/>
      <c r="AO1054" s="1368"/>
      <c r="AP1054" s="1368"/>
      <c r="AQ1054" s="13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 customHeight="1">
      <c r="A1055" s="14"/>
      <c r="B1055" s="73"/>
      <c r="C1055" s="442"/>
      <c r="D1055" s="1570" t="s">
        <v>1297</v>
      </c>
      <c r="E1055" s="1571"/>
      <c r="F1055" s="1571"/>
      <c r="G1055" s="1571"/>
      <c r="H1055" s="1571"/>
      <c r="I1055" s="1571"/>
      <c r="J1055" s="1571"/>
      <c r="K1055" s="1571"/>
      <c r="L1055" s="1571"/>
      <c r="M1055" s="1571"/>
      <c r="N1055" s="1571"/>
      <c r="O1055" s="1571"/>
      <c r="P1055" s="1571"/>
      <c r="Q1055" s="1571"/>
      <c r="R1055" s="1571"/>
      <c r="S1055" s="1571"/>
      <c r="T1055" s="1571"/>
      <c r="U1055" s="1571"/>
      <c r="V1055" s="1571"/>
      <c r="W1055" s="1571"/>
      <c r="X1055" s="1571"/>
      <c r="Y1055" s="1571"/>
      <c r="Z1055" s="1571"/>
      <c r="AA1055" s="1571"/>
      <c r="AB1055" s="1571"/>
      <c r="AC1055" s="1571"/>
      <c r="AD1055" s="1571"/>
      <c r="AE1055" s="1572"/>
      <c r="AF1055" s="73"/>
      <c r="AG1055" s="443"/>
      <c r="AH1055" s="443"/>
      <c r="AI1055" s="83"/>
      <c r="AJ1055" s="1370"/>
      <c r="AK1055" s="1371"/>
      <c r="AL1055" s="1371"/>
      <c r="AM1055" s="1371"/>
      <c r="AN1055" s="1371"/>
      <c r="AO1055" s="1371"/>
      <c r="AP1055" s="1371"/>
      <c r="AQ1055" s="1372"/>
      <c r="AR1055" s="68"/>
      <c r="AS1055" s="68"/>
      <c r="AT1055" s="68"/>
      <c r="AU1055" s="13"/>
      <c r="AV1055" s="68"/>
      <c r="AW1055" s="68"/>
      <c r="AX1055" s="68"/>
      <c r="AY1055" s="68"/>
      <c r="AZ1055" s="958">
        <f>'Sources and Uses Budget'!S97*BA1055</f>
        <v>8855616.5999999996</v>
      </c>
      <c r="BA1055" s="1175">
        <f>IF(BA1049,20%,15%)</f>
        <v>0.15</v>
      </c>
      <c r="BB1055" s="3" t="s">
        <v>2407</v>
      </c>
      <c r="BC1055" s="3" t="s">
        <v>2408</v>
      </c>
      <c r="BD1055" s="3"/>
    </row>
    <row r="1056" spans="1:57" ht="13" customHeight="1">
      <c r="A1056" s="14"/>
      <c r="B1056" s="73"/>
      <c r="C1056" s="442"/>
      <c r="D1056" s="1570"/>
      <c r="E1056" s="1571"/>
      <c r="F1056" s="1571"/>
      <c r="G1056" s="1571"/>
      <c r="H1056" s="1571"/>
      <c r="I1056" s="1571"/>
      <c r="J1056" s="1571"/>
      <c r="K1056" s="1571"/>
      <c r="L1056" s="1571"/>
      <c r="M1056" s="1571"/>
      <c r="N1056" s="1571"/>
      <c r="O1056" s="1571"/>
      <c r="P1056" s="1571"/>
      <c r="Q1056" s="1571"/>
      <c r="R1056" s="1571"/>
      <c r="S1056" s="1571"/>
      <c r="T1056" s="1571"/>
      <c r="U1056" s="1571"/>
      <c r="V1056" s="1571"/>
      <c r="W1056" s="1571"/>
      <c r="X1056" s="1571"/>
      <c r="Y1056" s="1571"/>
      <c r="Z1056" s="1571"/>
      <c r="AA1056" s="1571"/>
      <c r="AB1056" s="1571"/>
      <c r="AC1056" s="1571"/>
      <c r="AD1056" s="1571"/>
      <c r="AE1056" s="1572"/>
      <c r="AF1056" s="73"/>
      <c r="AG1056" s="443"/>
      <c r="AH1056" s="443"/>
      <c r="AI1056" s="83"/>
      <c r="AJ1056" s="1370"/>
      <c r="AK1056" s="1371"/>
      <c r="AL1056" s="1371"/>
      <c r="AM1056" s="1371"/>
      <c r="AN1056" s="1371"/>
      <c r="AO1056" s="1371"/>
      <c r="AP1056" s="1371"/>
      <c r="AQ1056" s="1372"/>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971</v>
      </c>
      <c r="E1057" s="133"/>
      <c r="F1057" s="133"/>
      <c r="G1057" s="133"/>
      <c r="H1057" s="133"/>
      <c r="I1057" s="1575">
        <f>AY1012</f>
        <v>95</v>
      </c>
      <c r="J1057" s="1576"/>
      <c r="K1057" s="7"/>
      <c r="L1057" s="133"/>
      <c r="M1057" s="133"/>
      <c r="N1057" s="133"/>
      <c r="O1057" s="133"/>
      <c r="P1057" s="133"/>
      <c r="Q1057" s="133"/>
      <c r="R1057" s="133"/>
      <c r="S1057" s="133"/>
      <c r="T1057" s="133"/>
      <c r="U1057" s="133"/>
      <c r="V1057" s="134" t="s">
        <v>972</v>
      </c>
      <c r="W1057" s="48"/>
      <c r="X1057" s="1573">
        <f>CI761</f>
        <v>11</v>
      </c>
      <c r="Y1057" s="1574"/>
      <c r="Z1057" s="48"/>
      <c r="AA1057" s="48"/>
      <c r="AB1057" s="48"/>
      <c r="AC1057" s="48"/>
      <c r="AD1057" s="48"/>
      <c r="AE1057" s="49"/>
      <c r="AF1057" s="920"/>
      <c r="AG1057" s="921"/>
      <c r="AH1057" s="921"/>
      <c r="AI1057" s="922"/>
      <c r="AJ1057" s="1373"/>
      <c r="AK1057" s="1374"/>
      <c r="AL1057" s="1374"/>
      <c r="AM1057" s="1374"/>
      <c r="AN1057" s="1374"/>
      <c r="AO1057" s="1374"/>
      <c r="AP1057" s="1374"/>
      <c r="AQ1057" s="1375"/>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2407</v>
      </c>
      <c r="BC1057" s="3" t="s">
        <v>2410</v>
      </c>
      <c r="BD1057" s="3"/>
    </row>
    <row r="1058" spans="1:56" ht="13" customHeight="1">
      <c r="A1058" s="14"/>
      <c r="B1058" s="79"/>
      <c r="C1058" s="131" t="s">
        <v>1673</v>
      </c>
      <c r="D1058" s="1560" t="s">
        <v>2123</v>
      </c>
      <c r="E1058" s="1561"/>
      <c r="F1058" s="1561"/>
      <c r="G1058" s="1561"/>
      <c r="H1058" s="1561"/>
      <c r="I1058" s="1561"/>
      <c r="J1058" s="1561"/>
      <c r="K1058" s="1561"/>
      <c r="L1058" s="1561"/>
      <c r="M1058" s="1561"/>
      <c r="N1058" s="1561"/>
      <c r="O1058" s="1561"/>
      <c r="P1058" s="1561"/>
      <c r="Q1058" s="1561"/>
      <c r="R1058" s="1561"/>
      <c r="S1058" s="1561"/>
      <c r="T1058" s="1561"/>
      <c r="U1058" s="1561"/>
      <c r="V1058" s="1561"/>
      <c r="W1058" s="1561"/>
      <c r="X1058" s="1561"/>
      <c r="Y1058" s="1561"/>
      <c r="Z1058" s="1561"/>
      <c r="AA1058" s="1561"/>
      <c r="AB1058" s="1561"/>
      <c r="AC1058" s="1561"/>
      <c r="AD1058" s="1561"/>
      <c r="AE1058" s="1562"/>
      <c r="AF1058" s="73"/>
      <c r="AG1058" s="1577" t="str">
        <f>IF(X1061&gt;0,"Yes","No")</f>
        <v>Yes</v>
      </c>
      <c r="AH1058" s="1578"/>
      <c r="AI1058" s="83"/>
      <c r="AJ1058" s="1367">
        <f>IF((X1061=0),0,(2*AY1015)*AJ1001)</f>
        <v>15362547.199999999</v>
      </c>
      <c r="AK1058" s="1368"/>
      <c r="AL1058" s="1368"/>
      <c r="AM1058" s="1368"/>
      <c r="AN1058" s="1368"/>
      <c r="AO1058" s="1368"/>
      <c r="AP1058" s="1368"/>
      <c r="AQ1058" s="1369"/>
      <c r="AR1058" s="68"/>
      <c r="AS1058" s="68"/>
      <c r="AT1058" s="68"/>
      <c r="AU1058" s="14"/>
      <c r="AV1058" s="68"/>
      <c r="AW1058" s="68"/>
      <c r="AX1058" s="68"/>
      <c r="AY1058" s="68"/>
      <c r="AZ1058" s="958">
        <f>AZ1054*BA1058</f>
        <v>0</v>
      </c>
      <c r="BA1058" s="1175">
        <v>0.15</v>
      </c>
      <c r="BB1058" s="3" t="s">
        <v>2407</v>
      </c>
      <c r="BC1058" s="3" t="s">
        <v>2411</v>
      </c>
      <c r="BD1058" s="3"/>
    </row>
    <row r="1059" spans="1:56" ht="13" customHeight="1">
      <c r="A1059" s="14"/>
      <c r="B1059" s="73"/>
      <c r="C1059" s="442"/>
      <c r="D1059" s="1570" t="s">
        <v>1296</v>
      </c>
      <c r="E1059" s="1571"/>
      <c r="F1059" s="1571"/>
      <c r="G1059" s="1571"/>
      <c r="H1059" s="1571"/>
      <c r="I1059" s="1571"/>
      <c r="J1059" s="1571"/>
      <c r="K1059" s="1571"/>
      <c r="L1059" s="1571"/>
      <c r="M1059" s="1571"/>
      <c r="N1059" s="1571"/>
      <c r="O1059" s="1571"/>
      <c r="P1059" s="1571"/>
      <c r="Q1059" s="1571"/>
      <c r="R1059" s="1571"/>
      <c r="S1059" s="1571"/>
      <c r="T1059" s="1571"/>
      <c r="U1059" s="1571"/>
      <c r="V1059" s="1571"/>
      <c r="W1059" s="1571"/>
      <c r="X1059" s="1571"/>
      <c r="Y1059" s="1571"/>
      <c r="Z1059" s="1571"/>
      <c r="AA1059" s="1571"/>
      <c r="AB1059" s="1571"/>
      <c r="AC1059" s="1571"/>
      <c r="AD1059" s="1571"/>
      <c r="AE1059" s="1572"/>
      <c r="AF1059" s="73"/>
      <c r="AG1059" s="443"/>
      <c r="AH1059" s="443"/>
      <c r="AI1059" s="83"/>
      <c r="AJ1059" s="1370"/>
      <c r="AK1059" s="1371"/>
      <c r="AL1059" s="1371"/>
      <c r="AM1059" s="1371"/>
      <c r="AN1059" s="1371"/>
      <c r="AO1059" s="1371"/>
      <c r="AP1059" s="1371"/>
      <c r="AQ1059" s="1372"/>
      <c r="AR1059" s="68"/>
      <c r="AS1059" s="68"/>
      <c r="AT1059" s="68"/>
      <c r="AU1059" s="68"/>
      <c r="AV1059" s="68"/>
      <c r="AW1059" s="68"/>
      <c r="AX1059" s="68"/>
      <c r="AY1059" s="68"/>
      <c r="AZ1059" s="958"/>
      <c r="BA1059" s="3"/>
      <c r="BB1059" s="3"/>
      <c r="BC1059" s="3"/>
      <c r="BD1059" s="3"/>
    </row>
    <row r="1060" spans="1:56" ht="13" customHeight="1">
      <c r="A1060" s="14"/>
      <c r="B1060" s="73"/>
      <c r="C1060" s="83"/>
      <c r="D1060" s="1570"/>
      <c r="E1060" s="1571"/>
      <c r="F1060" s="1571"/>
      <c r="G1060" s="1571"/>
      <c r="H1060" s="1571"/>
      <c r="I1060" s="1571"/>
      <c r="J1060" s="1571"/>
      <c r="K1060" s="1571"/>
      <c r="L1060" s="1571"/>
      <c r="M1060" s="1571"/>
      <c r="N1060" s="1571"/>
      <c r="O1060" s="1571"/>
      <c r="P1060" s="1571"/>
      <c r="Q1060" s="1571"/>
      <c r="R1060" s="1571"/>
      <c r="S1060" s="1571"/>
      <c r="T1060" s="1571"/>
      <c r="U1060" s="1571"/>
      <c r="V1060" s="1571"/>
      <c r="W1060" s="1571"/>
      <c r="X1060" s="1571"/>
      <c r="Y1060" s="1571"/>
      <c r="Z1060" s="1571"/>
      <c r="AA1060" s="1571"/>
      <c r="AB1060" s="1571"/>
      <c r="AC1060" s="1571"/>
      <c r="AD1060" s="1571"/>
      <c r="AE1060" s="1572"/>
      <c r="AF1060" s="917"/>
      <c r="AG1060" s="918"/>
      <c r="AH1060" s="918"/>
      <c r="AI1060" s="919"/>
      <c r="AJ1060" s="1370"/>
      <c r="AK1060" s="1371"/>
      <c r="AL1060" s="1371"/>
      <c r="AM1060" s="1371"/>
      <c r="AN1060" s="1371"/>
      <c r="AO1060" s="1371"/>
      <c r="AP1060" s="1371"/>
      <c r="AQ1060" s="1372"/>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575">
        <f>AY1012</f>
        <v>95</v>
      </c>
      <c r="J1061" s="1576"/>
      <c r="K1061" s="14"/>
      <c r="L1061" s="133"/>
      <c r="M1061" s="133"/>
      <c r="N1061" s="133"/>
      <c r="O1061" s="133"/>
      <c r="P1061" s="133"/>
      <c r="Q1061" s="133"/>
      <c r="R1061" s="133"/>
      <c r="S1061" s="133"/>
      <c r="T1061" s="133"/>
      <c r="U1061" s="133"/>
      <c r="V1061" s="134" t="s">
        <v>973</v>
      </c>
      <c r="X1061" s="1573">
        <f>CM761</f>
        <v>11</v>
      </c>
      <c r="Y1061" s="1574"/>
      <c r="AF1061" s="920"/>
      <c r="AG1061" s="921"/>
      <c r="AH1061" s="921"/>
      <c r="AI1061" s="922"/>
      <c r="AJ1061" s="1373"/>
      <c r="AK1061" s="1374"/>
      <c r="AL1061" s="1374"/>
      <c r="AM1061" s="1374"/>
      <c r="AN1061" s="1374"/>
      <c r="AO1061" s="1374"/>
      <c r="AP1061" s="1374"/>
      <c r="AQ1061" s="1375"/>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1568" t="s">
        <v>513</v>
      </c>
      <c r="E1062" s="1568"/>
      <c r="F1062" s="1568"/>
      <c r="G1062" s="1568"/>
      <c r="H1062" s="1568"/>
      <c r="I1062" s="1568"/>
      <c r="J1062" s="1568"/>
      <c r="K1062" s="1568"/>
      <c r="L1062" s="1568"/>
      <c r="M1062" s="1568"/>
      <c r="N1062" s="1568"/>
      <c r="O1062" s="1568"/>
      <c r="P1062" s="1568"/>
      <c r="Q1062" s="1568"/>
      <c r="R1062" s="1568"/>
      <c r="S1062" s="1568"/>
      <c r="T1062" s="1568"/>
      <c r="U1062" s="1568"/>
      <c r="V1062" s="1568"/>
      <c r="W1062" s="1568"/>
      <c r="X1062" s="1568"/>
      <c r="Y1062" s="1568"/>
      <c r="Z1062" s="1568"/>
      <c r="AA1062" s="1568"/>
      <c r="AB1062" s="1568"/>
      <c r="AC1062" s="1568"/>
      <c r="AD1062" s="1568"/>
      <c r="AE1062" s="1568"/>
      <c r="AF1062" s="1568"/>
      <c r="AG1062" s="1568"/>
      <c r="AH1062" s="1568"/>
      <c r="AI1062" s="1569"/>
      <c r="AJ1062" s="1587">
        <f>SUM(AJ1001:AQ1061)</f>
        <v>120805484.8</v>
      </c>
      <c r="AK1062" s="1588"/>
      <c r="AL1062" s="1588"/>
      <c r="AM1062" s="1588"/>
      <c r="AN1062" s="1588"/>
      <c r="AO1062" s="1588"/>
      <c r="AP1062" s="1588"/>
      <c r="AQ1062" s="1589"/>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9">
        <f>'Sources and Uses Budget'!S107+'Sources and Uses Budget'!T107</f>
        <v>67893061</v>
      </c>
      <c r="AB1065" s="1859"/>
      <c r="AC1065" s="1859"/>
      <c r="AD1065" s="1859"/>
      <c r="AE1065" s="1859"/>
      <c r="AF1065" s="185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8855616.5999999996</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0">
        <f>IFERROR((AA1065-BA1068)/(AJ1062-AJ1054-AJ1058),"")</f>
        <v>0.62946395838761504</v>
      </c>
      <c r="AB1066" s="1861"/>
      <c r="AC1066" s="1861"/>
      <c r="AD1066" s="1861"/>
      <c r="AE1066" s="1861"/>
      <c r="AF1066" s="186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6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68"/>
      <c r="AP1067" s="68"/>
      <c r="AQ1067" s="68"/>
      <c r="AR1067" s="68"/>
      <c r="AS1067" s="68"/>
      <c r="AT1067" s="68"/>
      <c r="AU1067" s="68"/>
      <c r="AV1067" s="14"/>
      <c r="AW1067" s="14"/>
      <c r="AX1067" s="14"/>
      <c r="AY1067" s="14"/>
      <c r="BA1067" s="1178">
        <f>'Sources and Uses Budget'!$S$104+'Sources and Uses Budget'!$T$104</f>
        <v>8855617</v>
      </c>
      <c r="BB1067" s="3" t="s">
        <v>2422</v>
      </c>
    </row>
    <row r="1068" spans="1:56" ht="13" customHeight="1">
      <c r="A1068" s="14"/>
      <c r="B1068" s="14"/>
      <c r="C1068" s="208"/>
      <c r="D1068" s="854"/>
      <c r="E1068" s="854"/>
      <c r="F1068" s="854"/>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68"/>
      <c r="AP1068" s="68"/>
      <c r="AQ1068" s="68"/>
      <c r="AR1068" s="68"/>
      <c r="AS1068" s="68"/>
      <c r="AT1068" s="68"/>
      <c r="AU1068" s="68"/>
      <c r="AV1068" s="14"/>
      <c r="AW1068" s="14"/>
      <c r="AX1068" s="14"/>
      <c r="AY1068" s="14"/>
      <c r="BA1068" s="1179">
        <f>MAX($BA$1067-$BA$1064,0)</f>
        <v>6355617</v>
      </c>
      <c r="BB1068" s="3" t="s">
        <v>2423</v>
      </c>
    </row>
    <row r="1069" spans="1:56" ht="13" customHeight="1">
      <c r="A1069" s="88"/>
      <c r="B1069" s="1165"/>
      <c r="C1069" s="1165"/>
      <c r="D1069" s="1165"/>
      <c r="E1069" s="1165"/>
      <c r="F1069" s="1165"/>
      <c r="G1069" s="1863"/>
      <c r="H1069" s="1863"/>
      <c r="I1069" s="1863"/>
      <c r="J1069" s="1863"/>
      <c r="K1069" s="1863"/>
      <c r="L1069" s="1863"/>
      <c r="M1069" s="1863"/>
      <c r="N1069" s="1863"/>
      <c r="O1069" s="1863"/>
      <c r="P1069" s="1863"/>
      <c r="Q1069" s="1863"/>
      <c r="R1069" s="1863"/>
      <c r="S1069" s="1863"/>
      <c r="T1069" s="1863"/>
      <c r="U1069" s="1863"/>
      <c r="V1069" s="1863"/>
      <c r="W1069" s="1863"/>
      <c r="X1069" s="1863"/>
      <c r="Y1069" s="1863"/>
      <c r="Z1069" s="1863"/>
      <c r="AA1069" s="1863"/>
      <c r="AB1069" s="1863"/>
      <c r="AC1069" s="1863"/>
      <c r="AD1069" s="1863"/>
      <c r="AE1069" s="1863"/>
      <c r="AF1069" s="1863"/>
      <c r="AG1069" s="1863"/>
      <c r="AH1069" s="1863"/>
      <c r="AI1069" s="1863"/>
      <c r="AJ1069" s="1863"/>
      <c r="AK1069" s="1863"/>
      <c r="AL1069" s="1863"/>
      <c r="AM1069" s="1863"/>
      <c r="AN1069" s="1863"/>
      <c r="AO1069" s="1165"/>
      <c r="AP1069" s="1165"/>
      <c r="AQ1069" s="68"/>
      <c r="AR1069" s="68"/>
      <c r="AS1069" s="68"/>
      <c r="AT1069" s="68"/>
      <c r="AU1069" s="68"/>
      <c r="AV1069" s="68"/>
      <c r="AW1069" s="68"/>
      <c r="AX1069" s="68"/>
      <c r="AY1069" s="68"/>
    </row>
    <row r="1070" spans="1:56" ht="13" customHeight="1">
      <c r="A1070" s="1344" t="s">
        <v>793</v>
      </c>
      <c r="B1070" s="1344"/>
      <c r="C1070" s="1344"/>
      <c r="D1070" s="1344"/>
      <c r="E1070" s="1344"/>
      <c r="F1070" s="1344"/>
      <c r="G1070" s="1344"/>
      <c r="H1070" s="1344"/>
      <c r="I1070" s="1344"/>
      <c r="J1070" s="1344"/>
      <c r="K1070" s="1344"/>
      <c r="L1070" s="1344"/>
      <c r="M1070" s="1344"/>
      <c r="N1070" s="1344"/>
      <c r="O1070" s="1344"/>
      <c r="P1070" s="1344"/>
      <c r="Q1070" s="1344"/>
      <c r="R1070" s="1344"/>
      <c r="S1070" s="1344"/>
      <c r="T1070" s="1344"/>
      <c r="U1070" s="1344"/>
      <c r="V1070" s="1344"/>
      <c r="W1070" s="1344"/>
      <c r="X1070" s="1344"/>
      <c r="Y1070" s="1344"/>
      <c r="Z1070" s="1344"/>
      <c r="AA1070" s="1344"/>
      <c r="AB1070" s="1344"/>
      <c r="AC1070" s="1344"/>
      <c r="AD1070" s="1344"/>
      <c r="AE1070" s="1344"/>
      <c r="AF1070" s="1344"/>
      <c r="AG1070" s="1344"/>
      <c r="AH1070" s="1344"/>
      <c r="AI1070" s="1344"/>
      <c r="AJ1070" s="1344"/>
      <c r="AK1070" s="1344"/>
      <c r="AL1070" s="1344"/>
      <c r="AM1070" s="1344"/>
      <c r="AN1070" s="1344"/>
      <c r="AO1070" s="1344"/>
      <c r="AP1070" s="1344"/>
      <c r="AQ1070" s="1344"/>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40" t="s">
        <v>591</v>
      </c>
      <c r="B1074" s="1340"/>
      <c r="C1074" s="1341">
        <v>1</v>
      </c>
      <c r="D1074" s="1341"/>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40" t="s">
        <v>591</v>
      </c>
      <c r="B1076" s="1340"/>
      <c r="C1076" s="1341">
        <v>2</v>
      </c>
      <c r="D1076" s="1341"/>
      <c r="E1076" s="1343" t="s">
        <v>2190</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3"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3"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40" t="s">
        <v>591</v>
      </c>
      <c r="B1079" s="1340"/>
      <c r="C1079" s="1342">
        <v>3</v>
      </c>
      <c r="D1079" s="1342"/>
      <c r="E1079" s="1284" t="s">
        <v>1079</v>
      </c>
      <c r="F1079" s="1284"/>
      <c r="G1079" s="1284"/>
      <c r="H1079" s="1284"/>
      <c r="I1079" s="1284"/>
      <c r="J1079" s="1284"/>
      <c r="K1079" s="1284"/>
      <c r="L1079" s="1284"/>
      <c r="M1079" s="1284"/>
      <c r="N1079" s="1284"/>
      <c r="O1079" s="1284"/>
      <c r="P1079" s="1284"/>
      <c r="Q1079" s="1284"/>
      <c r="R1079" s="1284"/>
      <c r="S1079" s="1284"/>
      <c r="T1079" s="1284"/>
      <c r="U1079" s="1284"/>
      <c r="V1079" s="1284"/>
      <c r="W1079" s="1284"/>
      <c r="X1079" s="1284"/>
      <c r="Y1079" s="1284"/>
      <c r="Z1079" s="1284"/>
      <c r="AA1079" s="1284"/>
      <c r="AB1079" s="1284"/>
      <c r="AC1079" s="1284"/>
      <c r="AD1079" s="1284"/>
      <c r="AE1079" s="1284"/>
      <c r="AF1079" s="1284"/>
      <c r="AG1079" s="1284"/>
      <c r="AH1079" s="1284"/>
      <c r="AI1079" s="1284"/>
      <c r="AJ1079" s="1284"/>
      <c r="AK1079" s="1284"/>
      <c r="AL1079" s="1284"/>
      <c r="AM1079" s="1284"/>
      <c r="AN1079" s="1284"/>
      <c r="AO1079" s="1284"/>
      <c r="AP1079" s="1284"/>
      <c r="AQ1079" s="1284"/>
      <c r="AR1079" s="1284"/>
      <c r="AS1079" s="14"/>
      <c r="AT1079" s="68"/>
      <c r="AV1079" s="68"/>
      <c r="AW1079" s="68"/>
      <c r="AX1079" s="68"/>
      <c r="AY1079" s="68"/>
    </row>
    <row r="1080" spans="1:51" ht="13" customHeight="1">
      <c r="A1080" s="1"/>
      <c r="B1080" s="1"/>
      <c r="C1080" s="1342"/>
      <c r="D1080" s="1342"/>
      <c r="E1080" s="1284"/>
      <c r="F1080" s="1284"/>
      <c r="G1080" s="1284"/>
      <c r="H1080" s="1284"/>
      <c r="I1080" s="1284"/>
      <c r="J1080" s="1284"/>
      <c r="K1080" s="1284"/>
      <c r="L1080" s="1284"/>
      <c r="M1080" s="1284"/>
      <c r="N1080" s="1284"/>
      <c r="O1080" s="1284"/>
      <c r="P1080" s="1284"/>
      <c r="Q1080" s="1284"/>
      <c r="R1080" s="1284"/>
      <c r="S1080" s="1284"/>
      <c r="T1080" s="1284"/>
      <c r="U1080" s="1284"/>
      <c r="V1080" s="1284"/>
      <c r="W1080" s="1284"/>
      <c r="X1080" s="1284"/>
      <c r="Y1080" s="1284"/>
      <c r="Z1080" s="1284"/>
      <c r="AA1080" s="1284"/>
      <c r="AB1080" s="1284"/>
      <c r="AC1080" s="1284"/>
      <c r="AD1080" s="1284"/>
      <c r="AE1080" s="1284"/>
      <c r="AF1080" s="1284"/>
      <c r="AG1080" s="1284"/>
      <c r="AH1080" s="1284"/>
      <c r="AI1080" s="1284"/>
      <c r="AJ1080" s="1284"/>
      <c r="AK1080" s="1284"/>
      <c r="AL1080" s="1284"/>
      <c r="AM1080" s="1284"/>
      <c r="AN1080" s="1284"/>
      <c r="AO1080" s="1284"/>
      <c r="AP1080" s="1284"/>
      <c r="AQ1080" s="1284"/>
      <c r="AR1080" s="1284"/>
      <c r="AS1080" s="14"/>
      <c r="AT1080" s="68"/>
      <c r="AV1080" s="68"/>
      <c r="AW1080" s="68"/>
      <c r="AX1080" s="68"/>
      <c r="AY1080" s="68"/>
    </row>
    <row r="1081" spans="1:51" ht="13" customHeight="1">
      <c r="A1081" s="1"/>
      <c r="B1081" s="1"/>
      <c r="C1081" s="1342"/>
      <c r="D1081" s="1342"/>
      <c r="E1081" s="1284"/>
      <c r="F1081" s="1284"/>
      <c r="G1081" s="1284"/>
      <c r="H1081" s="1284"/>
      <c r="I1081" s="1284"/>
      <c r="J1081" s="1284"/>
      <c r="K1081" s="1284"/>
      <c r="L1081" s="1284"/>
      <c r="M1081" s="1284"/>
      <c r="N1081" s="1284"/>
      <c r="O1081" s="1284"/>
      <c r="P1081" s="1284"/>
      <c r="Q1081" s="1284"/>
      <c r="R1081" s="1284"/>
      <c r="S1081" s="1284"/>
      <c r="T1081" s="1284"/>
      <c r="U1081" s="1284"/>
      <c r="V1081" s="1284"/>
      <c r="W1081" s="1284"/>
      <c r="X1081" s="1284"/>
      <c r="Y1081" s="1284"/>
      <c r="Z1081" s="1284"/>
      <c r="AA1081" s="1284"/>
      <c r="AB1081" s="1284"/>
      <c r="AC1081" s="1284"/>
      <c r="AD1081" s="1284"/>
      <c r="AE1081" s="1284"/>
      <c r="AF1081" s="1284"/>
      <c r="AG1081" s="1284"/>
      <c r="AH1081" s="1284"/>
      <c r="AI1081" s="1284"/>
      <c r="AJ1081" s="1284"/>
      <c r="AK1081" s="1284"/>
      <c r="AL1081" s="1284"/>
      <c r="AM1081" s="1284"/>
      <c r="AN1081" s="1284"/>
      <c r="AO1081" s="1284"/>
      <c r="AP1081" s="1284"/>
      <c r="AQ1081" s="1284"/>
      <c r="AR1081" s="1284"/>
      <c r="AS1081" s="14"/>
      <c r="AT1081" s="68"/>
      <c r="AV1081" s="68"/>
      <c r="AW1081" s="68"/>
      <c r="AX1081" s="68"/>
      <c r="AY1081" s="68"/>
    </row>
    <row r="1082" spans="1:51" ht="13" customHeight="1">
      <c r="A1082" s="1"/>
      <c r="B1082" s="1"/>
      <c r="C1082" s="1342"/>
      <c r="D1082" s="1342"/>
      <c r="E1082" s="1284"/>
      <c r="F1082" s="1284"/>
      <c r="G1082" s="1284"/>
      <c r="H1082" s="1284"/>
      <c r="I1082" s="1284"/>
      <c r="J1082" s="1284"/>
      <c r="K1082" s="1284"/>
      <c r="L1082" s="1284"/>
      <c r="M1082" s="1284"/>
      <c r="N1082" s="1284"/>
      <c r="O1082" s="1284"/>
      <c r="P1082" s="1284"/>
      <c r="Q1082" s="1284"/>
      <c r="R1082" s="1284"/>
      <c r="S1082" s="1284"/>
      <c r="T1082" s="1284"/>
      <c r="U1082" s="1284"/>
      <c r="V1082" s="1284"/>
      <c r="W1082" s="1284"/>
      <c r="X1082" s="1284"/>
      <c r="Y1082" s="128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4"/>
      <c r="AT1082" s="68"/>
      <c r="AV1082" s="68"/>
      <c r="AW1082" s="68"/>
      <c r="AX1082" s="68"/>
      <c r="AY1082" s="68"/>
    </row>
    <row r="1083" spans="1:51" ht="13"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40" t="s">
        <v>591</v>
      </c>
      <c r="B1084" s="1340"/>
      <c r="C1084" s="1342">
        <v>4</v>
      </c>
      <c r="D1084" s="1342"/>
      <c r="E1084" s="1284" t="s">
        <v>1078</v>
      </c>
      <c r="F1084" s="1284"/>
      <c r="G1084" s="1284"/>
      <c r="H1084" s="1284"/>
      <c r="I1084" s="1284"/>
      <c r="J1084" s="1284"/>
      <c r="K1084" s="1284"/>
      <c r="L1084" s="1284"/>
      <c r="M1084" s="1284"/>
      <c r="N1084" s="1284"/>
      <c r="O1084" s="1284"/>
      <c r="P1084" s="1284"/>
      <c r="Q1084" s="1284"/>
      <c r="R1084" s="1284"/>
      <c r="S1084" s="1284"/>
      <c r="T1084" s="1284"/>
      <c r="U1084" s="1284"/>
      <c r="V1084" s="1284"/>
      <c r="W1084" s="1284"/>
      <c r="X1084" s="1284"/>
      <c r="Y1084" s="1284"/>
      <c r="Z1084" s="1284"/>
      <c r="AA1084" s="1284"/>
      <c r="AB1084" s="1284"/>
      <c r="AC1084" s="1284"/>
      <c r="AD1084" s="1284"/>
      <c r="AE1084" s="1284"/>
      <c r="AF1084" s="1284"/>
      <c r="AG1084" s="1284"/>
      <c r="AH1084" s="1284"/>
      <c r="AI1084" s="1284"/>
      <c r="AJ1084" s="1284"/>
      <c r="AK1084" s="1284"/>
      <c r="AL1084" s="1284"/>
      <c r="AM1084" s="1284"/>
      <c r="AN1084" s="1284"/>
      <c r="AO1084" s="1284"/>
      <c r="AP1084" s="1284"/>
      <c r="AQ1084" s="1284"/>
      <c r="AR1084" s="1284"/>
      <c r="AS1084" s="14"/>
      <c r="AT1084" s="68"/>
    </row>
    <row r="1085" spans="1:51" ht="13" customHeight="1">
      <c r="A1085" s="1"/>
      <c r="B1085" s="1"/>
      <c r="C1085" s="1342"/>
      <c r="D1085" s="1342"/>
      <c r="E1085" s="1284"/>
      <c r="F1085" s="1284"/>
      <c r="G1085" s="1284"/>
      <c r="H1085" s="1284"/>
      <c r="I1085" s="1284"/>
      <c r="J1085" s="1284"/>
      <c r="K1085" s="1284"/>
      <c r="L1085" s="1284"/>
      <c r="M1085" s="1284"/>
      <c r="N1085" s="1284"/>
      <c r="O1085" s="1284"/>
      <c r="P1085" s="1284"/>
      <c r="Q1085" s="1284"/>
      <c r="R1085" s="1284"/>
      <c r="S1085" s="1284"/>
      <c r="T1085" s="1284"/>
      <c r="U1085" s="1284"/>
      <c r="V1085" s="1284"/>
      <c r="W1085" s="1284"/>
      <c r="X1085" s="1284"/>
      <c r="Y1085" s="1284"/>
      <c r="Z1085" s="1284"/>
      <c r="AA1085" s="1284"/>
      <c r="AB1085" s="1284"/>
      <c r="AC1085" s="1284"/>
      <c r="AD1085" s="1284"/>
      <c r="AE1085" s="1284"/>
      <c r="AF1085" s="1284"/>
      <c r="AG1085" s="1284"/>
      <c r="AH1085" s="1284"/>
      <c r="AI1085" s="1284"/>
      <c r="AJ1085" s="1284"/>
      <c r="AK1085" s="1284"/>
      <c r="AL1085" s="1284"/>
      <c r="AM1085" s="1284"/>
      <c r="AN1085" s="1284"/>
      <c r="AO1085" s="1284"/>
      <c r="AP1085" s="1284"/>
      <c r="AQ1085" s="1284"/>
      <c r="AR1085" s="1284"/>
      <c r="AS1085" s="14"/>
      <c r="AT1085" s="68"/>
    </row>
    <row r="1086" spans="1:51" ht="13" customHeight="1">
      <c r="A1086" s="1"/>
      <c r="B1086" s="1"/>
      <c r="C1086" s="1342"/>
      <c r="D1086" s="1342"/>
      <c r="E1086" s="1284"/>
      <c r="F1086" s="1284"/>
      <c r="G1086" s="1284"/>
      <c r="H1086" s="1284"/>
      <c r="I1086" s="1284"/>
      <c r="J1086" s="1284"/>
      <c r="K1086" s="1284"/>
      <c r="L1086" s="1284"/>
      <c r="M1086" s="1284"/>
      <c r="N1086" s="1284"/>
      <c r="O1086" s="1284"/>
      <c r="P1086" s="1284"/>
      <c r="Q1086" s="1284"/>
      <c r="R1086" s="1284"/>
      <c r="S1086" s="1284"/>
      <c r="T1086" s="1284"/>
      <c r="U1086" s="1284"/>
      <c r="V1086" s="1284"/>
      <c r="W1086" s="1284"/>
      <c r="X1086" s="1284"/>
      <c r="Y1086" s="1284"/>
      <c r="Z1086" s="1284"/>
      <c r="AA1086" s="1284"/>
      <c r="AB1086" s="1284"/>
      <c r="AC1086" s="1284"/>
      <c r="AD1086" s="1284"/>
      <c r="AE1086" s="1284"/>
      <c r="AF1086" s="1284"/>
      <c r="AG1086" s="1284"/>
      <c r="AH1086" s="1284"/>
      <c r="AI1086" s="1284"/>
      <c r="AJ1086" s="1284"/>
      <c r="AK1086" s="1284"/>
      <c r="AL1086" s="1284"/>
      <c r="AM1086" s="1284"/>
      <c r="AN1086" s="1284"/>
      <c r="AO1086" s="1284"/>
      <c r="AP1086" s="1284"/>
      <c r="AQ1086" s="1284"/>
      <c r="AR1086" s="1284"/>
      <c r="AS1086" s="14"/>
      <c r="AT1086" s="68"/>
    </row>
    <row r="1087" spans="1:51" ht="13" customHeight="1">
      <c r="A1087" s="1"/>
      <c r="B1087" s="1"/>
      <c r="C1087" s="1342"/>
      <c r="D1087" s="1342"/>
      <c r="E1087" s="1284"/>
      <c r="F1087" s="1284"/>
      <c r="G1087" s="1284"/>
      <c r="H1087" s="1284"/>
      <c r="I1087" s="1284"/>
      <c r="J1087" s="1284"/>
      <c r="K1087" s="1284"/>
      <c r="L1087" s="1284"/>
      <c r="M1087" s="1284"/>
      <c r="N1087" s="1284"/>
      <c r="O1087" s="1284"/>
      <c r="P1087" s="1284"/>
      <c r="Q1087" s="1284"/>
      <c r="R1087" s="1284"/>
      <c r="S1087" s="1284"/>
      <c r="T1087" s="1284"/>
      <c r="U1087" s="1284"/>
      <c r="V1087" s="1284"/>
      <c r="W1087" s="1284"/>
      <c r="X1087" s="1284"/>
      <c r="Y1087" s="1284"/>
      <c r="Z1087" s="1284"/>
      <c r="AA1087" s="1284"/>
      <c r="AB1087" s="1284"/>
      <c r="AC1087" s="1284"/>
      <c r="AD1087" s="1284"/>
      <c r="AE1087" s="1284"/>
      <c r="AF1087" s="1284"/>
      <c r="AG1087" s="1284"/>
      <c r="AH1087" s="1284"/>
      <c r="AI1087" s="1284"/>
      <c r="AJ1087" s="1284"/>
      <c r="AK1087" s="1284"/>
      <c r="AL1087" s="1284"/>
      <c r="AM1087" s="1284"/>
      <c r="AN1087" s="1284"/>
      <c r="AO1087" s="1284"/>
      <c r="AP1087" s="1284"/>
      <c r="AQ1087" s="1284"/>
      <c r="AR1087" s="1284"/>
      <c r="AS1087" s="14"/>
      <c r="AT1087" s="68"/>
    </row>
    <row r="1088" spans="1:51" ht="13" customHeight="1">
      <c r="A1088" s="1"/>
      <c r="B1088" s="1"/>
      <c r="C1088" s="1342"/>
      <c r="D1088" s="1342"/>
      <c r="E1088" s="1284"/>
      <c r="F1088" s="1284"/>
      <c r="G1088" s="1284"/>
      <c r="H1088" s="1284"/>
      <c r="I1088" s="1284"/>
      <c r="J1088" s="1284"/>
      <c r="K1088" s="1284"/>
      <c r="L1088" s="1284"/>
      <c r="M1088" s="1284"/>
      <c r="N1088" s="1284"/>
      <c r="O1088" s="1284"/>
      <c r="P1088" s="1284"/>
      <c r="Q1088" s="1284"/>
      <c r="R1088" s="1284"/>
      <c r="S1088" s="1284"/>
      <c r="T1088" s="1284"/>
      <c r="U1088" s="1284"/>
      <c r="V1088" s="1284"/>
      <c r="W1088" s="1284"/>
      <c r="X1088" s="1284"/>
      <c r="Y1088" s="1284"/>
      <c r="Z1088" s="1284"/>
      <c r="AA1088" s="1284"/>
      <c r="AB1088" s="1284"/>
      <c r="AC1088" s="1284"/>
      <c r="AD1088" s="1284"/>
      <c r="AE1088" s="1284"/>
      <c r="AF1088" s="1284"/>
      <c r="AG1088" s="1284"/>
      <c r="AH1088" s="1284"/>
      <c r="AI1088" s="1284"/>
      <c r="AJ1088" s="1284"/>
      <c r="AK1088" s="1284"/>
      <c r="AL1088" s="1284"/>
      <c r="AM1088" s="1284"/>
      <c r="AN1088" s="1284"/>
      <c r="AO1088" s="1284"/>
      <c r="AP1088" s="1284"/>
      <c r="AQ1088" s="1284"/>
      <c r="AR1088" s="1284"/>
      <c r="AS1088" s="14"/>
      <c r="AT1088" s="68"/>
    </row>
    <row r="1089" spans="1:45" ht="13"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40" t="s">
        <v>591</v>
      </c>
      <c r="B1090" s="1340"/>
      <c r="C1090" s="1342">
        <v>5</v>
      </c>
      <c r="D1090" s="1342"/>
      <c r="E1090" s="1284" t="s">
        <v>2193</v>
      </c>
      <c r="F1090" s="1284"/>
      <c r="G1090" s="1284"/>
      <c r="H1090" s="1284"/>
      <c r="I1090" s="1284"/>
      <c r="J1090" s="1284"/>
      <c r="K1090" s="1284"/>
      <c r="L1090" s="1284"/>
      <c r="M1090" s="1284"/>
      <c r="N1090" s="1284"/>
      <c r="O1090" s="1284"/>
      <c r="P1090" s="1284"/>
      <c r="Q1090" s="1284"/>
      <c r="R1090" s="1284"/>
      <c r="S1090" s="1284"/>
      <c r="T1090" s="1284"/>
      <c r="U1090" s="1284"/>
      <c r="V1090" s="1284"/>
      <c r="W1090" s="1284"/>
      <c r="X1090" s="1284"/>
      <c r="Y1090" s="1284"/>
      <c r="Z1090" s="1284"/>
      <c r="AA1090" s="1284"/>
      <c r="AB1090" s="1284"/>
      <c r="AC1090" s="1284"/>
      <c r="AD1090" s="1284"/>
      <c r="AE1090" s="1284"/>
      <c r="AF1090" s="1284"/>
      <c r="AG1090" s="1284"/>
      <c r="AH1090" s="1284"/>
      <c r="AI1090" s="1284"/>
      <c r="AJ1090" s="1284"/>
      <c r="AK1090" s="1284"/>
      <c r="AL1090" s="1284"/>
      <c r="AM1090" s="1284"/>
      <c r="AN1090" s="1284"/>
      <c r="AO1090" s="1284"/>
      <c r="AP1090" s="1284"/>
      <c r="AQ1090" s="1284"/>
      <c r="AR1090" s="1284"/>
      <c r="AS1090" s="14"/>
    </row>
    <row r="1091" spans="1:45" ht="13" customHeight="1">
      <c r="A1091" s="4"/>
      <c r="B1091" s="4"/>
      <c r="C1091" s="1342"/>
      <c r="D1091" s="1342"/>
      <c r="E1091" s="1284"/>
      <c r="F1091" s="1284"/>
      <c r="G1091" s="1284"/>
      <c r="H1091" s="1284"/>
      <c r="I1091" s="1284"/>
      <c r="J1091" s="1284"/>
      <c r="K1091" s="1284"/>
      <c r="L1091" s="1284"/>
      <c r="M1091" s="1284"/>
      <c r="N1091" s="1284"/>
      <c r="O1091" s="1284"/>
      <c r="P1091" s="1284"/>
      <c r="Q1091" s="1284"/>
      <c r="R1091" s="1284"/>
      <c r="S1091" s="1284"/>
      <c r="T1091" s="1284"/>
      <c r="U1091" s="1284"/>
      <c r="V1091" s="1284"/>
      <c r="W1091" s="1284"/>
      <c r="X1091" s="1284"/>
      <c r="Y1091" s="1284"/>
      <c r="Z1091" s="1284"/>
      <c r="AA1091" s="1284"/>
      <c r="AB1091" s="1284"/>
      <c r="AC1091" s="1284"/>
      <c r="AD1091" s="1284"/>
      <c r="AE1091" s="1284"/>
      <c r="AF1091" s="1284"/>
      <c r="AG1091" s="1284"/>
      <c r="AH1091" s="1284"/>
      <c r="AI1091" s="1284"/>
      <c r="AJ1091" s="1284"/>
      <c r="AK1091" s="1284"/>
      <c r="AL1091" s="1284"/>
      <c r="AM1091" s="1284"/>
      <c r="AN1091" s="1284"/>
      <c r="AO1091" s="1284"/>
      <c r="AP1091" s="1284"/>
      <c r="AQ1091" s="1284"/>
      <c r="AR1091" s="1284"/>
      <c r="AS1091" s="14"/>
    </row>
    <row r="1092" spans="1:45" ht="13" customHeight="1">
      <c r="A1092" s="4"/>
      <c r="B1092" s="4"/>
      <c r="C1092" s="1342"/>
      <c r="D1092" s="1342"/>
      <c r="E1092" s="1284"/>
      <c r="F1092" s="1284"/>
      <c r="G1092" s="1284"/>
      <c r="H1092" s="1284"/>
      <c r="I1092" s="1284"/>
      <c r="J1092" s="1284"/>
      <c r="K1092" s="1284"/>
      <c r="L1092" s="1284"/>
      <c r="M1092" s="1284"/>
      <c r="N1092" s="1284"/>
      <c r="O1092" s="1284"/>
      <c r="P1092" s="1284"/>
      <c r="Q1092" s="1284"/>
      <c r="R1092" s="1284"/>
      <c r="S1092" s="1284"/>
      <c r="T1092" s="1284"/>
      <c r="U1092" s="1284"/>
      <c r="V1092" s="1284"/>
      <c r="W1092" s="1284"/>
      <c r="X1092" s="1284"/>
      <c r="Y1092" s="1284"/>
      <c r="Z1092" s="1284"/>
      <c r="AA1092" s="1284"/>
      <c r="AB1092" s="1284"/>
      <c r="AC1092" s="1284"/>
      <c r="AD1092" s="1284"/>
      <c r="AE1092" s="1284"/>
      <c r="AF1092" s="1284"/>
      <c r="AG1092" s="1284"/>
      <c r="AH1092" s="1284"/>
      <c r="AI1092" s="1284"/>
      <c r="AJ1092" s="1284"/>
      <c r="AK1092" s="1284"/>
      <c r="AL1092" s="1284"/>
      <c r="AM1092" s="1284"/>
      <c r="AN1092" s="1284"/>
      <c r="AO1092" s="1284"/>
      <c r="AP1092" s="1284"/>
      <c r="AQ1092" s="1284"/>
      <c r="AR1092" s="1284"/>
      <c r="AS1092" s="14"/>
    </row>
    <row r="1093" spans="1:45" ht="13"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40" t="s">
        <v>591</v>
      </c>
      <c r="B1094" s="1340"/>
      <c r="C1094" s="1342">
        <v>6</v>
      </c>
      <c r="D1094" s="1342"/>
      <c r="E1094" s="1284" t="s">
        <v>2194</v>
      </c>
      <c r="F1094" s="1284"/>
      <c r="G1094" s="1284"/>
      <c r="H1094" s="1284"/>
      <c r="I1094" s="1284"/>
      <c r="J1094" s="1284"/>
      <c r="K1094" s="1284"/>
      <c r="L1094" s="1284"/>
      <c r="M1094" s="1284"/>
      <c r="N1094" s="1284"/>
      <c r="O1094" s="1284"/>
      <c r="P1094" s="1284"/>
      <c r="Q1094" s="1284"/>
      <c r="R1094" s="1284"/>
      <c r="S1094" s="1284"/>
      <c r="T1094" s="1284"/>
      <c r="U1094" s="1284"/>
      <c r="V1094" s="1284"/>
      <c r="W1094" s="1284"/>
      <c r="X1094" s="1284"/>
      <c r="Y1094" s="1284"/>
      <c r="Z1094" s="1284"/>
      <c r="AA1094" s="1284"/>
      <c r="AB1094" s="1284"/>
      <c r="AC1094" s="1284"/>
      <c r="AD1094" s="1284"/>
      <c r="AE1094" s="1284"/>
      <c r="AF1094" s="1284"/>
      <c r="AG1094" s="1284"/>
      <c r="AH1094" s="1284"/>
      <c r="AI1094" s="1284"/>
      <c r="AJ1094" s="1284"/>
      <c r="AK1094" s="1284"/>
      <c r="AL1094" s="1284"/>
      <c r="AM1094" s="1284"/>
      <c r="AN1094" s="1284"/>
      <c r="AO1094" s="1284"/>
      <c r="AP1094" s="1284"/>
      <c r="AQ1094" s="1284"/>
      <c r="AR1094" s="1284"/>
      <c r="AS1094" s="14"/>
    </row>
    <row r="1095" spans="1:45" ht="13" customHeight="1">
      <c r="A1095" s="1"/>
      <c r="B1095" s="1"/>
      <c r="C1095" s="1"/>
      <c r="D1095" s="1"/>
      <c r="E1095" s="1284"/>
      <c r="F1095" s="1284"/>
      <c r="G1095" s="1284"/>
      <c r="H1095" s="1284"/>
      <c r="I1095" s="1284"/>
      <c r="J1095" s="1284"/>
      <c r="K1095" s="1284"/>
      <c r="L1095" s="1284"/>
      <c r="M1095" s="1284"/>
      <c r="N1095" s="1284"/>
      <c r="O1095" s="1284"/>
      <c r="P1095" s="1284"/>
      <c r="Q1095" s="1284"/>
      <c r="R1095" s="1284"/>
      <c r="S1095" s="1284"/>
      <c r="T1095" s="1284"/>
      <c r="U1095" s="1284"/>
      <c r="V1095" s="1284"/>
      <c r="W1095" s="1284"/>
      <c r="X1095" s="1284"/>
      <c r="Y1095" s="1284"/>
      <c r="Z1095" s="1284"/>
      <c r="AA1095" s="1284"/>
      <c r="AB1095" s="1284"/>
      <c r="AC1095" s="1284"/>
      <c r="AD1095" s="1284"/>
      <c r="AE1095" s="1284"/>
      <c r="AF1095" s="1284"/>
      <c r="AG1095" s="1284"/>
      <c r="AH1095" s="1284"/>
      <c r="AI1095" s="1284"/>
      <c r="AJ1095" s="1284"/>
      <c r="AK1095" s="1284"/>
      <c r="AL1095" s="1284"/>
      <c r="AM1095" s="1284"/>
      <c r="AN1095" s="1284"/>
      <c r="AO1095" s="1284"/>
      <c r="AP1095" s="1284"/>
      <c r="AQ1095" s="1284"/>
      <c r="AR1095" s="1284"/>
      <c r="AS1095" s="14"/>
    </row>
    <row r="1096" spans="1:45" ht="13" customHeight="1">
      <c r="A1096" s="1"/>
      <c r="B1096" s="1"/>
      <c r="C1096" s="1342"/>
      <c r="D1096" s="1342"/>
      <c r="E1096" s="1284"/>
      <c r="F1096" s="1284"/>
      <c r="G1096" s="1284"/>
      <c r="H1096" s="1284"/>
      <c r="I1096" s="1284"/>
      <c r="J1096" s="1284"/>
      <c r="K1096" s="1284"/>
      <c r="L1096" s="1284"/>
      <c r="M1096" s="1284"/>
      <c r="N1096" s="1284"/>
      <c r="O1096" s="1284"/>
      <c r="P1096" s="1284"/>
      <c r="Q1096" s="1284"/>
      <c r="R1096" s="1284"/>
      <c r="S1096" s="1284"/>
      <c r="T1096" s="1284"/>
      <c r="U1096" s="1284"/>
      <c r="V1096" s="1284"/>
      <c r="W1096" s="1284"/>
      <c r="X1096" s="1284"/>
      <c r="Y1096" s="1284"/>
      <c r="Z1096" s="1284"/>
      <c r="AA1096" s="1284"/>
      <c r="AB1096" s="1284"/>
      <c r="AC1096" s="1284"/>
      <c r="AD1096" s="1284"/>
      <c r="AE1096" s="1284"/>
      <c r="AF1096" s="1284"/>
      <c r="AG1096" s="1284"/>
      <c r="AH1096" s="1284"/>
      <c r="AI1096" s="1284"/>
      <c r="AJ1096" s="1284"/>
      <c r="AK1096" s="1284"/>
      <c r="AL1096" s="1284"/>
      <c r="AM1096" s="1284"/>
      <c r="AN1096" s="1284"/>
      <c r="AO1096" s="1284"/>
      <c r="AP1096" s="1284"/>
      <c r="AQ1096" s="1284"/>
      <c r="AR1096" s="1284"/>
      <c r="AS1096" s="14"/>
    </row>
    <row r="1097" spans="1:45" ht="13"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40" t="s">
        <v>591</v>
      </c>
      <c r="B1098" s="1340"/>
      <c r="C1098" s="1342">
        <v>7</v>
      </c>
      <c r="D1098" s="1342"/>
      <c r="E1098" s="1284" t="s">
        <v>2092</v>
      </c>
      <c r="F1098" s="1284"/>
      <c r="G1098" s="1284"/>
      <c r="H1098" s="1284"/>
      <c r="I1098" s="1284"/>
      <c r="J1098" s="1284"/>
      <c r="K1098" s="1284"/>
      <c r="L1098" s="1284"/>
      <c r="M1098" s="1284"/>
      <c r="N1098" s="1284"/>
      <c r="O1098" s="1284"/>
      <c r="P1098" s="1284"/>
      <c r="Q1098" s="1284"/>
      <c r="R1098" s="1284"/>
      <c r="S1098" s="1284"/>
      <c r="T1098" s="1284"/>
      <c r="U1098" s="1284"/>
      <c r="V1098" s="1284"/>
      <c r="W1098" s="1284"/>
      <c r="X1098" s="1284"/>
      <c r="Y1098" s="1284"/>
      <c r="Z1098" s="1284"/>
      <c r="AA1098" s="1284"/>
      <c r="AB1098" s="1284"/>
      <c r="AC1098" s="1284"/>
      <c r="AD1098" s="1284"/>
      <c r="AE1098" s="1284"/>
      <c r="AF1098" s="1284"/>
      <c r="AG1098" s="1284"/>
      <c r="AH1098" s="1284"/>
      <c r="AI1098" s="1284"/>
      <c r="AJ1098" s="1284"/>
      <c r="AK1098" s="1284"/>
      <c r="AL1098" s="1284"/>
      <c r="AM1098" s="1284"/>
      <c r="AN1098" s="1284"/>
      <c r="AO1098" s="1284"/>
      <c r="AP1098" s="1284"/>
      <c r="AQ1098" s="1284"/>
      <c r="AR1098" s="1284"/>
      <c r="AS1098" s="14"/>
    </row>
    <row r="1099" spans="1:45" ht="13" customHeight="1">
      <c r="A1099" s="1"/>
      <c r="B1099" s="1"/>
      <c r="C1099" s="1342"/>
      <c r="D1099" s="1342"/>
      <c r="E1099" s="1284"/>
      <c r="F1099" s="1284"/>
      <c r="G1099" s="1284"/>
      <c r="H1099" s="1284"/>
      <c r="I1099" s="1284"/>
      <c r="J1099" s="1284"/>
      <c r="K1099" s="1284"/>
      <c r="L1099" s="1284"/>
      <c r="M1099" s="1284"/>
      <c r="N1099" s="1284"/>
      <c r="O1099" s="1284"/>
      <c r="P1099" s="1284"/>
      <c r="Q1099" s="1284"/>
      <c r="R1099" s="1284"/>
      <c r="S1099" s="1284"/>
      <c r="T1099" s="1284"/>
      <c r="U1099" s="1284"/>
      <c r="V1099" s="1284"/>
      <c r="W1099" s="1284"/>
      <c r="X1099" s="1284"/>
      <c r="Y1099" s="1284"/>
      <c r="Z1099" s="1284"/>
      <c r="AA1099" s="1284"/>
      <c r="AB1099" s="1284"/>
      <c r="AC1099" s="1284"/>
      <c r="AD1099" s="1284"/>
      <c r="AE1099" s="1284"/>
      <c r="AF1099" s="1284"/>
      <c r="AG1099" s="1284"/>
      <c r="AH1099" s="1284"/>
      <c r="AI1099" s="1284"/>
      <c r="AJ1099" s="1284"/>
      <c r="AK1099" s="1284"/>
      <c r="AL1099" s="1284"/>
      <c r="AM1099" s="1284"/>
      <c r="AN1099" s="1284"/>
      <c r="AO1099" s="1284"/>
      <c r="AP1099" s="1284"/>
      <c r="AQ1099" s="1284"/>
      <c r="AR1099" s="1284"/>
      <c r="AS1099" s="14"/>
    </row>
    <row r="1100" spans="1:45" ht="13" customHeight="1">
      <c r="A1100" s="1"/>
      <c r="B1100" s="1"/>
      <c r="C1100" s="1342"/>
      <c r="D1100" s="1342"/>
      <c r="E1100" s="1284"/>
      <c r="F1100" s="1284"/>
      <c r="G1100" s="1284"/>
      <c r="H1100" s="1284"/>
      <c r="I1100" s="1284"/>
      <c r="J1100" s="1284"/>
      <c r="K1100" s="1284"/>
      <c r="L1100" s="1284"/>
      <c r="M1100" s="1284"/>
      <c r="N1100" s="1284"/>
      <c r="O1100" s="1284"/>
      <c r="P1100" s="1284"/>
      <c r="Q1100" s="1284"/>
      <c r="R1100" s="1284"/>
      <c r="S1100" s="1284"/>
      <c r="T1100" s="1284"/>
      <c r="U1100" s="1284"/>
      <c r="V1100" s="1284"/>
      <c r="W1100" s="1284"/>
      <c r="X1100" s="1284"/>
      <c r="Y1100" s="1284"/>
      <c r="Z1100" s="1284"/>
      <c r="AA1100" s="1284"/>
      <c r="AB1100" s="1284"/>
      <c r="AC1100" s="1284"/>
      <c r="AD1100" s="1284"/>
      <c r="AE1100" s="1284"/>
      <c r="AF1100" s="1284"/>
      <c r="AG1100" s="1284"/>
      <c r="AH1100" s="1284"/>
      <c r="AI1100" s="1284"/>
      <c r="AJ1100" s="1284"/>
      <c r="AK1100" s="1284"/>
      <c r="AL1100" s="1284"/>
      <c r="AM1100" s="1284"/>
      <c r="AN1100" s="1284"/>
      <c r="AO1100" s="1284"/>
      <c r="AP1100" s="1284"/>
      <c r="AQ1100" s="1284"/>
      <c r="AR1100" s="1284"/>
      <c r="AS1100" s="14"/>
    </row>
    <row r="1101" spans="1:45" ht="13"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40" t="s">
        <v>591</v>
      </c>
      <c r="B1103" s="1340"/>
      <c r="C1103" s="1342">
        <v>8</v>
      </c>
      <c r="D1103" s="1342"/>
      <c r="E1103" s="1284" t="s">
        <v>1072</v>
      </c>
      <c r="F1103" s="1284"/>
      <c r="G1103" s="1284"/>
      <c r="H1103" s="1284"/>
      <c r="I1103" s="1284"/>
      <c r="J1103" s="1284"/>
      <c r="K1103" s="1284"/>
      <c r="L1103" s="1284"/>
      <c r="M1103" s="1284"/>
      <c r="N1103" s="1284"/>
      <c r="O1103" s="1284"/>
      <c r="P1103" s="1284"/>
      <c r="Q1103" s="1284"/>
      <c r="R1103" s="1284"/>
      <c r="S1103" s="1284"/>
      <c r="T1103" s="1284"/>
      <c r="U1103" s="1284"/>
      <c r="V1103" s="1284"/>
      <c r="W1103" s="1284"/>
      <c r="X1103" s="1284"/>
      <c r="Y1103" s="1284"/>
      <c r="Z1103" s="1284"/>
      <c r="AA1103" s="1284"/>
      <c r="AB1103" s="1284"/>
      <c r="AC1103" s="1284"/>
      <c r="AD1103" s="1284"/>
      <c r="AE1103" s="1284"/>
      <c r="AF1103" s="1284"/>
      <c r="AG1103" s="1284"/>
      <c r="AH1103" s="1284"/>
      <c r="AI1103" s="1284"/>
      <c r="AJ1103" s="1284"/>
      <c r="AK1103" s="1284"/>
      <c r="AL1103" s="1284"/>
      <c r="AM1103" s="1284"/>
      <c r="AN1103" s="1284"/>
      <c r="AO1103" s="1284"/>
      <c r="AP1103" s="1284"/>
      <c r="AQ1103" s="1284"/>
      <c r="AR1103" s="1284"/>
    </row>
    <row r="1104" spans="1:45" ht="13" customHeight="1">
      <c r="A1104" s="35"/>
      <c r="B1104" s="25"/>
      <c r="C1104" s="1342"/>
      <c r="D1104" s="1342"/>
      <c r="E1104" s="1284"/>
      <c r="F1104" s="1284"/>
      <c r="G1104" s="1284"/>
      <c r="H1104" s="1284"/>
      <c r="I1104" s="1284"/>
      <c r="J1104" s="1284"/>
      <c r="K1104" s="1284"/>
      <c r="L1104" s="1284"/>
      <c r="M1104" s="1284"/>
      <c r="N1104" s="1284"/>
      <c r="O1104" s="1284"/>
      <c r="P1104" s="1284"/>
      <c r="Q1104" s="1284"/>
      <c r="R1104" s="1284"/>
      <c r="S1104" s="1284"/>
      <c r="T1104" s="1284"/>
      <c r="U1104" s="1284"/>
      <c r="V1104" s="1284"/>
      <c r="W1104" s="1284"/>
      <c r="X1104" s="1284"/>
      <c r="Y1104" s="1284"/>
      <c r="Z1104" s="1284"/>
      <c r="AA1104" s="1284"/>
      <c r="AB1104" s="1284"/>
      <c r="AC1104" s="1284"/>
      <c r="AD1104" s="1284"/>
      <c r="AE1104" s="1284"/>
      <c r="AF1104" s="1284"/>
      <c r="AG1104" s="1284"/>
      <c r="AH1104" s="1284"/>
      <c r="AI1104" s="1284"/>
      <c r="AJ1104" s="1284"/>
      <c r="AK1104" s="1284"/>
      <c r="AL1104" s="1284"/>
      <c r="AM1104" s="1284"/>
      <c r="AN1104" s="1284"/>
      <c r="AO1104" s="1284"/>
      <c r="AP1104" s="1284"/>
      <c r="AQ1104" s="1284"/>
      <c r="AR1104" s="1284"/>
    </row>
    <row r="1105" spans="1:44" ht="13"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40" t="s">
        <v>591</v>
      </c>
      <c r="B1106" s="1340"/>
      <c r="C1106" s="1341">
        <v>9</v>
      </c>
      <c r="D1106" s="1341"/>
      <c r="E1106" s="1284" t="s">
        <v>1074</v>
      </c>
      <c r="F1106" s="1284"/>
      <c r="G1106" s="1284"/>
      <c r="H1106" s="1284"/>
      <c r="I1106" s="1284"/>
      <c r="J1106" s="1284"/>
      <c r="K1106" s="1284"/>
      <c r="L1106" s="1284"/>
      <c r="M1106" s="1284"/>
      <c r="N1106" s="1284"/>
      <c r="O1106" s="1284"/>
      <c r="P1106" s="1284"/>
      <c r="Q1106" s="1284"/>
      <c r="R1106" s="1284"/>
      <c r="S1106" s="1284"/>
      <c r="T1106" s="1284"/>
      <c r="U1106" s="1284"/>
      <c r="V1106" s="1284"/>
      <c r="W1106" s="1284"/>
      <c r="X1106" s="1284"/>
      <c r="Y1106" s="1284"/>
      <c r="Z1106" s="1284"/>
      <c r="AA1106" s="1284"/>
      <c r="AB1106" s="1284"/>
      <c r="AC1106" s="1284"/>
      <c r="AD1106" s="1284"/>
      <c r="AE1106" s="1284"/>
      <c r="AF1106" s="1284"/>
      <c r="AG1106" s="1284"/>
      <c r="AH1106" s="1284"/>
      <c r="AI1106" s="1284"/>
      <c r="AJ1106" s="1284"/>
      <c r="AK1106" s="1284"/>
      <c r="AL1106" s="1284"/>
      <c r="AM1106" s="1284"/>
      <c r="AN1106" s="1284"/>
      <c r="AO1106" s="1284"/>
      <c r="AP1106" s="1284"/>
      <c r="AQ1106" s="1284"/>
      <c r="AR1106" s="1284"/>
    </row>
    <row r="1107" spans="1:44" ht="13" customHeight="1">
      <c r="A1107" s="1"/>
      <c r="B1107" s="1"/>
      <c r="C1107" s="1341"/>
      <c r="D1107" s="1341"/>
      <c r="E1107" s="1284"/>
      <c r="F1107" s="1284"/>
      <c r="G1107" s="1284"/>
      <c r="H1107" s="1284"/>
      <c r="I1107" s="1284"/>
      <c r="J1107" s="1284"/>
      <c r="K1107" s="1284"/>
      <c r="L1107" s="1284"/>
      <c r="M1107" s="1284"/>
      <c r="N1107" s="1284"/>
      <c r="O1107" s="1284"/>
      <c r="P1107" s="1284"/>
      <c r="Q1107" s="1284"/>
      <c r="R1107" s="1284"/>
      <c r="S1107" s="1284"/>
      <c r="T1107" s="1284"/>
      <c r="U1107" s="1284"/>
      <c r="V1107" s="1284"/>
      <c r="W1107" s="1284"/>
      <c r="X1107" s="1284"/>
      <c r="Y1107" s="1284"/>
      <c r="Z1107" s="1284"/>
      <c r="AA1107" s="1284"/>
      <c r="AB1107" s="1284"/>
      <c r="AC1107" s="1284"/>
      <c r="AD1107" s="1284"/>
      <c r="AE1107" s="1284"/>
      <c r="AF1107" s="1284"/>
      <c r="AG1107" s="1284"/>
      <c r="AH1107" s="1284"/>
      <c r="AI1107" s="1284"/>
      <c r="AJ1107" s="1284"/>
      <c r="AK1107" s="1284"/>
      <c r="AL1107" s="1284"/>
      <c r="AM1107" s="1284"/>
      <c r="AN1107" s="1284"/>
      <c r="AO1107" s="1284"/>
      <c r="AP1107" s="1284"/>
      <c r="AQ1107" s="1284"/>
      <c r="AR1107" s="1284"/>
    </row>
    <row r="1108" spans="1:44" ht="13"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40" t="s">
        <v>591</v>
      </c>
      <c r="B1109" s="1340"/>
      <c r="C1109" s="1341">
        <v>10</v>
      </c>
      <c r="D1109" s="1341"/>
      <c r="E1109" s="1287" t="s">
        <v>2191</v>
      </c>
      <c r="F1109" s="1287"/>
      <c r="G1109" s="1287"/>
      <c r="H1109" s="1287"/>
      <c r="I1109" s="1287"/>
      <c r="J1109" s="1287"/>
      <c r="K1109" s="1287"/>
      <c r="L1109" s="1287"/>
      <c r="M1109" s="1287"/>
      <c r="N1109" s="1287"/>
      <c r="O1109" s="1287"/>
      <c r="P1109" s="1287"/>
      <c r="Q1109" s="1287"/>
      <c r="R1109" s="1287"/>
      <c r="S1109" s="1287"/>
      <c r="T1109" s="1287"/>
      <c r="U1109" s="1287"/>
      <c r="V1109" s="1287"/>
      <c r="W1109" s="1287"/>
      <c r="X1109" s="1287"/>
      <c r="Y1109" s="1287"/>
      <c r="Z1109" s="1287"/>
      <c r="AA1109" s="1287"/>
      <c r="AB1109" s="1287"/>
      <c r="AC1109" s="1287"/>
      <c r="AD1109" s="1287"/>
      <c r="AE1109" s="1287"/>
      <c r="AF1109" s="1287"/>
      <c r="AG1109" s="1287"/>
      <c r="AH1109" s="1287"/>
      <c r="AI1109" s="1287"/>
      <c r="AJ1109" s="1287"/>
      <c r="AK1109" s="1287"/>
      <c r="AL1109" s="1287"/>
      <c r="AM1109" s="1287"/>
      <c r="AN1109" s="1287"/>
      <c r="AO1109" s="1287"/>
      <c r="AP1109" s="1287"/>
      <c r="AQ1109" s="1287"/>
      <c r="AR1109" s="1287"/>
    </row>
    <row r="1110" spans="1:44" ht="13" customHeight="1">
      <c r="A1110" s="1"/>
      <c r="B1110" s="1"/>
      <c r="C1110" s="199"/>
      <c r="D1110" s="1154"/>
      <c r="E1110" s="1287"/>
      <c r="F1110" s="1287"/>
      <c r="G1110" s="1287"/>
      <c r="H1110" s="1287"/>
      <c r="I1110" s="1287"/>
      <c r="J1110" s="1287"/>
      <c r="K1110" s="1287"/>
      <c r="L1110" s="1287"/>
      <c r="M1110" s="1287"/>
      <c r="N1110" s="1287"/>
      <c r="O1110" s="1287"/>
      <c r="P1110" s="1287"/>
      <c r="Q1110" s="1287"/>
      <c r="R1110" s="1287"/>
      <c r="S1110" s="1287"/>
      <c r="T1110" s="1287"/>
      <c r="U1110" s="1287"/>
      <c r="V1110" s="1287"/>
      <c r="W1110" s="1287"/>
      <c r="X1110" s="1287"/>
      <c r="Y1110" s="1287"/>
      <c r="Z1110" s="1287"/>
      <c r="AA1110" s="1287"/>
      <c r="AB1110" s="1287"/>
      <c r="AC1110" s="1287"/>
      <c r="AD1110" s="1287"/>
      <c r="AE1110" s="1287"/>
      <c r="AF1110" s="1287"/>
      <c r="AG1110" s="1287"/>
      <c r="AH1110" s="1287"/>
      <c r="AI1110" s="1287"/>
      <c r="AJ1110" s="1287"/>
      <c r="AK1110" s="1287"/>
      <c r="AL1110" s="1287"/>
      <c r="AM1110" s="1287"/>
      <c r="AN1110" s="1287"/>
      <c r="AO1110" s="1287"/>
      <c r="AP1110" s="1287"/>
      <c r="AQ1110" s="1287"/>
      <c r="AR1110" s="1287"/>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40" t="s">
        <v>591</v>
      </c>
      <c r="B1112" s="1340"/>
      <c r="C1112" s="1341">
        <v>11</v>
      </c>
      <c r="D1112" s="1341"/>
      <c r="E1112" s="1287" t="s">
        <v>2192</v>
      </c>
      <c r="F1112" s="1287"/>
      <c r="G1112" s="1287"/>
      <c r="H1112" s="1287"/>
      <c r="I1112" s="1287"/>
      <c r="J1112" s="1287"/>
      <c r="K1112" s="1287"/>
      <c r="L1112" s="1287"/>
      <c r="M1112" s="1287"/>
      <c r="N1112" s="1287"/>
      <c r="O1112" s="1287"/>
      <c r="P1112" s="1287"/>
      <c r="Q1112" s="1287"/>
      <c r="R1112" s="1287"/>
      <c r="S1112" s="1287"/>
      <c r="T1112" s="1287"/>
      <c r="U1112" s="1287"/>
      <c r="V1112" s="1287"/>
      <c r="W1112" s="1287"/>
      <c r="X1112" s="1287"/>
      <c r="Y1112" s="1287"/>
      <c r="Z1112" s="1287"/>
      <c r="AA1112" s="1287"/>
      <c r="AB1112" s="1287"/>
      <c r="AC1112" s="1287"/>
      <c r="AD1112" s="1287"/>
      <c r="AE1112" s="1287"/>
      <c r="AF1112" s="1287"/>
      <c r="AG1112" s="1287"/>
      <c r="AH1112" s="1287"/>
      <c r="AI1112" s="1287"/>
      <c r="AJ1112" s="1287"/>
      <c r="AK1112" s="1287"/>
      <c r="AL1112" s="1287"/>
      <c r="AM1112" s="1287"/>
      <c r="AN1112" s="1287"/>
      <c r="AO1112" s="1287"/>
      <c r="AP1112" s="1287"/>
      <c r="AQ1112" s="1287"/>
      <c r="AR1112" s="1287"/>
    </row>
    <row r="1113" spans="1:44" ht="13" customHeight="1">
      <c r="A1113" s="1"/>
      <c r="B1113" s="1"/>
      <c r="C1113" s="199"/>
      <c r="D1113" s="1154"/>
      <c r="E1113" s="1287"/>
      <c r="F1113" s="1287"/>
      <c r="G1113" s="1287"/>
      <c r="H1113" s="1287"/>
      <c r="I1113" s="1287"/>
      <c r="J1113" s="1287"/>
      <c r="K1113" s="1287"/>
      <c r="L1113" s="1287"/>
      <c r="M1113" s="1287"/>
      <c r="N1113" s="1287"/>
      <c r="O1113" s="1287"/>
      <c r="P1113" s="1287"/>
      <c r="Q1113" s="1287"/>
      <c r="R1113" s="1287"/>
      <c r="S1113" s="1287"/>
      <c r="T1113" s="1287"/>
      <c r="U1113" s="1287"/>
      <c r="V1113" s="1287"/>
      <c r="W1113" s="1287"/>
      <c r="X1113" s="1287"/>
      <c r="Y1113" s="1287"/>
      <c r="Z1113" s="1287"/>
      <c r="AA1113" s="1287"/>
      <c r="AB1113" s="1287"/>
      <c r="AC1113" s="1287"/>
      <c r="AD1113" s="1287"/>
      <c r="AE1113" s="1287"/>
      <c r="AF1113" s="1287"/>
      <c r="AG1113" s="1287"/>
      <c r="AH1113" s="1287"/>
      <c r="AI1113" s="1287"/>
      <c r="AJ1113" s="1287"/>
      <c r="AK1113" s="1287"/>
      <c r="AL1113" s="1287"/>
      <c r="AM1113" s="1287"/>
      <c r="AN1113" s="1287"/>
      <c r="AO1113" s="1287"/>
      <c r="AP1113" s="1287"/>
      <c r="AQ1113" s="1287"/>
      <c r="AR1113" s="1287"/>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591</v>
      </c>
      <c r="B1134" s="1340"/>
      <c r="C1134" s="199">
        <v>9</v>
      </c>
      <c r="D1134" s="1276" t="s">
        <v>1073</v>
      </c>
      <c r="E1134" s="1276"/>
      <c r="F1134" s="1276"/>
      <c r="G1134" s="1276"/>
      <c r="H1134" s="1276"/>
      <c r="I1134" s="1276"/>
      <c r="J1134" s="1276"/>
      <c r="K1134" s="1276"/>
      <c r="L1134" s="1276"/>
      <c r="M1134" s="1276"/>
      <c r="N1134" s="1276"/>
      <c r="O1134" s="1276"/>
      <c r="P1134" s="1276"/>
      <c r="Q1134" s="1276"/>
      <c r="R1134" s="1276"/>
      <c r="S1134" s="1276"/>
      <c r="T1134" s="1276"/>
      <c r="U1134" s="1276"/>
      <c r="V1134" s="1276"/>
      <c r="W1134" s="1276"/>
      <c r="X1134" s="1276"/>
      <c r="Y1134" s="1276"/>
      <c r="Z1134" s="1276"/>
      <c r="AA1134" s="1276"/>
      <c r="AB1134" s="1276"/>
      <c r="AC1134" s="1276"/>
      <c r="AD1134" s="1276"/>
      <c r="AE1134" s="1276"/>
      <c r="AF1134" s="1276"/>
      <c r="AG1134" s="1276"/>
      <c r="AH1134" s="1276"/>
      <c r="AI1134" s="1276"/>
      <c r="AJ1134" s="1276"/>
      <c r="AK1134" s="1276"/>
    </row>
    <row r="1135" spans="1:37" ht="0" hidden="1" customHeight="1">
      <c r="A1135" s="35"/>
      <c r="B1135" s="25"/>
      <c r="C1135" s="199"/>
      <c r="D1135" s="1276"/>
      <c r="E1135" s="1276"/>
      <c r="F1135" s="1276"/>
      <c r="G1135" s="1276"/>
      <c r="H1135" s="1276"/>
      <c r="I1135" s="1276"/>
      <c r="J1135" s="1276"/>
      <c r="K1135" s="1276"/>
      <c r="L1135" s="1276"/>
      <c r="M1135" s="1276"/>
      <c r="N1135" s="1276"/>
      <c r="O1135" s="1276"/>
      <c r="P1135" s="1276"/>
      <c r="Q1135" s="1276"/>
      <c r="R1135" s="1276"/>
      <c r="S1135" s="1276"/>
      <c r="T1135" s="1276"/>
      <c r="U1135" s="1276"/>
      <c r="V1135" s="1276"/>
      <c r="W1135" s="1276"/>
      <c r="X1135" s="1276"/>
      <c r="Y1135" s="1276"/>
      <c r="Z1135" s="1276"/>
      <c r="AA1135" s="1276"/>
      <c r="AB1135" s="1276"/>
      <c r="AC1135" s="1276"/>
      <c r="AD1135" s="1276"/>
      <c r="AE1135" s="1276"/>
      <c r="AF1135" s="1276"/>
      <c r="AG1135" s="1276"/>
      <c r="AH1135" s="1276"/>
      <c r="AI1135" s="1276"/>
      <c r="AJ1135" s="1276"/>
      <c r="AK1135" s="1276"/>
    </row>
    <row r="1136" spans="1:37" ht="0" hidden="1" customHeight="1">
      <c r="D1136" s="1276"/>
      <c r="E1136" s="1276"/>
      <c r="F1136" s="1276"/>
      <c r="G1136" s="1276"/>
      <c r="H1136" s="1276"/>
      <c r="I1136" s="1276"/>
      <c r="J1136" s="1276"/>
      <c r="K1136" s="1276"/>
      <c r="L1136" s="1276"/>
      <c r="M1136" s="1276"/>
      <c r="N1136" s="1276"/>
      <c r="O1136" s="1276"/>
      <c r="P1136" s="1276"/>
      <c r="Q1136" s="1276"/>
      <c r="R1136" s="1276"/>
      <c r="S1136" s="1276"/>
      <c r="T1136" s="1276"/>
      <c r="U1136" s="1276"/>
      <c r="V1136" s="1276"/>
      <c r="W1136" s="1276"/>
      <c r="X1136" s="1276"/>
      <c r="Y1136" s="1276"/>
      <c r="Z1136" s="1276"/>
      <c r="AA1136" s="1276"/>
      <c r="AB1136" s="1276"/>
      <c r="AC1136" s="1276"/>
      <c r="AD1136" s="1276"/>
      <c r="AE1136" s="1276"/>
      <c r="AF1136" s="1276"/>
      <c r="AG1136" s="1276"/>
      <c r="AH1136" s="1276"/>
      <c r="AI1136" s="1276"/>
      <c r="AJ1136" s="1276"/>
      <c r="AK1136" s="1276"/>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J795:DN795"/>
    <mergeCell ref="DJ796:DN796"/>
    <mergeCell ref="DJ797:DN797"/>
    <mergeCell ref="DJ798:DN798"/>
    <mergeCell ref="DJ799:DN799"/>
    <mergeCell ref="DJ800:DN800"/>
    <mergeCell ref="DJ801:DN801"/>
    <mergeCell ref="DJ802:DN802"/>
    <mergeCell ref="DJ803:DN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DZ804:ED804"/>
    <mergeCell ref="EO797:ES797"/>
    <mergeCell ref="EO798:ES798"/>
    <mergeCell ref="EO799:ES799"/>
    <mergeCell ref="EO800:ES800"/>
    <mergeCell ref="EO801:ES801"/>
    <mergeCell ref="EO802:ES802"/>
    <mergeCell ref="EO795:ES795"/>
    <mergeCell ref="DZ805:ED805"/>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DO797:DS797"/>
    <mergeCell ref="DO798:DS798"/>
    <mergeCell ref="DO799:DS799"/>
    <mergeCell ref="DO801:DS801"/>
    <mergeCell ref="DO795:DS795"/>
    <mergeCell ref="DO796:DS796"/>
    <mergeCell ref="DU801:DY801"/>
    <mergeCell ref="DU802:DY802"/>
    <mergeCell ref="DU803:DY803"/>
    <mergeCell ref="DU804:DY804"/>
    <mergeCell ref="DE797:DI797"/>
    <mergeCell ref="EO803:ES803"/>
    <mergeCell ref="DJ804:DN804"/>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E803:DI803"/>
    <mergeCell ref="DE804:DI804"/>
    <mergeCell ref="DE805:DI805"/>
    <mergeCell ref="CZ805:DD805"/>
    <mergeCell ref="DE801:DI801"/>
    <mergeCell ref="DE802:DI802"/>
    <mergeCell ref="DJ805:DN805"/>
    <mergeCell ref="CU759:CY759"/>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U782:CY782"/>
    <mergeCell ref="AH758:AJ758"/>
    <mergeCell ref="O761:S761"/>
    <mergeCell ref="X760:AB760"/>
    <mergeCell ref="AH757:AJ757"/>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M759:CN759"/>
    <mergeCell ref="AK756:AO756"/>
    <mergeCell ref="AC758:AG758"/>
    <mergeCell ref="AC759:AG759"/>
    <mergeCell ref="O753:S753"/>
    <mergeCell ref="T756:W756"/>
    <mergeCell ref="X755:AB755"/>
    <mergeCell ref="AH760:AJ760"/>
    <mergeCell ref="X754:AB754"/>
    <mergeCell ref="CU757:CY757"/>
    <mergeCell ref="CG755:CH755"/>
    <mergeCell ref="CI755:CJ755"/>
    <mergeCell ref="CK755:CL755"/>
    <mergeCell ref="CK758:CL758"/>
    <mergeCell ref="CM758:CN758"/>
    <mergeCell ref="AC761:AG761"/>
    <mergeCell ref="CI760:CJ760"/>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DE749:DI749"/>
    <mergeCell ref="CM761:CN761"/>
    <mergeCell ref="CU784:CY784"/>
    <mergeCell ref="CP758:CT758"/>
    <mergeCell ref="CU758:CY758"/>
    <mergeCell ref="CP759:CT759"/>
    <mergeCell ref="CU755:CY755"/>
    <mergeCell ref="CZ755:DD755"/>
    <mergeCell ref="DE755:DI755"/>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K754:CL754"/>
    <mergeCell ref="CM754:CN754"/>
    <mergeCell ref="CZ751:DD751"/>
    <mergeCell ref="DE751:DI751"/>
    <mergeCell ref="DE757:DI757"/>
    <mergeCell ref="DJ757:DN757"/>
    <mergeCell ref="DO757:DS757"/>
    <mergeCell ref="CM752:CN752"/>
    <mergeCell ref="DJ750:DN750"/>
    <mergeCell ref="FY758:GC758"/>
    <mergeCell ref="DX666:EB666"/>
    <mergeCell ref="EC666:EG666"/>
    <mergeCell ref="EH666:EL666"/>
    <mergeCell ref="EM666:EQ666"/>
    <mergeCell ref="FO761:FS761"/>
    <mergeCell ref="FE756:FI756"/>
    <mergeCell ref="FJ756:FN756"/>
    <mergeCell ref="FO756:FS756"/>
    <mergeCell ref="EZ753:FD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49:FI749"/>
    <mergeCell ref="FJ749:FN749"/>
    <mergeCell ref="FO749:FS749"/>
    <mergeCell ref="FE750:FI750"/>
    <mergeCell ref="FJ750:FN750"/>
    <mergeCell ref="FO750:FS750"/>
    <mergeCell ref="FJ761:FN761"/>
    <mergeCell ref="ET730:EX730"/>
    <mergeCell ref="ET744:EX744"/>
    <mergeCell ref="EE743:EI743"/>
    <mergeCell ref="EJ742:EN742"/>
    <mergeCell ref="EE741:EI74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FT758:FX758"/>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EZ756:FD756"/>
    <mergeCell ref="FY757:GC757"/>
    <mergeCell ref="FE754:FI754"/>
    <mergeCell ref="FJ754:FN754"/>
    <mergeCell ref="FO754:FS754"/>
    <mergeCell ref="EJ753:EN753"/>
    <mergeCell ref="DU753:DY753"/>
    <mergeCell ref="DZ753:ED753"/>
    <mergeCell ref="AH516:AK516"/>
    <mergeCell ref="AC548:AF548"/>
    <mergeCell ref="EJ752:EN752"/>
    <mergeCell ref="EO752:ES752"/>
    <mergeCell ref="ET752:EX752"/>
    <mergeCell ref="FY750:GC750"/>
    <mergeCell ref="EZ751:FD751"/>
    <mergeCell ref="FY749:GC749"/>
    <mergeCell ref="EZ750:FD750"/>
    <mergeCell ref="FE751:FI751"/>
    <mergeCell ref="FJ751:FN751"/>
    <mergeCell ref="FO751:FS751"/>
    <mergeCell ref="FT751:FX751"/>
    <mergeCell ref="DU749:DY749"/>
    <mergeCell ref="DZ749:ED749"/>
    <mergeCell ref="EW644:FA644"/>
    <mergeCell ref="ER645:EV645"/>
    <mergeCell ref="EC668:EG668"/>
    <mergeCell ref="EZ749:FD749"/>
    <mergeCell ref="EE749:EI749"/>
    <mergeCell ref="EJ749:EN749"/>
    <mergeCell ref="EO749:ES749"/>
    <mergeCell ref="EO733:ES733"/>
    <mergeCell ref="EJ732:EN732"/>
    <mergeCell ref="EO731:ES731"/>
    <mergeCell ref="DZ742:ED742"/>
    <mergeCell ref="DU734:DY734"/>
    <mergeCell ref="EO729:ES729"/>
    <mergeCell ref="DZ739:ED739"/>
    <mergeCell ref="EJ733:EN733"/>
    <mergeCell ref="EE739:EI739"/>
    <mergeCell ref="EJ739:EN739"/>
    <mergeCell ref="AC522:AF522"/>
    <mergeCell ref="AC513:AF513"/>
    <mergeCell ref="CU756:CY756"/>
    <mergeCell ref="DO755:DS755"/>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A590:AK590"/>
    <mergeCell ref="CU753:CY753"/>
    <mergeCell ref="DJ755:DN755"/>
    <mergeCell ref="CG753:CH753"/>
    <mergeCell ref="CK741:CL741"/>
    <mergeCell ref="CU752:CY752"/>
    <mergeCell ref="CG747:CH747"/>
    <mergeCell ref="CI753:CJ753"/>
    <mergeCell ref="AE568:AH568"/>
    <mergeCell ref="AK751:AO751"/>
    <mergeCell ref="AK752:AO752"/>
    <mergeCell ref="DJ751:DN751"/>
    <mergeCell ref="Z564:AD564"/>
    <mergeCell ref="FY754:GC754"/>
    <mergeCell ref="EZ755:FD755"/>
    <mergeCell ref="FE755:FI755"/>
    <mergeCell ref="FJ755:FN755"/>
    <mergeCell ref="FO755:FS755"/>
    <mergeCell ref="FT755:FX755"/>
    <mergeCell ref="FT752:FX752"/>
    <mergeCell ref="FY752:GC752"/>
    <mergeCell ref="DU751:DY751"/>
    <mergeCell ref="DZ751:ED751"/>
    <mergeCell ref="EE751:EI751"/>
    <mergeCell ref="EJ751:EN751"/>
    <mergeCell ref="EO751:ES751"/>
    <mergeCell ref="ET751:EX751"/>
    <mergeCell ref="DU752:DY752"/>
    <mergeCell ref="DZ752:ED752"/>
    <mergeCell ref="EE752:EI752"/>
    <mergeCell ref="DU740:DY740"/>
    <mergeCell ref="DZ734:ED734"/>
    <mergeCell ref="ET733:EX733"/>
    <mergeCell ref="DU732:DY732"/>
    <mergeCell ref="EO738:ES738"/>
    <mergeCell ref="ET738:EX738"/>
    <mergeCell ref="EO732:ES732"/>
    <mergeCell ref="ET732:EX732"/>
    <mergeCell ref="EO734:ES734"/>
    <mergeCell ref="ET734:EX734"/>
    <mergeCell ref="AC514:AF514"/>
    <mergeCell ref="Q497:R498"/>
    <mergeCell ref="Q496:AK496"/>
    <mergeCell ref="AH521:AK521"/>
    <mergeCell ref="AG450:AJ450"/>
    <mergeCell ref="AH538:AK538"/>
    <mergeCell ref="AC546:AF546"/>
    <mergeCell ref="DJ749:DN749"/>
    <mergeCell ref="CP752:CT752"/>
    <mergeCell ref="AH523:AK523"/>
    <mergeCell ref="AG452:AJ452"/>
    <mergeCell ref="AG453:AJ453"/>
    <mergeCell ref="AC549:AF549"/>
    <mergeCell ref="W565:Y565"/>
    <mergeCell ref="AC534:AF534"/>
    <mergeCell ref="AE565:AH565"/>
    <mergeCell ref="T570:V570"/>
    <mergeCell ref="AH511:AK511"/>
    <mergeCell ref="AC508:AF508"/>
    <mergeCell ref="AH540:AK540"/>
    <mergeCell ref="AC530:AF530"/>
    <mergeCell ref="T562:V562"/>
    <mergeCell ref="AC532:AF532"/>
    <mergeCell ref="AH514:AK514"/>
    <mergeCell ref="AC516:AF516"/>
    <mergeCell ref="CU748:CY748"/>
    <mergeCell ref="CI747:CJ747"/>
    <mergeCell ref="AH515:AK515"/>
    <mergeCell ref="AG459:AJ459"/>
    <mergeCell ref="D475:V475"/>
    <mergeCell ref="H581:R581"/>
    <mergeCell ref="B574:AL574"/>
    <mergeCell ref="Y373:Z373"/>
    <mergeCell ref="N387:P387"/>
    <mergeCell ref="W427:Y427"/>
    <mergeCell ref="AG448:AJ448"/>
    <mergeCell ref="AE433:AF433"/>
    <mergeCell ref="N380:Q380"/>
    <mergeCell ref="V391:W391"/>
    <mergeCell ref="AC379:AF379"/>
    <mergeCell ref="AG403:AJ403"/>
    <mergeCell ref="V386:W386"/>
    <mergeCell ref="S386:T386"/>
    <mergeCell ref="J397:U397"/>
    <mergeCell ref="P427:R427"/>
    <mergeCell ref="M503:P503"/>
    <mergeCell ref="AC509:AF509"/>
    <mergeCell ref="AG447:AJ447"/>
    <mergeCell ref="AG404:AJ404"/>
    <mergeCell ref="Q438:R438"/>
    <mergeCell ref="I427:K427"/>
    <mergeCell ref="S422:T422"/>
    <mergeCell ref="AI406:AJ406"/>
    <mergeCell ref="T408:AJ408"/>
    <mergeCell ref="J376:K376"/>
    <mergeCell ref="S414:AJ414"/>
    <mergeCell ref="AG388:AH388"/>
    <mergeCell ref="S401:U401"/>
    <mergeCell ref="AG399:AJ399"/>
    <mergeCell ref="Q400:U400"/>
    <mergeCell ref="N381:Q381"/>
    <mergeCell ref="D449:AF449"/>
    <mergeCell ref="AE411:AJ411"/>
    <mergeCell ref="AC394:AJ394"/>
    <mergeCell ref="CP750:CT750"/>
    <mergeCell ref="CP751:CT751"/>
    <mergeCell ref="CU745:CY745"/>
    <mergeCell ref="CP749:CT749"/>
    <mergeCell ref="T566:V56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CI757:CJ757"/>
    <mergeCell ref="CK757:CL757"/>
    <mergeCell ref="CM757:CN757"/>
    <mergeCell ref="CP757:CT757"/>
    <mergeCell ref="CM750:CN750"/>
    <mergeCell ref="AK755:AO755"/>
    <mergeCell ref="CP756:CT756"/>
    <mergeCell ref="CG748:CH748"/>
    <mergeCell ref="T567:V567"/>
    <mergeCell ref="Z577:AK577"/>
    <mergeCell ref="CM739:CN739"/>
    <mergeCell ref="CG756:CH756"/>
    <mergeCell ref="CK730:CL730"/>
    <mergeCell ref="AG697:AH697"/>
    <mergeCell ref="CP742:CT742"/>
    <mergeCell ref="Q563:S563"/>
    <mergeCell ref="Q559:S561"/>
    <mergeCell ref="D457:AF457"/>
    <mergeCell ref="AG454:AJ454"/>
    <mergeCell ref="CP747:CT747"/>
    <mergeCell ref="CM746:CN746"/>
    <mergeCell ref="AK642:AN642"/>
    <mergeCell ref="AK643:AN643"/>
    <mergeCell ref="CZ783:DD783"/>
    <mergeCell ref="M566:P566"/>
    <mergeCell ref="G579:R579"/>
    <mergeCell ref="Q567:S567"/>
    <mergeCell ref="C635:L635"/>
    <mergeCell ref="P589:R589"/>
    <mergeCell ref="N599:O599"/>
    <mergeCell ref="Q568:S568"/>
    <mergeCell ref="Q573:S573"/>
    <mergeCell ref="Q569:S569"/>
    <mergeCell ref="N591:O591"/>
    <mergeCell ref="Q565:S565"/>
    <mergeCell ref="C567:L567"/>
    <mergeCell ref="CG732:CH732"/>
    <mergeCell ref="CG738:CH738"/>
    <mergeCell ref="CG736:CH736"/>
    <mergeCell ref="X726:AB726"/>
    <mergeCell ref="N583:O583"/>
    <mergeCell ref="Z636:AB636"/>
    <mergeCell ref="AM568:AS568"/>
    <mergeCell ref="AI568:AL568"/>
    <mergeCell ref="CZ757:DD757"/>
    <mergeCell ref="CM755:CN755"/>
    <mergeCell ref="CK745:CL745"/>
    <mergeCell ref="CG740:CH740"/>
    <mergeCell ref="D451:AF451"/>
    <mergeCell ref="AF439:AG439"/>
    <mergeCell ref="AG446:AJ446"/>
    <mergeCell ref="AG458:AJ458"/>
    <mergeCell ref="Z563:AD563"/>
    <mergeCell ref="O543:AA543"/>
    <mergeCell ref="AH531:AK531"/>
    <mergeCell ref="AE562:AH562"/>
    <mergeCell ref="D455:AF455"/>
    <mergeCell ref="D456:AF456"/>
    <mergeCell ref="W474:Y474"/>
    <mergeCell ref="AG455:AJ455"/>
    <mergeCell ref="W475:Y475"/>
    <mergeCell ref="W478:Y478"/>
    <mergeCell ref="O540:AA540"/>
    <mergeCell ref="AH513:AK513"/>
    <mergeCell ref="AC645:AE645"/>
    <mergeCell ref="X722:AB725"/>
    <mergeCell ref="AE702:AF702"/>
    <mergeCell ref="AC550:AF550"/>
    <mergeCell ref="AH550:AK550"/>
    <mergeCell ref="AM565:AS565"/>
    <mergeCell ref="W638:Y638"/>
    <mergeCell ref="Z559:AD561"/>
    <mergeCell ref="M559:P561"/>
    <mergeCell ref="AC544:AF544"/>
    <mergeCell ref="D476:V476"/>
    <mergeCell ref="AC520:AF520"/>
    <mergeCell ref="AI559:AL561"/>
    <mergeCell ref="AH518:AK518"/>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AE704:AI704"/>
    <mergeCell ref="Z692:AK692"/>
    <mergeCell ref="CI735:CJ735"/>
    <mergeCell ref="CM745:CN745"/>
    <mergeCell ref="CM744:CN744"/>
    <mergeCell ref="CI746:CJ746"/>
    <mergeCell ref="CK744:CL744"/>
    <mergeCell ref="CG733:CH733"/>
    <mergeCell ref="CI740:CJ740"/>
    <mergeCell ref="CI741:CJ741"/>
    <mergeCell ref="CI733:CJ733"/>
    <mergeCell ref="CK752:CL752"/>
    <mergeCell ref="CZ743:DD743"/>
    <mergeCell ref="CU742:CY742"/>
    <mergeCell ref="CP744:CT744"/>
    <mergeCell ref="CU730:CY730"/>
    <mergeCell ref="CZ730:DD730"/>
    <mergeCell ref="S411:U411"/>
    <mergeCell ref="AC529:AF529"/>
    <mergeCell ref="AH535:AK535"/>
    <mergeCell ref="AC525:AF525"/>
    <mergeCell ref="AC512:AF512"/>
    <mergeCell ref="T564:V564"/>
    <mergeCell ref="W559:Y561"/>
    <mergeCell ref="Z443:AA443"/>
    <mergeCell ref="AI564:AL564"/>
    <mergeCell ref="T565:V565"/>
    <mergeCell ref="AH522:AK522"/>
    <mergeCell ref="M563:P563"/>
    <mergeCell ref="C563:L563"/>
    <mergeCell ref="C564:L564"/>
    <mergeCell ref="M564:P564"/>
    <mergeCell ref="B559:L561"/>
    <mergeCell ref="AI563:AL563"/>
    <mergeCell ref="AH524:AK524"/>
    <mergeCell ref="AH537:AK537"/>
    <mergeCell ref="AH542:AK542"/>
    <mergeCell ref="AE563:AH563"/>
    <mergeCell ref="AH547:AK547"/>
    <mergeCell ref="AH549:AK549"/>
    <mergeCell ref="AC543:AF543"/>
    <mergeCell ref="AI562:AL562"/>
    <mergeCell ref="T559:V561"/>
    <mergeCell ref="AH545:AK545"/>
    <mergeCell ref="AH532:AK532"/>
    <mergeCell ref="AH533:AK533"/>
    <mergeCell ref="AC523:AF523"/>
    <mergeCell ref="I430:K430"/>
    <mergeCell ref="B497:P498"/>
    <mergeCell ref="AI401:AJ401"/>
    <mergeCell ref="Z562:AD562"/>
    <mergeCell ref="AH539:AK539"/>
    <mergeCell ref="AH548:AK548"/>
    <mergeCell ref="T568:V568"/>
    <mergeCell ref="G578:R578"/>
    <mergeCell ref="Z569:AD569"/>
    <mergeCell ref="W568:Y568"/>
    <mergeCell ref="C570:L570"/>
    <mergeCell ref="D450:AF450"/>
    <mergeCell ref="AG456:AJ456"/>
    <mergeCell ref="AC463:AF463"/>
    <mergeCell ref="P434:Q434"/>
    <mergeCell ref="C562:L562"/>
    <mergeCell ref="Z565:AD565"/>
    <mergeCell ref="Z567:AD567"/>
    <mergeCell ref="Z570:AD570"/>
    <mergeCell ref="W569:Y569"/>
    <mergeCell ref="W570:Y570"/>
    <mergeCell ref="AC542:AF542"/>
    <mergeCell ref="AH546:AK546"/>
    <mergeCell ref="C569:L569"/>
    <mergeCell ref="W571:Y571"/>
    <mergeCell ref="W572:Y572"/>
    <mergeCell ref="W573:Y573"/>
    <mergeCell ref="AI570:AL570"/>
    <mergeCell ref="T569:V569"/>
    <mergeCell ref="AH525:AK525"/>
    <mergeCell ref="C566:L566"/>
    <mergeCell ref="AC515:AF515"/>
    <mergeCell ref="AI566:AL566"/>
    <mergeCell ref="AH530:AK530"/>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E429:AJ429"/>
    <mergeCell ref="D446:AF446"/>
    <mergeCell ref="AG386:AH386"/>
    <mergeCell ref="E427:G427"/>
    <mergeCell ref="AD420:AE420"/>
    <mergeCell ref="F436:AH437"/>
    <mergeCell ref="J396:U396"/>
    <mergeCell ref="D479:V479"/>
    <mergeCell ref="AC538:AF538"/>
    <mergeCell ref="AA348:AF348"/>
    <mergeCell ref="S497:AK498"/>
    <mergeCell ref="AA344:AK344"/>
    <mergeCell ref="AC356:AE356"/>
    <mergeCell ref="P352:AE352"/>
    <mergeCell ref="AA349:AF349"/>
    <mergeCell ref="P353:AE353"/>
    <mergeCell ref="AA347:AK347"/>
    <mergeCell ref="P354:AE354"/>
    <mergeCell ref="AA350:AK350"/>
    <mergeCell ref="E377:AH378"/>
    <mergeCell ref="Q374:AG374"/>
    <mergeCell ref="H349:M349"/>
    <mergeCell ref="AJ365:AK365"/>
    <mergeCell ref="R421:S421"/>
    <mergeCell ref="H346:R346"/>
    <mergeCell ref="H345:R345"/>
    <mergeCell ref="H344:R344"/>
    <mergeCell ref="M266:T266"/>
    <mergeCell ref="AA296:AK296"/>
    <mergeCell ref="AA302:AK302"/>
    <mergeCell ref="H299:R299"/>
    <mergeCell ref="AA310:AK310"/>
    <mergeCell ref="AA305:AK305"/>
    <mergeCell ref="H310:R310"/>
    <mergeCell ref="AA340:AF340"/>
    <mergeCell ref="P324:R324"/>
    <mergeCell ref="N372:O372"/>
    <mergeCell ref="AA346:AK346"/>
    <mergeCell ref="H336:R336"/>
    <mergeCell ref="H315:R315"/>
    <mergeCell ref="AA313:AK313"/>
    <mergeCell ref="AA318:AK318"/>
    <mergeCell ref="AA316:AF316"/>
    <mergeCell ref="M265:AE265"/>
    <mergeCell ref="AA317:AF317"/>
    <mergeCell ref="J173:S173"/>
    <mergeCell ref="O155:AH155"/>
    <mergeCell ref="O153:AH153"/>
    <mergeCell ref="O154:AH154"/>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D208:M208"/>
    <mergeCell ref="M242:AE242"/>
    <mergeCell ref="N191:AE192"/>
    <mergeCell ref="AA307:AK307"/>
    <mergeCell ref="AA301:AF301"/>
    <mergeCell ref="AF268:AK268"/>
    <mergeCell ref="AF260:AK260"/>
    <mergeCell ref="M253:AE253"/>
    <mergeCell ref="M256:R256"/>
    <mergeCell ref="O159:T159"/>
    <mergeCell ref="T287:V287"/>
    <mergeCell ref="P300:R300"/>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T193:AI193"/>
    <mergeCell ref="AI236:AJ236"/>
    <mergeCell ref="AC270:AE270"/>
    <mergeCell ref="M271:AE271"/>
    <mergeCell ref="AA308:AF308"/>
    <mergeCell ref="AI308:AK308"/>
    <mergeCell ref="H306:R306"/>
    <mergeCell ref="AA309:AF309"/>
    <mergeCell ref="W270:X27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Y123:AK123"/>
    <mergeCell ref="V226:W226"/>
    <mergeCell ref="V227:W227"/>
    <mergeCell ref="V228:W228"/>
    <mergeCell ref="V229:W229"/>
    <mergeCell ref="U175:V175"/>
    <mergeCell ref="R177:S177"/>
    <mergeCell ref="O156:AH156"/>
    <mergeCell ref="O157:X157"/>
    <mergeCell ref="O158:R158"/>
    <mergeCell ref="D211:M211"/>
    <mergeCell ref="AI237:AJ237"/>
    <mergeCell ref="A86:AT87"/>
    <mergeCell ref="A89:AT90"/>
    <mergeCell ref="A92:AT98"/>
    <mergeCell ref="A100:AT103"/>
    <mergeCell ref="I184:AE184"/>
    <mergeCell ref="Y117:AK117"/>
    <mergeCell ref="T190:AE190"/>
    <mergeCell ref="M241:AK241"/>
    <mergeCell ref="A105:AT106"/>
    <mergeCell ref="L113:O113"/>
    <mergeCell ref="W159:X159"/>
    <mergeCell ref="A169:AT170"/>
    <mergeCell ref="M258:T258"/>
    <mergeCell ref="Z256:AE256"/>
    <mergeCell ref="W254:X254"/>
    <mergeCell ref="U256:W256"/>
    <mergeCell ref="T196:U196"/>
    <mergeCell ref="D220:Z220"/>
    <mergeCell ref="M246:AE246"/>
    <mergeCell ref="AA258:AK258"/>
    <mergeCell ref="M257:AE257"/>
    <mergeCell ref="P113:S113"/>
    <mergeCell ref="AF252:AK252"/>
    <mergeCell ref="M243:T243"/>
    <mergeCell ref="W243:X243"/>
    <mergeCell ref="T212:U212"/>
    <mergeCell ref="F150:T150"/>
    <mergeCell ref="AA247:AK247"/>
    <mergeCell ref="M244:AE244"/>
    <mergeCell ref="I185:AE185"/>
    <mergeCell ref="U245:W245"/>
    <mergeCell ref="T189:AE189"/>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M260:AE260"/>
    <mergeCell ref="X180:Y180"/>
    <mergeCell ref="AP205:AQ205"/>
    <mergeCell ref="AI238:AJ238"/>
    <mergeCell ref="M252:AE252"/>
    <mergeCell ref="D204:M204"/>
    <mergeCell ref="M247:T247"/>
    <mergeCell ref="T197:U197"/>
    <mergeCell ref="W262:X262"/>
    <mergeCell ref="M261:AE261"/>
    <mergeCell ref="M262:T262"/>
    <mergeCell ref="U272:W272"/>
    <mergeCell ref="AH263:AK263"/>
    <mergeCell ref="M268:AE268"/>
    <mergeCell ref="L289:AD289"/>
    <mergeCell ref="L284:AD284"/>
    <mergeCell ref="V285:W285"/>
    <mergeCell ref="L286:AD286"/>
    <mergeCell ref="Z272:AE272"/>
    <mergeCell ref="AA314:AK314"/>
    <mergeCell ref="AA326:AK326"/>
    <mergeCell ref="AA341:AF341"/>
    <mergeCell ref="AA337:AK337"/>
    <mergeCell ref="AA336:AK336"/>
    <mergeCell ref="H341:M341"/>
    <mergeCell ref="AI324:AK324"/>
    <mergeCell ref="AA321:AK321"/>
    <mergeCell ref="AA338:AK338"/>
    <mergeCell ref="AA330:AK330"/>
    <mergeCell ref="H334:R334"/>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H330:R330"/>
    <mergeCell ref="H331:R331"/>
    <mergeCell ref="L285:S285"/>
    <mergeCell ref="L287:Q287"/>
    <mergeCell ref="AA298:AK298"/>
    <mergeCell ref="H321:R321"/>
    <mergeCell ref="AI316:AK316"/>
    <mergeCell ref="H313:R313"/>
    <mergeCell ref="AA342:AK342"/>
    <mergeCell ref="H348:M348"/>
    <mergeCell ref="D477:V477"/>
    <mergeCell ref="W481:Y481"/>
    <mergeCell ref="Q403:U403"/>
    <mergeCell ref="AD421:AE421"/>
    <mergeCell ref="H423:AE424"/>
    <mergeCell ref="AE434:AF434"/>
    <mergeCell ref="L283:AJ283"/>
    <mergeCell ref="H298:R298"/>
    <mergeCell ref="H300:M300"/>
    <mergeCell ref="H308:M308"/>
    <mergeCell ref="H309:M309"/>
    <mergeCell ref="AA266:AK266"/>
    <mergeCell ref="M269:AE269"/>
    <mergeCell ref="AA274:AK274"/>
    <mergeCell ref="H304:R304"/>
    <mergeCell ref="M270:T270"/>
    <mergeCell ref="H307:R307"/>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12:R312"/>
    <mergeCell ref="P433:Q433"/>
    <mergeCell ref="H323:R323"/>
    <mergeCell ref="H325:M325"/>
    <mergeCell ref="H316:M316"/>
    <mergeCell ref="H338:R338"/>
    <mergeCell ref="H339:R339"/>
    <mergeCell ref="P340:R340"/>
    <mergeCell ref="AA333:AF333"/>
    <mergeCell ref="H337:R337"/>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P430:R430"/>
    <mergeCell ref="AC535:AF535"/>
    <mergeCell ref="AH529:AK529"/>
    <mergeCell ref="AI332:AK332"/>
    <mergeCell ref="AA329:AK329"/>
    <mergeCell ref="H326:R326"/>
    <mergeCell ref="P332:R332"/>
    <mergeCell ref="AA324:AF324"/>
    <mergeCell ref="P358:AE358"/>
    <mergeCell ref="H322:R322"/>
    <mergeCell ref="AC528:AF528"/>
    <mergeCell ref="AD386:AE386"/>
    <mergeCell ref="AC380:AF380"/>
    <mergeCell ref="B509:H510"/>
    <mergeCell ref="O531:AA531"/>
    <mergeCell ref="D458:AF458"/>
    <mergeCell ref="Q562:S562"/>
    <mergeCell ref="AC518:AF518"/>
    <mergeCell ref="AC545:AF545"/>
    <mergeCell ref="O534:AA534"/>
    <mergeCell ref="AC537:AF537"/>
    <mergeCell ref="AA345:AK345"/>
    <mergeCell ref="H342:R342"/>
    <mergeCell ref="Q501:AK501"/>
    <mergeCell ref="AC510:AF510"/>
    <mergeCell ref="B522:H524"/>
    <mergeCell ref="B525:H527"/>
    <mergeCell ref="D415:AJ416"/>
    <mergeCell ref="D454:AF454"/>
    <mergeCell ref="D460:AJ461"/>
    <mergeCell ref="AC465:AF465"/>
    <mergeCell ref="Q402:U402"/>
    <mergeCell ref="AG389:AH389"/>
    <mergeCell ref="M364:N364"/>
    <mergeCell ref="D448:AF448"/>
    <mergeCell ref="AI348:AK348"/>
    <mergeCell ref="P357:Z357"/>
    <mergeCell ref="N382:AF383"/>
    <mergeCell ref="AJ364:AK364"/>
    <mergeCell ref="AG451:AJ451"/>
    <mergeCell ref="Z602:AK602"/>
    <mergeCell ref="P613:R613"/>
    <mergeCell ref="Z611:AK611"/>
    <mergeCell ref="AG599:AH599"/>
    <mergeCell ref="G580:L580"/>
    <mergeCell ref="Z589:AE589"/>
    <mergeCell ref="Z594:AK594"/>
    <mergeCell ref="P605:R605"/>
    <mergeCell ref="G605:L605"/>
    <mergeCell ref="G610:R610"/>
    <mergeCell ref="G597:L597"/>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8:L568"/>
    <mergeCell ref="Z568:AD568"/>
    <mergeCell ref="AI571:AL571"/>
    <mergeCell ref="Z571:AD571"/>
    <mergeCell ref="Z578:AK578"/>
    <mergeCell ref="G577:R577"/>
    <mergeCell ref="H590:R590"/>
    <mergeCell ref="Z587:AK587"/>
    <mergeCell ref="G609:R609"/>
    <mergeCell ref="AA581:AK581"/>
    <mergeCell ref="AG607:AH607"/>
    <mergeCell ref="G603:R603"/>
    <mergeCell ref="G604:R604"/>
    <mergeCell ref="Z585:AK585"/>
    <mergeCell ref="T571:V571"/>
    <mergeCell ref="AG583:AH583"/>
    <mergeCell ref="G594:R594"/>
    <mergeCell ref="P580:R580"/>
    <mergeCell ref="T573:V573"/>
    <mergeCell ref="P597:R597"/>
    <mergeCell ref="Z596:AK596"/>
    <mergeCell ref="AA606:AK606"/>
    <mergeCell ref="Z576:AK576"/>
    <mergeCell ref="Z579:AK579"/>
    <mergeCell ref="AI572:AL572"/>
    <mergeCell ref="AI597:AK597"/>
    <mergeCell ref="Z604:AK604"/>
    <mergeCell ref="H606:R606"/>
    <mergeCell ref="AG591:AH591"/>
    <mergeCell ref="G596:R596"/>
    <mergeCell ref="Z588:AK588"/>
    <mergeCell ref="Z603:AK603"/>
    <mergeCell ref="G585:R585"/>
    <mergeCell ref="B737:F737"/>
    <mergeCell ref="B739:F739"/>
    <mergeCell ref="B738:F738"/>
    <mergeCell ref="G691:R691"/>
    <mergeCell ref="N689:O689"/>
    <mergeCell ref="X727:AB727"/>
    <mergeCell ref="G694:R694"/>
    <mergeCell ref="C643:L643"/>
    <mergeCell ref="AI613:AK613"/>
    <mergeCell ref="G612:R612"/>
    <mergeCell ref="B750:F750"/>
    <mergeCell ref="B751:F751"/>
    <mergeCell ref="B744:F744"/>
    <mergeCell ref="G741:J741"/>
    <mergeCell ref="G668:R668"/>
    <mergeCell ref="AF582:AK582"/>
    <mergeCell ref="Z593:AK593"/>
    <mergeCell ref="G587:R587"/>
    <mergeCell ref="G602:R602"/>
    <mergeCell ref="Z641:AB641"/>
    <mergeCell ref="X751:AB751"/>
    <mergeCell ref="AH751:AJ751"/>
    <mergeCell ref="B726:F726"/>
    <mergeCell ref="G728:J728"/>
    <mergeCell ref="M645:P645"/>
    <mergeCell ref="M646:P646"/>
    <mergeCell ref="W646:Y646"/>
    <mergeCell ref="Z662:AK662"/>
    <mergeCell ref="P655:R655"/>
    <mergeCell ref="AI655:AK655"/>
    <mergeCell ref="G662:R662"/>
    <mergeCell ref="G661:R661"/>
    <mergeCell ref="B729:F729"/>
    <mergeCell ref="AH734:AJ734"/>
    <mergeCell ref="G678:R678"/>
    <mergeCell ref="Z677:AK677"/>
    <mergeCell ref="E715:AK715"/>
    <mergeCell ref="W714:AK714"/>
    <mergeCell ref="AA680:AK680"/>
    <mergeCell ref="AG681:AH681"/>
    <mergeCell ref="O722:S725"/>
    <mergeCell ref="O726:S726"/>
    <mergeCell ref="G669:R669"/>
    <mergeCell ref="B728:F728"/>
    <mergeCell ref="B730:F730"/>
    <mergeCell ref="G693:R693"/>
    <mergeCell ref="G722:J725"/>
    <mergeCell ref="G676:R676"/>
    <mergeCell ref="G654:R654"/>
    <mergeCell ref="Z660:AK660"/>
    <mergeCell ref="K755:N755"/>
    <mergeCell ref="O760:S760"/>
    <mergeCell ref="AC750:AG750"/>
    <mergeCell ref="AC751:AG751"/>
    <mergeCell ref="AC752:AG752"/>
    <mergeCell ref="AC753:AG753"/>
    <mergeCell ref="AC754:AG754"/>
    <mergeCell ref="AC757:AG757"/>
    <mergeCell ref="T642:V642"/>
    <mergeCell ref="AF642:AJ642"/>
    <mergeCell ref="W645:Y645"/>
    <mergeCell ref="AG665:AH665"/>
    <mergeCell ref="Z642:AB642"/>
    <mergeCell ref="K722:N725"/>
    <mergeCell ref="G687:L687"/>
    <mergeCell ref="AI663:AK663"/>
    <mergeCell ref="G670:R670"/>
    <mergeCell ref="AK737:AO737"/>
    <mergeCell ref="Z667:AK667"/>
    <mergeCell ref="G735:J735"/>
    <mergeCell ref="N681:O681"/>
    <mergeCell ref="G695:L695"/>
    <mergeCell ref="AH753:AJ753"/>
    <mergeCell ref="AH754:AJ754"/>
    <mergeCell ref="AH755:AJ755"/>
    <mergeCell ref="AH756:AJ756"/>
    <mergeCell ref="M643:P643"/>
    <mergeCell ref="X752:AB752"/>
    <mergeCell ref="AH752:AJ752"/>
    <mergeCell ref="AK760:AO760"/>
    <mergeCell ref="C834:H834"/>
    <mergeCell ref="K760:N760"/>
    <mergeCell ref="X797:AB797"/>
    <mergeCell ref="B760:F760"/>
    <mergeCell ref="B759:F759"/>
    <mergeCell ref="X777:AB780"/>
    <mergeCell ref="T777:W780"/>
    <mergeCell ref="Y809:AC809"/>
    <mergeCell ref="Y808:AC808"/>
    <mergeCell ref="AC804:AG804"/>
    <mergeCell ref="AC796:AG796"/>
    <mergeCell ref="U831:X832"/>
    <mergeCell ref="Q831:T832"/>
    <mergeCell ref="Z817:AE817"/>
    <mergeCell ref="O799:S799"/>
    <mergeCell ref="O797:S797"/>
    <mergeCell ref="X804:AB804"/>
    <mergeCell ref="AC801:AG801"/>
    <mergeCell ref="X783:AB783"/>
    <mergeCell ref="G760:J760"/>
    <mergeCell ref="B761:F761"/>
    <mergeCell ref="J805:N805"/>
    <mergeCell ref="J803:N803"/>
    <mergeCell ref="AC782:AG782"/>
    <mergeCell ref="X785:AB785"/>
    <mergeCell ref="X802:AB802"/>
    <mergeCell ref="AC797:AG797"/>
    <mergeCell ref="AC798:AG798"/>
    <mergeCell ref="O805:S805"/>
    <mergeCell ref="O796:S796"/>
    <mergeCell ref="J800:N800"/>
    <mergeCell ref="X799:AB799"/>
    <mergeCell ref="O791:S794"/>
    <mergeCell ref="O764:R764"/>
    <mergeCell ref="X758:AB758"/>
    <mergeCell ref="X796:AB796"/>
    <mergeCell ref="X782:AB782"/>
    <mergeCell ref="T781:W781"/>
    <mergeCell ref="J781:N781"/>
    <mergeCell ref="O781:S781"/>
    <mergeCell ref="J784:N784"/>
    <mergeCell ref="Z815:AE815"/>
    <mergeCell ref="O782:S782"/>
    <mergeCell ref="O802:S802"/>
    <mergeCell ref="X800:AB800"/>
    <mergeCell ref="O798:S798"/>
    <mergeCell ref="Z822:AE822"/>
    <mergeCell ref="AC785:AG785"/>
    <mergeCell ref="T802:W802"/>
    <mergeCell ref="T800:W800"/>
    <mergeCell ref="J785:N785"/>
    <mergeCell ref="O785:S785"/>
    <mergeCell ref="O804:S804"/>
    <mergeCell ref="X791:AB794"/>
    <mergeCell ref="X795:AB795"/>
    <mergeCell ref="O758:S758"/>
    <mergeCell ref="T760:W760"/>
    <mergeCell ref="J787:K787"/>
    <mergeCell ref="J795:N795"/>
    <mergeCell ref="J783:N783"/>
    <mergeCell ref="AC784:AG784"/>
    <mergeCell ref="J777:N780"/>
    <mergeCell ref="P824:Y824"/>
    <mergeCell ref="Z821:AE821"/>
    <mergeCell ref="C806:AN807"/>
    <mergeCell ref="J801:N801"/>
    <mergeCell ref="X801:AB801"/>
    <mergeCell ref="T791:W794"/>
    <mergeCell ref="X781:AB781"/>
    <mergeCell ref="F949:T949"/>
    <mergeCell ref="U948:Z948"/>
    <mergeCell ref="U949:Z949"/>
    <mergeCell ref="AA947:AF947"/>
    <mergeCell ref="U932:Z932"/>
    <mergeCell ref="F938:T938"/>
    <mergeCell ref="AC896:AH896"/>
    <mergeCell ref="T799:W799"/>
    <mergeCell ref="T795:W795"/>
    <mergeCell ref="T796:W796"/>
    <mergeCell ref="T797:W797"/>
    <mergeCell ref="O803:S803"/>
    <mergeCell ref="AC799:AG799"/>
    <mergeCell ref="J802:N802"/>
    <mergeCell ref="J797:N797"/>
    <mergeCell ref="X803:AB803"/>
    <mergeCell ref="Q839:T839"/>
    <mergeCell ref="M884:V884"/>
    <mergeCell ref="W880:AC880"/>
    <mergeCell ref="Q838:T838"/>
    <mergeCell ref="AG839:AJ839"/>
    <mergeCell ref="W857:AC857"/>
    <mergeCell ref="M886:V886"/>
    <mergeCell ref="W878:AC878"/>
    <mergeCell ref="Z814:AE814"/>
    <mergeCell ref="W886:AC886"/>
    <mergeCell ref="Y831:AB832"/>
    <mergeCell ref="M837:P837"/>
    <mergeCell ref="AC834:AF834"/>
    <mergeCell ref="AG831:AJ832"/>
    <mergeCell ref="AC805:AG805"/>
    <mergeCell ref="AC795:AG795"/>
    <mergeCell ref="O801:S801"/>
    <mergeCell ref="AA940:AF940"/>
    <mergeCell ref="U941:Z941"/>
    <mergeCell ref="AA941:AF941"/>
    <mergeCell ref="F947:T947"/>
    <mergeCell ref="AW927:AY927"/>
    <mergeCell ref="AA935:AF935"/>
    <mergeCell ref="U936:Z936"/>
    <mergeCell ref="AA936:AF936"/>
    <mergeCell ref="BD913:BE913"/>
    <mergeCell ref="BD915:BF915"/>
    <mergeCell ref="BD914:BF914"/>
    <mergeCell ref="BD919:BE919"/>
    <mergeCell ref="BD912:BE912"/>
    <mergeCell ref="AC898:AH898"/>
    <mergeCell ref="AA945:AF945"/>
    <mergeCell ref="F939:T939"/>
    <mergeCell ref="F940:T940"/>
    <mergeCell ref="U945:Z945"/>
    <mergeCell ref="F946:T946"/>
    <mergeCell ref="U946:Z946"/>
    <mergeCell ref="AA946:AF946"/>
    <mergeCell ref="AC901:AH901"/>
    <mergeCell ref="AA938:AF938"/>
    <mergeCell ref="U939:Z939"/>
    <mergeCell ref="AC899:AH899"/>
    <mergeCell ref="U940:Z940"/>
    <mergeCell ref="F924:T924"/>
    <mergeCell ref="O727:S727"/>
    <mergeCell ref="K732:N732"/>
    <mergeCell ref="G738:J738"/>
    <mergeCell ref="X738:AB738"/>
    <mergeCell ref="G683:R683"/>
    <mergeCell ref="O735:S735"/>
    <mergeCell ref="G727:J727"/>
    <mergeCell ref="AC735:AG735"/>
    <mergeCell ref="X732:AB732"/>
    <mergeCell ref="BD911:BE911"/>
    <mergeCell ref="BD909:BE909"/>
    <mergeCell ref="AC902:AH902"/>
    <mergeCell ref="AC903:AH903"/>
    <mergeCell ref="Z908:AE908"/>
    <mergeCell ref="BD908:BE908"/>
    <mergeCell ref="BD910:BE910"/>
    <mergeCell ref="AC895:AH895"/>
    <mergeCell ref="AZ859:BA859"/>
    <mergeCell ref="W887:AC887"/>
    <mergeCell ref="J798:N798"/>
    <mergeCell ref="Z826:AE826"/>
    <mergeCell ref="J782:N782"/>
    <mergeCell ref="AC783:AG783"/>
    <mergeCell ref="AC791:AG794"/>
    <mergeCell ref="C836:H836"/>
    <mergeCell ref="AH761:AJ761"/>
    <mergeCell ref="U834:X834"/>
    <mergeCell ref="T803:W803"/>
    <mergeCell ref="T784:W784"/>
    <mergeCell ref="AK730:AO730"/>
    <mergeCell ref="AK729:AO729"/>
    <mergeCell ref="G729:J729"/>
    <mergeCell ref="B736:F736"/>
    <mergeCell ref="J713:O713"/>
    <mergeCell ref="O730:S730"/>
    <mergeCell ref="K728:N728"/>
    <mergeCell ref="AC727:AG727"/>
    <mergeCell ref="X731:AB731"/>
    <mergeCell ref="T727:W727"/>
    <mergeCell ref="B741:F741"/>
    <mergeCell ref="T729:W729"/>
    <mergeCell ref="X798:AB798"/>
    <mergeCell ref="U839:X839"/>
    <mergeCell ref="M834:P834"/>
    <mergeCell ref="H688:R688"/>
    <mergeCell ref="N697:O697"/>
    <mergeCell ref="AA696:AK696"/>
    <mergeCell ref="W708:AK708"/>
    <mergeCell ref="U837:X837"/>
    <mergeCell ref="C837:H837"/>
    <mergeCell ref="AH747:AJ747"/>
    <mergeCell ref="AH748:AJ748"/>
    <mergeCell ref="G742:J742"/>
    <mergeCell ref="G731:J731"/>
    <mergeCell ref="O733:S733"/>
    <mergeCell ref="O734:S734"/>
    <mergeCell ref="O731:S731"/>
    <mergeCell ref="AE706:AI706"/>
    <mergeCell ref="AC722:AG725"/>
    <mergeCell ref="T738:W738"/>
    <mergeCell ref="Z825:AE825"/>
    <mergeCell ref="M880:V880"/>
    <mergeCell ref="Q833:T833"/>
    <mergeCell ref="W879:AC879"/>
    <mergeCell ref="AC894:AH894"/>
    <mergeCell ref="F953:T953"/>
    <mergeCell ref="G726:J726"/>
    <mergeCell ref="M833:P833"/>
    <mergeCell ref="U836:X836"/>
    <mergeCell ref="AG836:AJ836"/>
    <mergeCell ref="Q835:T835"/>
    <mergeCell ref="M836:P836"/>
    <mergeCell ref="M835:P835"/>
    <mergeCell ref="AC835:AF835"/>
    <mergeCell ref="T782:W782"/>
    <mergeCell ref="AC800:AG800"/>
    <mergeCell ref="O795:S795"/>
    <mergeCell ref="Q834:T834"/>
    <mergeCell ref="O800:S800"/>
    <mergeCell ref="J799:N799"/>
    <mergeCell ref="Q836:T836"/>
    <mergeCell ref="X784:AB784"/>
    <mergeCell ref="T733:W733"/>
    <mergeCell ref="K734:N734"/>
    <mergeCell ref="K738:N738"/>
    <mergeCell ref="G732:J732"/>
    <mergeCell ref="T730:W730"/>
    <mergeCell ref="AC730:AG730"/>
    <mergeCell ref="W885:AC885"/>
    <mergeCell ref="M869:V869"/>
    <mergeCell ref="M854:V854"/>
    <mergeCell ref="J857:V857"/>
    <mergeCell ref="W854:AC854"/>
    <mergeCell ref="CK731:CL731"/>
    <mergeCell ref="CK729:CL729"/>
    <mergeCell ref="CM726:CN726"/>
    <mergeCell ref="O737:S737"/>
    <mergeCell ref="P695:R695"/>
    <mergeCell ref="R713:T713"/>
    <mergeCell ref="O739:S739"/>
    <mergeCell ref="T726:W726"/>
    <mergeCell ref="O729:S729"/>
    <mergeCell ref="K730:N730"/>
    <mergeCell ref="CM747:CN747"/>
    <mergeCell ref="CI745:CJ745"/>
    <mergeCell ref="K731:N731"/>
    <mergeCell ref="T731:W731"/>
    <mergeCell ref="K729:N729"/>
    <mergeCell ref="AE701:AF701"/>
    <mergeCell ref="AH735:AJ735"/>
    <mergeCell ref="X733:AB733"/>
    <mergeCell ref="X729:AB729"/>
    <mergeCell ref="K726:N726"/>
    <mergeCell ref="X730:AB730"/>
    <mergeCell ref="O743:S743"/>
    <mergeCell ref="A717:AT719"/>
    <mergeCell ref="B742:F742"/>
    <mergeCell ref="B733:F733"/>
    <mergeCell ref="B732:F732"/>
    <mergeCell ref="B735:F735"/>
    <mergeCell ref="B731:F731"/>
    <mergeCell ref="G730:J730"/>
    <mergeCell ref="X735:AB735"/>
    <mergeCell ref="T735:W735"/>
    <mergeCell ref="O732:S732"/>
    <mergeCell ref="CI734:CJ734"/>
    <mergeCell ref="CG734:CH734"/>
    <mergeCell ref="CI738:CJ738"/>
    <mergeCell ref="T750:W750"/>
    <mergeCell ref="X743:AB743"/>
    <mergeCell ref="X744:AB744"/>
    <mergeCell ref="T743:W743"/>
    <mergeCell ref="X745:AB745"/>
    <mergeCell ref="O748:S748"/>
    <mergeCell ref="K749:N749"/>
    <mergeCell ref="AH741:AJ741"/>
    <mergeCell ref="X748:AB748"/>
    <mergeCell ref="O738:S738"/>
    <mergeCell ref="AC748:AG748"/>
    <mergeCell ref="AC749:AG749"/>
    <mergeCell ref="K742:N742"/>
    <mergeCell ref="CI744:CJ744"/>
    <mergeCell ref="T740:W740"/>
    <mergeCell ref="T739:W739"/>
    <mergeCell ref="CI750:CJ750"/>
    <mergeCell ref="T749:W749"/>
    <mergeCell ref="T737:W737"/>
    <mergeCell ref="K737:N737"/>
    <mergeCell ref="AK739:AO739"/>
    <mergeCell ref="T734:W734"/>
    <mergeCell ref="X736:AB736"/>
    <mergeCell ref="K745:N745"/>
    <mergeCell ref="CG742:CH742"/>
    <mergeCell ref="X746:AB746"/>
    <mergeCell ref="X737:AB737"/>
    <mergeCell ref="AC747:AG747"/>
    <mergeCell ref="X740:AB740"/>
    <mergeCell ref="CM728:CN728"/>
    <mergeCell ref="CP728:CT728"/>
    <mergeCell ref="CI728:CJ728"/>
    <mergeCell ref="CU728:CY728"/>
    <mergeCell ref="CU731:CY731"/>
    <mergeCell ref="CM730:CN730"/>
    <mergeCell ref="CG730:CH730"/>
    <mergeCell ref="Z676:AK676"/>
    <mergeCell ref="O736:S736"/>
    <mergeCell ref="G686:R686"/>
    <mergeCell ref="P687:R687"/>
    <mergeCell ref="O728:S728"/>
    <mergeCell ref="O741:S741"/>
    <mergeCell ref="K727:N727"/>
    <mergeCell ref="K739:N739"/>
    <mergeCell ref="AK753:AO753"/>
    <mergeCell ref="T736:W736"/>
    <mergeCell ref="AG689:AH689"/>
    <mergeCell ref="AI695:AK695"/>
    <mergeCell ref="K733:N733"/>
    <mergeCell ref="X728:AB728"/>
    <mergeCell ref="AK735:AO735"/>
    <mergeCell ref="AH732:AJ732"/>
    <mergeCell ref="CU733:CY733"/>
    <mergeCell ref="CP738:CT738"/>
    <mergeCell ref="CU739:CY739"/>
    <mergeCell ref="CM740:CN740"/>
    <mergeCell ref="CP734:CT734"/>
    <mergeCell ref="CK740:CL740"/>
    <mergeCell ref="CG744:CH744"/>
    <mergeCell ref="CI748:CJ748"/>
    <mergeCell ref="CK737:CL737"/>
    <mergeCell ref="CK734:CL734"/>
    <mergeCell ref="CK738:CL738"/>
    <mergeCell ref="CM738:CN738"/>
    <mergeCell ref="CK735:CL735"/>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CK732:CL732"/>
    <mergeCell ref="DE738:DI738"/>
    <mergeCell ref="CK733:CL733"/>
    <mergeCell ref="CG741:CH741"/>
    <mergeCell ref="CI742:CJ742"/>
    <mergeCell ref="AC737:AG737"/>
    <mergeCell ref="AH749:AJ749"/>
    <mergeCell ref="AK748:AO748"/>
    <mergeCell ref="AK749:AO749"/>
    <mergeCell ref="CZ739:DD739"/>
    <mergeCell ref="CK739:CL739"/>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8:AJ638"/>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N657:O657"/>
    <mergeCell ref="Z663:AE663"/>
    <mergeCell ref="H672:R672"/>
    <mergeCell ref="N665:O665"/>
    <mergeCell ref="Z668:AK668"/>
    <mergeCell ref="G671:L671"/>
    <mergeCell ref="G611:R611"/>
    <mergeCell ref="Q632:S634"/>
    <mergeCell ref="M632:P634"/>
    <mergeCell ref="G617:R617"/>
    <mergeCell ref="M636:P636"/>
    <mergeCell ref="Z613:AE613"/>
    <mergeCell ref="Z617:AK617"/>
    <mergeCell ref="N615:O615"/>
    <mergeCell ref="G613:L613"/>
    <mergeCell ref="H614:R614"/>
    <mergeCell ref="G618:R618"/>
    <mergeCell ref="G593:R593"/>
    <mergeCell ref="H598:R598"/>
    <mergeCell ref="G621:L621"/>
    <mergeCell ref="AA614:AK614"/>
    <mergeCell ref="DJ729:DN729"/>
    <mergeCell ref="DO734:DS734"/>
    <mergeCell ref="G692:R692"/>
    <mergeCell ref="DE732:DI732"/>
    <mergeCell ref="T728:W728"/>
    <mergeCell ref="Z693:AK693"/>
    <mergeCell ref="CK727:CL727"/>
    <mergeCell ref="AK640:AN640"/>
    <mergeCell ref="AF640:AJ640"/>
    <mergeCell ref="AC639:AE639"/>
    <mergeCell ref="AC642:AE642"/>
    <mergeCell ref="AK722:AO725"/>
    <mergeCell ref="AK726:AO726"/>
    <mergeCell ref="Z661:AK661"/>
    <mergeCell ref="AK645:AN645"/>
    <mergeCell ref="G675:R675"/>
    <mergeCell ref="G655:L655"/>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AE703:AI703"/>
    <mergeCell ref="Z652:AK652"/>
    <mergeCell ref="AO644:AS644"/>
    <mergeCell ref="CZ726:DD726"/>
    <mergeCell ref="AC729:AG729"/>
    <mergeCell ref="AH728:AJ728"/>
    <mergeCell ref="AH729:AJ729"/>
    <mergeCell ref="AK727:AO727"/>
    <mergeCell ref="AO649:AS649"/>
    <mergeCell ref="H622:R622"/>
    <mergeCell ref="DE728:DI728"/>
    <mergeCell ref="DE725:DI725"/>
    <mergeCell ref="CU727:CY727"/>
    <mergeCell ref="CG726:CH726"/>
    <mergeCell ref="Z678:AK678"/>
    <mergeCell ref="CI729:CJ729"/>
    <mergeCell ref="CI725:CJ725"/>
    <mergeCell ref="CP727:CT727"/>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M640:P640"/>
    <mergeCell ref="T637:V637"/>
    <mergeCell ref="M582:R582"/>
    <mergeCell ref="Z621:AE621"/>
    <mergeCell ref="N623:O623"/>
    <mergeCell ref="Q641:S641"/>
    <mergeCell ref="Z670:AK670"/>
    <mergeCell ref="AK639:AN639"/>
    <mergeCell ref="C640:L640"/>
    <mergeCell ref="Z691:AK691"/>
    <mergeCell ref="C636:L636"/>
    <mergeCell ref="Z618:AK618"/>
    <mergeCell ref="AF636:AJ636"/>
    <mergeCell ref="N607:O607"/>
    <mergeCell ref="AA598:AK598"/>
    <mergeCell ref="AA688:AK688"/>
    <mergeCell ref="AM564:AS564"/>
    <mergeCell ref="CU726:CY726"/>
    <mergeCell ref="CP725:CT725"/>
    <mergeCell ref="AH726:AJ726"/>
    <mergeCell ref="AC726:AG726"/>
    <mergeCell ref="Z679:AE679"/>
    <mergeCell ref="EC649:EG649"/>
    <mergeCell ref="EC651:EG651"/>
    <mergeCell ref="EC650:EG650"/>
    <mergeCell ref="AF646:AJ646"/>
    <mergeCell ref="Z675:AK675"/>
    <mergeCell ref="AC646:AE646"/>
    <mergeCell ref="W643:Y643"/>
    <mergeCell ref="Z605:AE605"/>
    <mergeCell ref="AF637:AJ637"/>
    <mergeCell ref="DO731:DS731"/>
    <mergeCell ref="W637:Y637"/>
    <mergeCell ref="Z653:AK653"/>
    <mergeCell ref="DJ731:DN731"/>
    <mergeCell ref="AF639:AJ639"/>
    <mergeCell ref="Z637:AB637"/>
    <mergeCell ref="Z659:AK659"/>
    <mergeCell ref="AK646:AN646"/>
    <mergeCell ref="CM725:CN725"/>
    <mergeCell ref="CM727:CN727"/>
    <mergeCell ref="CM729:CN729"/>
    <mergeCell ref="W711:AK711"/>
    <mergeCell ref="AF644:AJ644"/>
    <mergeCell ref="AF645:AJ645"/>
    <mergeCell ref="AC644:AE644"/>
    <mergeCell ref="Z655:AE655"/>
    <mergeCell ref="AC728:AG728"/>
    <mergeCell ref="Q639:S639"/>
    <mergeCell ref="T640:V640"/>
    <mergeCell ref="Z687:AE687"/>
    <mergeCell ref="DO726:DS726"/>
    <mergeCell ref="EC645:EG645"/>
    <mergeCell ref="AI679:AK679"/>
    <mergeCell ref="Z684:AK684"/>
    <mergeCell ref="DJ726:DN726"/>
    <mergeCell ref="AC640:AE640"/>
    <mergeCell ref="EC660:EG660"/>
    <mergeCell ref="G659:R659"/>
    <mergeCell ref="G660:R660"/>
    <mergeCell ref="J712:X712"/>
    <mergeCell ref="T722:W725"/>
    <mergeCell ref="AA656:AK656"/>
    <mergeCell ref="G667:R667"/>
    <mergeCell ref="P679:R679"/>
    <mergeCell ref="AE707:AI707"/>
    <mergeCell ref="H680:R680"/>
    <mergeCell ref="DX648:EB648"/>
    <mergeCell ref="AO641:AS641"/>
    <mergeCell ref="G685:R685"/>
    <mergeCell ref="Z686:AK686"/>
    <mergeCell ref="G684:R684"/>
    <mergeCell ref="CG735:CH735"/>
    <mergeCell ref="CZ736:DD736"/>
    <mergeCell ref="ET729:EX729"/>
    <mergeCell ref="EO735:ES735"/>
    <mergeCell ref="AK728:AO728"/>
    <mergeCell ref="DJ733:DN733"/>
    <mergeCell ref="CI731:CJ731"/>
    <mergeCell ref="DE730:DI730"/>
    <mergeCell ref="CG727:CH727"/>
    <mergeCell ref="DJ732:DN732"/>
    <mergeCell ref="EJ736:EN736"/>
    <mergeCell ref="DJ728:DN728"/>
    <mergeCell ref="Q646:S646"/>
    <mergeCell ref="H656:R656"/>
    <mergeCell ref="Z640:AB640"/>
    <mergeCell ref="AH727:AJ727"/>
    <mergeCell ref="CI727:CJ727"/>
    <mergeCell ref="AE710:AF710"/>
    <mergeCell ref="AG673:AH673"/>
    <mergeCell ref="Z685:AK685"/>
    <mergeCell ref="G677:R677"/>
    <mergeCell ref="AF641:AJ641"/>
    <mergeCell ref="T641:V641"/>
    <mergeCell ref="G653:R653"/>
    <mergeCell ref="CP731:CT731"/>
    <mergeCell ref="CU735:CY735"/>
    <mergeCell ref="CU732:CY732"/>
    <mergeCell ref="CP733:CT733"/>
    <mergeCell ref="CZ735:DD735"/>
    <mergeCell ref="CZ732:DD732"/>
    <mergeCell ref="CZ733:DD733"/>
    <mergeCell ref="CP736:CT736"/>
    <mergeCell ref="EE740:EI740"/>
    <mergeCell ref="EJ740:EN740"/>
    <mergeCell ref="EE730:EI730"/>
    <mergeCell ref="DO733:DS733"/>
    <mergeCell ref="DJ739:DN739"/>
    <mergeCell ref="CU785:CY785"/>
    <mergeCell ref="EO736:ES736"/>
    <mergeCell ref="ET736:EX736"/>
    <mergeCell ref="DO737:DS737"/>
    <mergeCell ref="DO727:DS727"/>
    <mergeCell ref="CU737:CY737"/>
    <mergeCell ref="CM737:CN737"/>
    <mergeCell ref="CM731:CN731"/>
    <mergeCell ref="CM733:CN733"/>
    <mergeCell ref="ET731:EX731"/>
    <mergeCell ref="CZ731:DD731"/>
    <mergeCell ref="DZ736:ED736"/>
    <mergeCell ref="EE732:EI732"/>
    <mergeCell ref="CZ727:DD727"/>
    <mergeCell ref="CP729:CT729"/>
    <mergeCell ref="DE736:DI736"/>
    <mergeCell ref="CU736:CY736"/>
    <mergeCell ref="CM734:CN734"/>
    <mergeCell ref="CZ740:DD740"/>
    <mergeCell ref="CM732:CN732"/>
    <mergeCell ref="CM736:CN736"/>
    <mergeCell ref="CU734:CY734"/>
    <mergeCell ref="CZ734:DD734"/>
    <mergeCell ref="CP732:CT732"/>
    <mergeCell ref="CP735:CT735"/>
    <mergeCell ref="CM735:CN735"/>
    <mergeCell ref="CM741:CN741"/>
    <mergeCell ref="AF635:AJ635"/>
    <mergeCell ref="CG760:CH760"/>
    <mergeCell ref="AC839:AF839"/>
    <mergeCell ref="AH742:AJ742"/>
    <mergeCell ref="DE727:DI727"/>
    <mergeCell ref="CZ728:DD728"/>
    <mergeCell ref="Y837:AB837"/>
    <mergeCell ref="DU735:DY735"/>
    <mergeCell ref="DO732:DS732"/>
    <mergeCell ref="CU738:CY738"/>
    <mergeCell ref="CK736:CL736"/>
    <mergeCell ref="CZ737:DD737"/>
    <mergeCell ref="DZ727:ED727"/>
    <mergeCell ref="ET760:EX760"/>
    <mergeCell ref="EO759:ES759"/>
    <mergeCell ref="CZ760:DD760"/>
    <mergeCell ref="DE733:DI733"/>
    <mergeCell ref="DE737:DI737"/>
    <mergeCell ref="DE734:DI734"/>
    <mergeCell ref="DE739:DI739"/>
    <mergeCell ref="CZ746:DD746"/>
    <mergeCell ref="EE757:EI757"/>
    <mergeCell ref="EJ757:EN757"/>
    <mergeCell ref="EO757:ES757"/>
    <mergeCell ref="EE755:EI755"/>
    <mergeCell ref="EJ755:EN755"/>
    <mergeCell ref="EE750:EI750"/>
    <mergeCell ref="EJ750:EN750"/>
    <mergeCell ref="EO750:ES750"/>
    <mergeCell ref="DO749:DS749"/>
    <mergeCell ref="DJ752:DN752"/>
    <mergeCell ref="DZ740:ED740"/>
    <mergeCell ref="O759:S759"/>
    <mergeCell ref="CK750:CL750"/>
    <mergeCell ref="CK749:CL749"/>
    <mergeCell ref="CU743:CY743"/>
    <mergeCell ref="CI759:CJ759"/>
    <mergeCell ref="CP743:CT743"/>
    <mergeCell ref="W850:AC850"/>
    <mergeCell ref="W855:AC855"/>
    <mergeCell ref="W853:AC853"/>
    <mergeCell ref="DJ735:DN735"/>
    <mergeCell ref="DJ734:DN734"/>
    <mergeCell ref="DJ736:DN736"/>
    <mergeCell ref="DE745:DI745"/>
    <mergeCell ref="DO747:DS747"/>
    <mergeCell ref="EO741:ES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CZ742:DD742"/>
    <mergeCell ref="DE742:DI742"/>
    <mergeCell ref="DJ738:DN738"/>
    <mergeCell ref="CM743:CN743"/>
    <mergeCell ref="AK736:AO736"/>
    <mergeCell ref="CG746:CH746"/>
    <mergeCell ref="CK747:CL747"/>
    <mergeCell ref="CM749:CN749"/>
    <mergeCell ref="G739:J739"/>
    <mergeCell ref="X753:AB753"/>
    <mergeCell ref="O749:S749"/>
    <mergeCell ref="K753:N753"/>
    <mergeCell ref="T748:W748"/>
    <mergeCell ref="G749:J749"/>
    <mergeCell ref="O750:S750"/>
    <mergeCell ref="AC755:AG755"/>
    <mergeCell ref="T746:W746"/>
    <mergeCell ref="K754:N754"/>
    <mergeCell ref="T754:W754"/>
    <mergeCell ref="I957:T957"/>
    <mergeCell ref="AC904:AH904"/>
    <mergeCell ref="AA942:AF942"/>
    <mergeCell ref="Z909:AE909"/>
    <mergeCell ref="Y833:AB833"/>
    <mergeCell ref="AC833:AF833"/>
    <mergeCell ref="AA950:AF950"/>
    <mergeCell ref="DJ737:DN737"/>
    <mergeCell ref="CU744:CY744"/>
    <mergeCell ref="AA953:AF953"/>
    <mergeCell ref="AA951:AF951"/>
    <mergeCell ref="C901:AB901"/>
    <mergeCell ref="U933:Z933"/>
    <mergeCell ref="U942:Z942"/>
    <mergeCell ref="E894:AB894"/>
    <mergeCell ref="Z823:AE823"/>
    <mergeCell ref="Z816:AE816"/>
    <mergeCell ref="M887:V887"/>
    <mergeCell ref="T866:V866"/>
    <mergeCell ref="T868:V868"/>
    <mergeCell ref="W876:AC876"/>
    <mergeCell ref="W870:AC870"/>
    <mergeCell ref="M885:V885"/>
    <mergeCell ref="CU761:CY761"/>
    <mergeCell ref="CM760:CN760"/>
    <mergeCell ref="CP760:CT760"/>
    <mergeCell ref="CP782:CT782"/>
    <mergeCell ref="DJ740:DN740"/>
    <mergeCell ref="CU740:CY740"/>
    <mergeCell ref="CG759:CH759"/>
    <mergeCell ref="CU746:CY746"/>
    <mergeCell ref="K759:N759"/>
    <mergeCell ref="DJ745:DN745"/>
    <mergeCell ref="DJ743:DN743"/>
    <mergeCell ref="CG743:CH743"/>
    <mergeCell ref="U833:X833"/>
    <mergeCell ref="CG751:CH751"/>
    <mergeCell ref="DE747:DI747"/>
    <mergeCell ref="Q840:T840"/>
    <mergeCell ref="M839:P839"/>
    <mergeCell ref="CI743:CJ743"/>
    <mergeCell ref="CG745:CH745"/>
    <mergeCell ref="CG750:CH750"/>
    <mergeCell ref="W877:AC877"/>
    <mergeCell ref="W881:AC881"/>
    <mergeCell ref="DO745:DS745"/>
    <mergeCell ref="CP797:CT797"/>
    <mergeCell ref="CP785:CT785"/>
    <mergeCell ref="CP781:CT781"/>
    <mergeCell ref="CU760:CY760"/>
    <mergeCell ref="CU781:CY781"/>
    <mergeCell ref="CP746:CT746"/>
    <mergeCell ref="CP795:CT795"/>
    <mergeCell ref="CU783:CY783"/>
    <mergeCell ref="CP761:CT761"/>
    <mergeCell ref="CZ745:DD745"/>
    <mergeCell ref="BG856:BL856"/>
    <mergeCell ref="CP810:CT810"/>
    <mergeCell ref="CP796:CT796"/>
    <mergeCell ref="U838:X838"/>
    <mergeCell ref="J804:N804"/>
    <mergeCell ref="DO743:DS743"/>
    <mergeCell ref="W861:AC861"/>
    <mergeCell ref="AC836:AF836"/>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W865:AC865"/>
    <mergeCell ref="M883:V883"/>
    <mergeCell ref="W859:AC859"/>
    <mergeCell ref="W863:AC863"/>
    <mergeCell ref="W860:AC860"/>
    <mergeCell ref="W862:AC862"/>
    <mergeCell ref="W883:AC883"/>
    <mergeCell ref="C845:AJ845"/>
    <mergeCell ref="W884:AC884"/>
    <mergeCell ref="AA939:AF939"/>
    <mergeCell ref="A1134:B1134"/>
    <mergeCell ref="G733:J733"/>
    <mergeCell ref="B740:F740"/>
    <mergeCell ref="T753:W753"/>
    <mergeCell ref="AH738:AJ738"/>
    <mergeCell ref="AC731:AG731"/>
    <mergeCell ref="AC802:AG802"/>
    <mergeCell ref="AC803:AG803"/>
    <mergeCell ref="M831:P832"/>
    <mergeCell ref="T804:W804"/>
    <mergeCell ref="C833:H833"/>
    <mergeCell ref="Y839:AB839"/>
    <mergeCell ref="U958:Z958"/>
    <mergeCell ref="C838:H838"/>
    <mergeCell ref="F839:L839"/>
    <mergeCell ref="U835:X835"/>
    <mergeCell ref="C835:H835"/>
    <mergeCell ref="I958:T958"/>
    <mergeCell ref="U947:Z947"/>
    <mergeCell ref="U953:Z953"/>
    <mergeCell ref="AG838:AJ838"/>
    <mergeCell ref="U840:X840"/>
    <mergeCell ref="M840:P840"/>
    <mergeCell ref="G761:J761"/>
    <mergeCell ref="AD767:AF767"/>
    <mergeCell ref="O754:S754"/>
    <mergeCell ref="O751:S751"/>
    <mergeCell ref="T751:W751"/>
    <mergeCell ref="K752:N752"/>
    <mergeCell ref="O752:S752"/>
    <mergeCell ref="W875:AC875"/>
    <mergeCell ref="W867:AC867"/>
    <mergeCell ref="A1106:B1106"/>
    <mergeCell ref="AE969:AK969"/>
    <mergeCell ref="T759:W759"/>
    <mergeCell ref="K756:N756"/>
    <mergeCell ref="M968:S968"/>
    <mergeCell ref="J966:S966"/>
    <mergeCell ref="AE968:AK968"/>
    <mergeCell ref="B743:F743"/>
    <mergeCell ref="B746:F746"/>
    <mergeCell ref="K757:N757"/>
    <mergeCell ref="O757:S757"/>
    <mergeCell ref="A1109:B1109"/>
    <mergeCell ref="A1103:B1103"/>
    <mergeCell ref="K740:N740"/>
    <mergeCell ref="AJ1000:AQ1000"/>
    <mergeCell ref="W874:AC874"/>
    <mergeCell ref="W888:AC888"/>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D1010:AE1010"/>
    <mergeCell ref="O740:S740"/>
    <mergeCell ref="G745:J745"/>
    <mergeCell ref="G743:J743"/>
    <mergeCell ref="K751:N751"/>
    <mergeCell ref="M971:S971"/>
    <mergeCell ref="AA934:AF934"/>
    <mergeCell ref="AE967:AK967"/>
    <mergeCell ref="F925:T926"/>
    <mergeCell ref="F948:T948"/>
    <mergeCell ref="AE964:AK964"/>
    <mergeCell ref="D1004:AE1007"/>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AK744:AO744"/>
    <mergeCell ref="AK745:AO745"/>
    <mergeCell ref="T742:W742"/>
    <mergeCell ref="T982:Z982"/>
    <mergeCell ref="I956:T956"/>
    <mergeCell ref="AK746:AO746"/>
    <mergeCell ref="G744:J744"/>
    <mergeCell ref="AH759:AJ759"/>
    <mergeCell ref="K744:N744"/>
    <mergeCell ref="G734:J734"/>
    <mergeCell ref="M967:S967"/>
    <mergeCell ref="M969:S969"/>
    <mergeCell ref="P954:T954"/>
    <mergeCell ref="AE970:AK970"/>
    <mergeCell ref="AA957:AF957"/>
    <mergeCell ref="M976:S976"/>
    <mergeCell ref="W851:AC851"/>
    <mergeCell ref="AA937:AF937"/>
    <mergeCell ref="U943:Z943"/>
    <mergeCell ref="I955:T955"/>
    <mergeCell ref="Z910:AE910"/>
    <mergeCell ref="M838:P838"/>
    <mergeCell ref="AK757:AO757"/>
    <mergeCell ref="AK759:AO759"/>
    <mergeCell ref="AC837:AF837"/>
    <mergeCell ref="Y834:AB834"/>
    <mergeCell ref="M977:S977"/>
    <mergeCell ref="F941:T941"/>
    <mergeCell ref="AA948:AF948"/>
    <mergeCell ref="AA949:AF949"/>
    <mergeCell ref="AG837:AJ837"/>
    <mergeCell ref="AG834:AJ834"/>
    <mergeCell ref="B722:F725"/>
    <mergeCell ref="G737:J737"/>
    <mergeCell ref="B1000:AA1000"/>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K736:N736"/>
    <mergeCell ref="AA955:AF955"/>
    <mergeCell ref="U952:Z952"/>
    <mergeCell ref="U950:Z950"/>
    <mergeCell ref="AA952:AF952"/>
    <mergeCell ref="F951:T951"/>
    <mergeCell ref="U951:Z951"/>
    <mergeCell ref="Q837:T837"/>
    <mergeCell ref="AC893:AH893"/>
    <mergeCell ref="AC897:AH897"/>
    <mergeCell ref="C840:L840"/>
    <mergeCell ref="B734:F734"/>
    <mergeCell ref="B748:F748"/>
    <mergeCell ref="AH745:AJ745"/>
    <mergeCell ref="AH746:AJ746"/>
    <mergeCell ref="AH744:AJ744"/>
    <mergeCell ref="AG833:AJ833"/>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AF1030:AI1031"/>
    <mergeCell ref="D1038:AE1038"/>
    <mergeCell ref="R996:AA996"/>
    <mergeCell ref="AB999:AI999"/>
    <mergeCell ref="B762:AH763"/>
    <mergeCell ref="J796:N796"/>
    <mergeCell ref="D1003:AE1003"/>
    <mergeCell ref="AG1038:AH1038"/>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D1008:AE1008"/>
    <mergeCell ref="M964:S964"/>
    <mergeCell ref="AB997:AI997"/>
    <mergeCell ref="R995:AA995"/>
    <mergeCell ref="AE965:AK965"/>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J1062:AQ1062"/>
    <mergeCell ref="D995:Q995"/>
    <mergeCell ref="AB995:AI995"/>
    <mergeCell ref="D1046:AE1049"/>
    <mergeCell ref="FO734:FS734"/>
    <mergeCell ref="FT734:FX734"/>
    <mergeCell ref="FT759:FX759"/>
    <mergeCell ref="FY759:GC759"/>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FY735:GC735"/>
    <mergeCell ref="FE735:FI735"/>
    <mergeCell ref="FJ735:FN735"/>
    <mergeCell ref="FO735:FS735"/>
    <mergeCell ref="FT735:FX735"/>
    <mergeCell ref="X759:AB759"/>
    <mergeCell ref="AC745:AG745"/>
    <mergeCell ref="AK754:AO754"/>
    <mergeCell ref="FE759:FI759"/>
    <mergeCell ref="FJ759:FN759"/>
    <mergeCell ref="FT750:FX750"/>
    <mergeCell ref="FY755:GC755"/>
    <mergeCell ref="FT756:FX756"/>
    <mergeCell ref="FT757:FX757"/>
    <mergeCell ref="FY751:GC751"/>
    <mergeCell ref="EZ752:FD752"/>
    <mergeCell ref="FE752:FI752"/>
    <mergeCell ref="FJ752:FN752"/>
    <mergeCell ref="FO752:FS752"/>
    <mergeCell ref="EZ747:FD747"/>
    <mergeCell ref="FE747:FI747"/>
    <mergeCell ref="FJ747:FN747"/>
    <mergeCell ref="DU736:DY736"/>
    <mergeCell ref="FT741:FX741"/>
    <mergeCell ref="FT742:FX742"/>
    <mergeCell ref="FY742:GC742"/>
    <mergeCell ref="EZ743:FD743"/>
    <mergeCell ref="FE743:FI743"/>
    <mergeCell ref="DO741:DS741"/>
    <mergeCell ref="DO742:DS742"/>
    <mergeCell ref="AH739:AJ739"/>
    <mergeCell ref="FT745:FX745"/>
    <mergeCell ref="ET761:EX761"/>
    <mergeCell ref="K735:N735"/>
    <mergeCell ref="CP745:CT745"/>
    <mergeCell ref="CP741:CT741"/>
    <mergeCell ref="CK743:CL743"/>
    <mergeCell ref="CP740:CT740"/>
    <mergeCell ref="CP739:CT739"/>
    <mergeCell ref="CI737:CJ737"/>
    <mergeCell ref="CP737:CT737"/>
    <mergeCell ref="CG749:CH749"/>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38:FI738"/>
    <mergeCell ref="FJ738:FN738"/>
    <mergeCell ref="FY736:GC736"/>
    <mergeCell ref="EZ737:FD737"/>
    <mergeCell ref="FE737:FI737"/>
    <mergeCell ref="FJ737:FN737"/>
    <mergeCell ref="FO737:FS737"/>
    <mergeCell ref="FT737:FX737"/>
    <mergeCell ref="FY737:GC737"/>
    <mergeCell ref="FO741:FS741"/>
    <mergeCell ref="FY740:GC740"/>
    <mergeCell ref="FO744:FS744"/>
    <mergeCell ref="FT744:FX744"/>
    <mergeCell ref="FO740:FS740"/>
    <mergeCell ref="FT740:FX740"/>
    <mergeCell ref="FO747:FS747"/>
    <mergeCell ref="FT748:FX748"/>
    <mergeCell ref="FY745:GC745"/>
    <mergeCell ref="FT743:FX743"/>
    <mergeCell ref="FY743:GC743"/>
    <mergeCell ref="EZ744:FD744"/>
    <mergeCell ref="FE744:FI744"/>
    <mergeCell ref="FJ744:FN744"/>
    <mergeCell ref="FO748:FS748"/>
    <mergeCell ref="FJ741:FN741"/>
    <mergeCell ref="DX672:EB672"/>
    <mergeCell ref="FY734:GC734"/>
    <mergeCell ref="EW675:FA675"/>
    <mergeCell ref="EC677:EG677"/>
    <mergeCell ref="EH677:EL677"/>
    <mergeCell ref="EM677:EQ677"/>
    <mergeCell ref="FJ729:FN729"/>
    <mergeCell ref="FO729:FS729"/>
    <mergeCell ref="EO726:ES726"/>
    <mergeCell ref="DU728:DY728"/>
    <mergeCell ref="EZ735:FD735"/>
    <mergeCell ref="FJ739:FN739"/>
    <mergeCell ref="FO739:FS739"/>
    <mergeCell ref="DU742:DY742"/>
    <mergeCell ref="DU741:DY741"/>
    <mergeCell ref="ET741:EX741"/>
    <mergeCell ref="EO742:ES742"/>
    <mergeCell ref="EE742:EI742"/>
    <mergeCell ref="FO743:FS743"/>
    <mergeCell ref="EJ741:EN741"/>
    <mergeCell ref="DZ737:ED737"/>
    <mergeCell ref="EZ740:FD740"/>
    <mergeCell ref="EZ736:FD736"/>
    <mergeCell ref="FE736:FI736"/>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59:FS759"/>
    <mergeCell ref="FT739:FX739"/>
    <mergeCell ref="FY739:GC739"/>
    <mergeCell ref="FE740:FI740"/>
    <mergeCell ref="FJ740:FN740"/>
    <mergeCell ref="FJ743:FN743"/>
    <mergeCell ref="EZ739:FD739"/>
    <mergeCell ref="FE739:FI739"/>
    <mergeCell ref="FJ736:FN736"/>
    <mergeCell ref="FO736:FS736"/>
    <mergeCell ref="FE734:FI734"/>
    <mergeCell ref="FJ734:FN734"/>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R671:EV671"/>
    <mergeCell ref="EW671:FA671"/>
    <mergeCell ref="EC667:EG667"/>
    <mergeCell ref="EE727:EI727"/>
    <mergeCell ref="DZ728:ED728"/>
    <mergeCell ref="EJ727:EN727"/>
    <mergeCell ref="DZ732:ED732"/>
    <mergeCell ref="EH654:EL654"/>
    <mergeCell ref="EM675:EQ675"/>
    <mergeCell ref="ER675:EV675"/>
    <mergeCell ref="DX651:EB651"/>
    <mergeCell ref="EC664:EG664"/>
    <mergeCell ref="EH650:EL650"/>
    <mergeCell ref="EM650:EQ650"/>
    <mergeCell ref="ER650:EV650"/>
    <mergeCell ref="DX649:EB649"/>
    <mergeCell ref="EC652:EG652"/>
    <mergeCell ref="EH652:EL652"/>
    <mergeCell ref="DX653:EB653"/>
    <mergeCell ref="EW649:FA649"/>
    <mergeCell ref="EM673:EQ673"/>
    <mergeCell ref="ER673:EV673"/>
    <mergeCell ref="EW673:FA673"/>
    <mergeCell ref="EW670:FA670"/>
    <mergeCell ref="DX671:EB671"/>
    <mergeCell ref="EC671:EG671"/>
    <mergeCell ref="EH671:EL671"/>
    <mergeCell ref="EM671:EQ671"/>
    <mergeCell ref="EC658:EG658"/>
    <mergeCell ref="DX656:EB656"/>
    <mergeCell ref="EH660:EL660"/>
    <mergeCell ref="DX654:EB654"/>
    <mergeCell ref="EC654:EG654"/>
    <mergeCell ref="EW657:FA657"/>
    <mergeCell ref="EH656:EL656"/>
    <mergeCell ref="ER651:EV651"/>
    <mergeCell ref="ER648:EV648"/>
    <mergeCell ref="EW655:FA655"/>
    <mergeCell ref="ER666:EV666"/>
    <mergeCell ref="EW666:FA666"/>
    <mergeCell ref="EC673:EG673"/>
    <mergeCell ref="EH673:EL673"/>
    <mergeCell ref="EW658:FA658"/>
    <mergeCell ref="EW656:FA656"/>
    <mergeCell ref="EW669:FA669"/>
    <mergeCell ref="EM670:EQ670"/>
    <mergeCell ref="ER670:EV670"/>
    <mergeCell ref="EC663:EG663"/>
    <mergeCell ref="EC676:EG676"/>
    <mergeCell ref="EE728:EI728"/>
    <mergeCell ref="DZ726:ED726"/>
    <mergeCell ref="EE726:EI726"/>
    <mergeCell ref="EC672:EG672"/>
    <mergeCell ref="ER657:EV657"/>
    <mergeCell ref="EM668:EQ668"/>
    <mergeCell ref="DX673:EB673"/>
    <mergeCell ref="EM678:EQ678"/>
    <mergeCell ref="DX676:EB676"/>
    <mergeCell ref="ET726:EX726"/>
    <mergeCell ref="DX660:EB660"/>
    <mergeCell ref="ER649:EV649"/>
    <mergeCell ref="EH649:EL649"/>
    <mergeCell ref="EW652:FA652"/>
    <mergeCell ref="ER674:EV674"/>
    <mergeCell ref="DX657:EB657"/>
    <mergeCell ref="DX663:EB663"/>
    <mergeCell ref="DX664:EB664"/>
    <mergeCell ref="ER664:EV664"/>
    <mergeCell ref="EH658:EL658"/>
    <mergeCell ref="EW662:FA662"/>
    <mergeCell ref="EC655:EG655"/>
    <mergeCell ref="ET728:EX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DZ738:ED738"/>
    <mergeCell ref="EE738:EI738"/>
    <mergeCell ref="EJ738:EN738"/>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H664:EL664"/>
    <mergeCell ref="EM664:EQ664"/>
    <mergeCell ref="DX677:EB677"/>
    <mergeCell ref="EC678:EG678"/>
    <mergeCell ref="EH678:EL678"/>
    <mergeCell ref="ET740:EX740"/>
    <mergeCell ref="DU738:DY738"/>
    <mergeCell ref="EE736:EI736"/>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E733:EI733"/>
    <mergeCell ref="ER677:EV677"/>
    <mergeCell ref="ER676:EV676"/>
    <mergeCell ref="EW676:FA676"/>
    <mergeCell ref="EW672:FA672"/>
    <mergeCell ref="DX655:EB655"/>
    <mergeCell ref="ER669:EV669"/>
    <mergeCell ref="EO728:ES728"/>
    <mergeCell ref="DE741:DI741"/>
    <mergeCell ref="CZ759:DD759"/>
    <mergeCell ref="DJ744:DN744"/>
    <mergeCell ref="DJ725:DN725"/>
    <mergeCell ref="DJ730:DN730"/>
    <mergeCell ref="DE729:DI729"/>
    <mergeCell ref="DE731:DI731"/>
    <mergeCell ref="EW677:FA677"/>
    <mergeCell ref="EH661:EL661"/>
    <mergeCell ref="EM661:EQ661"/>
    <mergeCell ref="ER661:EV661"/>
    <mergeCell ref="EW663:FA663"/>
    <mergeCell ref="DO729:DS729"/>
    <mergeCell ref="EZ734:FD734"/>
    <mergeCell ref="ER663:EV663"/>
    <mergeCell ref="EH659:EL659"/>
    <mergeCell ref="DO740:DS740"/>
    <mergeCell ref="DU730:DY730"/>
    <mergeCell ref="DO728:DS728"/>
    <mergeCell ref="DO730:DS730"/>
    <mergeCell ref="DU737:DY737"/>
    <mergeCell ref="DU739:DY739"/>
    <mergeCell ref="EO739:ES739"/>
    <mergeCell ref="EE734:EI734"/>
    <mergeCell ref="EJ734:EN734"/>
    <mergeCell ref="EW668:FA668"/>
    <mergeCell ref="DX669:EB669"/>
    <mergeCell ref="EW674:FA674"/>
    <mergeCell ref="EM669:EQ669"/>
    <mergeCell ref="ER678:EV678"/>
    <mergeCell ref="EW659:FA659"/>
    <mergeCell ref="ET737:EX737"/>
    <mergeCell ref="DO785:DS785"/>
    <mergeCell ref="DE781:DI781"/>
    <mergeCell ref="CZ785:DD785"/>
    <mergeCell ref="DE785:DI785"/>
    <mergeCell ref="DE783:DI783"/>
    <mergeCell ref="EE759:EI759"/>
    <mergeCell ref="DU759:DY759"/>
    <mergeCell ref="DZ759:ED759"/>
    <mergeCell ref="DU760:DY760"/>
    <mergeCell ref="DZ760:ED760"/>
    <mergeCell ref="DJ760:DN760"/>
    <mergeCell ref="CZ753:DD753"/>
    <mergeCell ref="DO783:DS783"/>
    <mergeCell ref="DJ761:DN761"/>
    <mergeCell ref="DE748:DI748"/>
    <mergeCell ref="DU748:DY748"/>
    <mergeCell ref="DZ748:ED748"/>
    <mergeCell ref="EE748:EI748"/>
    <mergeCell ref="EE753:EI753"/>
    <mergeCell ref="DU757:DY757"/>
    <mergeCell ref="DZ757:ED757"/>
    <mergeCell ref="DO754:DS754"/>
    <mergeCell ref="CZ754:DD754"/>
    <mergeCell ref="CZ784:DD784"/>
    <mergeCell ref="CZ756:DD756"/>
    <mergeCell ref="DE756:DI756"/>
    <mergeCell ref="DJ756:DN756"/>
    <mergeCell ref="DO756:DS756"/>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DJ742:DN742"/>
    <mergeCell ref="DE784:DI784"/>
    <mergeCell ref="DO782:DS782"/>
    <mergeCell ref="DU761:DY761"/>
    <mergeCell ref="DO738:DS738"/>
    <mergeCell ref="DO739:DS739"/>
    <mergeCell ref="DO735:DS735"/>
    <mergeCell ref="DO736:DS736"/>
    <mergeCell ref="DU747:DY747"/>
    <mergeCell ref="DZ747:ED747"/>
    <mergeCell ref="EE747:EI747"/>
    <mergeCell ref="DO761:DS761"/>
    <mergeCell ref="DO781:DS781"/>
    <mergeCell ref="DJ759:DN759"/>
    <mergeCell ref="DE753:DI753"/>
    <mergeCell ref="DZ745:ED745"/>
    <mergeCell ref="EE761:EI761"/>
    <mergeCell ref="DJ784:DN784"/>
    <mergeCell ref="DO784:DS784"/>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EM649:EQ649"/>
    <mergeCell ref="DE744:DI744"/>
    <mergeCell ref="CM748:CN748"/>
    <mergeCell ref="EM656:EQ656"/>
    <mergeCell ref="DJ754:DN754"/>
    <mergeCell ref="DE758:DI758"/>
    <mergeCell ref="DJ758:DN758"/>
    <mergeCell ref="EO740:ES740"/>
    <mergeCell ref="EJ747:EN747"/>
    <mergeCell ref="DJ746:DN746"/>
    <mergeCell ref="EO745:ES745"/>
    <mergeCell ref="EO748:ES748"/>
    <mergeCell ref="EO746:ES746"/>
    <mergeCell ref="DE746:DI746"/>
    <mergeCell ref="EM657:EQ657"/>
    <mergeCell ref="EM662:EQ662"/>
    <mergeCell ref="ER662:EV662"/>
    <mergeCell ref="EM660:EQ660"/>
    <mergeCell ref="DX658:EB658"/>
    <mergeCell ref="DX675:EB675"/>
    <mergeCell ref="DU733:DY733"/>
    <mergeCell ref="DZ733:ED733"/>
    <mergeCell ref="DU731:DY731"/>
    <mergeCell ref="DZ731:ED731"/>
    <mergeCell ref="DU745:DY745"/>
    <mergeCell ref="DU743:DY743"/>
    <mergeCell ref="EO744:ES744"/>
    <mergeCell ref="DO744:DS744"/>
    <mergeCell ref="ET735:EX735"/>
    <mergeCell ref="DZ735:ED735"/>
    <mergeCell ref="EE735:EI735"/>
    <mergeCell ref="EE731:EI731"/>
    <mergeCell ref="EJ731:EN73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M573:P573"/>
    <mergeCell ref="Q566:S566"/>
    <mergeCell ref="AH520:AK520"/>
    <mergeCell ref="M565:P565"/>
    <mergeCell ref="AH528:AK528"/>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AE564:AH564"/>
    <mergeCell ref="Q640:S640"/>
    <mergeCell ref="AE567:AH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Z572:AD572"/>
    <mergeCell ref="Z573:AD573"/>
    <mergeCell ref="Z580:AE580"/>
    <mergeCell ref="Z597:AE597"/>
    <mergeCell ref="AC637:AE637"/>
    <mergeCell ref="AH543:AK543"/>
    <mergeCell ref="AC540:AF540"/>
    <mergeCell ref="AC539:AF539"/>
    <mergeCell ref="AC547:AF547"/>
    <mergeCell ref="L516:AB516"/>
    <mergeCell ref="O528:AA528"/>
    <mergeCell ref="AH526:AK526"/>
    <mergeCell ref="AC527:AF527"/>
    <mergeCell ref="AC531:AF531"/>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C642:L642"/>
    <mergeCell ref="M981:S981"/>
    <mergeCell ref="O784:S784"/>
    <mergeCell ref="O777:S780"/>
    <mergeCell ref="AO645:AS645"/>
    <mergeCell ref="K748:N748"/>
    <mergeCell ref="AC746:AG746"/>
    <mergeCell ref="AK758:AO758"/>
    <mergeCell ref="G747:J747"/>
    <mergeCell ref="X749:AB749"/>
    <mergeCell ref="T744:W744"/>
    <mergeCell ref="I959:T959"/>
    <mergeCell ref="AB996:AI996"/>
    <mergeCell ref="D996:Q996"/>
    <mergeCell ref="R998:AA998"/>
    <mergeCell ref="AJ998:AQ998"/>
    <mergeCell ref="J1033:AE1033"/>
    <mergeCell ref="AJ1001:AQ1001"/>
    <mergeCell ref="AJ1002:AQ1002"/>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E12" sqref="E12"/>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Application!B635&amp;Application!C635</f>
        <v>1)Permanent Loan</v>
      </c>
      <c r="G2" s="139" t="str">
        <f>Application!B636&amp;Application!C636</f>
        <v>2)Deferred Developer Fee</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5500000</v>
      </c>
      <c r="C4" s="147">
        <v>5500000</v>
      </c>
      <c r="D4" s="147"/>
      <c r="E4" s="147">
        <f>C4</f>
        <v>5500000</v>
      </c>
      <c r="F4" s="147"/>
      <c r="G4" s="147"/>
      <c r="H4" s="147"/>
      <c r="I4" s="147"/>
      <c r="J4" s="147"/>
      <c r="K4" s="147"/>
      <c r="L4" s="147"/>
      <c r="M4" s="147"/>
      <c r="N4" s="147"/>
      <c r="O4" s="147"/>
      <c r="P4" s="147"/>
      <c r="Q4" s="147"/>
      <c r="R4" s="516">
        <f>SUM(E4:Q4)</f>
        <v>5500000</v>
      </c>
      <c r="S4" s="148"/>
      <c r="T4" s="148"/>
      <c r="U4" s="143"/>
    </row>
    <row r="5" spans="1:21" s="144" customFormat="1">
      <c r="A5" s="145" t="s">
        <v>28</v>
      </c>
      <c r="B5" s="146">
        <f>SUM(C5+D5)</f>
        <v>350000</v>
      </c>
      <c r="C5" s="147">
        <v>350000</v>
      </c>
      <c r="D5" s="147"/>
      <c r="E5" s="147">
        <f>C5</f>
        <v>350000</v>
      </c>
      <c r="F5" s="147"/>
      <c r="G5" s="147"/>
      <c r="H5" s="147"/>
      <c r="I5" s="147"/>
      <c r="J5" s="147"/>
      <c r="K5" s="147"/>
      <c r="L5" s="147"/>
      <c r="M5" s="147"/>
      <c r="N5" s="147"/>
      <c r="O5" s="147"/>
      <c r="P5" s="147"/>
      <c r="Q5" s="147"/>
      <c r="R5" s="516">
        <f>SUM(E5:Q5)</f>
        <v>350000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5850000</v>
      </c>
      <c r="C8" s="146">
        <f t="shared" ref="C8:Q8" si="0">SUM(C4:C7)</f>
        <v>5850000</v>
      </c>
      <c r="D8" s="146">
        <f t="shared" si="0"/>
        <v>0</v>
      </c>
      <c r="E8" s="146">
        <f t="shared" si="0"/>
        <v>5850000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5850000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f>C10</f>
        <v>500000</v>
      </c>
      <c r="T10" s="147"/>
      <c r="U10" s="143"/>
    </row>
    <row r="11" spans="1:21" s="144" customFormat="1">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6350000</v>
      </c>
      <c r="C12" s="146">
        <f t="shared" si="2"/>
        <v>6350000</v>
      </c>
      <c r="D12" s="146">
        <f t="shared" si="2"/>
        <v>0</v>
      </c>
      <c r="E12" s="146">
        <f t="shared" si="2"/>
        <v>6350000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6350000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2731</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f>C29</f>
        <v>1000000</v>
      </c>
      <c r="F29" s="147"/>
      <c r="G29" s="147"/>
      <c r="H29" s="147"/>
      <c r="I29" s="147"/>
      <c r="J29" s="147"/>
      <c r="K29" s="147"/>
      <c r="L29" s="147"/>
      <c r="M29" s="147"/>
      <c r="N29" s="147"/>
      <c r="O29" s="147"/>
      <c r="P29" s="147"/>
      <c r="Q29" s="147"/>
      <c r="R29" s="516">
        <f t="shared" ref="R29:R37" si="7">SUM(E29:Q29)</f>
        <v>1000000</v>
      </c>
      <c r="S29" s="147">
        <f>C29</f>
        <v>1000000</v>
      </c>
      <c r="T29" s="147"/>
      <c r="U29" s="143"/>
    </row>
    <row r="30" spans="1:21" s="144" customFormat="1">
      <c r="A30" s="145" t="s">
        <v>599</v>
      </c>
      <c r="B30" s="146">
        <f t="shared" si="6"/>
        <v>30061999</v>
      </c>
      <c r="C30" s="147">
        <f>30911999-350000-500000</f>
        <v>30061999</v>
      </c>
      <c r="D30" s="147"/>
      <c r="E30" s="147">
        <f>C30-F30</f>
        <v>1071999</v>
      </c>
      <c r="F30" s="147">
        <v>28990000</v>
      </c>
      <c r="G30" s="147"/>
      <c r="H30" s="147"/>
      <c r="I30" s="147"/>
      <c r="J30" s="147"/>
      <c r="K30" s="147"/>
      <c r="L30" s="147"/>
      <c r="M30" s="147"/>
      <c r="N30" s="147"/>
      <c r="O30" s="147"/>
      <c r="P30" s="147"/>
      <c r="Q30" s="147"/>
      <c r="R30" s="516">
        <f t="shared" si="7"/>
        <v>30061999</v>
      </c>
      <c r="S30" s="147">
        <f t="shared" ref="S30:S37" si="8">C30</f>
        <v>30061999</v>
      </c>
      <c r="T30" s="147"/>
      <c r="U30" s="143"/>
    </row>
    <row r="31" spans="1:21" s="144" customFormat="1">
      <c r="A31" s="145" t="s">
        <v>600</v>
      </c>
      <c r="B31" s="146">
        <f t="shared" si="6"/>
        <v>2400000</v>
      </c>
      <c r="C31" s="147">
        <v>2400000</v>
      </c>
      <c r="D31" s="147"/>
      <c r="E31" s="147">
        <f t="shared" ref="E31:E37" si="9">C31</f>
        <v>2400000</v>
      </c>
      <c r="F31" s="147"/>
      <c r="G31" s="147"/>
      <c r="H31" s="147"/>
      <c r="I31" s="147"/>
      <c r="J31" s="147"/>
      <c r="K31" s="147"/>
      <c r="L31" s="147"/>
      <c r="M31" s="147"/>
      <c r="N31" s="147"/>
      <c r="O31" s="147"/>
      <c r="P31" s="147"/>
      <c r="Q31" s="147"/>
      <c r="R31" s="516">
        <f t="shared" si="7"/>
        <v>2400000</v>
      </c>
      <c r="S31" s="147">
        <f t="shared" si="8"/>
        <v>2400000</v>
      </c>
      <c r="T31" s="147"/>
      <c r="U31" s="143"/>
    </row>
    <row r="32" spans="1:21" s="144" customFormat="1">
      <c r="A32" s="145" t="s">
        <v>137</v>
      </c>
      <c r="B32" s="146">
        <f t="shared" si="6"/>
        <v>1541116</v>
      </c>
      <c r="C32" s="147">
        <f>ROUND(3082232/2,0)</f>
        <v>1541116</v>
      </c>
      <c r="D32" s="147"/>
      <c r="E32" s="147">
        <f t="shared" si="9"/>
        <v>1541116</v>
      </c>
      <c r="F32" s="147"/>
      <c r="G32" s="147"/>
      <c r="H32" s="147"/>
      <c r="I32" s="147"/>
      <c r="J32" s="147"/>
      <c r="K32" s="147"/>
      <c r="L32" s="147"/>
      <c r="M32" s="147"/>
      <c r="N32" s="147"/>
      <c r="O32" s="147"/>
      <c r="P32" s="147"/>
      <c r="Q32" s="147"/>
      <c r="R32" s="516">
        <f t="shared" si="7"/>
        <v>1541116</v>
      </c>
      <c r="S32" s="147">
        <f t="shared" si="8"/>
        <v>1541116</v>
      </c>
      <c r="T32" s="147"/>
      <c r="U32" s="143"/>
    </row>
    <row r="33" spans="1:21" s="144" customFormat="1">
      <c r="A33" s="145" t="s">
        <v>138</v>
      </c>
      <c r="B33" s="146">
        <f t="shared" si="6"/>
        <v>1541116</v>
      </c>
      <c r="C33" s="147">
        <f>ROUND(3082232/2,0)</f>
        <v>1541116</v>
      </c>
      <c r="D33" s="147"/>
      <c r="E33" s="147">
        <f t="shared" si="9"/>
        <v>1541116</v>
      </c>
      <c r="F33" s="147"/>
      <c r="G33" s="147"/>
      <c r="H33" s="147"/>
      <c r="I33" s="147"/>
      <c r="J33" s="147"/>
      <c r="K33" s="147"/>
      <c r="L33" s="147"/>
      <c r="M33" s="147"/>
      <c r="N33" s="147"/>
      <c r="O33" s="147"/>
      <c r="P33" s="147"/>
      <c r="Q33" s="147"/>
      <c r="R33" s="516">
        <f t="shared" si="7"/>
        <v>1541116</v>
      </c>
      <c r="S33" s="147">
        <f t="shared" si="8"/>
        <v>1541116</v>
      </c>
      <c r="T33" s="147"/>
      <c r="U33" s="143"/>
    </row>
    <row r="34" spans="1:21" s="144" customFormat="1">
      <c r="A34" s="145" t="s">
        <v>139</v>
      </c>
      <c r="B34" s="146">
        <f t="shared" si="6"/>
        <v>7246800</v>
      </c>
      <c r="C34" s="147">
        <v>7246800</v>
      </c>
      <c r="D34" s="147"/>
      <c r="E34" s="147">
        <f t="shared" si="9"/>
        <v>7246800</v>
      </c>
      <c r="F34" s="147"/>
      <c r="G34" s="147"/>
      <c r="H34" s="147"/>
      <c r="I34" s="147"/>
      <c r="J34" s="147"/>
      <c r="K34" s="147"/>
      <c r="L34" s="147"/>
      <c r="M34" s="147"/>
      <c r="N34" s="147"/>
      <c r="O34" s="147"/>
      <c r="P34" s="147"/>
      <c r="Q34" s="147"/>
      <c r="R34" s="516">
        <f t="shared" si="7"/>
        <v>7246800</v>
      </c>
      <c r="S34" s="147">
        <f t="shared" si="8"/>
        <v>7246800</v>
      </c>
      <c r="T34" s="147"/>
      <c r="U34" s="143"/>
    </row>
    <row r="35" spans="1:21" s="144" customFormat="1">
      <c r="A35" s="145" t="s">
        <v>140</v>
      </c>
      <c r="B35" s="146">
        <f t="shared" si="6"/>
        <v>411167</v>
      </c>
      <c r="C35" s="147">
        <v>411167</v>
      </c>
      <c r="D35" s="147"/>
      <c r="E35" s="147">
        <f t="shared" si="9"/>
        <v>411167</v>
      </c>
      <c r="F35" s="147"/>
      <c r="G35" s="147"/>
      <c r="H35" s="147"/>
      <c r="I35" s="147"/>
      <c r="J35" s="147"/>
      <c r="K35" s="147"/>
      <c r="L35" s="147"/>
      <c r="M35" s="147"/>
      <c r="N35" s="147"/>
      <c r="O35" s="147"/>
      <c r="P35" s="147"/>
      <c r="Q35" s="147"/>
      <c r="R35" s="516">
        <f t="shared" si="7"/>
        <v>411167</v>
      </c>
      <c r="S35" s="147">
        <f t="shared" si="8"/>
        <v>411167</v>
      </c>
      <c r="T35" s="147"/>
      <c r="U35" s="143"/>
    </row>
    <row r="36" spans="1:21" s="144" customFormat="1">
      <c r="A36" s="283" t="s">
        <v>1628</v>
      </c>
      <c r="B36" s="146">
        <f t="shared" si="6"/>
        <v>0</v>
      </c>
      <c r="C36" s="147"/>
      <c r="D36" s="147"/>
      <c r="E36" s="147">
        <f t="shared" si="9"/>
        <v>0</v>
      </c>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2730</v>
      </c>
      <c r="B37" s="146">
        <f t="shared" si="6"/>
        <v>450326</v>
      </c>
      <c r="C37" s="147">
        <v>450326</v>
      </c>
      <c r="D37" s="147"/>
      <c r="E37" s="147">
        <f t="shared" si="9"/>
        <v>450326</v>
      </c>
      <c r="F37" s="147"/>
      <c r="G37" s="147"/>
      <c r="H37" s="147"/>
      <c r="I37" s="147"/>
      <c r="J37" s="147"/>
      <c r="K37" s="147"/>
      <c r="L37" s="147"/>
      <c r="M37" s="147"/>
      <c r="N37" s="147"/>
      <c r="O37" s="147"/>
      <c r="P37" s="147"/>
      <c r="Q37" s="147"/>
      <c r="R37" s="516">
        <f t="shared" si="7"/>
        <v>450326</v>
      </c>
      <c r="S37" s="147">
        <f t="shared" si="8"/>
        <v>450326</v>
      </c>
      <c r="T37" s="147"/>
      <c r="U37" s="143"/>
    </row>
    <row r="38" spans="1:21" s="144" customFormat="1">
      <c r="A38" s="149" t="s">
        <v>143</v>
      </c>
      <c r="B38" s="146">
        <f t="shared" si="6"/>
        <v>44652524</v>
      </c>
      <c r="C38" s="146">
        <f>SUM(C29:C37)</f>
        <v>44652524</v>
      </c>
      <c r="D38" s="146">
        <f t="shared" ref="D38:Q38" si="10">SUM(D29:D37)</f>
        <v>0</v>
      </c>
      <c r="E38" s="146">
        <f t="shared" si="10"/>
        <v>15662524</v>
      </c>
      <c r="F38" s="146">
        <f t="shared" si="10"/>
        <v>28990000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44652524</v>
      </c>
      <c r="S38" s="150">
        <f>SUM(S29:S37)</f>
        <v>44652524</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1600000</v>
      </c>
      <c r="C40" s="147">
        <v>1600000</v>
      </c>
      <c r="D40" s="147"/>
      <c r="E40" s="147">
        <f>C40</f>
        <v>1600000</v>
      </c>
      <c r="F40" s="147"/>
      <c r="G40" s="147"/>
      <c r="H40" s="147"/>
      <c r="I40" s="147"/>
      <c r="J40" s="147"/>
      <c r="K40" s="147"/>
      <c r="L40" s="147"/>
      <c r="M40" s="147"/>
      <c r="N40" s="147"/>
      <c r="O40" s="147"/>
      <c r="P40" s="147"/>
      <c r="Q40" s="147"/>
      <c r="R40" s="516">
        <f>SUM(E40:Q40)</f>
        <v>1600000</v>
      </c>
      <c r="S40" s="147">
        <f t="shared" ref="S40:S41" si="11">C40</f>
        <v>1600000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f t="shared" si="11"/>
        <v>0</v>
      </c>
      <c r="T41" s="147"/>
      <c r="U41" s="143"/>
    </row>
    <row r="42" spans="1:21" s="144" customFormat="1">
      <c r="A42" s="149" t="s">
        <v>147</v>
      </c>
      <c r="B42" s="146">
        <f>SUM(C42:D42)</f>
        <v>1600000</v>
      </c>
      <c r="C42" s="146">
        <f>SUM(C39:C41)</f>
        <v>1600000</v>
      </c>
      <c r="D42" s="146">
        <f>SUM(D39:D41)</f>
        <v>0</v>
      </c>
      <c r="E42" s="146">
        <f t="shared" ref="E42:T42" si="12">SUM(E40:E41)</f>
        <v>1600000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1600000</v>
      </c>
      <c r="S42" s="150">
        <f t="shared" si="12"/>
        <v>1600000</v>
      </c>
      <c r="T42" s="150">
        <f t="shared" si="12"/>
        <v>0</v>
      </c>
      <c r="U42" s="143"/>
    </row>
    <row r="43" spans="1:21" s="144" customFormat="1">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f>C43</f>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5742292</v>
      </c>
      <c r="C45" s="147">
        <v>5742292</v>
      </c>
      <c r="D45" s="147"/>
      <c r="E45" s="147">
        <f t="shared" ref="E45:E53" si="14">C45</f>
        <v>5742292</v>
      </c>
      <c r="F45" s="147"/>
      <c r="G45" s="147"/>
      <c r="H45" s="147"/>
      <c r="I45" s="147"/>
      <c r="J45" s="147"/>
      <c r="K45" s="147"/>
      <c r="L45" s="147"/>
      <c r="M45" s="147"/>
      <c r="N45" s="147"/>
      <c r="O45" s="147"/>
      <c r="P45" s="147"/>
      <c r="Q45" s="147"/>
      <c r="R45" s="516">
        <f t="shared" ref="R45:R53" si="15">SUM(E45:Q45)</f>
        <v>5742292</v>
      </c>
      <c r="S45" s="147">
        <f>3432153-184885+350000+3+110000+35000</f>
        <v>3742271</v>
      </c>
      <c r="T45" s="147"/>
      <c r="U45" s="143"/>
    </row>
    <row r="46" spans="1:21" s="144" customFormat="1">
      <c r="A46" s="145" t="s">
        <v>151</v>
      </c>
      <c r="B46" s="146">
        <f t="shared" si="13"/>
        <v>582163</v>
      </c>
      <c r="C46" s="147">
        <v>582163</v>
      </c>
      <c r="D46" s="147"/>
      <c r="E46" s="147">
        <f t="shared" si="14"/>
        <v>582163</v>
      </c>
      <c r="F46" s="147"/>
      <c r="G46" s="147"/>
      <c r="H46" s="147"/>
      <c r="I46" s="147"/>
      <c r="J46" s="147"/>
      <c r="K46" s="147"/>
      <c r="L46" s="147"/>
      <c r="M46" s="147"/>
      <c r="N46" s="147"/>
      <c r="O46" s="147"/>
      <c r="P46" s="147"/>
      <c r="Q46" s="147"/>
      <c r="R46" s="516">
        <f t="shared" si="15"/>
        <v>582163</v>
      </c>
      <c r="S46" s="147">
        <f>C46-110000</f>
        <v>472163</v>
      </c>
      <c r="T46" s="147"/>
      <c r="U46" s="143"/>
    </row>
    <row r="47" spans="1:21" s="144" customFormat="1">
      <c r="A47" s="186" t="s">
        <v>152</v>
      </c>
      <c r="B47" s="146">
        <f t="shared" si="13"/>
        <v>0</v>
      </c>
      <c r="C47" s="147"/>
      <c r="D47" s="147"/>
      <c r="E47" s="147">
        <f t="shared" si="14"/>
        <v>0</v>
      </c>
      <c r="F47" s="147"/>
      <c r="G47" s="147"/>
      <c r="H47" s="147"/>
      <c r="I47" s="147"/>
      <c r="J47" s="147"/>
      <c r="K47" s="147"/>
      <c r="L47" s="147"/>
      <c r="M47" s="147"/>
      <c r="N47" s="147"/>
      <c r="O47" s="147"/>
      <c r="P47" s="147"/>
      <c r="Q47" s="147"/>
      <c r="R47" s="516">
        <f t="shared" si="15"/>
        <v>0</v>
      </c>
      <c r="S47" s="147">
        <f t="shared" ref="S47:S53" si="16">C47</f>
        <v>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16">
        <f t="shared" si="15"/>
        <v>0</v>
      </c>
      <c r="S48" s="147">
        <f t="shared" si="16"/>
        <v>0</v>
      </c>
      <c r="T48" s="147"/>
      <c r="U48" s="143"/>
    </row>
    <row r="49" spans="1:21" s="144" customFormat="1">
      <c r="A49" s="145" t="s">
        <v>57</v>
      </c>
      <c r="B49" s="146">
        <f t="shared" si="13"/>
        <v>117190</v>
      </c>
      <c r="C49" s="147">
        <f>217190-100000</f>
        <v>117190</v>
      </c>
      <c r="D49" s="147"/>
      <c r="E49" s="147">
        <f t="shared" si="14"/>
        <v>117190</v>
      </c>
      <c r="F49" s="147"/>
      <c r="G49" s="147"/>
      <c r="H49" s="147"/>
      <c r="I49" s="147"/>
      <c r="J49" s="147"/>
      <c r="K49" s="147"/>
      <c r="L49" s="147"/>
      <c r="M49" s="147"/>
      <c r="N49" s="147"/>
      <c r="O49" s="147"/>
      <c r="P49" s="147"/>
      <c r="Q49" s="147"/>
      <c r="R49" s="516">
        <f t="shared" si="15"/>
        <v>117190</v>
      </c>
      <c r="S49" s="147">
        <f>C49-35000</f>
        <v>82190</v>
      </c>
      <c r="T49" s="147"/>
      <c r="U49" s="143"/>
    </row>
    <row r="50" spans="1:21" s="144" customFormat="1">
      <c r="A50" s="145" t="s">
        <v>156</v>
      </c>
      <c r="B50" s="146">
        <f t="shared" si="13"/>
        <v>46000</v>
      </c>
      <c r="C50" s="147">
        <v>46000</v>
      </c>
      <c r="D50" s="147"/>
      <c r="E50" s="147">
        <f t="shared" si="14"/>
        <v>46000</v>
      </c>
      <c r="F50" s="147"/>
      <c r="G50" s="147"/>
      <c r="H50" s="147"/>
      <c r="I50" s="147"/>
      <c r="J50" s="147"/>
      <c r="K50" s="147"/>
      <c r="L50" s="147"/>
      <c r="M50" s="147"/>
      <c r="N50" s="147"/>
      <c r="O50" s="147"/>
      <c r="P50" s="147"/>
      <c r="Q50" s="147"/>
      <c r="R50" s="516">
        <f t="shared" si="15"/>
        <v>46000</v>
      </c>
      <c r="S50" s="147">
        <f t="shared" si="16"/>
        <v>46000</v>
      </c>
      <c r="T50" s="147"/>
      <c r="U50" s="143"/>
    </row>
    <row r="51" spans="1:21" s="144" customFormat="1">
      <c r="A51" s="283" t="s">
        <v>154</v>
      </c>
      <c r="B51" s="146">
        <f t="shared" si="13"/>
        <v>114300</v>
      </c>
      <c r="C51" s="147">
        <f>14300+100000</f>
        <v>114300</v>
      </c>
      <c r="D51" s="147"/>
      <c r="E51" s="147">
        <f t="shared" si="14"/>
        <v>114300</v>
      </c>
      <c r="F51" s="147"/>
      <c r="G51" s="147"/>
      <c r="H51" s="147"/>
      <c r="I51" s="147"/>
      <c r="J51" s="147"/>
      <c r="K51" s="147"/>
      <c r="L51" s="147"/>
      <c r="M51" s="147"/>
      <c r="N51" s="147"/>
      <c r="O51" s="147"/>
      <c r="P51" s="147"/>
      <c r="Q51" s="147"/>
      <c r="R51" s="516">
        <f t="shared" si="15"/>
        <v>114300</v>
      </c>
      <c r="S51" s="147">
        <f t="shared" si="16"/>
        <v>114300</v>
      </c>
      <c r="T51" s="147"/>
      <c r="U51" s="143"/>
    </row>
    <row r="52" spans="1:21" s="144" customFormat="1">
      <c r="A52" s="145" t="s">
        <v>155</v>
      </c>
      <c r="B52" s="146">
        <f t="shared" si="13"/>
        <v>697000</v>
      </c>
      <c r="C52" s="147">
        <v>697000</v>
      </c>
      <c r="D52" s="147"/>
      <c r="E52" s="147">
        <f t="shared" si="14"/>
        <v>697000</v>
      </c>
      <c r="F52" s="147"/>
      <c r="G52" s="147"/>
      <c r="H52" s="147"/>
      <c r="I52" s="147"/>
      <c r="J52" s="147"/>
      <c r="K52" s="147"/>
      <c r="L52" s="147"/>
      <c r="M52" s="147"/>
      <c r="N52" s="147"/>
      <c r="O52" s="147"/>
      <c r="P52" s="147"/>
      <c r="Q52" s="147"/>
      <c r="R52" s="516">
        <f t="shared" si="15"/>
        <v>697000</v>
      </c>
      <c r="S52" s="147">
        <f t="shared" si="16"/>
        <v>697000</v>
      </c>
      <c r="T52" s="147"/>
      <c r="U52" s="143"/>
    </row>
    <row r="53" spans="1:21" s="144" customFormat="1">
      <c r="A53" s="1143" t="s">
        <v>34</v>
      </c>
      <c r="B53" s="146">
        <f t="shared" si="13"/>
        <v>0</v>
      </c>
      <c r="C53" s="147"/>
      <c r="D53" s="147"/>
      <c r="E53" s="147">
        <f t="shared" si="14"/>
        <v>0</v>
      </c>
      <c r="F53" s="147"/>
      <c r="G53" s="147"/>
      <c r="H53" s="147"/>
      <c r="I53" s="147"/>
      <c r="J53" s="147"/>
      <c r="K53" s="147"/>
      <c r="L53" s="147"/>
      <c r="M53" s="147"/>
      <c r="N53" s="147"/>
      <c r="O53" s="147"/>
      <c r="P53" s="147"/>
      <c r="Q53" s="147"/>
      <c r="R53" s="516">
        <f t="shared" si="15"/>
        <v>0</v>
      </c>
      <c r="S53" s="147">
        <f t="shared" si="16"/>
        <v>0</v>
      </c>
      <c r="T53" s="147"/>
      <c r="U53" s="143"/>
    </row>
    <row r="54" spans="1:21" s="153" customFormat="1">
      <c r="A54" s="149" t="s">
        <v>157</v>
      </c>
      <c r="B54" s="150">
        <f>SUM(C54:D54)</f>
        <v>7298945</v>
      </c>
      <c r="C54" s="150">
        <f t="shared" ref="C54:T54" si="17">SUM(C45:C53)</f>
        <v>7298945</v>
      </c>
      <c r="D54" s="150">
        <f t="shared" si="17"/>
        <v>0</v>
      </c>
      <c r="E54" s="150">
        <f t="shared" si="17"/>
        <v>7298945</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7298945</v>
      </c>
      <c r="S54" s="150">
        <f t="shared" si="17"/>
        <v>5153924</v>
      </c>
      <c r="T54" s="150">
        <f t="shared" si="17"/>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f t="shared" ref="E56:E61" si="19">C56</f>
        <v>0</v>
      </c>
      <c r="F56" s="147"/>
      <c r="G56" s="147"/>
      <c r="H56" s="147"/>
      <c r="I56" s="147"/>
      <c r="J56" s="147"/>
      <c r="K56" s="147"/>
      <c r="L56" s="147"/>
      <c r="M56" s="147"/>
      <c r="N56" s="147"/>
      <c r="O56" s="147"/>
      <c r="P56" s="147"/>
      <c r="Q56" s="147"/>
      <c r="R56" s="516">
        <f t="shared" ref="R56:R61" si="20">SUM(E56:Q56)</f>
        <v>0</v>
      </c>
      <c r="S56" s="148"/>
      <c r="T56" s="148"/>
      <c r="U56" s="143"/>
    </row>
    <row r="57" spans="1:21" s="192" customFormat="1">
      <c r="A57" s="186" t="s">
        <v>152</v>
      </c>
      <c r="B57" s="193">
        <f t="shared" si="18"/>
        <v>0</v>
      </c>
      <c r="C57" s="190"/>
      <c r="D57" s="190"/>
      <c r="E57" s="190">
        <f t="shared" si="19"/>
        <v>0</v>
      </c>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25000</v>
      </c>
      <c r="C58" s="147">
        <v>25000</v>
      </c>
      <c r="D58" s="147"/>
      <c r="E58" s="147">
        <f t="shared" si="19"/>
        <v>25000</v>
      </c>
      <c r="F58" s="147"/>
      <c r="G58" s="147"/>
      <c r="H58" s="147"/>
      <c r="I58" s="147"/>
      <c r="J58" s="147"/>
      <c r="K58" s="147"/>
      <c r="L58" s="147"/>
      <c r="M58" s="147"/>
      <c r="N58" s="147"/>
      <c r="O58" s="147"/>
      <c r="P58" s="147"/>
      <c r="Q58" s="147"/>
      <c r="R58" s="516">
        <f t="shared" si="20"/>
        <v>25000</v>
      </c>
      <c r="S58" s="148"/>
      <c r="T58" s="148"/>
      <c r="U58" s="143"/>
    </row>
    <row r="59" spans="1:21" s="144" customFormat="1">
      <c r="A59" s="283" t="s">
        <v>154</v>
      </c>
      <c r="B59" s="146">
        <f t="shared" si="18"/>
        <v>0</v>
      </c>
      <c r="C59" s="147"/>
      <c r="D59" s="147"/>
      <c r="E59" s="147">
        <f t="shared" si="19"/>
        <v>0</v>
      </c>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16">
        <f t="shared" si="20"/>
        <v>0</v>
      </c>
      <c r="S60" s="148"/>
      <c r="T60" s="148"/>
      <c r="U60" s="143"/>
    </row>
    <row r="61" spans="1:21" s="144" customFormat="1">
      <c r="A61" s="1143" t="s">
        <v>34</v>
      </c>
      <c r="B61" s="146">
        <f t="shared" si="18"/>
        <v>0</v>
      </c>
      <c r="C61" s="147"/>
      <c r="D61" s="147"/>
      <c r="E61" s="147">
        <f t="shared" si="19"/>
        <v>0</v>
      </c>
      <c r="F61" s="147"/>
      <c r="G61" s="147"/>
      <c r="H61" s="147"/>
      <c r="I61" s="147"/>
      <c r="J61" s="147"/>
      <c r="K61" s="147"/>
      <c r="L61" s="147"/>
      <c r="M61" s="147"/>
      <c r="N61" s="147"/>
      <c r="O61" s="147"/>
      <c r="P61" s="147"/>
      <c r="Q61" s="147"/>
      <c r="R61" s="516">
        <f t="shared" si="20"/>
        <v>0</v>
      </c>
      <c r="S61" s="148"/>
      <c r="T61" s="148"/>
      <c r="U61" s="143"/>
    </row>
    <row r="62" spans="1:21" s="144" customFormat="1" ht="13.75" customHeight="1">
      <c r="A62" s="149" t="s">
        <v>301</v>
      </c>
      <c r="B62" s="146">
        <f>SUM(C62:D62)</f>
        <v>25000</v>
      </c>
      <c r="C62" s="146">
        <f t="shared" ref="C62:R62" si="21">SUM(C56:C61)</f>
        <v>25000</v>
      </c>
      <c r="D62" s="146">
        <f t="shared" si="21"/>
        <v>0</v>
      </c>
      <c r="E62" s="146">
        <f t="shared" si="21"/>
        <v>25000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25000</v>
      </c>
      <c r="S62" s="148"/>
      <c r="T62" s="148"/>
      <c r="U62" s="143"/>
    </row>
    <row r="63" spans="1:21" s="144" customFormat="1">
      <c r="A63" s="154" t="s">
        <v>302</v>
      </c>
      <c r="B63" s="146">
        <f t="shared" ref="B63:R63" si="22">SUM(B8+B11+B13+B14+B15+B26+B27+B38+B42+B43+B54+B62)</f>
        <v>60576469</v>
      </c>
      <c r="C63" s="146">
        <f t="shared" si="22"/>
        <v>60576469</v>
      </c>
      <c r="D63" s="146">
        <f t="shared" si="22"/>
        <v>0</v>
      </c>
      <c r="E63" s="146">
        <f t="shared" si="22"/>
        <v>31586469</v>
      </c>
      <c r="F63" s="146">
        <f t="shared" si="22"/>
        <v>28990000</v>
      </c>
      <c r="G63" s="146">
        <f t="shared" si="22"/>
        <v>0</v>
      </c>
      <c r="H63" s="146">
        <f t="shared" si="22"/>
        <v>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60576469</v>
      </c>
      <c r="S63" s="146">
        <f>SUM(S10+S13+S14+S15+S26+S27+S38+S42+S43+S54)</f>
        <v>52556448</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v>125000</v>
      </c>
      <c r="D65" s="147"/>
      <c r="E65" s="147">
        <f t="shared" ref="E65:E69" si="23">C65</f>
        <v>125000</v>
      </c>
      <c r="F65" s="147"/>
      <c r="G65" s="147"/>
      <c r="H65" s="147"/>
      <c r="I65" s="147"/>
      <c r="J65" s="147"/>
      <c r="K65" s="147"/>
      <c r="L65" s="147"/>
      <c r="M65" s="147"/>
      <c r="N65" s="147"/>
      <c r="O65" s="147"/>
      <c r="P65" s="147"/>
      <c r="Q65" s="147"/>
      <c r="R65" s="516">
        <f>SUM(E65:Q65)</f>
        <v>125000</v>
      </c>
      <c r="S65" s="147">
        <f>R65</f>
        <v>125000</v>
      </c>
      <c r="T65" s="147"/>
      <c r="U65" s="143"/>
    </row>
    <row r="66" spans="1:21" s="144" customFormat="1" ht="24" customHeight="1">
      <c r="A66" s="283" t="s">
        <v>1629</v>
      </c>
      <c r="B66" s="146">
        <f>SUM(C66+D66)</f>
        <v>0</v>
      </c>
      <c r="C66" s="147"/>
      <c r="D66" s="147"/>
      <c r="E66" s="147">
        <f t="shared" si="23"/>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23"/>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20000</v>
      </c>
      <c r="C68" s="147">
        <v>20000</v>
      </c>
      <c r="D68" s="147"/>
      <c r="E68" s="147">
        <f t="shared" si="23"/>
        <v>20000</v>
      </c>
      <c r="F68" s="147"/>
      <c r="G68" s="147"/>
      <c r="H68" s="147"/>
      <c r="I68" s="147"/>
      <c r="J68" s="147"/>
      <c r="K68" s="147"/>
      <c r="L68" s="147"/>
      <c r="M68" s="147"/>
      <c r="N68" s="147"/>
      <c r="O68" s="147"/>
      <c r="P68" s="147"/>
      <c r="Q68" s="147"/>
      <c r="R68" s="516">
        <f>SUM(E68:Q68)</f>
        <v>20000</v>
      </c>
      <c r="S68" s="147"/>
      <c r="T68" s="147"/>
      <c r="U68" s="143"/>
    </row>
    <row r="69" spans="1:21" s="144" customFormat="1">
      <c r="A69" s="1143" t="s">
        <v>2750</v>
      </c>
      <c r="B69" s="146">
        <f>SUM(C69+D69)</f>
        <v>187700</v>
      </c>
      <c r="C69" s="147">
        <f>312700-C65</f>
        <v>187700</v>
      </c>
      <c r="D69" s="147"/>
      <c r="E69" s="147">
        <f t="shared" si="23"/>
        <v>187700</v>
      </c>
      <c r="F69" s="147"/>
      <c r="G69" s="147"/>
      <c r="H69" s="147"/>
      <c r="I69" s="147"/>
      <c r="J69" s="147"/>
      <c r="K69" s="147"/>
      <c r="L69" s="147"/>
      <c r="M69" s="147"/>
      <c r="N69" s="147"/>
      <c r="O69" s="147"/>
      <c r="P69" s="147"/>
      <c r="Q69" s="147"/>
      <c r="R69" s="516">
        <f>SUM(E69:Q69)</f>
        <v>187700</v>
      </c>
      <c r="S69" s="147">
        <v>55000</v>
      </c>
      <c r="T69" s="147"/>
      <c r="U69" s="143"/>
    </row>
    <row r="70" spans="1:21" s="144" customFormat="1">
      <c r="A70" s="149" t="s">
        <v>1633</v>
      </c>
      <c r="B70" s="146">
        <f>SUM(C70:D70)</f>
        <v>332700</v>
      </c>
      <c r="C70" s="146">
        <f>SUM(C65:C69)</f>
        <v>332700</v>
      </c>
      <c r="D70" s="146">
        <f>SUM(D65:D69)</f>
        <v>0</v>
      </c>
      <c r="E70" s="146">
        <f t="shared" ref="E70:T70" si="24">SUM(E65:E69)</f>
        <v>332700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332700</v>
      </c>
      <c r="S70" s="150">
        <f t="shared" si="24"/>
        <v>180000</v>
      </c>
      <c r="T70" s="150">
        <f t="shared" si="24"/>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5">C72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5"/>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5"/>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1321964</v>
      </c>
      <c r="C75" s="147">
        <v>1321964</v>
      </c>
      <c r="D75" s="147"/>
      <c r="E75" s="147">
        <f t="shared" si="25"/>
        <v>1321964</v>
      </c>
      <c r="F75" s="147"/>
      <c r="G75" s="147"/>
      <c r="H75" s="147"/>
      <c r="I75" s="147"/>
      <c r="J75" s="147"/>
      <c r="K75" s="147"/>
      <c r="L75" s="147"/>
      <c r="M75" s="147"/>
      <c r="N75" s="147"/>
      <c r="O75" s="147"/>
      <c r="P75" s="147"/>
      <c r="Q75" s="147"/>
      <c r="R75" s="516">
        <f>SUM(E75:Q75)</f>
        <v>1321964</v>
      </c>
      <c r="S75" s="148"/>
      <c r="T75" s="148"/>
      <c r="U75" s="143"/>
    </row>
    <row r="76" spans="1:21" s="144" customFormat="1">
      <c r="A76" s="1143" t="s">
        <v>34</v>
      </c>
      <c r="B76" s="146">
        <f>SUM(C76+D76)</f>
        <v>0</v>
      </c>
      <c r="C76" s="147"/>
      <c r="D76" s="147"/>
      <c r="E76" s="147">
        <f t="shared" si="25"/>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1321964</v>
      </c>
      <c r="C77" s="146">
        <f>SUM(C72:C76)</f>
        <v>1321964</v>
      </c>
      <c r="D77" s="146">
        <f>SUM(D72:D76)</f>
        <v>0</v>
      </c>
      <c r="E77" s="146">
        <f t="shared" ref="E77:Q77" si="26">SUM(E72:E76)</f>
        <v>1321964</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1321964</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2275126</v>
      </c>
      <c r="C79" s="147">
        <v>2275126</v>
      </c>
      <c r="D79" s="147"/>
      <c r="E79" s="147">
        <f t="shared" ref="E79:E80" si="27">C79</f>
        <v>2275126</v>
      </c>
      <c r="F79" s="147"/>
      <c r="G79" s="147"/>
      <c r="H79" s="147"/>
      <c r="I79" s="147"/>
      <c r="J79" s="147"/>
      <c r="K79" s="147"/>
      <c r="L79" s="147"/>
      <c r="M79" s="147"/>
      <c r="N79" s="147"/>
      <c r="O79" s="147"/>
      <c r="P79" s="147"/>
      <c r="Q79" s="147"/>
      <c r="R79" s="516">
        <f>SUM(E79:Q79)</f>
        <v>2275126</v>
      </c>
      <c r="S79" s="147">
        <f t="shared" ref="S79:S80" si="28">C79</f>
        <v>2275126</v>
      </c>
      <c r="T79" s="147"/>
      <c r="U79" s="143"/>
    </row>
    <row r="80" spans="1:21" s="144" customFormat="1">
      <c r="A80" s="283" t="s">
        <v>58</v>
      </c>
      <c r="B80" s="146">
        <f>SUM(C80:D80)</f>
        <v>448870</v>
      </c>
      <c r="C80" s="147">
        <f>448869+1</f>
        <v>448870</v>
      </c>
      <c r="D80" s="147"/>
      <c r="E80" s="147">
        <f t="shared" si="27"/>
        <v>448870</v>
      </c>
      <c r="F80" s="147"/>
      <c r="G80" s="147"/>
      <c r="H80" s="147"/>
      <c r="I80" s="147"/>
      <c r="J80" s="147"/>
      <c r="K80" s="147"/>
      <c r="L80" s="147"/>
      <c r="M80" s="147"/>
      <c r="N80" s="147"/>
      <c r="O80" s="147"/>
      <c r="P80" s="147"/>
      <c r="Q80" s="147"/>
      <c r="R80" s="516">
        <f>SUM(E80:Q80)</f>
        <v>448870</v>
      </c>
      <c r="S80" s="147">
        <f t="shared" si="28"/>
        <v>448870</v>
      </c>
      <c r="T80" s="147"/>
      <c r="U80" s="143"/>
    </row>
    <row r="81" spans="1:21" s="144" customFormat="1">
      <c r="A81" s="149" t="s">
        <v>1208</v>
      </c>
      <c r="B81" s="146">
        <f>SUM(C81:D81)</f>
        <v>2723996</v>
      </c>
      <c r="C81" s="509">
        <f>SUM(C79:C80)</f>
        <v>2723996</v>
      </c>
      <c r="D81" s="509">
        <f t="shared" ref="D81:T81" si="29">SUM(D79:D80)</f>
        <v>0</v>
      </c>
      <c r="E81" s="509">
        <f t="shared" si="29"/>
        <v>2723996</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2723996</v>
      </c>
      <c r="S81" s="509">
        <f t="shared" si="29"/>
        <v>2723996</v>
      </c>
      <c r="T81" s="509">
        <f t="shared" si="2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30">SUM(C83+D83)</f>
        <v>103304</v>
      </c>
      <c r="C83" s="147">
        <v>103304</v>
      </c>
      <c r="D83" s="147"/>
      <c r="E83" s="147">
        <f t="shared" ref="E83:E95" si="31">C83</f>
        <v>103304</v>
      </c>
      <c r="F83" s="147"/>
      <c r="G83" s="147"/>
      <c r="H83" s="147"/>
      <c r="I83" s="147"/>
      <c r="J83" s="147"/>
      <c r="K83" s="147"/>
      <c r="L83" s="147"/>
      <c r="M83" s="147"/>
      <c r="N83" s="147"/>
      <c r="O83" s="147"/>
      <c r="P83" s="147"/>
      <c r="Q83" s="147"/>
      <c r="R83" s="516">
        <f t="shared" ref="R83:R95" si="32">SUM(E83:Q83)</f>
        <v>103304</v>
      </c>
      <c r="S83" s="148"/>
      <c r="T83" s="148"/>
      <c r="U83" s="143"/>
    </row>
    <row r="84" spans="1:21" s="144" customFormat="1">
      <c r="A84" s="145" t="s">
        <v>766</v>
      </c>
      <c r="B84" s="146">
        <f t="shared" si="30"/>
        <v>20000</v>
      </c>
      <c r="C84" s="147">
        <v>20000</v>
      </c>
      <c r="D84" s="147"/>
      <c r="E84" s="147">
        <f t="shared" si="31"/>
        <v>20000</v>
      </c>
      <c r="F84" s="147"/>
      <c r="G84" s="147"/>
      <c r="H84" s="147"/>
      <c r="I84" s="147"/>
      <c r="J84" s="147"/>
      <c r="K84" s="147"/>
      <c r="L84" s="147"/>
      <c r="M84" s="147"/>
      <c r="N84" s="147"/>
      <c r="O84" s="147"/>
      <c r="P84" s="147"/>
      <c r="Q84" s="147"/>
      <c r="R84" s="516">
        <f t="shared" si="32"/>
        <v>20000</v>
      </c>
      <c r="S84" s="147">
        <f>C84</f>
        <v>20000</v>
      </c>
      <c r="T84" s="147"/>
      <c r="U84" s="143"/>
    </row>
    <row r="85" spans="1:21" s="144" customFormat="1">
      <c r="A85" s="145" t="s">
        <v>767</v>
      </c>
      <c r="B85" s="146">
        <f t="shared" si="30"/>
        <v>2239299</v>
      </c>
      <c r="C85" s="147">
        <v>2239299</v>
      </c>
      <c r="D85" s="147"/>
      <c r="E85" s="147">
        <f t="shared" si="31"/>
        <v>2239299</v>
      </c>
      <c r="F85" s="147"/>
      <c r="G85" s="147"/>
      <c r="H85" s="147"/>
      <c r="I85" s="147"/>
      <c r="J85" s="147"/>
      <c r="K85" s="147"/>
      <c r="L85" s="147"/>
      <c r="M85" s="147"/>
      <c r="N85" s="147"/>
      <c r="O85" s="147"/>
      <c r="P85" s="147"/>
      <c r="Q85" s="147"/>
      <c r="R85" s="516">
        <f t="shared" si="32"/>
        <v>2239299</v>
      </c>
      <c r="S85" s="147">
        <f t="shared" ref="S85:S87" si="33">C85</f>
        <v>2239299</v>
      </c>
      <c r="T85" s="147"/>
      <c r="U85" s="143"/>
    </row>
    <row r="86" spans="1:21" s="144" customFormat="1">
      <c r="A86" s="145" t="s">
        <v>768</v>
      </c>
      <c r="B86" s="146">
        <f t="shared" si="30"/>
        <v>1260701</v>
      </c>
      <c r="C86" s="147">
        <v>1260701</v>
      </c>
      <c r="D86" s="147"/>
      <c r="E86" s="147">
        <f t="shared" si="31"/>
        <v>1260701</v>
      </c>
      <c r="F86" s="147"/>
      <c r="G86" s="147"/>
      <c r="H86" s="147"/>
      <c r="I86" s="147"/>
      <c r="J86" s="147"/>
      <c r="K86" s="147"/>
      <c r="L86" s="147"/>
      <c r="M86" s="147"/>
      <c r="N86" s="147"/>
      <c r="O86" s="147"/>
      <c r="P86" s="147"/>
      <c r="Q86" s="147"/>
      <c r="R86" s="516">
        <f t="shared" si="32"/>
        <v>1260701</v>
      </c>
      <c r="S86" s="147">
        <f t="shared" si="33"/>
        <v>1260701</v>
      </c>
      <c r="T86" s="147"/>
      <c r="U86" s="143"/>
    </row>
    <row r="87" spans="1:21" s="144" customFormat="1">
      <c r="A87" s="145" t="s">
        <v>769</v>
      </c>
      <c r="B87" s="146">
        <f t="shared" si="30"/>
        <v>0</v>
      </c>
      <c r="C87" s="147"/>
      <c r="D87" s="147"/>
      <c r="E87" s="147">
        <f t="shared" si="31"/>
        <v>0</v>
      </c>
      <c r="F87" s="147"/>
      <c r="G87" s="147"/>
      <c r="H87" s="147"/>
      <c r="I87" s="147"/>
      <c r="J87" s="147"/>
      <c r="K87" s="147"/>
      <c r="L87" s="147"/>
      <c r="M87" s="147"/>
      <c r="N87" s="147"/>
      <c r="O87" s="147"/>
      <c r="P87" s="147"/>
      <c r="Q87" s="147"/>
      <c r="R87" s="516">
        <f t="shared" si="32"/>
        <v>0</v>
      </c>
      <c r="S87" s="147">
        <f t="shared" si="33"/>
        <v>0</v>
      </c>
      <c r="T87" s="147"/>
      <c r="U87" s="143"/>
    </row>
    <row r="88" spans="1:21" s="144" customFormat="1">
      <c r="A88" s="145" t="s">
        <v>770</v>
      </c>
      <c r="B88" s="146">
        <f t="shared" si="30"/>
        <v>53400</v>
      </c>
      <c r="C88" s="147">
        <v>53400</v>
      </c>
      <c r="D88" s="147"/>
      <c r="E88" s="147">
        <f t="shared" si="31"/>
        <v>53400</v>
      </c>
      <c r="F88" s="147"/>
      <c r="G88" s="147"/>
      <c r="H88" s="147"/>
      <c r="I88" s="147"/>
      <c r="J88" s="147"/>
      <c r="K88" s="147"/>
      <c r="L88" s="147"/>
      <c r="M88" s="147"/>
      <c r="N88" s="147"/>
      <c r="O88" s="147"/>
      <c r="P88" s="147"/>
      <c r="Q88" s="147"/>
      <c r="R88" s="516">
        <f t="shared" si="32"/>
        <v>53400</v>
      </c>
      <c r="S88" s="148"/>
      <c r="T88" s="148"/>
      <c r="U88" s="143"/>
    </row>
    <row r="89" spans="1:21" s="144" customFormat="1">
      <c r="A89" s="145" t="s">
        <v>771</v>
      </c>
      <c r="B89" s="146">
        <f t="shared" si="30"/>
        <v>0</v>
      </c>
      <c r="C89" s="147"/>
      <c r="D89" s="147"/>
      <c r="E89" s="147">
        <f t="shared" si="31"/>
        <v>0</v>
      </c>
      <c r="F89" s="147"/>
      <c r="G89" s="147"/>
      <c r="H89" s="147"/>
      <c r="I89" s="147"/>
      <c r="J89" s="147"/>
      <c r="K89" s="147"/>
      <c r="L89" s="147"/>
      <c r="M89" s="147"/>
      <c r="N89" s="147"/>
      <c r="O89" s="147"/>
      <c r="P89" s="147"/>
      <c r="Q89" s="147"/>
      <c r="R89" s="516">
        <f t="shared" si="32"/>
        <v>0</v>
      </c>
      <c r="S89" s="147">
        <f t="shared" ref="S89:S95" si="34">C89</f>
        <v>0</v>
      </c>
      <c r="T89" s="147"/>
      <c r="U89" s="143"/>
    </row>
    <row r="90" spans="1:21" s="144" customFormat="1">
      <c r="A90" s="145" t="s">
        <v>772</v>
      </c>
      <c r="B90" s="146">
        <f t="shared" si="30"/>
        <v>10000</v>
      </c>
      <c r="C90" s="147">
        <v>10000</v>
      </c>
      <c r="D90" s="147"/>
      <c r="E90" s="147">
        <f t="shared" si="31"/>
        <v>10000</v>
      </c>
      <c r="F90" s="147"/>
      <c r="G90" s="147"/>
      <c r="H90" s="147"/>
      <c r="I90" s="147"/>
      <c r="J90" s="147"/>
      <c r="K90" s="147"/>
      <c r="L90" s="147"/>
      <c r="M90" s="147"/>
      <c r="N90" s="147"/>
      <c r="O90" s="147"/>
      <c r="P90" s="147"/>
      <c r="Q90" s="147"/>
      <c r="R90" s="516">
        <f t="shared" si="32"/>
        <v>10000</v>
      </c>
      <c r="S90" s="147">
        <f t="shared" si="34"/>
        <v>10000</v>
      </c>
      <c r="T90" s="147"/>
      <c r="U90" s="143"/>
    </row>
    <row r="91" spans="1:21" s="144" customFormat="1">
      <c r="A91" s="145" t="s">
        <v>372</v>
      </c>
      <c r="B91" s="146">
        <f t="shared" si="30"/>
        <v>35000</v>
      </c>
      <c r="C91" s="147">
        <f>15000+20000</f>
        <v>35000</v>
      </c>
      <c r="D91" s="147"/>
      <c r="E91" s="147">
        <f t="shared" si="31"/>
        <v>35000</v>
      </c>
      <c r="F91" s="147"/>
      <c r="G91" s="147"/>
      <c r="H91" s="147"/>
      <c r="I91" s="147"/>
      <c r="J91" s="147"/>
      <c r="K91" s="147"/>
      <c r="L91" s="147"/>
      <c r="M91" s="147"/>
      <c r="N91" s="147"/>
      <c r="O91" s="147"/>
      <c r="P91" s="147"/>
      <c r="Q91" s="147"/>
      <c r="R91" s="516">
        <f t="shared" si="32"/>
        <v>35000</v>
      </c>
      <c r="S91" s="147">
        <f t="shared" si="34"/>
        <v>35000</v>
      </c>
      <c r="T91" s="147"/>
      <c r="U91" s="143"/>
    </row>
    <row r="92" spans="1:21" s="144" customFormat="1">
      <c r="A92" s="283" t="s">
        <v>1210</v>
      </c>
      <c r="B92" s="146">
        <f t="shared" si="30"/>
        <v>12000</v>
      </c>
      <c r="C92" s="147">
        <v>12000</v>
      </c>
      <c r="D92" s="147"/>
      <c r="E92" s="147">
        <f t="shared" si="31"/>
        <v>12000</v>
      </c>
      <c r="F92" s="147"/>
      <c r="G92" s="147"/>
      <c r="H92" s="147"/>
      <c r="I92" s="147"/>
      <c r="J92" s="147"/>
      <c r="K92" s="147"/>
      <c r="L92" s="147"/>
      <c r="M92" s="147"/>
      <c r="N92" s="147"/>
      <c r="O92" s="147"/>
      <c r="P92" s="147"/>
      <c r="Q92" s="147"/>
      <c r="R92" s="516">
        <f t="shared" si="32"/>
        <v>12000</v>
      </c>
      <c r="S92" s="147">
        <f t="shared" si="34"/>
        <v>12000</v>
      </c>
      <c r="T92" s="147"/>
      <c r="U92" s="143"/>
    </row>
    <row r="93" spans="1:21" s="144" customFormat="1">
      <c r="A93" s="1143" t="s">
        <v>34</v>
      </c>
      <c r="B93" s="146">
        <f t="shared" si="30"/>
        <v>0</v>
      </c>
      <c r="C93" s="147"/>
      <c r="D93" s="147"/>
      <c r="E93" s="147">
        <f t="shared" si="31"/>
        <v>0</v>
      </c>
      <c r="F93" s="147"/>
      <c r="G93" s="147"/>
      <c r="H93" s="147"/>
      <c r="I93" s="147"/>
      <c r="J93" s="147"/>
      <c r="K93" s="147"/>
      <c r="L93" s="147"/>
      <c r="M93" s="147"/>
      <c r="N93" s="147"/>
      <c r="O93" s="147"/>
      <c r="P93" s="147"/>
      <c r="Q93" s="147"/>
      <c r="R93" s="516">
        <f t="shared" si="32"/>
        <v>0</v>
      </c>
      <c r="S93" s="147">
        <f t="shared" si="34"/>
        <v>0</v>
      </c>
      <c r="T93" s="147"/>
      <c r="U93" s="143"/>
    </row>
    <row r="94" spans="1:21" s="144" customFormat="1">
      <c r="A94" s="1143" t="s">
        <v>34</v>
      </c>
      <c r="B94" s="146">
        <f t="shared" si="30"/>
        <v>0</v>
      </c>
      <c r="C94" s="147"/>
      <c r="D94" s="147"/>
      <c r="E94" s="147">
        <f t="shared" si="31"/>
        <v>0</v>
      </c>
      <c r="F94" s="147"/>
      <c r="G94" s="147"/>
      <c r="H94" s="147"/>
      <c r="I94" s="147"/>
      <c r="J94" s="147"/>
      <c r="K94" s="147"/>
      <c r="L94" s="147"/>
      <c r="M94" s="147"/>
      <c r="N94" s="147"/>
      <c r="O94" s="147"/>
      <c r="P94" s="147"/>
      <c r="Q94" s="147"/>
      <c r="R94" s="516">
        <f t="shared" si="32"/>
        <v>0</v>
      </c>
      <c r="S94" s="147">
        <f t="shared" si="34"/>
        <v>0</v>
      </c>
      <c r="T94" s="147"/>
      <c r="U94" s="143"/>
    </row>
    <row r="95" spans="1:21" s="144" customFormat="1">
      <c r="A95" s="1143" t="s">
        <v>34</v>
      </c>
      <c r="B95" s="146">
        <f t="shared" si="30"/>
        <v>0</v>
      </c>
      <c r="C95" s="147"/>
      <c r="D95" s="147"/>
      <c r="E95" s="147">
        <f t="shared" si="31"/>
        <v>0</v>
      </c>
      <c r="F95" s="147"/>
      <c r="G95" s="147"/>
      <c r="H95" s="147"/>
      <c r="I95" s="147"/>
      <c r="J95" s="147"/>
      <c r="K95" s="147"/>
      <c r="L95" s="147"/>
      <c r="M95" s="147"/>
      <c r="N95" s="147"/>
      <c r="O95" s="147"/>
      <c r="P95" s="147"/>
      <c r="Q95" s="147"/>
      <c r="R95" s="516">
        <f t="shared" si="32"/>
        <v>0</v>
      </c>
      <c r="S95" s="147">
        <f t="shared" si="34"/>
        <v>0</v>
      </c>
      <c r="T95" s="147"/>
      <c r="U95" s="143"/>
    </row>
    <row r="96" spans="1:21" s="144" customFormat="1">
      <c r="A96" s="149" t="s">
        <v>773</v>
      </c>
      <c r="B96" s="146">
        <f>SUM(C96:D96)</f>
        <v>3733704</v>
      </c>
      <c r="C96" s="146">
        <f t="shared" ref="C96:R96" si="35">SUM(C83:C95)</f>
        <v>3733704</v>
      </c>
      <c r="D96" s="146">
        <f t="shared" si="35"/>
        <v>0</v>
      </c>
      <c r="E96" s="146">
        <f t="shared" si="35"/>
        <v>3733704</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3733704</v>
      </c>
      <c r="S96" s="150">
        <f>SUM(S84:S87,S89:S95)</f>
        <v>3577000</v>
      </c>
      <c r="T96" s="146">
        <f>SUM(T84:T87,T89:T95)</f>
        <v>0</v>
      </c>
      <c r="U96" s="143"/>
    </row>
    <row r="97" spans="1:21" s="144" customFormat="1">
      <c r="A97" s="149" t="s">
        <v>774</v>
      </c>
      <c r="B97" s="146">
        <f>SUM(C97:D97)</f>
        <v>68688833</v>
      </c>
      <c r="C97" s="146">
        <f t="shared" ref="C97:R97" si="36">SUM(C63+C70+C77+C81+C96)</f>
        <v>68688833</v>
      </c>
      <c r="D97" s="146">
        <f t="shared" si="36"/>
        <v>0</v>
      </c>
      <c r="E97" s="146">
        <f t="shared" si="36"/>
        <v>39698833</v>
      </c>
      <c r="F97" s="146">
        <f t="shared" si="36"/>
        <v>28990000</v>
      </c>
      <c r="G97" s="146">
        <f t="shared" si="36"/>
        <v>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68688833</v>
      </c>
      <c r="S97" s="146">
        <f>SUM(S63+S70+S81+S96)</f>
        <v>59037444</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8855617</v>
      </c>
      <c r="C99" s="974">
        <v>8855617</v>
      </c>
      <c r="D99" s="974"/>
      <c r="E99" s="974">
        <f>C99-G99</f>
        <v>1078892</v>
      </c>
      <c r="F99" s="147"/>
      <c r="G99" s="147">
        <v>7776725</v>
      </c>
      <c r="H99" s="147"/>
      <c r="I99" s="147"/>
      <c r="J99" s="147"/>
      <c r="K99" s="147"/>
      <c r="L99" s="147"/>
      <c r="M99" s="147"/>
      <c r="N99" s="147"/>
      <c r="O99" s="147"/>
      <c r="P99" s="147"/>
      <c r="Q99" s="147"/>
      <c r="R99" s="516">
        <f>SUM(E99:Q99)</f>
        <v>8855617</v>
      </c>
      <c r="S99" s="147">
        <f>C99</f>
        <v>8855617</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8855617</v>
      </c>
      <c r="C104" s="146">
        <f>SUM(C99:C103)</f>
        <v>8855617</v>
      </c>
      <c r="D104" s="146">
        <f t="shared" ref="D104:T104" si="37">SUM(D99:D103)</f>
        <v>0</v>
      </c>
      <c r="E104" s="146">
        <f t="shared" si="37"/>
        <v>1078892</v>
      </c>
      <c r="F104" s="146">
        <f t="shared" si="37"/>
        <v>0</v>
      </c>
      <c r="G104" s="146">
        <f t="shared" si="37"/>
        <v>7776725</v>
      </c>
      <c r="H104" s="146">
        <f t="shared" si="37"/>
        <v>0</v>
      </c>
      <c r="I104" s="146">
        <f t="shared" si="37"/>
        <v>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42">
        <f t="shared" si="37"/>
        <v>8855617</v>
      </c>
      <c r="S104" s="150">
        <f t="shared" si="37"/>
        <v>8855617</v>
      </c>
      <c r="T104" s="150">
        <f t="shared" si="37"/>
        <v>0</v>
      </c>
      <c r="U104" s="143"/>
    </row>
    <row r="105" spans="1:21" s="144" customFormat="1">
      <c r="A105" s="149" t="s">
        <v>779</v>
      </c>
      <c r="B105" s="150">
        <f>SUM(C105:D105)</f>
        <v>77544450</v>
      </c>
      <c r="C105" s="150">
        <f t="shared" ref="C105:R105" si="38">SUM(C97+C104)</f>
        <v>77544450</v>
      </c>
      <c r="D105" s="150">
        <f t="shared" si="38"/>
        <v>0</v>
      </c>
      <c r="E105" s="150">
        <f t="shared" si="38"/>
        <v>40777725</v>
      </c>
      <c r="F105" s="150">
        <f t="shared" si="38"/>
        <v>28990000</v>
      </c>
      <c r="G105" s="150">
        <f t="shared" si="38"/>
        <v>7776725</v>
      </c>
      <c r="H105" s="150">
        <f t="shared" si="38"/>
        <v>0</v>
      </c>
      <c r="I105" s="150">
        <f t="shared" si="38"/>
        <v>0</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42">
        <f t="shared" si="38"/>
        <v>77544450</v>
      </c>
      <c r="S105" s="150">
        <f>S97+S104</f>
        <v>67893061</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67893061</v>
      </c>
      <c r="T107" s="150">
        <f>T105+T106</f>
        <v>0</v>
      </c>
    </row>
    <row r="108" spans="1:21" s="189" customFormat="1">
      <c r="A108" s="162" t="s">
        <v>878</v>
      </c>
      <c r="B108" s="157"/>
      <c r="C108" s="157"/>
      <c r="D108" s="157"/>
      <c r="E108" s="301">
        <f>Application!AO648</f>
        <v>40777725</v>
      </c>
      <c r="F108" s="301">
        <f>Application!AO635</f>
        <v>28990000</v>
      </c>
      <c r="G108" s="301">
        <f>Application!AO636</f>
        <v>7776725</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3" t="s">
        <v>989</v>
      </c>
      <c r="E122" s="1873"/>
      <c r="F122" s="1873"/>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5" t="s">
        <v>1223</v>
      </c>
      <c r="E123" s="1791"/>
      <c r="F123" s="1791"/>
      <c r="G123" s="1791"/>
      <c r="H123" s="1791"/>
      <c r="I123" s="1791"/>
      <c r="J123" s="1791"/>
      <c r="K123" s="1791"/>
      <c r="L123" s="1791"/>
      <c r="M123" s="1791"/>
      <c r="N123" s="1791"/>
      <c r="O123" s="1791"/>
      <c r="P123" s="1791"/>
      <c r="Q123" s="1791"/>
      <c r="R123" s="1791"/>
      <c r="S123" s="1791"/>
      <c r="T123" s="324"/>
      <c r="U123" s="326"/>
    </row>
    <row r="124" spans="1:21" ht="12.5">
      <c r="A124" s="117" t="s">
        <v>991</v>
      </c>
      <c r="B124" s="333"/>
      <c r="C124" s="117"/>
      <c r="D124" s="1791"/>
      <c r="E124" s="1791"/>
      <c r="F124" s="1791"/>
      <c r="G124" s="1791"/>
      <c r="H124" s="1791"/>
      <c r="I124" s="1791"/>
      <c r="J124" s="1791"/>
      <c r="K124" s="1791"/>
      <c r="L124" s="1791"/>
      <c r="M124" s="1791"/>
      <c r="N124" s="1791"/>
      <c r="O124" s="1791"/>
      <c r="P124" s="1791"/>
      <c r="Q124" s="1791"/>
      <c r="R124" s="1791"/>
      <c r="S124" s="1791"/>
      <c r="T124" s="324"/>
      <c r="U124" s="326"/>
    </row>
    <row r="125" spans="1:21" ht="12.5">
      <c r="A125" s="117" t="s">
        <v>992</v>
      </c>
      <c r="B125" s="333"/>
      <c r="C125" s="117"/>
      <c r="D125" s="1791"/>
      <c r="E125" s="1791"/>
      <c r="F125" s="1791"/>
      <c r="G125" s="1791"/>
      <c r="H125" s="1791"/>
      <c r="I125" s="1791"/>
      <c r="J125" s="1791"/>
      <c r="K125" s="1791"/>
      <c r="L125" s="1791"/>
      <c r="M125" s="1791"/>
      <c r="N125" s="1791"/>
      <c r="O125" s="1791"/>
      <c r="P125" s="1791"/>
      <c r="Q125" s="1791"/>
      <c r="R125" s="1791"/>
      <c r="S125" s="1791"/>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70"/>
      <c r="E128" s="1870"/>
      <c r="F128" s="1870"/>
      <c r="G128" s="1870"/>
      <c r="H128" s="1870"/>
      <c r="I128" s="117"/>
      <c r="J128" s="1871"/>
      <c r="K128" s="1871"/>
      <c r="L128" s="117"/>
      <c r="M128" s="117"/>
      <c r="N128" s="117"/>
      <c r="O128" s="117"/>
      <c r="P128" s="117"/>
      <c r="Q128" s="117"/>
      <c r="R128" s="117"/>
      <c r="S128" s="117"/>
      <c r="T128" s="324"/>
      <c r="U128" s="326"/>
    </row>
    <row r="129" spans="1:21" ht="12.5">
      <c r="A129" s="117" t="s">
        <v>300</v>
      </c>
      <c r="B129" s="333"/>
      <c r="C129" s="117"/>
      <c r="D129" s="1872" t="s">
        <v>996</v>
      </c>
      <c r="E129" s="1872"/>
      <c r="F129" s="1872"/>
      <c r="G129" s="1872"/>
      <c r="H129" s="1872"/>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754"/>
      <c r="E131" s="1754"/>
      <c r="F131" s="1754"/>
      <c r="G131" s="1754"/>
      <c r="H131" s="1754"/>
      <c r="I131" s="117"/>
      <c r="J131" s="1754"/>
      <c r="K131" s="1754"/>
      <c r="L131" s="1754"/>
      <c r="M131" s="1754"/>
      <c r="N131" s="117"/>
      <c r="O131" s="117"/>
      <c r="P131" s="117"/>
      <c r="Q131" s="117"/>
      <c r="R131" s="117"/>
      <c r="S131" s="117"/>
      <c r="T131" s="324"/>
      <c r="U131" s="326"/>
    </row>
    <row r="132" spans="1:21" ht="12" customHeight="1">
      <c r="A132" s="336"/>
      <c r="B132" s="117"/>
      <c r="C132" s="117"/>
      <c r="D132" s="1876" t="s">
        <v>999</v>
      </c>
      <c r="E132" s="1876"/>
      <c r="F132" s="1876"/>
      <c r="G132" s="1876"/>
      <c r="H132" s="1876"/>
      <c r="I132" s="117"/>
      <c r="J132" s="1876" t="s">
        <v>1000</v>
      </c>
      <c r="K132" s="1876"/>
      <c r="L132" s="1876"/>
      <c r="M132" s="187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7"/>
      <c r="B138" s="1870"/>
      <c r="C138" s="1870"/>
      <c r="D138" s="328"/>
      <c r="E138" s="1871"/>
      <c r="F138" s="1871"/>
      <c r="G138" s="117"/>
      <c r="H138" s="117"/>
      <c r="I138" s="117"/>
      <c r="J138" s="117"/>
      <c r="K138" s="117"/>
      <c r="L138" s="117"/>
      <c r="M138" s="117"/>
      <c r="N138" s="117"/>
      <c r="O138" s="117"/>
      <c r="P138" s="117"/>
      <c r="Q138" s="117"/>
      <c r="R138" s="117"/>
      <c r="S138" s="117"/>
      <c r="T138" s="330"/>
      <c r="U138" s="331"/>
    </row>
    <row r="139" spans="1:21" ht="13">
      <c r="A139" s="1874" t="s">
        <v>1003</v>
      </c>
      <c r="B139" s="1874"/>
      <c r="C139" s="1874"/>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145" zoomScaleNormal="145" workbookViewId="0">
      <selection activeCell="F107" sqref="F107"/>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0" t="s">
        <v>1226</v>
      </c>
      <c r="B1" s="1881"/>
      <c r="C1" s="1881"/>
      <c r="D1" s="1881"/>
      <c r="E1" s="1881"/>
      <c r="F1" s="1881"/>
      <c r="G1" s="1881"/>
      <c r="H1" s="1881"/>
      <c r="I1" s="1881"/>
      <c r="J1" s="1882"/>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5500000</v>
      </c>
      <c r="C4" s="362">
        <f>B4</f>
        <v>5500000</v>
      </c>
      <c r="D4" s="362"/>
      <c r="E4" s="363"/>
      <c r="F4" s="363"/>
      <c r="G4" s="363"/>
      <c r="H4" s="363"/>
      <c r="I4" s="363"/>
      <c r="J4" s="363"/>
      <c r="K4" s="359"/>
    </row>
    <row r="5" spans="1:11" s="360" customFormat="1">
      <c r="A5" s="364" t="s">
        <v>28</v>
      </c>
      <c r="B5" s="361">
        <f>'Sources and Uses Budget'!C5</f>
        <v>350000</v>
      </c>
      <c r="C5" s="362">
        <f>B5</f>
        <v>350000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5850000</v>
      </c>
      <c r="C8" s="361">
        <f>SUM(C4:C7)</f>
        <v>5850000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500000</v>
      </c>
      <c r="C10" s="362">
        <f>B10</f>
        <v>500000</v>
      </c>
      <c r="D10" s="362"/>
      <c r="E10" s="361">
        <f>'Sources and Uses Budget'!S10</f>
        <v>500000</v>
      </c>
      <c r="F10" s="362">
        <f>B10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6350000</v>
      </c>
      <c r="C12" s="361">
        <f>SUM(C8+C11)</f>
        <v>6350000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1000000</v>
      </c>
      <c r="C29" s="362">
        <f t="shared" ref="C29:C37" si="0">B29</f>
        <v>1000000</v>
      </c>
      <c r="D29" s="362"/>
      <c r="E29" s="361">
        <f>'Sources and Uses Budget'!S29</f>
        <v>1000000</v>
      </c>
      <c r="F29" s="362">
        <f>E29</f>
        <v>1000000</v>
      </c>
      <c r="G29" s="362"/>
      <c r="H29" s="361">
        <f>'Sources and Uses Budget'!T29</f>
        <v>0</v>
      </c>
      <c r="I29" s="362"/>
      <c r="J29" s="362"/>
      <c r="K29" s="359"/>
    </row>
    <row r="30" spans="1:11" s="360" customFormat="1">
      <c r="A30" s="145" t="s">
        <v>599</v>
      </c>
      <c r="B30" s="361">
        <f>'Sources and Uses Budget'!C30</f>
        <v>30061999</v>
      </c>
      <c r="C30" s="362">
        <f t="shared" si="0"/>
        <v>30061999</v>
      </c>
      <c r="D30" s="362"/>
      <c r="E30" s="361">
        <f>'Sources and Uses Budget'!S30</f>
        <v>30061999</v>
      </c>
      <c r="F30" s="362">
        <f t="shared" ref="F30:F37" si="1">E30</f>
        <v>30061999</v>
      </c>
      <c r="G30" s="362"/>
      <c r="H30" s="361">
        <f>'Sources and Uses Budget'!T30</f>
        <v>0</v>
      </c>
      <c r="I30" s="362"/>
      <c r="J30" s="362"/>
      <c r="K30" s="359"/>
    </row>
    <row r="31" spans="1:11" s="360" customFormat="1">
      <c r="A31" s="145" t="s">
        <v>600</v>
      </c>
      <c r="B31" s="361">
        <f>'Sources and Uses Budget'!C31</f>
        <v>2400000</v>
      </c>
      <c r="C31" s="362">
        <f t="shared" si="0"/>
        <v>2400000</v>
      </c>
      <c r="D31" s="362"/>
      <c r="E31" s="361">
        <f>'Sources and Uses Budget'!S31</f>
        <v>2400000</v>
      </c>
      <c r="F31" s="362">
        <f t="shared" si="1"/>
        <v>2400000</v>
      </c>
      <c r="G31" s="362"/>
      <c r="H31" s="361">
        <f>'Sources and Uses Budget'!T31</f>
        <v>0</v>
      </c>
      <c r="I31" s="362"/>
      <c r="J31" s="362"/>
      <c r="K31" s="359"/>
    </row>
    <row r="32" spans="1:11" s="360" customFormat="1">
      <c r="A32" s="145" t="s">
        <v>137</v>
      </c>
      <c r="B32" s="361">
        <f>'Sources and Uses Budget'!C32</f>
        <v>1541116</v>
      </c>
      <c r="C32" s="362">
        <f t="shared" si="0"/>
        <v>1541116</v>
      </c>
      <c r="D32" s="362"/>
      <c r="E32" s="361">
        <f>'Sources and Uses Budget'!S32</f>
        <v>1541116</v>
      </c>
      <c r="F32" s="362">
        <f t="shared" si="1"/>
        <v>1541116</v>
      </c>
      <c r="G32" s="362"/>
      <c r="H32" s="361">
        <f>'Sources and Uses Budget'!T32</f>
        <v>0</v>
      </c>
      <c r="I32" s="362"/>
      <c r="J32" s="362"/>
      <c r="K32" s="359"/>
    </row>
    <row r="33" spans="1:11" s="360" customFormat="1">
      <c r="A33" s="145" t="s">
        <v>138</v>
      </c>
      <c r="B33" s="361">
        <f>'Sources and Uses Budget'!C33</f>
        <v>1541116</v>
      </c>
      <c r="C33" s="362">
        <f t="shared" si="0"/>
        <v>1541116</v>
      </c>
      <c r="D33" s="362"/>
      <c r="E33" s="361">
        <f>'Sources and Uses Budget'!S33</f>
        <v>1541116</v>
      </c>
      <c r="F33" s="362">
        <f t="shared" si="1"/>
        <v>1541116</v>
      </c>
      <c r="G33" s="362"/>
      <c r="H33" s="361">
        <f>'Sources and Uses Budget'!T33</f>
        <v>0</v>
      </c>
      <c r="I33" s="362"/>
      <c r="J33" s="362"/>
      <c r="K33" s="359"/>
    </row>
    <row r="34" spans="1:11" s="360" customFormat="1">
      <c r="A34" s="145" t="s">
        <v>139</v>
      </c>
      <c r="B34" s="361">
        <f>'Sources and Uses Budget'!C34</f>
        <v>7246800</v>
      </c>
      <c r="C34" s="362">
        <f t="shared" si="0"/>
        <v>7246800</v>
      </c>
      <c r="D34" s="362"/>
      <c r="E34" s="361">
        <f>'Sources and Uses Budget'!S34</f>
        <v>7246800</v>
      </c>
      <c r="F34" s="362">
        <f t="shared" si="1"/>
        <v>7246800</v>
      </c>
      <c r="G34" s="362"/>
      <c r="H34" s="361">
        <f>'Sources and Uses Budget'!T34</f>
        <v>0</v>
      </c>
      <c r="I34" s="362"/>
      <c r="J34" s="362"/>
      <c r="K34" s="359"/>
    </row>
    <row r="35" spans="1:11" s="360" customFormat="1">
      <c r="A35" s="145" t="s">
        <v>140</v>
      </c>
      <c r="B35" s="361">
        <f>'Sources and Uses Budget'!C35</f>
        <v>411167</v>
      </c>
      <c r="C35" s="362">
        <f t="shared" si="0"/>
        <v>411167</v>
      </c>
      <c r="D35" s="362"/>
      <c r="E35" s="361">
        <f>'Sources and Uses Budget'!S35</f>
        <v>411167</v>
      </c>
      <c r="F35" s="362">
        <f t="shared" si="1"/>
        <v>411167</v>
      </c>
      <c r="G35" s="362"/>
      <c r="H35" s="361">
        <f>'Sources and Uses Budget'!T35</f>
        <v>0</v>
      </c>
      <c r="I35" s="362"/>
      <c r="J35" s="362"/>
      <c r="K35" s="359"/>
    </row>
    <row r="36" spans="1:11" s="360" customFormat="1">
      <c r="A36" s="508" t="s">
        <v>1628</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(GC Bonds)</v>
      </c>
      <c r="B37" s="361">
        <f>'Sources and Uses Budget'!C37</f>
        <v>450326</v>
      </c>
      <c r="C37" s="362">
        <f t="shared" si="0"/>
        <v>450326</v>
      </c>
      <c r="D37" s="362"/>
      <c r="E37" s="361">
        <f>'Sources and Uses Budget'!S37</f>
        <v>450326</v>
      </c>
      <c r="F37" s="362">
        <f t="shared" si="1"/>
        <v>450326</v>
      </c>
      <c r="G37" s="362"/>
      <c r="H37" s="361">
        <f>'Sources and Uses Budget'!T37</f>
        <v>0</v>
      </c>
      <c r="I37" s="362"/>
      <c r="J37" s="362"/>
      <c r="K37" s="359"/>
    </row>
    <row r="38" spans="1:11" s="360" customFormat="1">
      <c r="A38" s="365" t="s">
        <v>143</v>
      </c>
      <c r="B38" s="361">
        <f>'Sources and Uses Budget'!C38</f>
        <v>44652524</v>
      </c>
      <c r="C38" s="361">
        <f>SUM(C29:C37)</f>
        <v>44652524</v>
      </c>
      <c r="D38" s="361">
        <f>SUM(D29:D37)</f>
        <v>0</v>
      </c>
      <c r="E38" s="361">
        <f>'Sources and Uses Budget'!S38</f>
        <v>44652524</v>
      </c>
      <c r="F38" s="367">
        <f>SUM(F29:F37)</f>
        <v>44652524</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1600000</v>
      </c>
      <c r="C40" s="362">
        <f t="shared" ref="C40:C41" si="2">B40</f>
        <v>1600000</v>
      </c>
      <c r="D40" s="362"/>
      <c r="E40" s="361">
        <f>'Sources and Uses Budget'!S40</f>
        <v>1600000</v>
      </c>
      <c r="F40" s="362">
        <f>E40</f>
        <v>1600000</v>
      </c>
      <c r="G40" s="362"/>
      <c r="H40" s="361">
        <f>'Sources and Uses Budget'!T40</f>
        <v>0</v>
      </c>
      <c r="I40" s="362"/>
      <c r="J40" s="362"/>
      <c r="K40" s="359"/>
    </row>
    <row r="41" spans="1:11" s="360" customFormat="1">
      <c r="A41" s="364" t="s">
        <v>146</v>
      </c>
      <c r="B41" s="361">
        <f>'Sources and Uses Budget'!C41</f>
        <v>0</v>
      </c>
      <c r="C41" s="362">
        <f t="shared" si="2"/>
        <v>0</v>
      </c>
      <c r="D41" s="362"/>
      <c r="E41" s="361">
        <f>'Sources and Uses Budget'!S41</f>
        <v>0</v>
      </c>
      <c r="F41" s="362"/>
      <c r="G41" s="362"/>
      <c r="H41" s="361">
        <f>'Sources and Uses Budget'!T41</f>
        <v>0</v>
      </c>
      <c r="I41" s="362"/>
      <c r="J41" s="362"/>
      <c r="K41" s="359"/>
    </row>
    <row r="42" spans="1:11" s="360" customFormat="1">
      <c r="A42" s="365" t="s">
        <v>147</v>
      </c>
      <c r="B42" s="361">
        <f>'Sources and Uses Budget'!C42</f>
        <v>1600000</v>
      </c>
      <c r="C42" s="361">
        <f>SUM(C39:C41)</f>
        <v>1600000</v>
      </c>
      <c r="D42" s="361">
        <f>SUM(D39:D41)</f>
        <v>0</v>
      </c>
      <c r="E42" s="361">
        <f>'Sources and Uses Budget'!S42</f>
        <v>1600000</v>
      </c>
      <c r="F42" s="367">
        <f>SUM(F40:F41)</f>
        <v>1600000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5742292</v>
      </c>
      <c r="C45" s="362">
        <f t="shared" ref="C45:C53" si="3">B45</f>
        <v>5742292</v>
      </c>
      <c r="D45" s="362"/>
      <c r="E45" s="361">
        <f>'Sources and Uses Budget'!S45</f>
        <v>3742271</v>
      </c>
      <c r="F45" s="362">
        <f>E45</f>
        <v>3742271</v>
      </c>
      <c r="G45" s="362"/>
      <c r="H45" s="361">
        <f>'Sources and Uses Budget'!T45</f>
        <v>0</v>
      </c>
      <c r="I45" s="362"/>
      <c r="J45" s="362"/>
      <c r="K45" s="359"/>
    </row>
    <row r="46" spans="1:11" s="360" customFormat="1">
      <c r="A46" s="364" t="s">
        <v>151</v>
      </c>
      <c r="B46" s="361">
        <f>'Sources and Uses Budget'!C46</f>
        <v>582163</v>
      </c>
      <c r="C46" s="362">
        <f t="shared" si="3"/>
        <v>582163</v>
      </c>
      <c r="D46" s="362"/>
      <c r="E46" s="361">
        <f>'Sources and Uses Budget'!S46</f>
        <v>472163</v>
      </c>
      <c r="F46" s="362">
        <f>E46</f>
        <v>472163</v>
      </c>
      <c r="G46" s="362"/>
      <c r="H46" s="361">
        <f>'Sources and Uses Budget'!T46</f>
        <v>0</v>
      </c>
      <c r="I46" s="362"/>
      <c r="J46" s="362"/>
      <c r="K46" s="359"/>
    </row>
    <row r="47" spans="1:11" s="360" customFormat="1" ht="12" customHeight="1">
      <c r="A47" s="364" t="s">
        <v>152</v>
      </c>
      <c r="B47" s="361">
        <f>'Sources and Uses Budget'!C47</f>
        <v>0</v>
      </c>
      <c r="C47" s="362">
        <f t="shared" si="3"/>
        <v>0</v>
      </c>
      <c r="D47" s="362"/>
      <c r="E47" s="361">
        <f>'Sources and Uses Budget'!S47</f>
        <v>0</v>
      </c>
      <c r="F47" s="362">
        <f t="shared" ref="F47:F53" si="4">E47</f>
        <v>0</v>
      </c>
      <c r="G47" s="362"/>
      <c r="H47" s="361">
        <f>'Sources and Uses Budget'!T47</f>
        <v>0</v>
      </c>
      <c r="I47" s="362"/>
      <c r="J47" s="362"/>
      <c r="K47" s="359"/>
    </row>
    <row r="48" spans="1:11" s="360" customFormat="1">
      <c r="A48" s="364" t="s">
        <v>153</v>
      </c>
      <c r="B48" s="361">
        <f>'Sources and Uses Budget'!C48</f>
        <v>0</v>
      </c>
      <c r="C48" s="362">
        <f t="shared" si="3"/>
        <v>0</v>
      </c>
      <c r="D48" s="362"/>
      <c r="E48" s="361">
        <f>'Sources and Uses Budget'!S48</f>
        <v>0</v>
      </c>
      <c r="F48" s="362">
        <f t="shared" si="4"/>
        <v>0</v>
      </c>
      <c r="G48" s="362"/>
      <c r="H48" s="361">
        <f>'Sources and Uses Budget'!T48</f>
        <v>0</v>
      </c>
      <c r="I48" s="362"/>
      <c r="J48" s="362"/>
      <c r="K48" s="359"/>
    </row>
    <row r="49" spans="1:11" s="360" customFormat="1">
      <c r="A49" s="283" t="s">
        <v>57</v>
      </c>
      <c r="B49" s="361">
        <f>'Sources and Uses Budget'!C49</f>
        <v>117190</v>
      </c>
      <c r="C49" s="362">
        <f t="shared" si="3"/>
        <v>117190</v>
      </c>
      <c r="D49" s="362"/>
      <c r="E49" s="361">
        <f>'Sources and Uses Budget'!S49</f>
        <v>82190</v>
      </c>
      <c r="F49" s="362">
        <f>E49</f>
        <v>82190</v>
      </c>
      <c r="G49" s="362"/>
      <c r="H49" s="361">
        <f>'Sources and Uses Budget'!T49</f>
        <v>0</v>
      </c>
      <c r="I49" s="362"/>
      <c r="J49" s="362"/>
      <c r="K49" s="359"/>
    </row>
    <row r="50" spans="1:11" s="360" customFormat="1">
      <c r="A50" s="364" t="s">
        <v>156</v>
      </c>
      <c r="B50" s="361">
        <f>'Sources and Uses Budget'!C50</f>
        <v>46000</v>
      </c>
      <c r="C50" s="362">
        <f t="shared" si="3"/>
        <v>46000</v>
      </c>
      <c r="D50" s="362"/>
      <c r="E50" s="361">
        <f>'Sources and Uses Budget'!S50</f>
        <v>46000</v>
      </c>
      <c r="F50" s="362">
        <f t="shared" si="4"/>
        <v>46000</v>
      </c>
      <c r="G50" s="362"/>
      <c r="H50" s="361">
        <f>'Sources and Uses Budget'!T50</f>
        <v>0</v>
      </c>
      <c r="I50" s="362"/>
      <c r="J50" s="362"/>
      <c r="K50" s="359"/>
    </row>
    <row r="51" spans="1:11" s="360" customFormat="1">
      <c r="A51" s="364" t="s">
        <v>154</v>
      </c>
      <c r="B51" s="361">
        <f>'Sources and Uses Budget'!C51</f>
        <v>114300</v>
      </c>
      <c r="C51" s="362">
        <f t="shared" si="3"/>
        <v>114300</v>
      </c>
      <c r="D51" s="362"/>
      <c r="E51" s="361">
        <f>'Sources and Uses Budget'!S51</f>
        <v>114300</v>
      </c>
      <c r="F51" s="362">
        <f t="shared" si="4"/>
        <v>114300</v>
      </c>
      <c r="G51" s="362"/>
      <c r="H51" s="361">
        <f>'Sources and Uses Budget'!T51</f>
        <v>0</v>
      </c>
      <c r="I51" s="362"/>
      <c r="J51" s="362"/>
      <c r="K51" s="359"/>
    </row>
    <row r="52" spans="1:11" s="360" customFormat="1">
      <c r="A52" s="364" t="s">
        <v>155</v>
      </c>
      <c r="B52" s="361">
        <f>'Sources and Uses Budget'!C52</f>
        <v>697000</v>
      </c>
      <c r="C52" s="362">
        <f t="shared" si="3"/>
        <v>697000</v>
      </c>
      <c r="D52" s="362"/>
      <c r="E52" s="361">
        <f>'Sources and Uses Budget'!S52</f>
        <v>697000</v>
      </c>
      <c r="F52" s="362">
        <f t="shared" si="4"/>
        <v>697000</v>
      </c>
      <c r="G52" s="362"/>
      <c r="H52" s="361">
        <f>'Sources and Uses Budget'!T52</f>
        <v>0</v>
      </c>
      <c r="I52" s="362"/>
      <c r="J52" s="362"/>
      <c r="K52" s="359"/>
    </row>
    <row r="53" spans="1:11" s="360" customFormat="1">
      <c r="A53" s="364" t="str">
        <f>'Sources and Uses Budget'!$A53</f>
        <v>Other: (Specify)</v>
      </c>
      <c r="B53" s="361">
        <f>'Sources and Uses Budget'!C53</f>
        <v>0</v>
      </c>
      <c r="C53" s="362">
        <f t="shared" si="3"/>
        <v>0</v>
      </c>
      <c r="D53" s="362"/>
      <c r="E53" s="361">
        <f>'Sources and Uses Budget'!S53</f>
        <v>0</v>
      </c>
      <c r="F53" s="362">
        <f t="shared" si="4"/>
        <v>0</v>
      </c>
      <c r="G53" s="362"/>
      <c r="H53" s="361">
        <f>'Sources and Uses Budget'!T53</f>
        <v>0</v>
      </c>
      <c r="I53" s="362"/>
      <c r="J53" s="362"/>
      <c r="K53" s="359"/>
    </row>
    <row r="54" spans="1:11" s="369" customFormat="1">
      <c r="A54" s="365" t="s">
        <v>157</v>
      </c>
      <c r="B54" s="361">
        <f>'Sources and Uses Budget'!C54</f>
        <v>7298945</v>
      </c>
      <c r="C54" s="367">
        <f>SUM(C45:C53)</f>
        <v>7298945</v>
      </c>
      <c r="D54" s="367">
        <f>SUM(D45:D53)</f>
        <v>0</v>
      </c>
      <c r="E54" s="361">
        <f>'Sources and Uses Budget'!S54</f>
        <v>5153924</v>
      </c>
      <c r="F54" s="367">
        <f>SUM(F45:F53)</f>
        <v>5153924</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5">B56</f>
        <v>0</v>
      </c>
      <c r="D56" s="362"/>
      <c r="E56" s="363"/>
      <c r="F56" s="363"/>
      <c r="G56" s="363"/>
      <c r="H56" s="363"/>
      <c r="I56" s="363"/>
      <c r="J56" s="363"/>
      <c r="K56" s="359"/>
    </row>
    <row r="57" spans="1:11" s="360" customFormat="1" ht="12" customHeight="1">
      <c r="A57" s="364" t="s">
        <v>152</v>
      </c>
      <c r="B57" s="361">
        <f>'Sources and Uses Budget'!C57</f>
        <v>0</v>
      </c>
      <c r="C57" s="362">
        <f t="shared" si="5"/>
        <v>0</v>
      </c>
      <c r="D57" s="362"/>
      <c r="E57" s="363"/>
      <c r="F57" s="363"/>
      <c r="G57" s="363"/>
      <c r="H57" s="363"/>
      <c r="I57" s="363"/>
      <c r="J57" s="363"/>
      <c r="K57" s="359"/>
    </row>
    <row r="58" spans="1:11" s="360" customFormat="1">
      <c r="A58" s="364" t="s">
        <v>156</v>
      </c>
      <c r="B58" s="361">
        <f>'Sources and Uses Budget'!C58</f>
        <v>25000</v>
      </c>
      <c r="C58" s="362">
        <f t="shared" si="5"/>
        <v>25000</v>
      </c>
      <c r="D58" s="362"/>
      <c r="E58" s="363"/>
      <c r="F58" s="363"/>
      <c r="G58" s="363"/>
      <c r="H58" s="363"/>
      <c r="I58" s="363"/>
      <c r="J58" s="363"/>
      <c r="K58" s="359"/>
    </row>
    <row r="59" spans="1:11" s="360" customFormat="1">
      <c r="A59" s="364" t="s">
        <v>154</v>
      </c>
      <c r="B59" s="361">
        <f>'Sources and Uses Budget'!C59</f>
        <v>0</v>
      </c>
      <c r="C59" s="362">
        <f t="shared" si="5"/>
        <v>0</v>
      </c>
      <c r="D59" s="362"/>
      <c r="E59" s="363"/>
      <c r="F59" s="363"/>
      <c r="G59" s="363"/>
      <c r="H59" s="363"/>
      <c r="I59" s="363"/>
      <c r="J59" s="363"/>
      <c r="K59" s="359"/>
    </row>
    <row r="60" spans="1:11" s="360" customFormat="1">
      <c r="A60" s="364" t="s">
        <v>155</v>
      </c>
      <c r="B60" s="361">
        <f>'Sources and Uses Budget'!C60</f>
        <v>0</v>
      </c>
      <c r="C60" s="362">
        <f t="shared" si="5"/>
        <v>0</v>
      </c>
      <c r="D60" s="362"/>
      <c r="E60" s="363"/>
      <c r="F60" s="363"/>
      <c r="G60" s="363"/>
      <c r="H60" s="363"/>
      <c r="I60" s="363"/>
      <c r="J60" s="363"/>
      <c r="K60" s="359"/>
    </row>
    <row r="61" spans="1:11" s="360" customFormat="1">
      <c r="A61" s="364" t="str">
        <f>'Sources and Uses Budget'!$A61</f>
        <v>Other: (Specify)</v>
      </c>
      <c r="B61" s="361">
        <f>'Sources and Uses Budget'!C61</f>
        <v>0</v>
      </c>
      <c r="C61" s="362">
        <f t="shared" si="5"/>
        <v>0</v>
      </c>
      <c r="D61" s="362"/>
      <c r="E61" s="363"/>
      <c r="F61" s="363"/>
      <c r="G61" s="363"/>
      <c r="H61" s="363"/>
      <c r="I61" s="363"/>
      <c r="J61" s="363"/>
      <c r="K61" s="359"/>
    </row>
    <row r="62" spans="1:11" s="360" customFormat="1" ht="13.75"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60576469</v>
      </c>
      <c r="C63" s="361">
        <f>SUM(C8+C11+C13+C14+C15+C26+C27+C38+C42+C43+C54+C62)</f>
        <v>60576469</v>
      </c>
      <c r="D63" s="361">
        <f>SUM(D8+D11+D13+D14+D15+D26+D27+D38+D42+D43+D54+D62)</f>
        <v>0</v>
      </c>
      <c r="E63" s="361">
        <f>'Sources and Uses Budget'!S63</f>
        <v>52556448</v>
      </c>
      <c r="F63" s="361">
        <f>SUM(F10+F13+F14+F15+F26+F27+F38+F42+F43+F54)</f>
        <v>52556448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125000</v>
      </c>
      <c r="C65" s="362">
        <f t="shared" ref="C65:C69" si="6">B65</f>
        <v>125000</v>
      </c>
      <c r="D65" s="362"/>
      <c r="E65" s="361">
        <f>'Sources and Uses Budget'!S65</f>
        <v>125000</v>
      </c>
      <c r="F65" s="362">
        <f t="shared" ref="F65:F69" si="7">E65</f>
        <v>125000</v>
      </c>
      <c r="G65" s="362"/>
      <c r="H65" s="361">
        <f>'Sources and Uses Budget'!T65</f>
        <v>0</v>
      </c>
      <c r="I65" s="362"/>
      <c r="J65" s="362"/>
      <c r="K65" s="359"/>
    </row>
    <row r="66" spans="1:11" s="360" customFormat="1" ht="23">
      <c r="A66" s="283" t="s">
        <v>1629</v>
      </c>
      <c r="B66" s="361">
        <f>'Sources and Uses Budget'!C66</f>
        <v>0</v>
      </c>
      <c r="C66" s="362">
        <f t="shared" si="6"/>
        <v>0</v>
      </c>
      <c r="D66" s="362"/>
      <c r="E66" s="361">
        <f>'Sources and Uses Budget'!S66</f>
        <v>0</v>
      </c>
      <c r="F66" s="362">
        <f t="shared" si="7"/>
        <v>0</v>
      </c>
      <c r="G66" s="362"/>
      <c r="H66" s="361">
        <f>'Sources and Uses Budget'!T66</f>
        <v>0</v>
      </c>
      <c r="I66" s="362"/>
      <c r="J66" s="362"/>
      <c r="K66" s="359"/>
    </row>
    <row r="67" spans="1:11" s="360" customFormat="1" ht="23">
      <c r="A67" s="283" t="s">
        <v>1630</v>
      </c>
      <c r="B67" s="361">
        <f>'Sources and Uses Budget'!C67</f>
        <v>0</v>
      </c>
      <c r="C67" s="362">
        <f t="shared" si="6"/>
        <v>0</v>
      </c>
      <c r="D67" s="362"/>
      <c r="E67" s="361">
        <f>'Sources and Uses Budget'!S67</f>
        <v>0</v>
      </c>
      <c r="F67" s="362">
        <f t="shared" si="7"/>
        <v>0</v>
      </c>
      <c r="G67" s="362"/>
      <c r="H67" s="361">
        <f>'Sources and Uses Budget'!T67</f>
        <v>0</v>
      </c>
      <c r="I67" s="362"/>
      <c r="J67" s="362"/>
      <c r="K67" s="359"/>
    </row>
    <row r="68" spans="1:11" s="360" customFormat="1">
      <c r="A68" s="283" t="s">
        <v>1636</v>
      </c>
      <c r="B68" s="361">
        <f>'Sources and Uses Budget'!C68</f>
        <v>20000</v>
      </c>
      <c r="C68" s="362">
        <f t="shared" si="6"/>
        <v>20000</v>
      </c>
      <c r="D68" s="362"/>
      <c r="E68" s="361">
        <f>'Sources and Uses Budget'!S68</f>
        <v>0</v>
      </c>
      <c r="F68" s="362">
        <f t="shared" si="7"/>
        <v>0</v>
      </c>
      <c r="G68" s="362"/>
      <c r="H68" s="361">
        <f>'Sources and Uses Budget'!T68</f>
        <v>0</v>
      </c>
      <c r="I68" s="362"/>
      <c r="J68" s="362"/>
      <c r="K68" s="359"/>
    </row>
    <row r="69" spans="1:11" s="360" customFormat="1">
      <c r="A69" s="364" t="str">
        <f>'Sources and Uses Budget'!$A69</f>
        <v>Other: (Other Legal)</v>
      </c>
      <c r="B69" s="361">
        <f>'Sources and Uses Budget'!C69</f>
        <v>187700</v>
      </c>
      <c r="C69" s="362">
        <f t="shared" si="6"/>
        <v>187700</v>
      </c>
      <c r="D69" s="362"/>
      <c r="E69" s="361">
        <f>'Sources and Uses Budget'!S69</f>
        <v>55000</v>
      </c>
      <c r="F69" s="362">
        <f t="shared" si="7"/>
        <v>55000</v>
      </c>
      <c r="G69" s="362"/>
      <c r="H69" s="361">
        <f>'Sources and Uses Budget'!T69</f>
        <v>0</v>
      </c>
      <c r="I69" s="362"/>
      <c r="J69" s="362"/>
      <c r="K69" s="359"/>
    </row>
    <row r="70" spans="1:11" s="360" customFormat="1">
      <c r="A70" s="365" t="s">
        <v>601</v>
      </c>
      <c r="B70" s="361">
        <f>'Sources and Uses Budget'!C70</f>
        <v>332700</v>
      </c>
      <c r="C70" s="361">
        <f>SUM(C64:C69)</f>
        <v>332700</v>
      </c>
      <c r="D70" s="361">
        <f>SUM(D64:D69)</f>
        <v>0</v>
      </c>
      <c r="E70" s="361">
        <f>'Sources and Uses Budget'!S70</f>
        <v>180000</v>
      </c>
      <c r="F70" s="367">
        <f>SUM(F65:F69)</f>
        <v>180000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f t="shared" ref="C72:C76" si="8">B72</f>
        <v>0</v>
      </c>
      <c r="D72" s="362"/>
      <c r="E72" s="363"/>
      <c r="F72" s="363"/>
      <c r="G72" s="363"/>
      <c r="H72" s="363"/>
      <c r="I72" s="363"/>
      <c r="J72" s="363"/>
      <c r="K72" s="359"/>
    </row>
    <row r="73" spans="1:11" s="360" customFormat="1">
      <c r="A73" s="364" t="s">
        <v>604</v>
      </c>
      <c r="B73" s="361">
        <f>'Sources and Uses Budget'!C73</f>
        <v>0</v>
      </c>
      <c r="C73" s="362">
        <f t="shared" si="8"/>
        <v>0</v>
      </c>
      <c r="D73" s="362"/>
      <c r="E73" s="363"/>
      <c r="F73" s="363"/>
      <c r="G73" s="363"/>
      <c r="H73" s="363"/>
      <c r="I73" s="363"/>
      <c r="J73" s="363"/>
      <c r="K73" s="359"/>
    </row>
    <row r="74" spans="1:11" s="360" customFormat="1">
      <c r="A74" s="366" t="s">
        <v>985</v>
      </c>
      <c r="B74" s="361">
        <f>'Sources and Uses Budget'!C74</f>
        <v>0</v>
      </c>
      <c r="C74" s="362">
        <f t="shared" si="8"/>
        <v>0</v>
      </c>
      <c r="D74" s="362"/>
      <c r="E74" s="363"/>
      <c r="F74" s="363"/>
      <c r="G74" s="363"/>
      <c r="H74" s="363"/>
      <c r="I74" s="363"/>
      <c r="J74" s="363"/>
      <c r="K74" s="359"/>
    </row>
    <row r="75" spans="1:11" s="360" customFormat="1">
      <c r="A75" s="364" t="s">
        <v>605</v>
      </c>
      <c r="B75" s="361">
        <f>'Sources and Uses Budget'!C75</f>
        <v>1321964</v>
      </c>
      <c r="C75" s="362">
        <f t="shared" si="8"/>
        <v>1321964</v>
      </c>
      <c r="D75" s="362"/>
      <c r="E75" s="363"/>
      <c r="F75" s="363"/>
      <c r="G75" s="363"/>
      <c r="H75" s="363"/>
      <c r="I75" s="363"/>
      <c r="J75" s="363"/>
      <c r="K75" s="359"/>
    </row>
    <row r="76" spans="1:11" s="360" customFormat="1">
      <c r="A76" s="364" t="str">
        <f>'Sources and Uses Budget'!$A76</f>
        <v>Other: (Specify)</v>
      </c>
      <c r="B76" s="361">
        <f>'Sources and Uses Budget'!C76</f>
        <v>0</v>
      </c>
      <c r="C76" s="362">
        <f t="shared" si="8"/>
        <v>0</v>
      </c>
      <c r="D76" s="362"/>
      <c r="E76" s="363"/>
      <c r="F76" s="363"/>
      <c r="G76" s="363"/>
      <c r="H76" s="363"/>
      <c r="I76" s="363"/>
      <c r="J76" s="363"/>
      <c r="K76" s="359"/>
    </row>
    <row r="77" spans="1:11" s="360" customFormat="1">
      <c r="A77" s="365" t="s">
        <v>606</v>
      </c>
      <c r="B77" s="361">
        <f>'Sources and Uses Budget'!C77</f>
        <v>1321964</v>
      </c>
      <c r="C77" s="361">
        <f>SUM(C72:C76)</f>
        <v>1321964</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2275126</v>
      </c>
      <c r="C79" s="362">
        <f t="shared" ref="C79:C80" si="9">B79</f>
        <v>2275126</v>
      </c>
      <c r="D79" s="362"/>
      <c r="E79" s="361">
        <f>'Sources and Uses Budget'!S79</f>
        <v>2275126</v>
      </c>
      <c r="F79" s="362">
        <f t="shared" ref="F79:F80" si="10">E79</f>
        <v>2275126</v>
      </c>
      <c r="G79" s="362"/>
      <c r="H79" s="361">
        <f>'Sources and Uses Budget'!T79</f>
        <v>0</v>
      </c>
      <c r="I79" s="362"/>
      <c r="J79" s="362"/>
      <c r="K79" s="359"/>
    </row>
    <row r="80" spans="1:11" s="360" customFormat="1">
      <c r="A80" s="364" t="s">
        <v>58</v>
      </c>
      <c r="B80" s="361">
        <f>'Sources and Uses Budget'!C80</f>
        <v>448870</v>
      </c>
      <c r="C80" s="362">
        <f t="shared" si="9"/>
        <v>448870</v>
      </c>
      <c r="D80" s="362"/>
      <c r="E80" s="361">
        <f>'Sources and Uses Budget'!S80</f>
        <v>448870</v>
      </c>
      <c r="F80" s="362">
        <f t="shared" si="10"/>
        <v>448870</v>
      </c>
      <c r="G80" s="362"/>
      <c r="H80" s="361">
        <f>'Sources and Uses Budget'!T80</f>
        <v>0</v>
      </c>
      <c r="I80" s="362"/>
      <c r="J80" s="362"/>
      <c r="K80" s="359"/>
    </row>
    <row r="81" spans="1:11" s="360" customFormat="1">
      <c r="A81" s="365" t="s">
        <v>1208</v>
      </c>
      <c r="B81" s="361">
        <f>'Sources and Uses Budget'!C81</f>
        <v>2723996</v>
      </c>
      <c r="C81" s="361">
        <f>SUM(C79:C80)</f>
        <v>2723996</v>
      </c>
      <c r="D81" s="361">
        <f>SUM(D79:D80)</f>
        <v>0</v>
      </c>
      <c r="E81" s="361">
        <f>'Sources and Uses Budget'!S81</f>
        <v>2723996</v>
      </c>
      <c r="F81" s="361">
        <f>SUM(F79:F80)</f>
        <v>2723996</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2048</v>
      </c>
      <c r="B83" s="361">
        <f>'Sources and Uses Budget'!C83</f>
        <v>103304</v>
      </c>
      <c r="C83" s="362">
        <f t="shared" ref="C83:C95" si="11">B83</f>
        <v>103304</v>
      </c>
      <c r="D83" s="362"/>
      <c r="E83" s="363"/>
      <c r="F83" s="363"/>
      <c r="G83" s="363"/>
      <c r="H83" s="363"/>
      <c r="I83" s="363"/>
      <c r="J83" s="363"/>
      <c r="K83" s="359"/>
    </row>
    <row r="84" spans="1:11" s="360" customFormat="1">
      <c r="A84" s="145" t="s">
        <v>766</v>
      </c>
      <c r="B84" s="361">
        <f>'Sources and Uses Budget'!C84</f>
        <v>20000</v>
      </c>
      <c r="C84" s="362">
        <f t="shared" si="11"/>
        <v>20000</v>
      </c>
      <c r="D84" s="362"/>
      <c r="E84" s="361">
        <f>'Sources and Uses Budget'!S84</f>
        <v>20000</v>
      </c>
      <c r="F84" s="362">
        <f t="shared" ref="F84:F86" si="12">E84</f>
        <v>20000</v>
      </c>
      <c r="G84" s="362"/>
      <c r="H84" s="361">
        <f>'Sources and Uses Budget'!T84</f>
        <v>0</v>
      </c>
      <c r="I84" s="362"/>
      <c r="J84" s="362"/>
      <c r="K84" s="359"/>
    </row>
    <row r="85" spans="1:11" s="360" customFormat="1">
      <c r="A85" s="145" t="s">
        <v>767</v>
      </c>
      <c r="B85" s="361">
        <f>'Sources and Uses Budget'!C85</f>
        <v>2239299</v>
      </c>
      <c r="C85" s="362">
        <f t="shared" si="11"/>
        <v>2239299</v>
      </c>
      <c r="D85" s="362"/>
      <c r="E85" s="361">
        <f>'Sources and Uses Budget'!S85</f>
        <v>2239299</v>
      </c>
      <c r="F85" s="362">
        <f t="shared" si="12"/>
        <v>2239299</v>
      </c>
      <c r="G85" s="362"/>
      <c r="H85" s="361">
        <f>'Sources and Uses Budget'!T85</f>
        <v>0</v>
      </c>
      <c r="I85" s="362"/>
      <c r="J85" s="362"/>
      <c r="K85" s="359"/>
    </row>
    <row r="86" spans="1:11" s="360" customFormat="1">
      <c r="A86" s="145" t="s">
        <v>768</v>
      </c>
      <c r="B86" s="361">
        <f>'Sources and Uses Budget'!C86</f>
        <v>1260701</v>
      </c>
      <c r="C86" s="362">
        <f t="shared" si="11"/>
        <v>1260701</v>
      </c>
      <c r="D86" s="362"/>
      <c r="E86" s="361">
        <f>'Sources and Uses Budget'!S86</f>
        <v>1260701</v>
      </c>
      <c r="F86" s="362">
        <f t="shared" si="12"/>
        <v>1260701</v>
      </c>
      <c r="G86" s="362"/>
      <c r="H86" s="361">
        <f>'Sources and Uses Budget'!T86</f>
        <v>0</v>
      </c>
      <c r="I86" s="362"/>
      <c r="J86" s="362"/>
      <c r="K86" s="359"/>
    </row>
    <row r="87" spans="1:11" s="360" customFormat="1">
      <c r="A87" s="145" t="s">
        <v>769</v>
      </c>
      <c r="B87" s="361">
        <f>'Sources and Uses Budget'!C87</f>
        <v>0</v>
      </c>
      <c r="C87" s="362">
        <f t="shared" si="11"/>
        <v>0</v>
      </c>
      <c r="D87" s="362"/>
      <c r="E87" s="361">
        <f>'Sources and Uses Budget'!S87</f>
        <v>0</v>
      </c>
      <c r="F87" s="362"/>
      <c r="G87" s="362"/>
      <c r="H87" s="361">
        <f>'Sources and Uses Budget'!T87</f>
        <v>0</v>
      </c>
      <c r="I87" s="362"/>
      <c r="J87" s="362"/>
      <c r="K87" s="359"/>
    </row>
    <row r="88" spans="1:11" s="360" customFormat="1">
      <c r="A88" s="145" t="s">
        <v>770</v>
      </c>
      <c r="B88" s="361">
        <f>'Sources and Uses Budget'!C88</f>
        <v>53400</v>
      </c>
      <c r="C88" s="362">
        <f t="shared" si="11"/>
        <v>53400</v>
      </c>
      <c r="D88" s="362"/>
      <c r="E88" s="363"/>
      <c r="F88" s="363"/>
      <c r="G88" s="363"/>
      <c r="H88" s="363"/>
      <c r="I88" s="363"/>
      <c r="J88" s="363"/>
      <c r="K88" s="359"/>
    </row>
    <row r="89" spans="1:11" s="360" customFormat="1">
      <c r="A89" s="145" t="s">
        <v>771</v>
      </c>
      <c r="B89" s="361">
        <f>'Sources and Uses Budget'!C89</f>
        <v>0</v>
      </c>
      <c r="C89" s="362">
        <f t="shared" si="11"/>
        <v>0</v>
      </c>
      <c r="D89" s="362"/>
      <c r="E89" s="361">
        <f>'Sources and Uses Budget'!S89</f>
        <v>0</v>
      </c>
      <c r="F89" s="362">
        <f t="shared" ref="F89:F95" si="13">E89</f>
        <v>0</v>
      </c>
      <c r="G89" s="362"/>
      <c r="H89" s="361">
        <f>'Sources and Uses Budget'!T89</f>
        <v>0</v>
      </c>
      <c r="I89" s="362"/>
      <c r="J89" s="362"/>
      <c r="K89" s="359"/>
    </row>
    <row r="90" spans="1:11" s="360" customFormat="1">
      <c r="A90" s="145" t="s">
        <v>772</v>
      </c>
      <c r="B90" s="361">
        <f>'Sources and Uses Budget'!C90</f>
        <v>10000</v>
      </c>
      <c r="C90" s="362">
        <f t="shared" si="11"/>
        <v>10000</v>
      </c>
      <c r="D90" s="362"/>
      <c r="E90" s="361">
        <f>'Sources and Uses Budget'!S90</f>
        <v>10000</v>
      </c>
      <c r="F90" s="362">
        <f t="shared" si="13"/>
        <v>10000</v>
      </c>
      <c r="G90" s="362"/>
      <c r="H90" s="361">
        <f>'Sources and Uses Budget'!T90</f>
        <v>0</v>
      </c>
      <c r="I90" s="362"/>
      <c r="J90" s="362"/>
      <c r="K90" s="359"/>
    </row>
    <row r="91" spans="1:11" s="360" customFormat="1">
      <c r="A91" s="155" t="s">
        <v>372</v>
      </c>
      <c r="B91" s="361">
        <f>'Sources and Uses Budget'!C91</f>
        <v>35000</v>
      </c>
      <c r="C91" s="362">
        <f t="shared" si="11"/>
        <v>35000</v>
      </c>
      <c r="D91" s="362"/>
      <c r="E91" s="361">
        <f>'Sources and Uses Budget'!S91</f>
        <v>35000</v>
      </c>
      <c r="F91" s="362">
        <f t="shared" si="13"/>
        <v>35000</v>
      </c>
      <c r="G91" s="362"/>
      <c r="H91" s="361">
        <f>'Sources and Uses Budget'!T91</f>
        <v>0</v>
      </c>
      <c r="I91" s="362"/>
      <c r="J91" s="362"/>
      <c r="K91" s="359"/>
    </row>
    <row r="92" spans="1:11" s="360" customFormat="1">
      <c r="A92" s="508" t="s">
        <v>1210</v>
      </c>
      <c r="B92" s="361">
        <f>'Sources and Uses Budget'!C92</f>
        <v>12000</v>
      </c>
      <c r="C92" s="362">
        <f t="shared" si="11"/>
        <v>12000</v>
      </c>
      <c r="D92" s="362"/>
      <c r="E92" s="361">
        <f>'Sources and Uses Budget'!S92</f>
        <v>12000</v>
      </c>
      <c r="F92" s="362">
        <f t="shared" si="13"/>
        <v>12000</v>
      </c>
      <c r="G92" s="362"/>
      <c r="H92" s="361">
        <f>'Sources and Uses Budget'!T92</f>
        <v>0</v>
      </c>
      <c r="I92" s="362"/>
      <c r="J92" s="362"/>
      <c r="K92" s="359"/>
    </row>
    <row r="93" spans="1:11" s="360" customFormat="1">
      <c r="A93" s="364" t="str">
        <f>'Sources and Uses Budget'!$A93</f>
        <v>Other: (Specify)</v>
      </c>
      <c r="B93" s="361">
        <f>'Sources and Uses Budget'!C93</f>
        <v>0</v>
      </c>
      <c r="C93" s="362">
        <f t="shared" si="11"/>
        <v>0</v>
      </c>
      <c r="D93" s="362"/>
      <c r="E93" s="361">
        <f>'Sources and Uses Budget'!S93</f>
        <v>0</v>
      </c>
      <c r="F93" s="362">
        <f t="shared" si="13"/>
        <v>0</v>
      </c>
      <c r="G93" s="362"/>
      <c r="H93" s="361">
        <f>'Sources and Uses Budget'!T93</f>
        <v>0</v>
      </c>
      <c r="I93" s="362"/>
      <c r="J93" s="362"/>
      <c r="K93" s="359"/>
    </row>
    <row r="94" spans="1:11" s="360" customFormat="1">
      <c r="A94" s="364" t="str">
        <f>'Sources and Uses Budget'!$A94</f>
        <v>Other: (Specify)</v>
      </c>
      <c r="B94" s="361">
        <f>'Sources and Uses Budget'!C94</f>
        <v>0</v>
      </c>
      <c r="C94" s="362">
        <f t="shared" si="11"/>
        <v>0</v>
      </c>
      <c r="D94" s="362"/>
      <c r="E94" s="361">
        <f>'Sources and Uses Budget'!S94</f>
        <v>0</v>
      </c>
      <c r="F94" s="362">
        <f t="shared" si="13"/>
        <v>0</v>
      </c>
      <c r="G94" s="362"/>
      <c r="H94" s="361">
        <f>'Sources and Uses Budget'!T94</f>
        <v>0</v>
      </c>
      <c r="I94" s="362"/>
      <c r="J94" s="362"/>
      <c r="K94" s="359"/>
    </row>
    <row r="95" spans="1:11" s="360" customFormat="1">
      <c r="A95" s="364" t="str">
        <f>'Sources and Uses Budget'!$A95</f>
        <v>Other: (Specify)</v>
      </c>
      <c r="B95" s="361">
        <f>'Sources and Uses Budget'!C95</f>
        <v>0</v>
      </c>
      <c r="C95" s="362">
        <f t="shared" si="11"/>
        <v>0</v>
      </c>
      <c r="D95" s="362"/>
      <c r="E95" s="361">
        <f>'Sources and Uses Budget'!S95</f>
        <v>0</v>
      </c>
      <c r="F95" s="362">
        <f t="shared" si="13"/>
        <v>0</v>
      </c>
      <c r="G95" s="362"/>
      <c r="H95" s="361">
        <f>'Sources and Uses Budget'!T95</f>
        <v>0</v>
      </c>
      <c r="I95" s="362"/>
      <c r="J95" s="362"/>
      <c r="K95" s="359"/>
    </row>
    <row r="96" spans="1:11" s="360" customFormat="1">
      <c r="A96" s="365" t="s">
        <v>773</v>
      </c>
      <c r="B96" s="361">
        <f>'Sources and Uses Budget'!C96</f>
        <v>3733704</v>
      </c>
      <c r="C96" s="361">
        <f>SUM(C83:C95)</f>
        <v>3733704</v>
      </c>
      <c r="D96" s="361">
        <f>SUM(D83:D95)</f>
        <v>0</v>
      </c>
      <c r="E96" s="361">
        <f>'Sources and Uses Budget'!S96</f>
        <v>3577000</v>
      </c>
      <c r="F96" s="367">
        <f>SUM(F84:F87,F89:F95)</f>
        <v>3577000</v>
      </c>
      <c r="G96" s="367">
        <f>SUM(G84:G87,G89:G95)</f>
        <v>0</v>
      </c>
      <c r="H96" s="361">
        <f>'Sources and Uses Budget'!T96</f>
        <v>0</v>
      </c>
      <c r="I96" s="361">
        <f>SUM(I84:I87,I89:I95)</f>
        <v>0</v>
      </c>
      <c r="J96" s="361">
        <f>SUM(J84:J87,J89:J95)</f>
        <v>0</v>
      </c>
      <c r="K96" s="359"/>
    </row>
    <row r="97" spans="1:11" s="360" customFormat="1">
      <c r="A97" s="365" t="s">
        <v>1028</v>
      </c>
      <c r="B97" s="361">
        <f>'Sources and Uses Budget'!C97</f>
        <v>68688833</v>
      </c>
      <c r="C97" s="361">
        <f>SUM(C63+C70+C77+C81+C96)</f>
        <v>68688833</v>
      </c>
      <c r="D97" s="361">
        <f>SUM(D63+D70+D77+D81+D96)</f>
        <v>0</v>
      </c>
      <c r="E97" s="361">
        <f>'Sources and Uses Budget'!S97</f>
        <v>59037444</v>
      </c>
      <c r="F97" s="367">
        <f>SUM(+F63+F70+F81+F96)</f>
        <v>59037444</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8855617</v>
      </c>
      <c r="C99" s="362">
        <f t="shared" ref="C99" si="14">B99</f>
        <v>8855617</v>
      </c>
      <c r="D99" s="362"/>
      <c r="E99" s="361">
        <f>'Sources and Uses Budget'!S99</f>
        <v>8855617</v>
      </c>
      <c r="F99" s="362">
        <f>E99</f>
        <v>8855617</v>
      </c>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8855617</v>
      </c>
      <c r="C104" s="361">
        <f>SUM(C99:C103)</f>
        <v>8855617</v>
      </c>
      <c r="D104" s="361">
        <f>SUM(D99:D103)</f>
        <v>0</v>
      </c>
      <c r="E104" s="361">
        <f>'Sources and Uses Budget'!S104</f>
        <v>8855617</v>
      </c>
      <c r="F104" s="367">
        <f>SUM(F99:F103)</f>
        <v>8855617</v>
      </c>
      <c r="G104" s="367">
        <f>SUM(G99:G103)</f>
        <v>0</v>
      </c>
      <c r="H104" s="361">
        <f>'Sources and Uses Budget'!T104</f>
        <v>0</v>
      </c>
      <c r="I104" s="367">
        <f>SUM(I99:I103)</f>
        <v>0</v>
      </c>
      <c r="J104" s="367">
        <f>SUM(J99:J103)</f>
        <v>0</v>
      </c>
      <c r="K104" s="359"/>
    </row>
    <row r="105" spans="1:11" s="360" customFormat="1">
      <c r="A105" s="365" t="s">
        <v>1029</v>
      </c>
      <c r="B105" s="361">
        <f>'Sources and Uses Budget'!C105</f>
        <v>77544450</v>
      </c>
      <c r="C105" s="367">
        <f>SUM(C97+C104)</f>
        <v>77544450</v>
      </c>
      <c r="D105" s="367">
        <f>SUM(D97+D104)</f>
        <v>0</v>
      </c>
      <c r="E105" s="361">
        <f>'Sources and Uses Budget'!S105</f>
        <v>67893061</v>
      </c>
      <c r="F105" s="367">
        <f>F97+F104</f>
        <v>67893061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67893061</v>
      </c>
      <c r="F107" s="367">
        <f>F105+F106</f>
        <v>67893061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8"/>
      <c r="E124" s="1308"/>
      <c r="F124" s="1308"/>
      <c r="G124" s="1308"/>
      <c r="H124" s="1308"/>
      <c r="I124" s="1308"/>
      <c r="J124" s="376"/>
      <c r="K124" s="359"/>
    </row>
    <row r="125" spans="1:11" s="360" customFormat="1" ht="12.5">
      <c r="A125" s="385"/>
      <c r="B125" s="384"/>
      <c r="C125" s="385"/>
      <c r="D125" s="1308"/>
      <c r="E125" s="1308"/>
      <c r="F125" s="1308"/>
      <c r="G125" s="1308"/>
      <c r="H125" s="1308"/>
      <c r="I125" s="1308"/>
      <c r="J125" s="376"/>
      <c r="K125" s="359"/>
    </row>
    <row r="126" spans="1:11" s="360" customFormat="1" ht="12.5">
      <c r="A126" s="385"/>
      <c r="B126" s="384"/>
      <c r="C126" s="385"/>
      <c r="D126" s="1308"/>
      <c r="E126" s="1308"/>
      <c r="F126" s="1308"/>
      <c r="G126" s="1308"/>
      <c r="H126" s="1308"/>
      <c r="I126" s="1308"/>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08"/>
      <c r="C139" s="130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41"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1891" t="s">
        <v>2387</v>
      </c>
      <c r="B1" s="1892"/>
      <c r="C1" s="1892"/>
      <c r="D1" s="1892"/>
      <c r="E1" s="1892"/>
      <c r="F1" s="1892"/>
      <c r="G1" s="1892"/>
      <c r="H1" s="1892"/>
      <c r="I1" s="1892"/>
      <c r="J1" s="1892"/>
      <c r="K1" s="1892"/>
      <c r="L1" s="1892"/>
      <c r="M1" s="1892"/>
      <c r="N1" s="1892"/>
      <c r="O1" s="1892"/>
      <c r="P1" s="1892"/>
      <c r="Q1" s="1892"/>
      <c r="R1" s="1892"/>
      <c r="S1" s="1892"/>
      <c r="T1" s="1892"/>
      <c r="U1" s="1892"/>
      <c r="V1" s="1892"/>
      <c r="W1" s="1892"/>
      <c r="X1" s="1892"/>
      <c r="Y1" s="1892"/>
      <c r="Z1" s="1892"/>
      <c r="AA1" s="1892"/>
      <c r="AB1" s="1892"/>
      <c r="AC1" s="1892"/>
      <c r="AD1" s="1892"/>
      <c r="AE1" s="1892"/>
      <c r="AF1" s="1892"/>
      <c r="AG1" s="1892"/>
      <c r="AH1" s="1892"/>
      <c r="AI1" s="1892"/>
      <c r="AJ1" s="1892"/>
      <c r="AK1" s="1892"/>
      <c r="AL1" s="1892"/>
      <c r="AM1" s="1892"/>
      <c r="AN1" s="1892"/>
      <c r="AO1" s="1892"/>
      <c r="AP1" s="1892"/>
      <c r="AQ1" s="1892"/>
      <c r="AR1" s="1892"/>
      <c r="AS1" s="1892"/>
      <c r="AT1" s="1892"/>
      <c r="AU1" s="1892"/>
      <c r="AV1" s="1892"/>
      <c r="AW1" s="1892"/>
      <c r="AX1" s="1892"/>
      <c r="AY1" s="1892"/>
      <c r="AZ1" s="1892"/>
      <c r="BA1" s="1892"/>
      <c r="BB1" s="1892"/>
      <c r="BC1" s="1892"/>
      <c r="BD1" s="1892"/>
      <c r="BE1" s="1893"/>
    </row>
    <row r="2" spans="1:65" ht="15.75" customHeight="1">
      <c r="A2" s="1894" t="s">
        <v>2386</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7" t="s">
        <v>2587</v>
      </c>
      <c r="AY3" s="1898"/>
      <c r="AZ3" s="1898"/>
      <c r="BA3" s="1899"/>
      <c r="BB3" s="1897" t="s">
        <v>2588</v>
      </c>
      <c r="BC3" s="1898"/>
      <c r="BD3" s="1898"/>
      <c r="BE3" s="1899"/>
    </row>
    <row r="4" spans="1:65" ht="15.75" customHeight="1" thickBot="1">
      <c r="A4" s="1207"/>
      <c r="B4" s="1209" t="s">
        <v>655</v>
      </c>
      <c r="C4" s="1209"/>
      <c r="D4" s="1209"/>
      <c r="E4" s="1209"/>
      <c r="F4" s="1209"/>
      <c r="G4" s="1208"/>
      <c r="H4" s="1208"/>
      <c r="I4" s="1208"/>
      <c r="J4" s="1208"/>
      <c r="K4" s="1208"/>
      <c r="L4" s="1886" t="str">
        <f>IF(Application!H18="","",Application!H18)</f>
        <v>125 Bethany</v>
      </c>
      <c r="M4" s="1887"/>
      <c r="N4" s="1887"/>
      <c r="O4" s="1887"/>
      <c r="P4" s="1887"/>
      <c r="Q4" s="1887"/>
      <c r="R4" s="1887"/>
      <c r="S4" s="1887"/>
      <c r="T4" s="1887"/>
      <c r="U4" s="1887"/>
      <c r="V4" s="1887"/>
      <c r="W4" s="1887"/>
      <c r="X4" s="1887"/>
      <c r="Y4" s="1887"/>
      <c r="Z4" s="1887"/>
      <c r="AA4" s="1887"/>
      <c r="AB4" s="1887"/>
      <c r="AC4" s="1888"/>
      <c r="AD4" s="1208"/>
      <c r="AE4" s="1208"/>
      <c r="AF4" s="1900" t="s">
        <v>2385</v>
      </c>
      <c r="AG4" s="1900"/>
      <c r="AH4" s="1900"/>
      <c r="AI4" s="1900"/>
      <c r="AJ4" s="1900"/>
      <c r="AK4" s="1900"/>
      <c r="AL4" s="1900"/>
      <c r="AM4" s="1900"/>
      <c r="AN4" s="1900"/>
      <c r="AO4" s="1900"/>
      <c r="AP4" s="1901"/>
      <c r="AQ4" s="1902"/>
      <c r="AR4" s="1902"/>
      <c r="AS4" s="1902"/>
      <c r="AT4" s="1902"/>
      <c r="AU4" s="1902"/>
      <c r="AV4" s="1208"/>
      <c r="AW4" s="1208"/>
      <c r="AX4" s="1883" t="s">
        <v>2589</v>
      </c>
      <c r="AY4" s="1884"/>
      <c r="AZ4" s="1884"/>
      <c r="BA4" s="1885"/>
      <c r="BB4" s="1210">
        <f t="array" ref="BB4">ROUNDDOWN(SUM(IF((B19:I27&gt;0)*(B19:I27&lt;=30%),J19:O27,0))/J29,2)</f>
        <v>0.11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0" t="s">
        <v>2384</v>
      </c>
      <c r="AG5" s="1900"/>
      <c r="AH5" s="1900"/>
      <c r="AI5" s="1900"/>
      <c r="AJ5" s="1900"/>
      <c r="AK5" s="1900"/>
      <c r="AL5" s="1900"/>
      <c r="AM5" s="1900"/>
      <c r="AN5" s="1900"/>
      <c r="AO5" s="1900"/>
      <c r="AP5" s="1901"/>
      <c r="AQ5" s="1902"/>
      <c r="AR5" s="1902"/>
      <c r="AS5" s="1902"/>
      <c r="AT5" s="1902"/>
      <c r="AU5" s="1902"/>
      <c r="AV5" s="1208"/>
      <c r="AW5" s="1208"/>
      <c r="AX5" s="1883" t="s">
        <v>2590</v>
      </c>
      <c r="AY5" s="1884"/>
      <c r="AZ5" s="1884"/>
      <c r="BA5" s="1885"/>
      <c r="BB5" s="1210">
        <f t="array" ref="BB5">ROUNDDOWN(SUM(IF((B19:I27&gt;0%)*(B19:I27&lt;=50%),J19:O27,0))/J29,2)</f>
        <v>0.22</v>
      </c>
      <c r="BC5" s="1211"/>
      <c r="BD5" s="1211"/>
      <c r="BE5" s="1212"/>
    </row>
    <row r="6" spans="1:65" ht="15.75" customHeight="1" thickBot="1">
      <c r="A6" s="1207"/>
      <c r="B6" s="1209" t="s">
        <v>2383</v>
      </c>
      <c r="C6" s="1208"/>
      <c r="D6" s="1208"/>
      <c r="E6" s="1208"/>
      <c r="F6" s="1208"/>
      <c r="G6" s="1208"/>
      <c r="H6" s="1208"/>
      <c r="I6" s="1208"/>
      <c r="J6" s="1208"/>
      <c r="K6" s="1208"/>
      <c r="L6" s="1886" t="str">
        <f>IF(Application!H16="","",Application!H16)</f>
        <v xml:space="preserve">125 Bethany Affordable, L.P. </v>
      </c>
      <c r="M6" s="1887"/>
      <c r="N6" s="1887"/>
      <c r="O6" s="1887"/>
      <c r="P6" s="1887"/>
      <c r="Q6" s="1887"/>
      <c r="R6" s="1887"/>
      <c r="S6" s="1887"/>
      <c r="T6" s="1887"/>
      <c r="U6" s="1887"/>
      <c r="V6" s="1887"/>
      <c r="W6" s="1887"/>
      <c r="X6" s="1887"/>
      <c r="Y6" s="1887"/>
      <c r="Z6" s="1887"/>
      <c r="AA6" s="1887"/>
      <c r="AB6" s="1887"/>
      <c r="AC6" s="1888"/>
      <c r="AD6" s="1208"/>
      <c r="AE6" s="1208"/>
      <c r="AF6" s="1889" t="s">
        <v>2382</v>
      </c>
      <c r="AG6" s="1889"/>
      <c r="AH6" s="1889"/>
      <c r="AI6" s="1889"/>
      <c r="AJ6" s="1889"/>
      <c r="AK6" s="1889"/>
      <c r="AL6" s="1889"/>
      <c r="AM6" s="1889"/>
      <c r="AN6" s="1889"/>
      <c r="AO6" s="1889"/>
      <c r="AP6" s="1890"/>
      <c r="AQ6" s="1890"/>
      <c r="AR6" s="1890"/>
      <c r="AS6" s="1890"/>
      <c r="AT6" s="1890"/>
      <c r="AU6" s="1890"/>
      <c r="AV6" s="1208"/>
      <c r="AW6" s="1208"/>
      <c r="AX6" s="1883" t="s">
        <v>2591</v>
      </c>
      <c r="AY6" s="1884"/>
      <c r="AZ6" s="1884"/>
      <c r="BA6" s="1885"/>
      <c r="BB6" s="1210">
        <f t="array" ref="BB6">ROUNDDOWN(SUM(IF((B19:I27&gt;60%)*(B19:I27&lt;=80%),J19:O27,0))/J29,2)</f>
        <v>0.44</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9" t="s">
        <v>2381</v>
      </c>
      <c r="AG7" s="1889"/>
      <c r="AH7" s="1889"/>
      <c r="AI7" s="1889"/>
      <c r="AJ7" s="1889"/>
      <c r="AK7" s="1889"/>
      <c r="AL7" s="1889"/>
      <c r="AM7" s="1889"/>
      <c r="AN7" s="1889"/>
      <c r="AO7" s="1889"/>
      <c r="AP7" s="1890"/>
      <c r="AQ7" s="1890"/>
      <c r="AR7" s="1890"/>
      <c r="AS7" s="1890"/>
      <c r="AT7" s="1890"/>
      <c r="AU7" s="1890"/>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3" t="str">
        <f>Application!T197</f>
        <v>No</v>
      </c>
      <c r="AC8" s="1904"/>
      <c r="AD8" s="1905"/>
      <c r="AE8" s="1208"/>
      <c r="AF8" s="1889" t="s">
        <v>2380</v>
      </c>
      <c r="AG8" s="1889"/>
      <c r="AH8" s="1889"/>
      <c r="AI8" s="1889"/>
      <c r="AJ8" s="1889"/>
      <c r="AK8" s="1889"/>
      <c r="AL8" s="1889"/>
      <c r="AM8" s="1889"/>
      <c r="AN8" s="1889"/>
      <c r="AO8" s="1889"/>
      <c r="AP8" s="1890" t="s">
        <v>2052</v>
      </c>
      <c r="AQ8" s="1890"/>
      <c r="AR8" s="1890"/>
      <c r="AS8" s="1890"/>
      <c r="AT8" s="1890"/>
      <c r="AU8" s="1890"/>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0" t="s">
        <v>2379</v>
      </c>
      <c r="AG9" s="1900"/>
      <c r="AH9" s="1900"/>
      <c r="AI9" s="1900"/>
      <c r="AJ9" s="1900"/>
      <c r="AK9" s="1900"/>
      <c r="AL9" s="1900"/>
      <c r="AM9" s="1900"/>
      <c r="AN9" s="1900"/>
      <c r="AO9" s="1900"/>
      <c r="AP9" s="1901"/>
      <c r="AQ9" s="1902"/>
      <c r="AR9" s="1902"/>
      <c r="AS9" s="1902"/>
      <c r="AT9" s="1902"/>
      <c r="AU9" s="1902"/>
      <c r="AV9" s="1208"/>
      <c r="AW9" s="1208"/>
      <c r="AX9" s="1208"/>
      <c r="AY9" s="1208"/>
      <c r="AZ9" s="1208"/>
      <c r="BA9" s="1208"/>
      <c r="BB9" s="1208"/>
      <c r="BC9" s="1208"/>
      <c r="BD9" s="1208"/>
      <c r="BE9" s="1213"/>
      <c r="BM9" s="1204" t="s">
        <v>2378</v>
      </c>
    </row>
    <row r="10" spans="1:65" ht="14.5">
      <c r="A10" s="1207"/>
      <c r="B10" s="1209" t="s">
        <v>2377</v>
      </c>
      <c r="C10" s="1209"/>
      <c r="D10" s="1209"/>
      <c r="E10" s="1209"/>
      <c r="F10" s="1209"/>
      <c r="G10" s="1209"/>
      <c r="H10" s="1209"/>
      <c r="I10" s="1209"/>
      <c r="J10" s="1209"/>
      <c r="K10" s="1209"/>
      <c r="L10" s="1209"/>
      <c r="M10" s="1208"/>
      <c r="N10" s="1918">
        <f>Application!AO635</f>
        <v>28990000</v>
      </c>
      <c r="O10" s="1918"/>
      <c r="P10" s="1918"/>
      <c r="Q10" s="1918"/>
      <c r="R10" s="1918"/>
      <c r="S10" s="1918"/>
      <c r="T10" s="1918"/>
      <c r="U10" s="1208"/>
      <c r="V10" s="1208"/>
      <c r="W10" s="1208"/>
      <c r="X10" s="1214"/>
      <c r="Y10" s="1214"/>
      <c r="Z10" s="1214"/>
      <c r="AA10" s="1214"/>
      <c r="AB10" s="1214"/>
      <c r="AC10" s="1214"/>
      <c r="AD10" s="1214"/>
      <c r="AE10" s="1214"/>
      <c r="AF10" s="1900" t="s">
        <v>2376</v>
      </c>
      <c r="AG10" s="1900"/>
      <c r="AH10" s="1900"/>
      <c r="AI10" s="1900"/>
      <c r="AJ10" s="1900"/>
      <c r="AK10" s="1900"/>
      <c r="AL10" s="1900"/>
      <c r="AM10" s="1900"/>
      <c r="AN10" s="1900"/>
      <c r="AO10" s="1900"/>
      <c r="AP10" s="1901"/>
      <c r="AQ10" s="1902"/>
      <c r="AR10" s="1902"/>
      <c r="AS10" s="1902"/>
      <c r="AT10" s="1902"/>
      <c r="AU10" s="1902"/>
      <c r="AV10" s="1214"/>
      <c r="AW10" s="1214"/>
      <c r="AX10" s="1208"/>
      <c r="AY10" s="1208"/>
      <c r="AZ10" s="1208"/>
      <c r="BA10" s="1208"/>
      <c r="BB10" s="1208"/>
      <c r="BC10" s="1208"/>
      <c r="BD10" s="1208"/>
      <c r="BE10" s="1213"/>
      <c r="BM10" s="1204" t="s">
        <v>2375</v>
      </c>
    </row>
    <row r="11" spans="1:65" ht="14.5">
      <c r="A11" s="1207"/>
      <c r="B11" s="1209" t="s">
        <v>2374</v>
      </c>
      <c r="C11" s="1209"/>
      <c r="D11" s="1209"/>
      <c r="E11" s="1209"/>
      <c r="F11" s="1209"/>
      <c r="G11" s="1209"/>
      <c r="H11" s="1209"/>
      <c r="I11" s="1209"/>
      <c r="J11" s="1209"/>
      <c r="K11" s="1209"/>
      <c r="L11" s="1209"/>
      <c r="M11" s="1208"/>
      <c r="N11" s="1918">
        <f>Application!AA943</f>
        <v>0</v>
      </c>
      <c r="O11" s="1918"/>
      <c r="P11" s="1918"/>
      <c r="Q11" s="1918"/>
      <c r="R11" s="1918"/>
      <c r="S11" s="1918"/>
      <c r="T11" s="1918"/>
      <c r="U11" s="1208"/>
      <c r="V11" s="1208"/>
      <c r="W11" s="1208"/>
      <c r="X11" s="1214"/>
      <c r="Y11" s="1214"/>
      <c r="Z11" s="1214"/>
      <c r="AA11" s="1214"/>
      <c r="AB11" s="1214"/>
      <c r="AC11" s="1214"/>
      <c r="AD11" s="1214"/>
      <c r="AE11" s="1214"/>
      <c r="AF11" s="1900" t="s">
        <v>2373</v>
      </c>
      <c r="AG11" s="1900"/>
      <c r="AH11" s="1900"/>
      <c r="AI11" s="1900"/>
      <c r="AJ11" s="1900"/>
      <c r="AK11" s="1900"/>
      <c r="AL11" s="1900"/>
      <c r="AM11" s="1900"/>
      <c r="AN11" s="1900"/>
      <c r="AO11" s="1900"/>
      <c r="AP11" s="1901"/>
      <c r="AQ11" s="1902"/>
      <c r="AR11" s="1902"/>
      <c r="AS11" s="1902"/>
      <c r="AT11" s="1902"/>
      <c r="AU11" s="1902"/>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1906" t="s">
        <v>2371</v>
      </c>
      <c r="C13" s="1907"/>
      <c r="D13" s="1907"/>
      <c r="E13" s="1907"/>
      <c r="F13" s="1907"/>
      <c r="G13" s="1907"/>
      <c r="H13" s="1907"/>
      <c r="I13" s="1907"/>
      <c r="J13" s="1907"/>
      <c r="K13" s="1907"/>
      <c r="L13" s="1907"/>
      <c r="M13" s="1907"/>
      <c r="N13" s="1907"/>
      <c r="O13" s="1907"/>
      <c r="P13" s="1908"/>
      <c r="Q13" s="1909" t="s">
        <v>668</v>
      </c>
      <c r="R13" s="1910"/>
      <c r="S13" s="1910"/>
      <c r="T13" s="1911"/>
      <c r="U13" s="1214"/>
      <c r="V13" s="1208"/>
      <c r="W13" s="1208"/>
      <c r="X13" s="1208"/>
      <c r="Y13" s="1208"/>
      <c r="Z13" s="1208"/>
      <c r="AA13" s="1912" t="s">
        <v>2370</v>
      </c>
      <c r="AB13" s="1912"/>
      <c r="AC13" s="1912"/>
      <c r="AD13" s="1912"/>
      <c r="AE13" s="1912"/>
      <c r="AF13" s="1912"/>
      <c r="AG13" s="1912"/>
      <c r="AH13" s="1912"/>
      <c r="AI13" s="1912"/>
      <c r="AJ13" s="1912"/>
      <c r="AK13" s="1912"/>
      <c r="AL13" s="1912"/>
      <c r="AM13" s="1912"/>
      <c r="AN13" s="1912"/>
      <c r="AO13" s="1913">
        <f>Application!W481</f>
        <v>8</v>
      </c>
      <c r="AP13" s="1914"/>
      <c r="AQ13" s="1914"/>
      <c r="AR13" s="1914"/>
      <c r="AS13" s="1914"/>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5" t="s">
        <v>2368</v>
      </c>
      <c r="AB14" s="1915"/>
      <c r="AC14" s="1915"/>
      <c r="AD14" s="1915"/>
      <c r="AE14" s="1915"/>
      <c r="AF14" s="1915"/>
      <c r="AG14" s="1915"/>
      <c r="AH14" s="1915"/>
      <c r="AI14" s="1915"/>
      <c r="AJ14" s="1915"/>
      <c r="AK14" s="1915"/>
      <c r="AL14" s="1915"/>
      <c r="AM14" s="1915"/>
      <c r="AN14" s="1915"/>
      <c r="AO14" s="1916"/>
      <c r="AP14" s="1917"/>
      <c r="AQ14" s="1917"/>
      <c r="AR14" s="1917"/>
      <c r="AS14" s="1917"/>
      <c r="AT14" s="1214"/>
      <c r="AU14" s="1214"/>
      <c r="AV14" s="1214"/>
      <c r="AW14" s="1214"/>
      <c r="AX14" s="1214"/>
      <c r="AY14" s="1214"/>
      <c r="AZ14" s="1214"/>
      <c r="BA14" s="1214"/>
      <c r="BB14" s="1214"/>
      <c r="BC14" s="1214"/>
      <c r="BD14" s="1214"/>
      <c r="BE14" s="1215"/>
    </row>
    <row r="15" spans="1:65" ht="15" thickBot="1">
      <c r="A15" s="1208"/>
      <c r="B15" s="1919" t="s">
        <v>2367</v>
      </c>
      <c r="C15" s="1920"/>
      <c r="D15" s="1920"/>
      <c r="E15" s="1920"/>
      <c r="F15" s="1920"/>
      <c r="G15" s="1920"/>
      <c r="H15" s="1920"/>
      <c r="I15" s="1920"/>
      <c r="J15" s="1920"/>
      <c r="K15" s="1920"/>
      <c r="L15" s="1920"/>
      <c r="M15" s="1920"/>
      <c r="N15" s="1920"/>
      <c r="O15" s="1920"/>
      <c r="P15" s="1920"/>
      <c r="Q15" s="1920"/>
      <c r="R15" s="1921"/>
      <c r="S15" s="1922" t="str">
        <f>IF(Application!AB215="","",Application!AB215)</f>
        <v/>
      </c>
      <c r="T15" s="1922"/>
      <c r="U15" s="1922"/>
      <c r="V15" s="1922"/>
      <c r="W15" s="1923"/>
      <c r="X15" s="1214"/>
      <c r="Y15" s="1208"/>
      <c r="Z15" s="1208"/>
      <c r="AA15" s="1912" t="s">
        <v>2366</v>
      </c>
      <c r="AB15" s="1912"/>
      <c r="AC15" s="1912"/>
      <c r="AD15" s="1912"/>
      <c r="AE15" s="1912"/>
      <c r="AF15" s="1912"/>
      <c r="AG15" s="1912"/>
      <c r="AH15" s="1912"/>
      <c r="AI15" s="1912"/>
      <c r="AJ15" s="1912"/>
      <c r="AK15" s="1912"/>
      <c r="AL15" s="1912"/>
      <c r="AM15" s="1912"/>
      <c r="AN15" s="1912"/>
      <c r="AO15" s="1916"/>
      <c r="AP15" s="1917"/>
      <c r="AQ15" s="1917"/>
      <c r="AR15" s="1917"/>
      <c r="AS15" s="1917"/>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4" t="s">
        <v>2365</v>
      </c>
      <c r="C17" s="1925"/>
      <c r="D17" s="1925"/>
      <c r="E17" s="1925"/>
      <c r="F17" s="1925"/>
      <c r="G17" s="1925"/>
      <c r="H17" s="1925"/>
      <c r="I17" s="1925"/>
      <c r="J17" s="1925"/>
      <c r="K17" s="1925"/>
      <c r="L17" s="1925"/>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c r="AS17" s="1925"/>
      <c r="AT17" s="1925"/>
      <c r="AU17" s="1925"/>
      <c r="AV17" s="1925"/>
      <c r="AW17" s="1925"/>
      <c r="AX17" s="1925"/>
      <c r="AY17" s="1926"/>
      <c r="AZ17" s="1208"/>
      <c r="BA17" s="1208"/>
      <c r="BB17" s="1208"/>
      <c r="BC17" s="1208"/>
      <c r="BD17" s="1208"/>
      <c r="BE17" s="1215"/>
      <c r="BF17" s="1206"/>
    </row>
    <row r="18" spans="1:58" ht="15.75" customHeight="1">
      <c r="A18" s="1208"/>
      <c r="B18" s="1927" t="s">
        <v>2364</v>
      </c>
      <c r="C18" s="1928"/>
      <c r="D18" s="1928"/>
      <c r="E18" s="1928"/>
      <c r="F18" s="1928"/>
      <c r="G18" s="1928"/>
      <c r="H18" s="1928"/>
      <c r="I18" s="1929"/>
      <c r="J18" s="1930" t="s">
        <v>1574</v>
      </c>
      <c r="K18" s="1931"/>
      <c r="L18" s="1931"/>
      <c r="M18" s="1931"/>
      <c r="N18" s="1931"/>
      <c r="O18" s="1932"/>
      <c r="P18" s="1930" t="s">
        <v>324</v>
      </c>
      <c r="Q18" s="1931"/>
      <c r="R18" s="1931"/>
      <c r="S18" s="1931"/>
      <c r="T18" s="1931"/>
      <c r="U18" s="1932"/>
      <c r="V18" s="1930" t="s">
        <v>325</v>
      </c>
      <c r="W18" s="1931"/>
      <c r="X18" s="1931"/>
      <c r="Y18" s="1931"/>
      <c r="Z18" s="1931"/>
      <c r="AA18" s="1932"/>
      <c r="AB18" s="1930" t="s">
        <v>163</v>
      </c>
      <c r="AC18" s="1931"/>
      <c r="AD18" s="1931"/>
      <c r="AE18" s="1931"/>
      <c r="AF18" s="1931"/>
      <c r="AG18" s="1932"/>
      <c r="AH18" s="1930" t="s">
        <v>164</v>
      </c>
      <c r="AI18" s="1931"/>
      <c r="AJ18" s="1931"/>
      <c r="AK18" s="1931"/>
      <c r="AL18" s="1931"/>
      <c r="AM18" s="1932"/>
      <c r="AN18" s="1930" t="s">
        <v>165</v>
      </c>
      <c r="AO18" s="1931"/>
      <c r="AP18" s="1931"/>
      <c r="AQ18" s="1931"/>
      <c r="AR18" s="1931"/>
      <c r="AS18" s="1932"/>
      <c r="AT18" s="1930" t="s">
        <v>2363</v>
      </c>
      <c r="AU18" s="1931"/>
      <c r="AV18" s="1931"/>
      <c r="AW18" s="1931"/>
      <c r="AX18" s="1931"/>
      <c r="AY18" s="1933"/>
      <c r="AZ18" s="1208"/>
      <c r="BA18" s="1208"/>
      <c r="BB18" s="1208"/>
      <c r="BC18" s="1208"/>
      <c r="BD18" s="1208"/>
      <c r="BE18" s="1215"/>
    </row>
    <row r="19" spans="1:58" ht="14.5">
      <c r="A19" s="1208"/>
      <c r="B19" s="1934">
        <v>0.3</v>
      </c>
      <c r="C19" s="1935"/>
      <c r="D19" s="1935"/>
      <c r="E19" s="1935"/>
      <c r="F19" s="1935"/>
      <c r="G19" s="1935"/>
      <c r="H19" s="1935"/>
      <c r="I19" s="1936"/>
      <c r="J19" s="1937">
        <f t="shared" ref="J19:J24" si="0">SUM(P19:AS19)</f>
        <v>11</v>
      </c>
      <c r="K19" s="1938"/>
      <c r="L19" s="1938"/>
      <c r="M19" s="1938"/>
      <c r="N19" s="1938"/>
      <c r="O19" s="1939"/>
      <c r="P19" s="1937" cm="1">
        <f t="array" ref="P19">SUMPRODUCT((Application!$B$726:$B$760 = 'CalHFA Addendum'!P$18)*(Application!$AC$726:$AC$760 = 'CalHFA Addendum'!$B19),Application!$G$726:$G$760)</f>
        <v>0</v>
      </c>
      <c r="Q19" s="1938"/>
      <c r="R19" s="1938"/>
      <c r="S19" s="1938"/>
      <c r="T19" s="1938"/>
      <c r="U19" s="1939"/>
      <c r="V19" s="1937" cm="1">
        <f t="array" ref="V19">SUMPRODUCT((Application!$B$726:$B$760 = 'CalHFA Addendum'!V$18)*(Application!$AC$726:$AC$760 = 'CalHFA Addendum'!$B19),Application!$G$726:$G$760)</f>
        <v>0</v>
      </c>
      <c r="W19" s="1938"/>
      <c r="X19" s="1938"/>
      <c r="Y19" s="1938"/>
      <c r="Z19" s="1938"/>
      <c r="AA19" s="1939"/>
      <c r="AB19" s="1937" cm="1">
        <f t="array" ref="AB19">SUMPRODUCT((Application!$B$726:$B$760 = 'CalHFA Addendum'!AB$18)*(Application!$AC$726:$AC$760 = 'CalHFA Addendum'!$B19),Application!$G$726:$G$760)</f>
        <v>4</v>
      </c>
      <c r="AC19" s="1938"/>
      <c r="AD19" s="1938"/>
      <c r="AE19" s="1938"/>
      <c r="AF19" s="1938"/>
      <c r="AG19" s="1939"/>
      <c r="AH19" s="1937" cm="1">
        <f t="array" ref="AH19">SUMPRODUCT((Application!$B$726:$B$760 = 'CalHFA Addendum'!AH$18)*(Application!$AC$726:$AC$760 = 'CalHFA Addendum'!$B19),Application!$G$726:$G$760)</f>
        <v>7</v>
      </c>
      <c r="AI19" s="1938"/>
      <c r="AJ19" s="1938"/>
      <c r="AK19" s="1938"/>
      <c r="AL19" s="1938"/>
      <c r="AM19" s="1939"/>
      <c r="AN19" s="1937" cm="1">
        <f t="array" ref="AN19">SUMPRODUCT((Application!$B$726:$B$760 = 'CalHFA Addendum'!AN$18)*(Application!$AC$726:$AC$760 = 'CalHFA Addendum'!$B19),Application!$G$726:$G$760)</f>
        <v>0</v>
      </c>
      <c r="AO19" s="1938"/>
      <c r="AP19" s="1938"/>
      <c r="AQ19" s="1938"/>
      <c r="AR19" s="1938"/>
      <c r="AS19" s="1939"/>
      <c r="AT19" s="1940">
        <f>J19/$J$29</f>
        <v>0.11458333333333333</v>
      </c>
      <c r="AU19" s="1941"/>
      <c r="AV19" s="1941"/>
      <c r="AW19" s="1941"/>
      <c r="AX19" s="1941"/>
      <c r="AY19" s="1942"/>
      <c r="AZ19" s="1216"/>
      <c r="BA19" s="1208"/>
      <c r="BB19" s="1208"/>
      <c r="BC19" s="1208"/>
      <c r="BD19" s="1208"/>
      <c r="BE19" s="1215"/>
    </row>
    <row r="20" spans="1:58" ht="15" customHeight="1">
      <c r="A20" s="1208"/>
      <c r="B20" s="1934">
        <v>0.4</v>
      </c>
      <c r="C20" s="1935"/>
      <c r="D20" s="1935"/>
      <c r="E20" s="1935"/>
      <c r="F20" s="1935"/>
      <c r="G20" s="1935"/>
      <c r="H20" s="1935"/>
      <c r="I20" s="1936"/>
      <c r="J20" s="1937">
        <f t="shared" si="0"/>
        <v>0</v>
      </c>
      <c r="K20" s="1938"/>
      <c r="L20" s="1938"/>
      <c r="M20" s="1938"/>
      <c r="N20" s="1938"/>
      <c r="O20" s="1939"/>
      <c r="P20" s="1937" cm="1">
        <f t="array" ref="P20">SUMPRODUCT((Application!$B$726:$B$760 = 'CalHFA Addendum'!P$18)*(Application!$AC$726:$AC$760 = 'CalHFA Addendum'!$B20),Application!$G$726:$G$760)</f>
        <v>0</v>
      </c>
      <c r="Q20" s="1938"/>
      <c r="R20" s="1938"/>
      <c r="S20" s="1938"/>
      <c r="T20" s="1938"/>
      <c r="U20" s="1939"/>
      <c r="V20" s="1937" cm="1">
        <f t="array" ref="V20">SUMPRODUCT((Application!$B$726:$B$760 = 'CalHFA Addendum'!V$18)*(Application!$AC$726:$AC$760 = 'CalHFA Addendum'!$B20),Application!$G$726:$G$760)</f>
        <v>0</v>
      </c>
      <c r="W20" s="1938"/>
      <c r="X20" s="1938"/>
      <c r="Y20" s="1938"/>
      <c r="Z20" s="1938"/>
      <c r="AA20" s="1939"/>
      <c r="AB20" s="1937" cm="1">
        <f t="array" ref="AB20">SUMPRODUCT((Application!$B$726:$B$760 = 'CalHFA Addendum'!AB$18)*(Application!$AC$726:$AC$760 = 'CalHFA Addendum'!$B20),Application!$G$726:$G$760)</f>
        <v>0</v>
      </c>
      <c r="AC20" s="1938"/>
      <c r="AD20" s="1938"/>
      <c r="AE20" s="1938"/>
      <c r="AF20" s="1938"/>
      <c r="AG20" s="1939"/>
      <c r="AH20" s="1937" cm="1">
        <f t="array" ref="AH20">SUMPRODUCT((Application!$B$726:$B$760 = 'CalHFA Addendum'!AH$18)*(Application!$AC$726:$AC$760 = 'CalHFA Addendum'!$B20),Application!$G$726:$G$760)</f>
        <v>0</v>
      </c>
      <c r="AI20" s="1938"/>
      <c r="AJ20" s="1938"/>
      <c r="AK20" s="1938"/>
      <c r="AL20" s="1938"/>
      <c r="AM20" s="1939"/>
      <c r="AN20" s="1937" cm="1">
        <f t="array" ref="AN20">SUMPRODUCT((Application!$B$726:$B$760 = 'CalHFA Addendum'!AN$18)*(Application!$AC$726:$AC$760 = 'CalHFA Addendum'!$B20),Application!$G$726:$G$760)</f>
        <v>0</v>
      </c>
      <c r="AO20" s="1938"/>
      <c r="AP20" s="1938"/>
      <c r="AQ20" s="1938"/>
      <c r="AR20" s="1938"/>
      <c r="AS20" s="1939"/>
      <c r="AT20" s="1940">
        <f t="shared" ref="AT20:AT29" si="1">J20/$J$29</f>
        <v>0</v>
      </c>
      <c r="AU20" s="1941"/>
      <c r="AV20" s="1941"/>
      <c r="AW20" s="1941"/>
      <c r="AX20" s="1941"/>
      <c r="AY20" s="1942"/>
      <c r="AZ20" s="1208"/>
      <c r="BA20" s="1208"/>
      <c r="BB20" s="1208"/>
      <c r="BC20" s="1208"/>
      <c r="BD20" s="1208"/>
      <c r="BE20" s="1215"/>
    </row>
    <row r="21" spans="1:58" ht="14.5">
      <c r="A21" s="1208"/>
      <c r="B21" s="1934">
        <v>0.5</v>
      </c>
      <c r="C21" s="1935"/>
      <c r="D21" s="1935"/>
      <c r="E21" s="1935"/>
      <c r="F21" s="1935"/>
      <c r="G21" s="1935"/>
      <c r="H21" s="1935"/>
      <c r="I21" s="1936"/>
      <c r="J21" s="1937">
        <f t="shared" si="0"/>
        <v>11</v>
      </c>
      <c r="K21" s="1938"/>
      <c r="L21" s="1938"/>
      <c r="M21" s="1938"/>
      <c r="N21" s="1938"/>
      <c r="O21" s="1939"/>
      <c r="P21" s="1937" cm="1">
        <f t="array" ref="P21">SUMPRODUCT((Application!$B$726:$B$760 = 'CalHFA Addendum'!P$18)*(Application!$AC$726:$AC$760 = 'CalHFA Addendum'!$B21),Application!$G$726:$G$760)</f>
        <v>0</v>
      </c>
      <c r="Q21" s="1938"/>
      <c r="R21" s="1938"/>
      <c r="S21" s="1938"/>
      <c r="T21" s="1938"/>
      <c r="U21" s="1939"/>
      <c r="V21" s="1937" cm="1">
        <f t="array" ref="V21">SUMPRODUCT((Application!$B$726:$B$760 = 'CalHFA Addendum'!V$18)*(Application!$AC$726:$AC$760 = 'CalHFA Addendum'!$B21),Application!$G$726:$G$760)</f>
        <v>0</v>
      </c>
      <c r="W21" s="1938"/>
      <c r="X21" s="1938"/>
      <c r="Y21" s="1938"/>
      <c r="Z21" s="1938"/>
      <c r="AA21" s="1939"/>
      <c r="AB21" s="1937" cm="1">
        <f t="array" ref="AB21">SUMPRODUCT((Application!$B$726:$B$760 = 'CalHFA Addendum'!AB$18)*(Application!$AC$726:$AC$760 = 'CalHFA Addendum'!$B21),Application!$G$726:$G$760)</f>
        <v>4</v>
      </c>
      <c r="AC21" s="1938"/>
      <c r="AD21" s="1938"/>
      <c r="AE21" s="1938"/>
      <c r="AF21" s="1938"/>
      <c r="AG21" s="1939"/>
      <c r="AH21" s="1937" cm="1">
        <f t="array" ref="AH21">SUMPRODUCT((Application!$B$726:$B$760 = 'CalHFA Addendum'!AH$18)*(Application!$AC$726:$AC$760 = 'CalHFA Addendum'!$B21),Application!$G$726:$G$760)</f>
        <v>7</v>
      </c>
      <c r="AI21" s="1938"/>
      <c r="AJ21" s="1938"/>
      <c r="AK21" s="1938"/>
      <c r="AL21" s="1938"/>
      <c r="AM21" s="1939"/>
      <c r="AN21" s="1937" cm="1">
        <f t="array" ref="AN21">SUMPRODUCT((Application!$B$726:$B$760 = 'CalHFA Addendum'!AN$18)*(Application!$AC$726:$AC$760 = 'CalHFA Addendum'!$B21),Application!$G$726:$G$760)</f>
        <v>0</v>
      </c>
      <c r="AO21" s="1938"/>
      <c r="AP21" s="1938"/>
      <c r="AQ21" s="1938"/>
      <c r="AR21" s="1938"/>
      <c r="AS21" s="1939"/>
      <c r="AT21" s="1940">
        <f t="shared" si="1"/>
        <v>0.11458333333333333</v>
      </c>
      <c r="AU21" s="1941"/>
      <c r="AV21" s="1941"/>
      <c r="AW21" s="1941"/>
      <c r="AX21" s="1941"/>
      <c r="AY21" s="1942"/>
      <c r="AZ21" s="1208"/>
      <c r="BA21" s="1208"/>
      <c r="BB21" s="1208"/>
      <c r="BC21" s="1208"/>
      <c r="BD21" s="1208"/>
      <c r="BE21" s="1215"/>
    </row>
    <row r="22" spans="1:58" ht="14.5">
      <c r="A22" s="1208"/>
      <c r="B22" s="1934">
        <v>0.6</v>
      </c>
      <c r="C22" s="1935"/>
      <c r="D22" s="1935"/>
      <c r="E22" s="1935"/>
      <c r="F22" s="1935"/>
      <c r="G22" s="1935"/>
      <c r="H22" s="1935"/>
      <c r="I22" s="1936"/>
      <c r="J22" s="1937">
        <f t="shared" si="0"/>
        <v>30</v>
      </c>
      <c r="K22" s="1938"/>
      <c r="L22" s="1938"/>
      <c r="M22" s="1938"/>
      <c r="N22" s="1938"/>
      <c r="O22" s="1939"/>
      <c r="P22" s="1937" cm="1">
        <f t="array" ref="P22">SUMPRODUCT((Application!$B$726:$B$760 = 'CalHFA Addendum'!P$18)*(Application!$AC$726:$AC$760 = 'CalHFA Addendum'!$B22),Application!$G$726:$G$760)</f>
        <v>0</v>
      </c>
      <c r="Q22" s="1938"/>
      <c r="R22" s="1938"/>
      <c r="S22" s="1938"/>
      <c r="T22" s="1938"/>
      <c r="U22" s="1939"/>
      <c r="V22" s="1937" cm="1">
        <f t="array" ref="V22">SUMPRODUCT((Application!$B$726:$B$760 = 'CalHFA Addendum'!V$18)*(Application!$AC$726:$AC$760 = 'CalHFA Addendum'!$B22),Application!$G$726:$G$760)</f>
        <v>0</v>
      </c>
      <c r="W22" s="1938"/>
      <c r="X22" s="1938"/>
      <c r="Y22" s="1938"/>
      <c r="Z22" s="1938"/>
      <c r="AA22" s="1939"/>
      <c r="AB22" s="1937" cm="1">
        <f t="array" ref="AB22">SUMPRODUCT((Application!$B$726:$B$760 = 'CalHFA Addendum'!AB$18)*(Application!$AC$726:$AC$760 = 'CalHFA Addendum'!$B22),Application!$G$726:$G$760)</f>
        <v>12</v>
      </c>
      <c r="AC22" s="1938"/>
      <c r="AD22" s="1938"/>
      <c r="AE22" s="1938"/>
      <c r="AF22" s="1938"/>
      <c r="AG22" s="1939"/>
      <c r="AH22" s="1937" cm="1">
        <f t="array" ref="AH22">SUMPRODUCT((Application!$B$726:$B$760 = 'CalHFA Addendum'!AH$18)*(Application!$AC$726:$AC$760 = 'CalHFA Addendum'!$B22),Application!$G$726:$G$760)</f>
        <v>18</v>
      </c>
      <c r="AI22" s="1938"/>
      <c r="AJ22" s="1938"/>
      <c r="AK22" s="1938"/>
      <c r="AL22" s="1938"/>
      <c r="AM22" s="1939"/>
      <c r="AN22" s="1937" cm="1">
        <f t="array" ref="AN22">SUMPRODUCT((Application!$B$726:$B$760 = 'CalHFA Addendum'!AN$18)*(Application!$AC$726:$AC$760 = 'CalHFA Addendum'!$B22),Application!$G$726:$G$760)</f>
        <v>0</v>
      </c>
      <c r="AO22" s="1938"/>
      <c r="AP22" s="1938"/>
      <c r="AQ22" s="1938"/>
      <c r="AR22" s="1938"/>
      <c r="AS22" s="1939"/>
      <c r="AT22" s="1940">
        <f t="shared" si="1"/>
        <v>0.3125</v>
      </c>
      <c r="AU22" s="1941"/>
      <c r="AV22" s="1941"/>
      <c r="AW22" s="1941"/>
      <c r="AX22" s="1941"/>
      <c r="AY22" s="1942"/>
      <c r="AZ22" s="1208"/>
      <c r="BA22" s="1208"/>
      <c r="BB22" s="1208"/>
      <c r="BC22" s="1208"/>
      <c r="BD22" s="1208"/>
      <c r="BE22" s="1215"/>
    </row>
    <row r="23" spans="1:58" ht="14.5">
      <c r="A23" s="1208"/>
      <c r="B23" s="1934">
        <v>0.7</v>
      </c>
      <c r="C23" s="1935"/>
      <c r="D23" s="1935"/>
      <c r="E23" s="1935"/>
      <c r="F23" s="1935"/>
      <c r="G23" s="1935"/>
      <c r="H23" s="1935"/>
      <c r="I23" s="1936"/>
      <c r="J23" s="1937">
        <f t="shared" si="0"/>
        <v>43</v>
      </c>
      <c r="K23" s="1938"/>
      <c r="L23" s="1938"/>
      <c r="M23" s="1938"/>
      <c r="N23" s="1938"/>
      <c r="O23" s="1939"/>
      <c r="P23" s="1937" cm="1">
        <f t="array" ref="P23">SUMPRODUCT((Application!$B$726:$B$760 = 'CalHFA Addendum'!P$18)*(Application!$AC$726:$AC$760 = 'CalHFA Addendum'!$B23),Application!$G$726:$G$760)</f>
        <v>0</v>
      </c>
      <c r="Q23" s="1938"/>
      <c r="R23" s="1938"/>
      <c r="S23" s="1938"/>
      <c r="T23" s="1938"/>
      <c r="U23" s="1939"/>
      <c r="V23" s="1937" cm="1">
        <f t="array" ref="V23">SUMPRODUCT((Application!$B$726:$B$760 = 'CalHFA Addendum'!V$18)*(Application!$AC$726:$AC$760 = 'CalHFA Addendum'!$B23),Application!$G$726:$G$760)</f>
        <v>0</v>
      </c>
      <c r="W23" s="1938"/>
      <c r="X23" s="1938"/>
      <c r="Y23" s="1938"/>
      <c r="Z23" s="1938"/>
      <c r="AA23" s="1939"/>
      <c r="AB23" s="1937" cm="1">
        <f t="array" ref="AB23">SUMPRODUCT((Application!$B$726:$B$760 = 'CalHFA Addendum'!AB$18)*(Application!$AC$726:$AC$760 = 'CalHFA Addendum'!$B23),Application!$G$726:$G$760)</f>
        <v>14</v>
      </c>
      <c r="AC23" s="1938"/>
      <c r="AD23" s="1938"/>
      <c r="AE23" s="1938"/>
      <c r="AF23" s="1938"/>
      <c r="AG23" s="1939"/>
      <c r="AH23" s="1937" cm="1">
        <f t="array" ref="AH23">SUMPRODUCT((Application!$B$726:$B$760 = 'CalHFA Addendum'!AH$18)*(Application!$AC$726:$AC$760 = 'CalHFA Addendum'!$B23),Application!$G$726:$G$760)</f>
        <v>29</v>
      </c>
      <c r="AI23" s="1938"/>
      <c r="AJ23" s="1938"/>
      <c r="AK23" s="1938"/>
      <c r="AL23" s="1938"/>
      <c r="AM23" s="1939"/>
      <c r="AN23" s="1937" cm="1">
        <f t="array" ref="AN23">SUMPRODUCT((Application!$B$726:$B$760 = 'CalHFA Addendum'!AN$18)*(Application!$AC$726:$AC$760 = 'CalHFA Addendum'!$B23),Application!$G$726:$G$760)</f>
        <v>0</v>
      </c>
      <c r="AO23" s="1938"/>
      <c r="AP23" s="1938"/>
      <c r="AQ23" s="1938"/>
      <c r="AR23" s="1938"/>
      <c r="AS23" s="1939"/>
      <c r="AT23" s="1940">
        <f t="shared" si="1"/>
        <v>0.44791666666666669</v>
      </c>
      <c r="AU23" s="1941"/>
      <c r="AV23" s="1941"/>
      <c r="AW23" s="1941"/>
      <c r="AX23" s="1941"/>
      <c r="AY23" s="1942"/>
      <c r="AZ23" s="1208"/>
      <c r="BA23" s="1208"/>
      <c r="BB23" s="1208"/>
      <c r="BC23" s="1208"/>
      <c r="BD23" s="1208"/>
      <c r="BE23" s="1215"/>
    </row>
    <row r="24" spans="1:58" ht="14.5">
      <c r="A24" s="1208"/>
      <c r="B24" s="1934">
        <v>0.8</v>
      </c>
      <c r="C24" s="1935"/>
      <c r="D24" s="1935"/>
      <c r="E24" s="1935"/>
      <c r="F24" s="1935"/>
      <c r="G24" s="1935"/>
      <c r="H24" s="1935"/>
      <c r="I24" s="1936"/>
      <c r="J24" s="1937">
        <f t="shared" si="0"/>
        <v>0</v>
      </c>
      <c r="K24" s="1938"/>
      <c r="L24" s="1938"/>
      <c r="M24" s="1938"/>
      <c r="N24" s="1938"/>
      <c r="O24" s="1939"/>
      <c r="P24" s="1937" cm="1">
        <f t="array" ref="P24">SUMPRODUCT((Application!$B$726:$B$760 = 'CalHFA Addendum'!P$18)*(Application!$AC$726:$AC$760 = 'CalHFA Addendum'!$B24),Application!$G$726:$G$760)</f>
        <v>0</v>
      </c>
      <c r="Q24" s="1938"/>
      <c r="R24" s="1938"/>
      <c r="S24" s="1938"/>
      <c r="T24" s="1938"/>
      <c r="U24" s="1939"/>
      <c r="V24" s="1937" cm="1">
        <f t="array" ref="V24">SUMPRODUCT((Application!$B$726:$B$760 = 'CalHFA Addendum'!V$18)*(Application!$AC$726:$AC$760 = 'CalHFA Addendum'!$B24),Application!$G$726:$G$760)</f>
        <v>0</v>
      </c>
      <c r="W24" s="1938"/>
      <c r="X24" s="1938"/>
      <c r="Y24" s="1938"/>
      <c r="Z24" s="1938"/>
      <c r="AA24" s="1939"/>
      <c r="AB24" s="1937" cm="1">
        <f t="array" ref="AB24">SUMPRODUCT((Application!$B$726:$B$760 = 'CalHFA Addendum'!AB$18)*(Application!$AC$726:$AC$760 = 'CalHFA Addendum'!$B24),Application!$G$726:$G$760)</f>
        <v>0</v>
      </c>
      <c r="AC24" s="1938"/>
      <c r="AD24" s="1938"/>
      <c r="AE24" s="1938"/>
      <c r="AF24" s="1938"/>
      <c r="AG24" s="1939"/>
      <c r="AH24" s="1937" cm="1">
        <f t="array" ref="AH24">SUMPRODUCT((Application!$B$726:$B$760 = 'CalHFA Addendum'!AH$18)*(Application!$AC$726:$AC$760 = 'CalHFA Addendum'!$B24),Application!$G$726:$G$760)</f>
        <v>0</v>
      </c>
      <c r="AI24" s="1938"/>
      <c r="AJ24" s="1938"/>
      <c r="AK24" s="1938"/>
      <c r="AL24" s="1938"/>
      <c r="AM24" s="1939"/>
      <c r="AN24" s="1937" cm="1">
        <f t="array" ref="AN24">SUMPRODUCT((Application!$B$726:$B$760 = 'CalHFA Addendum'!AN$18)*(Application!$AC$726:$AC$760 = 'CalHFA Addendum'!$B24),Application!$G$726:$G$760)</f>
        <v>0</v>
      </c>
      <c r="AO24" s="1938"/>
      <c r="AP24" s="1938"/>
      <c r="AQ24" s="1938"/>
      <c r="AR24" s="1938"/>
      <c r="AS24" s="1939"/>
      <c r="AT24" s="1940">
        <f t="shared" si="1"/>
        <v>0</v>
      </c>
      <c r="AU24" s="1941"/>
      <c r="AV24" s="1941"/>
      <c r="AW24" s="1941"/>
      <c r="AX24" s="1941"/>
      <c r="AY24" s="1942"/>
      <c r="AZ24" s="1208"/>
      <c r="BA24" s="1208"/>
      <c r="BB24" s="1208"/>
      <c r="BC24" s="1208"/>
      <c r="BD24" s="1208"/>
      <c r="BE24" s="1215"/>
    </row>
    <row r="25" spans="1:58" ht="14.5">
      <c r="A25" s="1208"/>
      <c r="B25" s="1934">
        <v>0.9</v>
      </c>
      <c r="C25" s="1935"/>
      <c r="D25" s="1935"/>
      <c r="E25" s="1935"/>
      <c r="F25" s="1935"/>
      <c r="G25" s="1935"/>
      <c r="H25" s="1935"/>
      <c r="I25" s="1936"/>
      <c r="J25" s="1943"/>
      <c r="K25" s="1944"/>
      <c r="L25" s="1944"/>
      <c r="M25" s="1944"/>
      <c r="N25" s="1944"/>
      <c r="O25" s="1945"/>
      <c r="P25" s="1943"/>
      <c r="Q25" s="1944"/>
      <c r="R25" s="1944"/>
      <c r="S25" s="1944"/>
      <c r="T25" s="1944"/>
      <c r="U25" s="1945"/>
      <c r="V25" s="1943"/>
      <c r="W25" s="1944"/>
      <c r="X25" s="1944"/>
      <c r="Y25" s="1944"/>
      <c r="Z25" s="1944"/>
      <c r="AA25" s="1945"/>
      <c r="AB25" s="1943"/>
      <c r="AC25" s="1944"/>
      <c r="AD25" s="1944"/>
      <c r="AE25" s="1944"/>
      <c r="AF25" s="1944"/>
      <c r="AG25" s="1945"/>
      <c r="AH25" s="1943"/>
      <c r="AI25" s="1944"/>
      <c r="AJ25" s="1944"/>
      <c r="AK25" s="1944"/>
      <c r="AL25" s="1944"/>
      <c r="AM25" s="1945"/>
      <c r="AN25" s="1943"/>
      <c r="AO25" s="1944"/>
      <c r="AP25" s="1944"/>
      <c r="AQ25" s="1944"/>
      <c r="AR25" s="1944"/>
      <c r="AS25" s="1945"/>
      <c r="AT25" s="1940">
        <f t="shared" si="1"/>
        <v>0</v>
      </c>
      <c r="AU25" s="1941"/>
      <c r="AV25" s="1941"/>
      <c r="AW25" s="1941"/>
      <c r="AX25" s="1941"/>
      <c r="AY25" s="1942"/>
      <c r="AZ25" s="1208"/>
      <c r="BA25" s="1208"/>
      <c r="BB25" s="1208"/>
      <c r="BC25" s="1208"/>
      <c r="BD25" s="1208"/>
      <c r="BE25" s="1215"/>
    </row>
    <row r="26" spans="1:58" ht="14.5">
      <c r="A26" s="1208"/>
      <c r="B26" s="1934">
        <v>1</v>
      </c>
      <c r="C26" s="1935"/>
      <c r="D26" s="1935"/>
      <c r="E26" s="1935"/>
      <c r="F26" s="1935"/>
      <c r="G26" s="1935"/>
      <c r="H26" s="1935"/>
      <c r="I26" s="1936"/>
      <c r="J26" s="1943"/>
      <c r="K26" s="1944"/>
      <c r="L26" s="1944"/>
      <c r="M26" s="1944"/>
      <c r="N26" s="1944"/>
      <c r="O26" s="1945"/>
      <c r="P26" s="1943"/>
      <c r="Q26" s="1944"/>
      <c r="R26" s="1944"/>
      <c r="S26" s="1944"/>
      <c r="T26" s="1944"/>
      <c r="U26" s="1945"/>
      <c r="V26" s="1943"/>
      <c r="W26" s="1944"/>
      <c r="X26" s="1944"/>
      <c r="Y26" s="1944"/>
      <c r="Z26" s="1944"/>
      <c r="AA26" s="1945"/>
      <c r="AB26" s="1943"/>
      <c r="AC26" s="1944"/>
      <c r="AD26" s="1944"/>
      <c r="AE26" s="1944"/>
      <c r="AF26" s="1944"/>
      <c r="AG26" s="1945"/>
      <c r="AH26" s="1943"/>
      <c r="AI26" s="1944"/>
      <c r="AJ26" s="1944"/>
      <c r="AK26" s="1944"/>
      <c r="AL26" s="1944"/>
      <c r="AM26" s="1945"/>
      <c r="AN26" s="1943"/>
      <c r="AO26" s="1944"/>
      <c r="AP26" s="1944"/>
      <c r="AQ26" s="1944"/>
      <c r="AR26" s="1944"/>
      <c r="AS26" s="1945"/>
      <c r="AT26" s="1940">
        <f t="shared" si="1"/>
        <v>0</v>
      </c>
      <c r="AU26" s="1941"/>
      <c r="AV26" s="1941"/>
      <c r="AW26" s="1941"/>
      <c r="AX26" s="1941"/>
      <c r="AY26" s="1942"/>
      <c r="AZ26" s="1208"/>
      <c r="BA26" s="1208"/>
      <c r="BB26" s="1208"/>
      <c r="BC26" s="1208"/>
      <c r="BD26" s="1208"/>
      <c r="BE26" s="1215"/>
    </row>
    <row r="27" spans="1:58" ht="14.5">
      <c r="A27" s="1208"/>
      <c r="B27" s="1934">
        <v>1.2</v>
      </c>
      <c r="C27" s="1935"/>
      <c r="D27" s="1935"/>
      <c r="E27" s="1935"/>
      <c r="F27" s="1935"/>
      <c r="G27" s="1935"/>
      <c r="H27" s="1935"/>
      <c r="I27" s="1936"/>
      <c r="J27" s="1943"/>
      <c r="K27" s="1944"/>
      <c r="L27" s="1944"/>
      <c r="M27" s="1944"/>
      <c r="N27" s="1944"/>
      <c r="O27" s="1945"/>
      <c r="P27" s="1943"/>
      <c r="Q27" s="1944"/>
      <c r="R27" s="1944"/>
      <c r="S27" s="1944"/>
      <c r="T27" s="1944"/>
      <c r="U27" s="1945"/>
      <c r="V27" s="1943"/>
      <c r="W27" s="1944"/>
      <c r="X27" s="1944"/>
      <c r="Y27" s="1944"/>
      <c r="Z27" s="1944"/>
      <c r="AA27" s="1945"/>
      <c r="AB27" s="1943"/>
      <c r="AC27" s="1944"/>
      <c r="AD27" s="1944"/>
      <c r="AE27" s="1944"/>
      <c r="AF27" s="1944"/>
      <c r="AG27" s="1945"/>
      <c r="AH27" s="1943"/>
      <c r="AI27" s="1944"/>
      <c r="AJ27" s="1944"/>
      <c r="AK27" s="1944"/>
      <c r="AL27" s="1944"/>
      <c r="AM27" s="1945"/>
      <c r="AN27" s="1943"/>
      <c r="AO27" s="1944"/>
      <c r="AP27" s="1944"/>
      <c r="AQ27" s="1944"/>
      <c r="AR27" s="1944"/>
      <c r="AS27" s="1945"/>
      <c r="AT27" s="1940">
        <f t="shared" si="1"/>
        <v>0</v>
      </c>
      <c r="AU27" s="1941"/>
      <c r="AV27" s="1941"/>
      <c r="AW27" s="1941"/>
      <c r="AX27" s="1941"/>
      <c r="AY27" s="1942"/>
      <c r="AZ27" s="1208"/>
      <c r="BA27" s="1208"/>
      <c r="BB27" s="1208"/>
      <c r="BC27" s="1208"/>
      <c r="BD27" s="1208"/>
      <c r="BE27" s="1215"/>
    </row>
    <row r="28" spans="1:58" ht="15" thickBot="1">
      <c r="A28" s="1208"/>
      <c r="B28" s="1946" t="s">
        <v>2362</v>
      </c>
      <c r="C28" s="1947"/>
      <c r="D28" s="1947"/>
      <c r="E28" s="1947"/>
      <c r="F28" s="1947"/>
      <c r="G28" s="1947"/>
      <c r="H28" s="1947"/>
      <c r="I28" s="1948"/>
      <c r="J28" s="1949">
        <f>SUM(P28:AS28)</f>
        <v>1</v>
      </c>
      <c r="K28" s="1950"/>
      <c r="L28" s="1950"/>
      <c r="M28" s="1950"/>
      <c r="N28" s="1950"/>
      <c r="O28" s="1951"/>
      <c r="P28" s="1949">
        <f>_xlfn.IFNA(VLOOKUP(P$18,Application!$J$781:$S$784,6,FALSE), 0)</f>
        <v>0</v>
      </c>
      <c r="Q28" s="1950"/>
      <c r="R28" s="1950"/>
      <c r="S28" s="1950"/>
      <c r="T28" s="1950"/>
      <c r="U28" s="1951"/>
      <c r="V28" s="1949">
        <f>_xlfn.IFNA(VLOOKUP(V$18,Application!$J$781:$S$784,6,FALSE), 0)</f>
        <v>0</v>
      </c>
      <c r="W28" s="1950"/>
      <c r="X28" s="1950"/>
      <c r="Y28" s="1950"/>
      <c r="Z28" s="1950"/>
      <c r="AA28" s="1951"/>
      <c r="AB28" s="1949">
        <f>_xlfn.IFNA(VLOOKUP(AB$18,Application!$J$781:$S$784,6,FALSE), 0)</f>
        <v>0</v>
      </c>
      <c r="AC28" s="1950"/>
      <c r="AD28" s="1950"/>
      <c r="AE28" s="1950"/>
      <c r="AF28" s="1950"/>
      <c r="AG28" s="1951"/>
      <c r="AH28" s="1949">
        <f>_xlfn.IFNA(VLOOKUP(AH$18,Application!$J$781:$S$784,6,FALSE), 0)</f>
        <v>1</v>
      </c>
      <c r="AI28" s="1950"/>
      <c r="AJ28" s="1950"/>
      <c r="AK28" s="1950"/>
      <c r="AL28" s="1950"/>
      <c r="AM28" s="1951"/>
      <c r="AN28" s="1949">
        <f>_xlfn.IFNA(VLOOKUP(AN$18,Application!$J$781:$S$784,6,FALSE), 0)</f>
        <v>0</v>
      </c>
      <c r="AO28" s="1950"/>
      <c r="AP28" s="1950"/>
      <c r="AQ28" s="1950"/>
      <c r="AR28" s="1950"/>
      <c r="AS28" s="1951"/>
      <c r="AT28" s="1952">
        <f t="shared" si="1"/>
        <v>1.0416666666666666E-2</v>
      </c>
      <c r="AU28" s="1953"/>
      <c r="AV28" s="1953"/>
      <c r="AW28" s="1953"/>
      <c r="AX28" s="1953"/>
      <c r="AY28" s="1954"/>
      <c r="AZ28" s="1208"/>
      <c r="BA28" s="1208"/>
      <c r="BB28" s="1208"/>
      <c r="BC28" s="1208"/>
      <c r="BD28" s="1208"/>
      <c r="BE28" s="1215"/>
    </row>
    <row r="29" spans="1:58" ht="15" thickBot="1">
      <c r="A29" s="1208"/>
      <c r="B29" s="1983" t="s">
        <v>1574</v>
      </c>
      <c r="C29" s="1956"/>
      <c r="D29" s="1956"/>
      <c r="E29" s="1956"/>
      <c r="F29" s="1956"/>
      <c r="G29" s="1956"/>
      <c r="H29" s="1956"/>
      <c r="I29" s="1957"/>
      <c r="J29" s="1955">
        <f>SUM(J19:O28)</f>
        <v>96</v>
      </c>
      <c r="K29" s="1956"/>
      <c r="L29" s="1956"/>
      <c r="M29" s="1956"/>
      <c r="N29" s="1956"/>
      <c r="O29" s="1957"/>
      <c r="P29" s="1955">
        <f>SUM(P19:U28)</f>
        <v>0</v>
      </c>
      <c r="Q29" s="1956"/>
      <c r="R29" s="1956"/>
      <c r="S29" s="1956"/>
      <c r="T29" s="1956"/>
      <c r="U29" s="1957"/>
      <c r="V29" s="1955">
        <f>SUM(V19:AA28)</f>
        <v>0</v>
      </c>
      <c r="W29" s="1956"/>
      <c r="X29" s="1956"/>
      <c r="Y29" s="1956"/>
      <c r="Z29" s="1956"/>
      <c r="AA29" s="1957"/>
      <c r="AB29" s="1955">
        <f>SUM(AB19:AG28)</f>
        <v>34</v>
      </c>
      <c r="AC29" s="1956"/>
      <c r="AD29" s="1956"/>
      <c r="AE29" s="1956"/>
      <c r="AF29" s="1956"/>
      <c r="AG29" s="1957"/>
      <c r="AH29" s="1955">
        <f>SUM(AH19:AM28)</f>
        <v>62</v>
      </c>
      <c r="AI29" s="1956"/>
      <c r="AJ29" s="1956"/>
      <c r="AK29" s="1956"/>
      <c r="AL29" s="1956"/>
      <c r="AM29" s="1957"/>
      <c r="AN29" s="1955">
        <f>SUM(AN19:AS28)</f>
        <v>0</v>
      </c>
      <c r="AO29" s="1956"/>
      <c r="AP29" s="1956"/>
      <c r="AQ29" s="1956"/>
      <c r="AR29" s="1956"/>
      <c r="AS29" s="1957"/>
      <c r="AT29" s="1958">
        <f t="shared" si="1"/>
        <v>1</v>
      </c>
      <c r="AU29" s="1959"/>
      <c r="AV29" s="1959"/>
      <c r="AW29" s="1959"/>
      <c r="AX29" s="1959"/>
      <c r="AY29" s="1960"/>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61" t="s">
        <v>2361</v>
      </c>
      <c r="C31" s="1962"/>
      <c r="D31" s="1962"/>
      <c r="E31" s="1962"/>
      <c r="F31" s="1962"/>
      <c r="G31" s="1962"/>
      <c r="H31" s="1962"/>
      <c r="I31" s="1962"/>
      <c r="J31" s="1962"/>
      <c r="K31" s="1962"/>
      <c r="L31" s="1962"/>
      <c r="M31" s="1962"/>
      <c r="N31" s="1962"/>
      <c r="O31" s="1962"/>
      <c r="P31" s="1962"/>
      <c r="Q31" s="1962"/>
      <c r="R31" s="1962"/>
      <c r="S31" s="1962"/>
      <c r="T31" s="1962"/>
      <c r="U31" s="1962"/>
      <c r="V31" s="1962"/>
      <c r="W31" s="1962"/>
      <c r="X31" s="1962"/>
      <c r="Y31" s="1962"/>
      <c r="Z31" s="1962"/>
      <c r="AA31" s="1962"/>
      <c r="AB31" s="1962"/>
      <c r="AC31" s="1962"/>
      <c r="AD31" s="1962"/>
      <c r="AE31" s="1962"/>
      <c r="AF31" s="1962"/>
      <c r="AG31" s="1962"/>
      <c r="AH31" s="1962"/>
      <c r="AI31" s="1962"/>
      <c r="AJ31" s="1962"/>
      <c r="AK31" s="1962"/>
      <c r="AL31" s="1962"/>
      <c r="AM31" s="1962"/>
      <c r="AN31" s="1962"/>
      <c r="AO31" s="1962"/>
      <c r="AP31" s="1962"/>
      <c r="AQ31" s="1962"/>
      <c r="AR31" s="1962"/>
      <c r="AS31" s="1962"/>
      <c r="AT31" s="1962"/>
      <c r="AU31" s="1962"/>
      <c r="AV31" s="1962"/>
      <c r="AW31" s="1962"/>
      <c r="AX31" s="1962"/>
      <c r="AY31" s="1962"/>
      <c r="AZ31" s="1962"/>
      <c r="BA31" s="1962"/>
      <c r="BB31" s="1962"/>
      <c r="BC31" s="1962"/>
      <c r="BD31" s="1963"/>
      <c r="BE31" s="1215"/>
    </row>
    <row r="32" spans="1:58" ht="15" thickBot="1">
      <c r="A32" s="1208"/>
      <c r="B32" s="1964" t="s">
        <v>2360</v>
      </c>
      <c r="C32" s="1965"/>
      <c r="D32" s="1965"/>
      <c r="E32" s="1965"/>
      <c r="F32" s="1965"/>
      <c r="G32" s="1965"/>
      <c r="H32" s="1965"/>
      <c r="I32" s="1965"/>
      <c r="J32" s="1968" t="s">
        <v>2359</v>
      </c>
      <c r="K32" s="1969"/>
      <c r="L32" s="1969"/>
      <c r="M32" s="1969"/>
      <c r="N32" s="1968" t="s">
        <v>2358</v>
      </c>
      <c r="O32" s="1969"/>
      <c r="P32" s="1969"/>
      <c r="Q32" s="1971"/>
      <c r="R32" s="1973" t="s">
        <v>2357</v>
      </c>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4"/>
      <c r="AP32" s="1974"/>
      <c r="AQ32" s="1974"/>
      <c r="AR32" s="1974"/>
      <c r="AS32" s="1974"/>
      <c r="AT32" s="1974"/>
      <c r="AU32" s="1974"/>
      <c r="AV32" s="1974"/>
      <c r="AW32" s="1974"/>
      <c r="AX32" s="1974"/>
      <c r="AY32" s="1974"/>
      <c r="AZ32" s="1974"/>
      <c r="BA32" s="1974"/>
      <c r="BB32" s="1974"/>
      <c r="BC32" s="1974"/>
      <c r="BD32" s="1975"/>
      <c r="BE32" s="1215"/>
    </row>
    <row r="33" spans="1:58" ht="15" customHeight="1">
      <c r="A33" s="1208"/>
      <c r="B33" s="1966"/>
      <c r="C33" s="1967"/>
      <c r="D33" s="1967"/>
      <c r="E33" s="1967"/>
      <c r="F33" s="1967"/>
      <c r="G33" s="1967"/>
      <c r="H33" s="1967"/>
      <c r="I33" s="1967"/>
      <c r="J33" s="1970"/>
      <c r="K33" s="1970"/>
      <c r="L33" s="1970"/>
      <c r="M33" s="1970"/>
      <c r="N33" s="1970"/>
      <c r="O33" s="1970"/>
      <c r="P33" s="1970"/>
      <c r="Q33" s="1972"/>
      <c r="R33" s="1976" t="s">
        <v>2356</v>
      </c>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77"/>
      <c r="AO33" s="1977"/>
      <c r="AP33" s="1977"/>
      <c r="AQ33" s="1977"/>
      <c r="AR33" s="1977"/>
      <c r="AS33" s="1977"/>
      <c r="AT33" s="1977"/>
      <c r="AU33" s="1977"/>
      <c r="AV33" s="1977"/>
      <c r="AW33" s="1977"/>
      <c r="AX33" s="1977"/>
      <c r="AY33" s="1977"/>
      <c r="AZ33" s="1977"/>
      <c r="BA33" s="1977"/>
      <c r="BB33" s="1977"/>
      <c r="BC33" s="1977"/>
      <c r="BD33" s="1978"/>
      <c r="BE33" s="1215"/>
    </row>
    <row r="34" spans="1:58" ht="15.75" customHeight="1" thickBot="1">
      <c r="A34" s="1208"/>
      <c r="B34" s="1966"/>
      <c r="C34" s="1967"/>
      <c r="D34" s="1967"/>
      <c r="E34" s="1967"/>
      <c r="F34" s="1967"/>
      <c r="G34" s="1967"/>
      <c r="H34" s="1967"/>
      <c r="I34" s="1967"/>
      <c r="J34" s="1970"/>
      <c r="K34" s="1970"/>
      <c r="L34" s="1970"/>
      <c r="M34" s="1970"/>
      <c r="N34" s="1970"/>
      <c r="O34" s="1970"/>
      <c r="P34" s="1970"/>
      <c r="Q34" s="1972"/>
      <c r="R34" s="1979"/>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80"/>
      <c r="AT34" s="1980"/>
      <c r="AU34" s="1980"/>
      <c r="AV34" s="1980"/>
      <c r="AW34" s="1980"/>
      <c r="AX34" s="1980"/>
      <c r="AY34" s="1980"/>
      <c r="AZ34" s="1980"/>
      <c r="BA34" s="1980"/>
      <c r="BB34" s="1980"/>
      <c r="BC34" s="1980"/>
      <c r="BD34" s="1981"/>
      <c r="BE34" s="1215"/>
    </row>
    <row r="35" spans="1:58" ht="15.75" customHeight="1">
      <c r="A35" s="1208"/>
      <c r="B35" s="1966"/>
      <c r="C35" s="1967"/>
      <c r="D35" s="1967"/>
      <c r="E35" s="1967"/>
      <c r="F35" s="1967"/>
      <c r="G35" s="1967"/>
      <c r="H35" s="1967"/>
      <c r="I35" s="1967"/>
      <c r="J35" s="1970"/>
      <c r="K35" s="1970"/>
      <c r="L35" s="1970"/>
      <c r="M35" s="1970"/>
      <c r="N35" s="1970"/>
      <c r="O35" s="1970"/>
      <c r="P35" s="1970"/>
      <c r="Q35" s="1970"/>
      <c r="R35" s="1982">
        <v>0.3</v>
      </c>
      <c r="S35" s="1982"/>
      <c r="T35" s="1982"/>
      <c r="U35" s="1982"/>
      <c r="V35" s="1982">
        <v>0.4</v>
      </c>
      <c r="W35" s="1982"/>
      <c r="X35" s="1982"/>
      <c r="Y35" s="1982"/>
      <c r="Z35" s="1982">
        <v>0.5</v>
      </c>
      <c r="AA35" s="1982"/>
      <c r="AB35" s="1982"/>
      <c r="AC35" s="1982"/>
      <c r="AD35" s="1982">
        <v>0.6</v>
      </c>
      <c r="AE35" s="1982"/>
      <c r="AF35" s="1982"/>
      <c r="AG35" s="1982"/>
      <c r="AH35" s="1982">
        <v>0.7</v>
      </c>
      <c r="AI35" s="1982"/>
      <c r="AJ35" s="1982"/>
      <c r="AK35" s="1982"/>
      <c r="AL35" s="1987">
        <v>0.8</v>
      </c>
      <c r="AM35" s="1988"/>
      <c r="AN35" s="1988"/>
      <c r="AO35" s="1989"/>
      <c r="AP35" s="1990">
        <v>1.2</v>
      </c>
      <c r="AQ35" s="1991"/>
      <c r="AR35" s="1992"/>
      <c r="AS35" s="1984" t="s">
        <v>2355</v>
      </c>
      <c r="AT35" s="1985"/>
      <c r="AU35" s="1985"/>
      <c r="AV35" s="1985"/>
      <c r="AW35" s="1985"/>
      <c r="AX35" s="1993"/>
      <c r="AY35" s="1984" t="s">
        <v>2354</v>
      </c>
      <c r="AZ35" s="1985"/>
      <c r="BA35" s="1985"/>
      <c r="BB35" s="1985"/>
      <c r="BC35" s="1985"/>
      <c r="BD35" s="1986"/>
      <c r="BE35" s="1215"/>
    </row>
    <row r="36" spans="1:58" ht="15.75" customHeight="1">
      <c r="A36" s="1208"/>
      <c r="B36" s="2003" t="s">
        <v>2353</v>
      </c>
      <c r="C36" s="2004"/>
      <c r="D36" s="2004"/>
      <c r="E36" s="2004"/>
      <c r="F36" s="2004"/>
      <c r="G36" s="2004"/>
      <c r="H36" s="2004"/>
      <c r="I36" s="2004"/>
      <c r="J36" s="2005" t="s">
        <v>2352</v>
      </c>
      <c r="K36" s="2005"/>
      <c r="L36" s="2005"/>
      <c r="M36" s="2005"/>
      <c r="N36" s="2005">
        <v>55</v>
      </c>
      <c r="O36" s="2005"/>
      <c r="P36" s="2005"/>
      <c r="Q36" s="2005"/>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1994"/>
      <c r="AM36" s="1995"/>
      <c r="AN36" s="1995"/>
      <c r="AO36" s="1996"/>
      <c r="AP36" s="1994"/>
      <c r="AQ36" s="1995"/>
      <c r="AR36" s="1996"/>
      <c r="AS36" s="1997">
        <f t="shared" ref="AS36:AS47" si="2">SUM(R36:AR36)</f>
        <v>0</v>
      </c>
      <c r="AT36" s="1998"/>
      <c r="AU36" s="1998"/>
      <c r="AV36" s="1998"/>
      <c r="AW36" s="1998"/>
      <c r="AX36" s="1999"/>
      <c r="AY36" s="2000">
        <f t="shared" ref="AY36:AY47" si="3">AS36/$J$29</f>
        <v>0</v>
      </c>
      <c r="AZ36" s="2001"/>
      <c r="BA36" s="2001"/>
      <c r="BB36" s="2001"/>
      <c r="BC36" s="2001"/>
      <c r="BD36" s="2002"/>
      <c r="BE36" s="1215"/>
    </row>
    <row r="37" spans="1:58" ht="15.75" customHeight="1">
      <c r="A37" s="1208"/>
      <c r="B37" s="2003" t="s">
        <v>2351</v>
      </c>
      <c r="C37" s="2004"/>
      <c r="D37" s="2004"/>
      <c r="E37" s="2004"/>
      <c r="F37" s="2004"/>
      <c r="G37" s="2004"/>
      <c r="H37" s="2004"/>
      <c r="I37" s="2004"/>
      <c r="J37" s="2005" t="s">
        <v>2350</v>
      </c>
      <c r="K37" s="2005"/>
      <c r="L37" s="2005"/>
      <c r="M37" s="2005"/>
      <c r="N37" s="2005">
        <v>55</v>
      </c>
      <c r="O37" s="2005"/>
      <c r="P37" s="2005"/>
      <c r="Q37" s="2005"/>
      <c r="R37" s="2006"/>
      <c r="S37" s="2006"/>
      <c r="T37" s="2006"/>
      <c r="U37" s="2006"/>
      <c r="V37" s="2006"/>
      <c r="W37" s="2006"/>
      <c r="X37" s="2006"/>
      <c r="Y37" s="2006"/>
      <c r="Z37" s="2006"/>
      <c r="AA37" s="2006"/>
      <c r="AB37" s="2006"/>
      <c r="AC37" s="2006"/>
      <c r="AD37" s="2006"/>
      <c r="AE37" s="2006"/>
      <c r="AF37" s="2006"/>
      <c r="AG37" s="2006"/>
      <c r="AH37" s="2006"/>
      <c r="AI37" s="2006"/>
      <c r="AJ37" s="2006"/>
      <c r="AK37" s="2006"/>
      <c r="AL37" s="1994"/>
      <c r="AM37" s="1995"/>
      <c r="AN37" s="1995"/>
      <c r="AO37" s="1996"/>
      <c r="AP37" s="1994"/>
      <c r="AQ37" s="1995"/>
      <c r="AR37" s="1996"/>
      <c r="AS37" s="1997">
        <f t="shared" si="2"/>
        <v>0</v>
      </c>
      <c r="AT37" s="1998"/>
      <c r="AU37" s="1998"/>
      <c r="AV37" s="1998"/>
      <c r="AW37" s="1998"/>
      <c r="AX37" s="1999"/>
      <c r="AY37" s="2000">
        <f t="shared" si="3"/>
        <v>0</v>
      </c>
      <c r="AZ37" s="2001"/>
      <c r="BA37" s="2001"/>
      <c r="BB37" s="2001"/>
      <c r="BC37" s="2001"/>
      <c r="BD37" s="2002"/>
      <c r="BE37" s="1215"/>
    </row>
    <row r="38" spans="1:58" ht="15.75" customHeight="1">
      <c r="A38" s="1208"/>
      <c r="B38" s="2003" t="s">
        <v>2349</v>
      </c>
      <c r="C38" s="2004"/>
      <c r="D38" s="2004"/>
      <c r="E38" s="2004"/>
      <c r="F38" s="2004"/>
      <c r="G38" s="2004"/>
      <c r="H38" s="2004"/>
      <c r="I38" s="2004"/>
      <c r="J38" s="2005" t="s">
        <v>2348</v>
      </c>
      <c r="K38" s="2005"/>
      <c r="L38" s="2005"/>
      <c r="M38" s="2005"/>
      <c r="N38" s="2005">
        <v>55</v>
      </c>
      <c r="O38" s="2005"/>
      <c r="P38" s="2005"/>
      <c r="Q38" s="2005"/>
      <c r="R38" s="2006"/>
      <c r="S38" s="2006"/>
      <c r="T38" s="2006"/>
      <c r="U38" s="2006"/>
      <c r="V38" s="2006"/>
      <c r="W38" s="2006"/>
      <c r="X38" s="2006"/>
      <c r="Y38" s="2006"/>
      <c r="Z38" s="2006"/>
      <c r="AA38" s="2006"/>
      <c r="AB38" s="2006"/>
      <c r="AC38" s="2006"/>
      <c r="AD38" s="2006"/>
      <c r="AE38" s="2006"/>
      <c r="AF38" s="2006"/>
      <c r="AG38" s="2006"/>
      <c r="AH38" s="2006"/>
      <c r="AI38" s="2006"/>
      <c r="AJ38" s="2006"/>
      <c r="AK38" s="2006"/>
      <c r="AL38" s="1994"/>
      <c r="AM38" s="1995"/>
      <c r="AN38" s="1995"/>
      <c r="AO38" s="1996"/>
      <c r="AP38" s="1994"/>
      <c r="AQ38" s="1995"/>
      <c r="AR38" s="1996"/>
      <c r="AS38" s="1997">
        <f t="shared" si="2"/>
        <v>0</v>
      </c>
      <c r="AT38" s="1998"/>
      <c r="AU38" s="1998"/>
      <c r="AV38" s="1998"/>
      <c r="AW38" s="1998"/>
      <c r="AX38" s="1999"/>
      <c r="AY38" s="2000">
        <f t="shared" si="3"/>
        <v>0</v>
      </c>
      <c r="AZ38" s="2001"/>
      <c r="BA38" s="2001"/>
      <c r="BB38" s="2001"/>
      <c r="BC38" s="2001"/>
      <c r="BD38" s="2002"/>
      <c r="BE38" s="1215"/>
    </row>
    <row r="39" spans="1:58" ht="15.75" customHeight="1">
      <c r="A39" s="1208"/>
      <c r="B39" s="2003" t="s">
        <v>2347</v>
      </c>
      <c r="C39" s="2004"/>
      <c r="D39" s="2004"/>
      <c r="E39" s="2004"/>
      <c r="F39" s="2004"/>
      <c r="G39" s="2004"/>
      <c r="H39" s="2004"/>
      <c r="I39" s="2004"/>
      <c r="J39" s="2005"/>
      <c r="K39" s="2005"/>
      <c r="L39" s="2005"/>
      <c r="M39" s="2005"/>
      <c r="N39" s="2005"/>
      <c r="O39" s="2005"/>
      <c r="P39" s="2005"/>
      <c r="Q39" s="2005"/>
      <c r="R39" s="2006"/>
      <c r="S39" s="2006"/>
      <c r="T39" s="2006"/>
      <c r="U39" s="2006"/>
      <c r="V39" s="2006"/>
      <c r="W39" s="2006"/>
      <c r="X39" s="2006"/>
      <c r="Y39" s="2006"/>
      <c r="Z39" s="2006"/>
      <c r="AA39" s="2006"/>
      <c r="AB39" s="2006"/>
      <c r="AC39" s="2006"/>
      <c r="AD39" s="2006"/>
      <c r="AE39" s="2006"/>
      <c r="AF39" s="2006"/>
      <c r="AG39" s="2006"/>
      <c r="AH39" s="2006"/>
      <c r="AI39" s="2006"/>
      <c r="AJ39" s="2006"/>
      <c r="AK39" s="2006"/>
      <c r="AL39" s="1994"/>
      <c r="AM39" s="1995"/>
      <c r="AN39" s="1995"/>
      <c r="AO39" s="1996"/>
      <c r="AP39" s="1994"/>
      <c r="AQ39" s="1995"/>
      <c r="AR39" s="1996"/>
      <c r="AS39" s="1997">
        <f t="shared" si="2"/>
        <v>0</v>
      </c>
      <c r="AT39" s="1998"/>
      <c r="AU39" s="1998"/>
      <c r="AV39" s="1998"/>
      <c r="AW39" s="1998"/>
      <c r="AX39" s="1999"/>
      <c r="AY39" s="2000">
        <f t="shared" si="3"/>
        <v>0</v>
      </c>
      <c r="AZ39" s="2001"/>
      <c r="BA39" s="2001"/>
      <c r="BB39" s="2001"/>
      <c r="BC39" s="2001"/>
      <c r="BD39" s="2002"/>
      <c r="BE39" s="1215"/>
    </row>
    <row r="40" spans="1:58" ht="15.75" customHeight="1">
      <c r="A40" s="1208"/>
      <c r="B40" s="2003" t="s">
        <v>2347</v>
      </c>
      <c r="C40" s="2004"/>
      <c r="D40" s="2004"/>
      <c r="E40" s="2004"/>
      <c r="F40" s="2004"/>
      <c r="G40" s="2004"/>
      <c r="H40" s="2004"/>
      <c r="I40" s="2004"/>
      <c r="J40" s="2005"/>
      <c r="K40" s="2005"/>
      <c r="L40" s="2005"/>
      <c r="M40" s="2005"/>
      <c r="N40" s="2005"/>
      <c r="O40" s="2005"/>
      <c r="P40" s="2005"/>
      <c r="Q40" s="2005"/>
      <c r="R40" s="2006"/>
      <c r="S40" s="2006"/>
      <c r="T40" s="2006"/>
      <c r="U40" s="2006"/>
      <c r="V40" s="2006"/>
      <c r="W40" s="2006"/>
      <c r="X40" s="2006"/>
      <c r="Y40" s="2006"/>
      <c r="Z40" s="2006"/>
      <c r="AA40" s="2006"/>
      <c r="AB40" s="2006"/>
      <c r="AC40" s="2006"/>
      <c r="AD40" s="2006"/>
      <c r="AE40" s="2006"/>
      <c r="AF40" s="2006"/>
      <c r="AG40" s="2006"/>
      <c r="AH40" s="2006"/>
      <c r="AI40" s="2006"/>
      <c r="AJ40" s="2006"/>
      <c r="AK40" s="2006"/>
      <c r="AL40" s="1994"/>
      <c r="AM40" s="1995"/>
      <c r="AN40" s="1995"/>
      <c r="AO40" s="1996"/>
      <c r="AP40" s="1994"/>
      <c r="AQ40" s="1995"/>
      <c r="AR40" s="1996"/>
      <c r="AS40" s="1997">
        <f t="shared" si="2"/>
        <v>0</v>
      </c>
      <c r="AT40" s="1998"/>
      <c r="AU40" s="1998"/>
      <c r="AV40" s="1998"/>
      <c r="AW40" s="1998"/>
      <c r="AX40" s="1999"/>
      <c r="AY40" s="2000">
        <f t="shared" si="3"/>
        <v>0</v>
      </c>
      <c r="AZ40" s="2001"/>
      <c r="BA40" s="2001"/>
      <c r="BB40" s="2001"/>
      <c r="BC40" s="2001"/>
      <c r="BD40" s="2002"/>
      <c r="BE40" s="1215"/>
    </row>
    <row r="41" spans="1:58" ht="15.75" customHeight="1">
      <c r="A41" s="1208"/>
      <c r="B41" s="2003" t="s">
        <v>2346</v>
      </c>
      <c r="C41" s="2004"/>
      <c r="D41" s="2004"/>
      <c r="E41" s="2004"/>
      <c r="F41" s="2004"/>
      <c r="G41" s="2004"/>
      <c r="H41" s="2004"/>
      <c r="I41" s="2004"/>
      <c r="J41" s="2005"/>
      <c r="K41" s="2005"/>
      <c r="L41" s="2005"/>
      <c r="M41" s="2005"/>
      <c r="N41" s="2005"/>
      <c r="O41" s="2005"/>
      <c r="P41" s="2005"/>
      <c r="Q41" s="2005"/>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1994"/>
      <c r="AM41" s="1995"/>
      <c r="AN41" s="1995"/>
      <c r="AO41" s="1996"/>
      <c r="AP41" s="1994"/>
      <c r="AQ41" s="1995"/>
      <c r="AR41" s="1996"/>
      <c r="AS41" s="1997">
        <f t="shared" si="2"/>
        <v>0</v>
      </c>
      <c r="AT41" s="1998"/>
      <c r="AU41" s="1998"/>
      <c r="AV41" s="1998"/>
      <c r="AW41" s="1998"/>
      <c r="AX41" s="1999"/>
      <c r="AY41" s="2000">
        <f t="shared" si="3"/>
        <v>0</v>
      </c>
      <c r="AZ41" s="2001"/>
      <c r="BA41" s="2001"/>
      <c r="BB41" s="2001"/>
      <c r="BC41" s="2001"/>
      <c r="BD41" s="2002"/>
      <c r="BE41" s="1215"/>
    </row>
    <row r="42" spans="1:58" ht="15.75" customHeight="1">
      <c r="A42" s="1208"/>
      <c r="B42" s="2003" t="s">
        <v>2346</v>
      </c>
      <c r="C42" s="2004"/>
      <c r="D42" s="2004"/>
      <c r="E42" s="2004"/>
      <c r="F42" s="2004"/>
      <c r="G42" s="2004"/>
      <c r="H42" s="2004"/>
      <c r="I42" s="2004"/>
      <c r="J42" s="2005"/>
      <c r="K42" s="2005"/>
      <c r="L42" s="2005"/>
      <c r="M42" s="2005"/>
      <c r="N42" s="2005"/>
      <c r="O42" s="2005"/>
      <c r="P42" s="2005"/>
      <c r="Q42" s="2005"/>
      <c r="R42" s="2006"/>
      <c r="S42" s="2006"/>
      <c r="T42" s="2006"/>
      <c r="U42" s="2006"/>
      <c r="V42" s="2006"/>
      <c r="W42" s="2006"/>
      <c r="X42" s="2006"/>
      <c r="Y42" s="2006"/>
      <c r="Z42" s="2006"/>
      <c r="AA42" s="2006"/>
      <c r="AB42" s="2006"/>
      <c r="AC42" s="2006"/>
      <c r="AD42" s="2006"/>
      <c r="AE42" s="2006"/>
      <c r="AF42" s="2006"/>
      <c r="AG42" s="2006"/>
      <c r="AH42" s="2006"/>
      <c r="AI42" s="2006"/>
      <c r="AJ42" s="2006"/>
      <c r="AK42" s="2006"/>
      <c r="AL42" s="1994"/>
      <c r="AM42" s="1995"/>
      <c r="AN42" s="1995"/>
      <c r="AO42" s="1996"/>
      <c r="AP42" s="1994"/>
      <c r="AQ42" s="1995"/>
      <c r="AR42" s="1996"/>
      <c r="AS42" s="1997">
        <f t="shared" si="2"/>
        <v>0</v>
      </c>
      <c r="AT42" s="1998"/>
      <c r="AU42" s="1998"/>
      <c r="AV42" s="1998"/>
      <c r="AW42" s="1998"/>
      <c r="AX42" s="1999"/>
      <c r="AY42" s="2000">
        <f t="shared" si="3"/>
        <v>0</v>
      </c>
      <c r="AZ42" s="2001"/>
      <c r="BA42" s="2001"/>
      <c r="BB42" s="2001"/>
      <c r="BC42" s="2001"/>
      <c r="BD42" s="2002"/>
      <c r="BE42" s="1215"/>
    </row>
    <row r="43" spans="1:58" ht="15.75" customHeight="1">
      <c r="A43" s="1208"/>
      <c r="B43" s="2007" t="s">
        <v>2345</v>
      </c>
      <c r="C43" s="2008"/>
      <c r="D43" s="2008"/>
      <c r="E43" s="2008"/>
      <c r="F43" s="2008"/>
      <c r="G43" s="2008"/>
      <c r="H43" s="2008"/>
      <c r="I43" s="2008"/>
      <c r="J43" s="2005"/>
      <c r="K43" s="2005"/>
      <c r="L43" s="2005"/>
      <c r="M43" s="2005"/>
      <c r="N43" s="2005"/>
      <c r="O43" s="2005"/>
      <c r="P43" s="2005"/>
      <c r="Q43" s="2005"/>
      <c r="R43" s="2006"/>
      <c r="S43" s="2006"/>
      <c r="T43" s="2006"/>
      <c r="U43" s="2006"/>
      <c r="V43" s="2006"/>
      <c r="W43" s="2006"/>
      <c r="X43" s="2006"/>
      <c r="Y43" s="2006"/>
      <c r="Z43" s="2006"/>
      <c r="AA43" s="2006"/>
      <c r="AB43" s="2006"/>
      <c r="AC43" s="2006"/>
      <c r="AD43" s="2006"/>
      <c r="AE43" s="2006"/>
      <c r="AF43" s="2006"/>
      <c r="AG43" s="2006"/>
      <c r="AH43" s="2006"/>
      <c r="AI43" s="2006"/>
      <c r="AJ43" s="2006"/>
      <c r="AK43" s="2006"/>
      <c r="AL43" s="1994"/>
      <c r="AM43" s="1995"/>
      <c r="AN43" s="1995"/>
      <c r="AO43" s="1996"/>
      <c r="AP43" s="1994"/>
      <c r="AQ43" s="1995"/>
      <c r="AR43" s="1996"/>
      <c r="AS43" s="1997">
        <f t="shared" si="2"/>
        <v>0</v>
      </c>
      <c r="AT43" s="1998"/>
      <c r="AU43" s="1998"/>
      <c r="AV43" s="1998"/>
      <c r="AW43" s="1998"/>
      <c r="AX43" s="1999"/>
      <c r="AY43" s="2000">
        <f t="shared" si="3"/>
        <v>0</v>
      </c>
      <c r="AZ43" s="2001"/>
      <c r="BA43" s="2001"/>
      <c r="BB43" s="2001"/>
      <c r="BC43" s="2001"/>
      <c r="BD43" s="2002"/>
      <c r="BE43" s="1215"/>
    </row>
    <row r="44" spans="1:58" ht="15.75" customHeight="1">
      <c r="A44" s="1208"/>
      <c r="B44" s="2007" t="s">
        <v>2344</v>
      </c>
      <c r="C44" s="2008"/>
      <c r="D44" s="2008"/>
      <c r="E44" s="2008"/>
      <c r="F44" s="2008"/>
      <c r="G44" s="2008"/>
      <c r="H44" s="2008"/>
      <c r="I44" s="2008"/>
      <c r="J44" s="2005"/>
      <c r="K44" s="2005"/>
      <c r="L44" s="2005"/>
      <c r="M44" s="2005"/>
      <c r="N44" s="2005"/>
      <c r="O44" s="2005"/>
      <c r="P44" s="2005"/>
      <c r="Q44" s="2005"/>
      <c r="R44" s="2006"/>
      <c r="S44" s="2006"/>
      <c r="T44" s="2006"/>
      <c r="U44" s="2006"/>
      <c r="V44" s="2006"/>
      <c r="W44" s="2006"/>
      <c r="X44" s="2006"/>
      <c r="Y44" s="2006"/>
      <c r="Z44" s="2006"/>
      <c r="AA44" s="2006"/>
      <c r="AB44" s="2006"/>
      <c r="AC44" s="2006"/>
      <c r="AD44" s="2006"/>
      <c r="AE44" s="2006"/>
      <c r="AF44" s="2006"/>
      <c r="AG44" s="2006"/>
      <c r="AH44" s="2006"/>
      <c r="AI44" s="2006"/>
      <c r="AJ44" s="2006"/>
      <c r="AK44" s="2006"/>
      <c r="AL44" s="1994"/>
      <c r="AM44" s="1995"/>
      <c r="AN44" s="1995"/>
      <c r="AO44" s="1996"/>
      <c r="AP44" s="1994"/>
      <c r="AQ44" s="1995"/>
      <c r="AR44" s="1996"/>
      <c r="AS44" s="1997">
        <f t="shared" si="2"/>
        <v>0</v>
      </c>
      <c r="AT44" s="1998"/>
      <c r="AU44" s="1998"/>
      <c r="AV44" s="1998"/>
      <c r="AW44" s="1998"/>
      <c r="AX44" s="1999"/>
      <c r="AY44" s="2000">
        <f t="shared" si="3"/>
        <v>0</v>
      </c>
      <c r="AZ44" s="2001"/>
      <c r="BA44" s="2001"/>
      <c r="BB44" s="2001"/>
      <c r="BC44" s="2001"/>
      <c r="BD44" s="2002"/>
      <c r="BE44" s="1215"/>
    </row>
    <row r="45" spans="1:58" ht="15.75" customHeight="1">
      <c r="A45" s="1208"/>
      <c r="B45" s="2007" t="s">
        <v>2343</v>
      </c>
      <c r="C45" s="2008"/>
      <c r="D45" s="2008"/>
      <c r="E45" s="2008"/>
      <c r="F45" s="2008"/>
      <c r="G45" s="2008"/>
      <c r="H45" s="2008"/>
      <c r="I45" s="2008"/>
      <c r="J45" s="2005"/>
      <c r="K45" s="2005"/>
      <c r="L45" s="2005"/>
      <c r="M45" s="2005"/>
      <c r="N45" s="2005"/>
      <c r="O45" s="2005"/>
      <c r="P45" s="2005"/>
      <c r="Q45" s="2005"/>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1994"/>
      <c r="AM45" s="1995"/>
      <c r="AN45" s="1995"/>
      <c r="AO45" s="1996"/>
      <c r="AP45" s="1994"/>
      <c r="AQ45" s="1995"/>
      <c r="AR45" s="1996"/>
      <c r="AS45" s="1997">
        <f t="shared" si="2"/>
        <v>0</v>
      </c>
      <c r="AT45" s="1998"/>
      <c r="AU45" s="1998"/>
      <c r="AV45" s="1998"/>
      <c r="AW45" s="1998"/>
      <c r="AX45" s="1999"/>
      <c r="AY45" s="2000">
        <f t="shared" si="3"/>
        <v>0</v>
      </c>
      <c r="AZ45" s="2001"/>
      <c r="BA45" s="2001"/>
      <c r="BB45" s="2001"/>
      <c r="BC45" s="2001"/>
      <c r="BD45" s="2002"/>
      <c r="BE45" s="1215"/>
    </row>
    <row r="46" spans="1:58" ht="15.75" customHeight="1">
      <c r="A46" s="1208"/>
      <c r="B46" s="2007" t="s">
        <v>2275</v>
      </c>
      <c r="C46" s="2008"/>
      <c r="D46" s="2008"/>
      <c r="E46" s="2008"/>
      <c r="F46" s="2008"/>
      <c r="G46" s="2008"/>
      <c r="H46" s="2008"/>
      <c r="I46" s="2008"/>
      <c r="J46" s="2005"/>
      <c r="K46" s="2005"/>
      <c r="L46" s="2005"/>
      <c r="M46" s="2005"/>
      <c r="N46" s="2005">
        <v>99</v>
      </c>
      <c r="O46" s="2005"/>
      <c r="P46" s="2005"/>
      <c r="Q46" s="2005"/>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1994"/>
      <c r="AM46" s="1995"/>
      <c r="AN46" s="1995"/>
      <c r="AO46" s="1996"/>
      <c r="AP46" s="1994"/>
      <c r="AQ46" s="1995"/>
      <c r="AR46" s="1996"/>
      <c r="AS46" s="1997">
        <f t="shared" si="2"/>
        <v>0</v>
      </c>
      <c r="AT46" s="1998"/>
      <c r="AU46" s="1998"/>
      <c r="AV46" s="1998"/>
      <c r="AW46" s="1998"/>
      <c r="AX46" s="1999"/>
      <c r="AY46" s="2000">
        <f t="shared" si="3"/>
        <v>0</v>
      </c>
      <c r="AZ46" s="2001"/>
      <c r="BA46" s="2001"/>
      <c r="BB46" s="2001"/>
      <c r="BC46" s="2001"/>
      <c r="BD46" s="2002"/>
      <c r="BE46" s="1215"/>
    </row>
    <row r="47" spans="1:58" ht="15.75" customHeight="1" thickBot="1">
      <c r="A47" s="1208"/>
      <c r="B47" s="2009" t="s">
        <v>300</v>
      </c>
      <c r="C47" s="2010"/>
      <c r="D47" s="2010"/>
      <c r="E47" s="2010"/>
      <c r="F47" s="2010"/>
      <c r="G47" s="2010"/>
      <c r="H47" s="2010"/>
      <c r="I47" s="2010"/>
      <c r="J47" s="2011"/>
      <c r="K47" s="2011"/>
      <c r="L47" s="2011"/>
      <c r="M47" s="2011"/>
      <c r="N47" s="2011"/>
      <c r="O47" s="2011"/>
      <c r="P47" s="2011"/>
      <c r="Q47" s="2011"/>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6"/>
      <c r="AM47" s="2017"/>
      <c r="AN47" s="2017"/>
      <c r="AO47" s="2018"/>
      <c r="AP47" s="2016"/>
      <c r="AQ47" s="2017"/>
      <c r="AR47" s="2018"/>
      <c r="AS47" s="1997">
        <f t="shared" si="2"/>
        <v>0</v>
      </c>
      <c r="AT47" s="1998"/>
      <c r="AU47" s="1998"/>
      <c r="AV47" s="1998"/>
      <c r="AW47" s="1998"/>
      <c r="AX47" s="1999"/>
      <c r="AY47" s="2013">
        <f t="shared" si="3"/>
        <v>0</v>
      </c>
      <c r="AZ47" s="2014"/>
      <c r="BA47" s="2014"/>
      <c r="BB47" s="2014"/>
      <c r="BC47" s="2014"/>
      <c r="BD47" s="2015"/>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9" t="s">
        <v>2340</v>
      </c>
      <c r="C50" s="2020"/>
      <c r="D50" s="2020"/>
      <c r="E50" s="2020"/>
      <c r="F50" s="2020"/>
      <c r="G50" s="2020"/>
      <c r="H50" s="2020"/>
      <c r="I50" s="2020"/>
      <c r="J50" s="2020"/>
      <c r="K50" s="2020"/>
      <c r="L50" s="2020"/>
      <c r="M50" s="2020"/>
      <c r="N50" s="2020"/>
      <c r="O50" s="2020"/>
      <c r="P50" s="2020"/>
      <c r="Q50" s="2020"/>
      <c r="R50" s="2020"/>
      <c r="S50" s="2020"/>
      <c r="T50" s="2020"/>
      <c r="U50" s="2020"/>
      <c r="V50" s="2020"/>
      <c r="W50" s="2020"/>
      <c r="X50" s="2020"/>
      <c r="Y50" s="2020"/>
      <c r="Z50" s="2020"/>
      <c r="AA50" s="2020"/>
      <c r="AB50" s="2020"/>
      <c r="AC50" s="2020"/>
      <c r="AD50" s="2020"/>
      <c r="AE50" s="2020"/>
      <c r="AF50" s="2020"/>
      <c r="AG50" s="2020"/>
      <c r="AH50" s="2020"/>
      <c r="AI50" s="2020"/>
      <c r="AJ50" s="2020"/>
      <c r="AK50" s="2020"/>
      <c r="AL50" s="2020"/>
      <c r="AM50" s="2020"/>
      <c r="AN50" s="2020"/>
      <c r="AO50" s="202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2" t="s">
        <v>2333</v>
      </c>
      <c r="C51" s="2023"/>
      <c r="D51" s="2023"/>
      <c r="E51" s="2023"/>
      <c r="F51" s="2023"/>
      <c r="G51" s="2023"/>
      <c r="H51" s="2023"/>
      <c r="I51" s="2023"/>
      <c r="J51" s="2023" t="s">
        <v>2339</v>
      </c>
      <c r="K51" s="2023"/>
      <c r="L51" s="2023"/>
      <c r="M51" s="2023"/>
      <c r="N51" s="2023"/>
      <c r="O51" s="2023"/>
      <c r="P51" s="2023"/>
      <c r="Q51" s="2023"/>
      <c r="R51" s="2024" t="s">
        <v>2338</v>
      </c>
      <c r="S51" s="2024"/>
      <c r="T51" s="2024"/>
      <c r="U51" s="2024"/>
      <c r="V51" s="2024"/>
      <c r="W51" s="2024"/>
      <c r="X51" s="2024"/>
      <c r="Y51" s="2024"/>
      <c r="Z51" s="2024" t="s">
        <v>2337</v>
      </c>
      <c r="AA51" s="2024"/>
      <c r="AB51" s="2024"/>
      <c r="AC51" s="2024"/>
      <c r="AD51" s="2024"/>
      <c r="AE51" s="2024"/>
      <c r="AF51" s="2024"/>
      <c r="AG51" s="2024"/>
      <c r="AH51" s="2024" t="s">
        <v>2336</v>
      </c>
      <c r="AI51" s="2024"/>
      <c r="AJ51" s="2024"/>
      <c r="AK51" s="2024"/>
      <c r="AL51" s="2024"/>
      <c r="AM51" s="2024"/>
      <c r="AN51" s="2024"/>
      <c r="AO51" s="202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7" t="s">
        <v>2335</v>
      </c>
      <c r="C52" s="2008"/>
      <c r="D52" s="2008"/>
      <c r="E52" s="2008"/>
      <c r="F52" s="2008"/>
      <c r="G52" s="2008"/>
      <c r="H52" s="2008"/>
      <c r="I52" s="2008"/>
      <c r="J52" s="2026">
        <v>0</v>
      </c>
      <c r="K52" s="2026"/>
      <c r="L52" s="2026"/>
      <c r="M52" s="2026"/>
      <c r="N52" s="2026"/>
      <c r="O52" s="2026"/>
      <c r="P52" s="2026"/>
      <c r="Q52" s="2026"/>
      <c r="R52" s="2027">
        <v>0</v>
      </c>
      <c r="S52" s="2027"/>
      <c r="T52" s="2027"/>
      <c r="U52" s="2027"/>
      <c r="V52" s="2027"/>
      <c r="W52" s="2027"/>
      <c r="X52" s="2027"/>
      <c r="Y52" s="2027"/>
      <c r="Z52" s="2028">
        <v>0</v>
      </c>
      <c r="AA52" s="2028"/>
      <c r="AB52" s="2028"/>
      <c r="AC52" s="2028"/>
      <c r="AD52" s="2028"/>
      <c r="AE52" s="2028"/>
      <c r="AF52" s="2028"/>
      <c r="AG52" s="2028"/>
      <c r="AH52" s="2029"/>
      <c r="AI52" s="2029"/>
      <c r="AJ52" s="2029"/>
      <c r="AK52" s="2029"/>
      <c r="AL52" s="2029"/>
      <c r="AM52" s="2029"/>
      <c r="AN52" s="2029"/>
      <c r="AO52" s="203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7" t="s">
        <v>2334</v>
      </c>
      <c r="C53" s="2008"/>
      <c r="D53" s="2008"/>
      <c r="E53" s="2008"/>
      <c r="F53" s="2008"/>
      <c r="G53" s="2008"/>
      <c r="H53" s="2008"/>
      <c r="I53" s="2008"/>
      <c r="J53" s="2026">
        <v>0</v>
      </c>
      <c r="K53" s="2026"/>
      <c r="L53" s="2026"/>
      <c r="M53" s="2026"/>
      <c r="N53" s="2026"/>
      <c r="O53" s="2026"/>
      <c r="P53" s="2026"/>
      <c r="Q53" s="2026"/>
      <c r="R53" s="2027">
        <v>0</v>
      </c>
      <c r="S53" s="2027"/>
      <c r="T53" s="2027"/>
      <c r="U53" s="2027"/>
      <c r="V53" s="2027"/>
      <c r="W53" s="2027"/>
      <c r="X53" s="2027"/>
      <c r="Y53" s="2027"/>
      <c r="Z53" s="2028">
        <v>0</v>
      </c>
      <c r="AA53" s="2028"/>
      <c r="AB53" s="2028"/>
      <c r="AC53" s="2028"/>
      <c r="AD53" s="2028"/>
      <c r="AE53" s="2028"/>
      <c r="AF53" s="2028"/>
      <c r="AG53" s="2028"/>
      <c r="AH53" s="2029"/>
      <c r="AI53" s="2029"/>
      <c r="AJ53" s="2029"/>
      <c r="AK53" s="2029"/>
      <c r="AL53" s="2029"/>
      <c r="AM53" s="2029"/>
      <c r="AN53" s="2029"/>
      <c r="AO53" s="203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7"/>
      <c r="C54" s="2008"/>
      <c r="D54" s="2008"/>
      <c r="E54" s="2008"/>
      <c r="F54" s="2008"/>
      <c r="G54" s="2008"/>
      <c r="H54" s="2008"/>
      <c r="I54" s="2008"/>
      <c r="J54" s="2026"/>
      <c r="K54" s="2026"/>
      <c r="L54" s="2026"/>
      <c r="M54" s="2026"/>
      <c r="N54" s="2026"/>
      <c r="O54" s="2026"/>
      <c r="P54" s="2026"/>
      <c r="Q54" s="2026"/>
      <c r="R54" s="2027"/>
      <c r="S54" s="2027"/>
      <c r="T54" s="2027"/>
      <c r="U54" s="2027"/>
      <c r="V54" s="2027"/>
      <c r="W54" s="2027"/>
      <c r="X54" s="2027"/>
      <c r="Y54" s="2027"/>
      <c r="Z54" s="2028"/>
      <c r="AA54" s="2028"/>
      <c r="AB54" s="2028"/>
      <c r="AC54" s="2028"/>
      <c r="AD54" s="2028"/>
      <c r="AE54" s="2028"/>
      <c r="AF54" s="2028"/>
      <c r="AG54" s="2028"/>
      <c r="AH54" s="2029"/>
      <c r="AI54" s="2029"/>
      <c r="AJ54" s="2029"/>
      <c r="AK54" s="2029"/>
      <c r="AL54" s="2029"/>
      <c r="AM54" s="2029"/>
      <c r="AN54" s="2029"/>
      <c r="AO54" s="203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7"/>
      <c r="C55" s="2008"/>
      <c r="D55" s="2008"/>
      <c r="E55" s="2008"/>
      <c r="F55" s="2008"/>
      <c r="G55" s="2008"/>
      <c r="H55" s="2008"/>
      <c r="I55" s="2008"/>
      <c r="J55" s="2026"/>
      <c r="K55" s="2026"/>
      <c r="L55" s="2026"/>
      <c r="M55" s="2026"/>
      <c r="N55" s="2026"/>
      <c r="O55" s="2026"/>
      <c r="P55" s="2026"/>
      <c r="Q55" s="2026"/>
      <c r="R55" s="2027"/>
      <c r="S55" s="2027"/>
      <c r="T55" s="2027"/>
      <c r="U55" s="2027"/>
      <c r="V55" s="2027"/>
      <c r="W55" s="2027"/>
      <c r="X55" s="2027"/>
      <c r="Y55" s="2027"/>
      <c r="Z55" s="2028"/>
      <c r="AA55" s="2028"/>
      <c r="AB55" s="2028"/>
      <c r="AC55" s="2028"/>
      <c r="AD55" s="2028"/>
      <c r="AE55" s="2028"/>
      <c r="AF55" s="2028"/>
      <c r="AG55" s="2028"/>
      <c r="AH55" s="2029"/>
      <c r="AI55" s="2029"/>
      <c r="AJ55" s="2029"/>
      <c r="AK55" s="2029"/>
      <c r="AL55" s="2029"/>
      <c r="AM55" s="2029"/>
      <c r="AN55" s="2029"/>
      <c r="AO55" s="203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7"/>
      <c r="C56" s="2008"/>
      <c r="D56" s="2008"/>
      <c r="E56" s="2008"/>
      <c r="F56" s="2008"/>
      <c r="G56" s="2008"/>
      <c r="H56" s="2008"/>
      <c r="I56" s="2008"/>
      <c r="J56" s="2026"/>
      <c r="K56" s="2026"/>
      <c r="L56" s="2026"/>
      <c r="M56" s="2026"/>
      <c r="N56" s="2026"/>
      <c r="O56" s="2026"/>
      <c r="P56" s="2026"/>
      <c r="Q56" s="2026"/>
      <c r="R56" s="2027"/>
      <c r="S56" s="2027"/>
      <c r="T56" s="2027"/>
      <c r="U56" s="2027"/>
      <c r="V56" s="2027"/>
      <c r="W56" s="2027"/>
      <c r="X56" s="2027"/>
      <c r="Y56" s="2027"/>
      <c r="Z56" s="2028"/>
      <c r="AA56" s="2028"/>
      <c r="AB56" s="2028"/>
      <c r="AC56" s="2028"/>
      <c r="AD56" s="2028"/>
      <c r="AE56" s="2028"/>
      <c r="AF56" s="2028"/>
      <c r="AG56" s="2028"/>
      <c r="AH56" s="2029"/>
      <c r="AI56" s="2029"/>
      <c r="AJ56" s="2029"/>
      <c r="AK56" s="2029"/>
      <c r="AL56" s="2029"/>
      <c r="AM56" s="2029"/>
      <c r="AN56" s="2029"/>
      <c r="AO56" s="203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0" t="s">
        <v>1574</v>
      </c>
      <c r="C57" s="2041"/>
      <c r="D57" s="2041"/>
      <c r="E57" s="2041"/>
      <c r="F57" s="2041"/>
      <c r="G57" s="2041"/>
      <c r="H57" s="2041"/>
      <c r="I57" s="2041"/>
      <c r="J57" s="2041"/>
      <c r="K57" s="2041"/>
      <c r="L57" s="2041"/>
      <c r="M57" s="2041"/>
      <c r="N57" s="2041"/>
      <c r="O57" s="2041"/>
      <c r="P57" s="2041"/>
      <c r="Q57" s="2041"/>
      <c r="R57" s="2042">
        <f>SUM(R52:Y56)</f>
        <v>0</v>
      </c>
      <c r="S57" s="2042"/>
      <c r="T57" s="2042"/>
      <c r="U57" s="2042"/>
      <c r="V57" s="2042"/>
      <c r="W57" s="2042"/>
      <c r="X57" s="2042"/>
      <c r="Y57" s="2042"/>
      <c r="Z57" s="2043">
        <f>SUM(Z52:AG56)</f>
        <v>0</v>
      </c>
      <c r="AA57" s="2043"/>
      <c r="AB57" s="2043"/>
      <c r="AC57" s="2043"/>
      <c r="AD57" s="2043"/>
      <c r="AE57" s="2043"/>
      <c r="AF57" s="2043"/>
      <c r="AG57" s="2043"/>
      <c r="AH57" s="2044"/>
      <c r="AI57" s="2044"/>
      <c r="AJ57" s="2044"/>
      <c r="AK57" s="2044"/>
      <c r="AL57" s="2044"/>
      <c r="AM57" s="2044"/>
      <c r="AN57" s="2044"/>
      <c r="AO57" s="204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1" t="s">
        <v>2333</v>
      </c>
      <c r="C59" s="2032"/>
      <c r="D59" s="2032"/>
      <c r="E59" s="2032"/>
      <c r="F59" s="2032"/>
      <c r="G59" s="2032"/>
      <c r="H59" s="2032"/>
      <c r="I59" s="2033"/>
      <c r="J59" s="1925" t="s">
        <v>2332</v>
      </c>
      <c r="K59" s="1925"/>
      <c r="L59" s="1925"/>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c r="AS59" s="1925"/>
      <c r="AT59" s="1925"/>
      <c r="AU59" s="1925"/>
      <c r="AV59" s="1925"/>
      <c r="AW59" s="1926"/>
      <c r="AX59" s="1208"/>
      <c r="AY59" s="1208"/>
      <c r="AZ59" s="1208"/>
      <c r="BA59" s="1208"/>
      <c r="BB59" s="1208"/>
      <c r="BC59" s="1208"/>
      <c r="BD59" s="1208"/>
      <c r="BE59" s="1215"/>
    </row>
    <row r="60" spans="1:77" ht="15.75" customHeight="1">
      <c r="A60" s="1208"/>
      <c r="B60" s="2034" t="str">
        <f>IF(B52="", "", B52)</f>
        <v>Services Company 1</v>
      </c>
      <c r="C60" s="2035"/>
      <c r="D60" s="2035"/>
      <c r="E60" s="2035"/>
      <c r="F60" s="2035"/>
      <c r="G60" s="2035"/>
      <c r="H60" s="2035"/>
      <c r="I60" s="2036"/>
      <c r="J60" s="2037"/>
      <c r="K60" s="2038"/>
      <c r="L60" s="2038"/>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2038"/>
      <c r="AO60" s="2038"/>
      <c r="AP60" s="2038"/>
      <c r="AQ60" s="2038"/>
      <c r="AR60" s="2038"/>
      <c r="AS60" s="2038"/>
      <c r="AT60" s="2038"/>
      <c r="AU60" s="2038"/>
      <c r="AV60" s="2038"/>
      <c r="AW60" s="2039"/>
      <c r="AX60" s="1208"/>
      <c r="AY60" s="1208"/>
      <c r="AZ60" s="1208"/>
      <c r="BA60" s="1208"/>
      <c r="BB60" s="1208"/>
      <c r="BC60" s="1208"/>
      <c r="BD60" s="1208"/>
      <c r="BE60" s="1215"/>
    </row>
    <row r="61" spans="1:77" ht="15.75" customHeight="1">
      <c r="A61" s="1208"/>
      <c r="B61" s="2034" t="str">
        <f>IF(B53="", "", B53)</f>
        <v>Services Company 2</v>
      </c>
      <c r="C61" s="2035"/>
      <c r="D61" s="2035"/>
      <c r="E61" s="2035"/>
      <c r="F61" s="2035"/>
      <c r="G61" s="2035"/>
      <c r="H61" s="2035"/>
      <c r="I61" s="2036"/>
      <c r="J61" s="2037"/>
      <c r="K61" s="2038"/>
      <c r="L61" s="2038"/>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c r="AN61" s="2038"/>
      <c r="AO61" s="2038"/>
      <c r="AP61" s="2038"/>
      <c r="AQ61" s="2038"/>
      <c r="AR61" s="2038"/>
      <c r="AS61" s="2038"/>
      <c r="AT61" s="2038"/>
      <c r="AU61" s="2038"/>
      <c r="AV61" s="2038"/>
      <c r="AW61" s="2039"/>
      <c r="AX61" s="1208"/>
      <c r="AY61" s="1208"/>
      <c r="AZ61" s="1208"/>
      <c r="BA61" s="1208"/>
      <c r="BB61" s="1208"/>
      <c r="BC61" s="1208"/>
      <c r="BD61" s="1208"/>
      <c r="BE61" s="1215"/>
    </row>
    <row r="62" spans="1:77" ht="15.75" customHeight="1">
      <c r="A62" s="1208"/>
      <c r="B62" s="2034" t="str">
        <f>IF(B54="", "", B54)</f>
        <v/>
      </c>
      <c r="C62" s="2035"/>
      <c r="D62" s="2035"/>
      <c r="E62" s="2035"/>
      <c r="F62" s="2035"/>
      <c r="G62" s="2035"/>
      <c r="H62" s="2035"/>
      <c r="I62" s="2036"/>
      <c r="J62" s="2037"/>
      <c r="K62" s="2038"/>
      <c r="L62" s="2038"/>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2038"/>
      <c r="AO62" s="2038"/>
      <c r="AP62" s="2038"/>
      <c r="AQ62" s="2038"/>
      <c r="AR62" s="2038"/>
      <c r="AS62" s="2038"/>
      <c r="AT62" s="2038"/>
      <c r="AU62" s="2038"/>
      <c r="AV62" s="2038"/>
      <c r="AW62" s="2039"/>
      <c r="AX62" s="1208"/>
      <c r="AY62" s="1208"/>
      <c r="AZ62" s="1208"/>
      <c r="BA62" s="1208"/>
      <c r="BB62" s="1208"/>
      <c r="BC62" s="1208"/>
      <c r="BD62" s="1208"/>
      <c r="BE62" s="1215"/>
    </row>
    <row r="63" spans="1:77" ht="15.75" customHeight="1">
      <c r="A63" s="1208"/>
      <c r="B63" s="2034" t="str">
        <f>IF(B55="", "", B55)</f>
        <v/>
      </c>
      <c r="C63" s="2035"/>
      <c r="D63" s="2035"/>
      <c r="E63" s="2035"/>
      <c r="F63" s="2035"/>
      <c r="G63" s="2035"/>
      <c r="H63" s="2035"/>
      <c r="I63" s="2036"/>
      <c r="J63" s="2037"/>
      <c r="K63" s="2038"/>
      <c r="L63" s="2038"/>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c r="AN63" s="2038"/>
      <c r="AO63" s="2038"/>
      <c r="AP63" s="2038"/>
      <c r="AQ63" s="2038"/>
      <c r="AR63" s="2038"/>
      <c r="AS63" s="2038"/>
      <c r="AT63" s="2038"/>
      <c r="AU63" s="2038"/>
      <c r="AV63" s="2038"/>
      <c r="AW63" s="2039"/>
      <c r="AX63" s="1208"/>
      <c r="AY63" s="1208"/>
      <c r="AZ63" s="1208"/>
      <c r="BA63" s="1208"/>
      <c r="BB63" s="1208"/>
      <c r="BC63" s="1208"/>
      <c r="BD63" s="1208"/>
      <c r="BE63" s="1215"/>
    </row>
    <row r="64" spans="1:77" ht="15.75" customHeight="1" thickBot="1">
      <c r="A64" s="1208"/>
      <c r="B64" s="2054" t="str">
        <f>IF(B56="", "", B56)</f>
        <v/>
      </c>
      <c r="C64" s="2055"/>
      <c r="D64" s="2055"/>
      <c r="E64" s="2055"/>
      <c r="F64" s="2055"/>
      <c r="G64" s="2055"/>
      <c r="H64" s="2055"/>
      <c r="I64" s="2056"/>
      <c r="J64" s="2057"/>
      <c r="K64" s="2058"/>
      <c r="L64" s="2058"/>
      <c r="M64" s="2058"/>
      <c r="N64" s="2058"/>
      <c r="O64" s="2058"/>
      <c r="P64" s="2058"/>
      <c r="Q64" s="2058"/>
      <c r="R64" s="2058"/>
      <c r="S64" s="2058"/>
      <c r="T64" s="2058"/>
      <c r="U64" s="2058"/>
      <c r="V64" s="2058"/>
      <c r="W64" s="2058"/>
      <c r="X64" s="2058"/>
      <c r="Y64" s="2058"/>
      <c r="Z64" s="2058"/>
      <c r="AA64" s="2058"/>
      <c r="AB64" s="2058"/>
      <c r="AC64" s="2058"/>
      <c r="AD64" s="2058"/>
      <c r="AE64" s="2058"/>
      <c r="AF64" s="2058"/>
      <c r="AG64" s="2058"/>
      <c r="AH64" s="2058"/>
      <c r="AI64" s="2058"/>
      <c r="AJ64" s="2058"/>
      <c r="AK64" s="2058"/>
      <c r="AL64" s="2058"/>
      <c r="AM64" s="2058"/>
      <c r="AN64" s="2058"/>
      <c r="AO64" s="2058"/>
      <c r="AP64" s="2058"/>
      <c r="AQ64" s="2058"/>
      <c r="AR64" s="2058"/>
      <c r="AS64" s="2058"/>
      <c r="AT64" s="2058"/>
      <c r="AU64" s="2058"/>
      <c r="AV64" s="2058"/>
      <c r="AW64" s="205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4" t="s">
        <v>2330</v>
      </c>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1925"/>
      <c r="Y68" s="1925"/>
      <c r="Z68" s="1925"/>
      <c r="AA68" s="1926"/>
      <c r="AB68" s="1208"/>
      <c r="AC68" s="2066" t="s">
        <v>2329</v>
      </c>
      <c r="AD68" s="2067"/>
      <c r="AE68" s="2067"/>
      <c r="AF68" s="2067"/>
      <c r="AG68" s="2067"/>
      <c r="AH68" s="2067"/>
      <c r="AI68" s="2067"/>
      <c r="AJ68" s="2067"/>
      <c r="AK68" s="2067"/>
      <c r="AL68" s="2067"/>
      <c r="AM68" s="2067"/>
      <c r="AN68" s="2067"/>
      <c r="AO68" s="2067"/>
      <c r="AP68" s="2067"/>
      <c r="AQ68" s="2067"/>
      <c r="AR68" s="2067"/>
      <c r="AS68" s="2067"/>
      <c r="AT68" s="2067"/>
      <c r="AU68" s="2067"/>
      <c r="AV68" s="2046" t="s">
        <v>668</v>
      </c>
      <c r="AW68" s="2047"/>
      <c r="AX68" s="2047"/>
      <c r="AY68" s="2047"/>
      <c r="AZ68" s="2047"/>
      <c r="BA68" s="2047"/>
      <c r="BB68" s="2047"/>
      <c r="BC68" s="2048"/>
      <c r="BD68" s="1208"/>
      <c r="BE68" s="1215"/>
      <c r="BM68" s="1221" t="s">
        <v>2328</v>
      </c>
    </row>
    <row r="69" spans="1:94" ht="15.75" customHeight="1" thickTop="1" thickBot="1">
      <c r="A69" s="1208"/>
      <c r="B69" s="2049" t="s">
        <v>2327</v>
      </c>
      <c r="C69" s="2050"/>
      <c r="D69" s="2050"/>
      <c r="E69" s="2050"/>
      <c r="F69" s="2050"/>
      <c r="G69" s="2050"/>
      <c r="H69" s="2050"/>
      <c r="I69" s="2050"/>
      <c r="J69" s="2050"/>
      <c r="K69" s="2050"/>
      <c r="L69" s="2050"/>
      <c r="M69" s="2050"/>
      <c r="N69" s="2050"/>
      <c r="O69" s="1897" t="s">
        <v>2326</v>
      </c>
      <c r="P69" s="1898"/>
      <c r="Q69" s="1898"/>
      <c r="R69" s="1898"/>
      <c r="S69" s="1898"/>
      <c r="T69" s="1898"/>
      <c r="U69" s="1898"/>
      <c r="V69" s="1898"/>
      <c r="W69" s="1898"/>
      <c r="X69" s="1898"/>
      <c r="Y69" s="1898"/>
      <c r="Z69" s="1898"/>
      <c r="AA69" s="2051"/>
      <c r="AB69" s="1208"/>
      <c r="AC69" s="2052" t="s">
        <v>2325</v>
      </c>
      <c r="AD69" s="2053"/>
      <c r="AE69" s="2053"/>
      <c r="AF69" s="2053"/>
      <c r="AG69" s="2053"/>
      <c r="AH69" s="2053"/>
      <c r="AI69" s="2053"/>
      <c r="AJ69" s="2053"/>
      <c r="AK69" s="2053"/>
      <c r="AL69" s="2053"/>
      <c r="AM69" s="2053"/>
      <c r="AN69" s="2053"/>
      <c r="AO69" s="2053"/>
      <c r="AP69" s="2053"/>
      <c r="AQ69" s="2053"/>
      <c r="AR69" s="2053"/>
      <c r="AS69" s="2053"/>
      <c r="AT69" s="2053"/>
      <c r="AU69" s="2053"/>
      <c r="AV69" s="2046" t="s">
        <v>668</v>
      </c>
      <c r="AW69" s="2047"/>
      <c r="AX69" s="2047"/>
      <c r="AY69" s="2047"/>
      <c r="AZ69" s="2047"/>
      <c r="BA69" s="2047"/>
      <c r="BB69" s="2047"/>
      <c r="BC69" s="2048"/>
      <c r="BD69" s="1208"/>
      <c r="BE69" s="1215"/>
      <c r="BM69" s="1222" t="s">
        <v>545</v>
      </c>
    </row>
    <row r="70" spans="1:94" ht="15.75" customHeight="1">
      <c r="A70" s="1208"/>
      <c r="B70" s="2003" t="s">
        <v>2324</v>
      </c>
      <c r="C70" s="2004"/>
      <c r="D70" s="2004"/>
      <c r="E70" s="2004"/>
      <c r="F70" s="2004"/>
      <c r="G70" s="2004"/>
      <c r="H70" s="2004"/>
      <c r="I70" s="2004"/>
      <c r="J70" s="2004"/>
      <c r="K70" s="2004"/>
      <c r="L70" s="2004"/>
      <c r="M70" s="2004"/>
      <c r="N70" s="2004"/>
      <c r="O70" s="2060">
        <v>0</v>
      </c>
      <c r="P70" s="2060"/>
      <c r="Q70" s="2060"/>
      <c r="R70" s="2060"/>
      <c r="S70" s="2060"/>
      <c r="T70" s="2060"/>
      <c r="U70" s="2060"/>
      <c r="V70" s="2060"/>
      <c r="W70" s="2060"/>
      <c r="X70" s="2060"/>
      <c r="Y70" s="2060"/>
      <c r="Z70" s="2060"/>
      <c r="AA70" s="2061"/>
      <c r="AB70" s="1208"/>
      <c r="AC70" s="2019" t="s">
        <v>2323</v>
      </c>
      <c r="AD70" s="2020"/>
      <c r="AE70" s="2020"/>
      <c r="AF70" s="2062"/>
      <c r="AG70" s="2062"/>
      <c r="AH70" s="2062"/>
      <c r="AI70" s="2062"/>
      <c r="AJ70" s="2062"/>
      <c r="AK70" s="2062"/>
      <c r="AL70" s="2062"/>
      <c r="AM70" s="2062"/>
      <c r="AN70" s="2062"/>
      <c r="AO70" s="2062"/>
      <c r="AP70" s="2062"/>
      <c r="AQ70" s="2062"/>
      <c r="AR70" s="2062"/>
      <c r="AS70" s="2062"/>
      <c r="AT70" s="2062"/>
      <c r="AU70" s="2063"/>
      <c r="AV70" s="1208"/>
      <c r="AW70" s="1208"/>
      <c r="AX70" s="1208"/>
      <c r="AY70" s="1208"/>
      <c r="AZ70" s="1208"/>
      <c r="BA70" s="1208"/>
      <c r="BB70" s="1208"/>
      <c r="BC70" s="1208"/>
      <c r="BD70" s="1208"/>
      <c r="BE70" s="1215"/>
      <c r="BM70" s="1223" t="s">
        <v>668</v>
      </c>
    </row>
    <row r="71" spans="1:94" ht="15.75" customHeight="1" thickBot="1">
      <c r="A71" s="1208"/>
      <c r="B71" s="2003" t="s">
        <v>2322</v>
      </c>
      <c r="C71" s="2004"/>
      <c r="D71" s="2004"/>
      <c r="E71" s="2004"/>
      <c r="F71" s="2004"/>
      <c r="G71" s="2004"/>
      <c r="H71" s="2004"/>
      <c r="I71" s="2004"/>
      <c r="J71" s="2004"/>
      <c r="K71" s="2004"/>
      <c r="L71" s="2004"/>
      <c r="M71" s="2004"/>
      <c r="N71" s="2004"/>
      <c r="O71" s="2060">
        <v>0</v>
      </c>
      <c r="P71" s="2060"/>
      <c r="Q71" s="2060"/>
      <c r="R71" s="2060"/>
      <c r="S71" s="2060"/>
      <c r="T71" s="2060"/>
      <c r="U71" s="2060"/>
      <c r="V71" s="2060"/>
      <c r="W71" s="2060"/>
      <c r="X71" s="2060"/>
      <c r="Y71" s="2060"/>
      <c r="Z71" s="2060"/>
      <c r="AA71" s="2061"/>
      <c r="AB71" s="1208"/>
      <c r="AC71" s="2064" t="s">
        <v>2321</v>
      </c>
      <c r="AD71" s="2065"/>
      <c r="AE71" s="2065"/>
      <c r="AF71" s="2058"/>
      <c r="AG71" s="2058"/>
      <c r="AH71" s="2058"/>
      <c r="AI71" s="2058"/>
      <c r="AJ71" s="2058"/>
      <c r="AK71" s="2058"/>
      <c r="AL71" s="2058"/>
      <c r="AM71" s="2058"/>
      <c r="AN71" s="2058"/>
      <c r="AO71" s="2058"/>
      <c r="AP71" s="2058"/>
      <c r="AQ71" s="2058"/>
      <c r="AR71" s="2058"/>
      <c r="AS71" s="2058"/>
      <c r="AT71" s="2058"/>
      <c r="AU71" s="2059"/>
      <c r="AV71" s="1208"/>
      <c r="AW71" s="1208"/>
      <c r="AX71" s="1208"/>
      <c r="AY71" s="1208"/>
      <c r="AZ71" s="1208"/>
      <c r="BA71" s="1208"/>
      <c r="BB71" s="1208"/>
      <c r="BC71" s="1208"/>
      <c r="BD71" s="1208"/>
      <c r="BE71" s="1215"/>
      <c r="BM71" s="1204" t="s">
        <v>2320</v>
      </c>
    </row>
    <row r="72" spans="1:94" ht="15.75" customHeight="1">
      <c r="A72" s="1208"/>
      <c r="B72" s="2003" t="s">
        <v>2319</v>
      </c>
      <c r="C72" s="2004"/>
      <c r="D72" s="2004"/>
      <c r="E72" s="2004"/>
      <c r="F72" s="2004"/>
      <c r="G72" s="2004"/>
      <c r="H72" s="2004"/>
      <c r="I72" s="2004"/>
      <c r="J72" s="2004"/>
      <c r="K72" s="2004"/>
      <c r="L72" s="2004"/>
      <c r="M72" s="2004"/>
      <c r="N72" s="2004"/>
      <c r="O72" s="2060">
        <v>0</v>
      </c>
      <c r="P72" s="2060"/>
      <c r="Q72" s="2060"/>
      <c r="R72" s="2060"/>
      <c r="S72" s="2060"/>
      <c r="T72" s="2060"/>
      <c r="U72" s="2060"/>
      <c r="V72" s="2060"/>
      <c r="W72" s="2060"/>
      <c r="X72" s="2060"/>
      <c r="Y72" s="2060"/>
      <c r="Z72" s="2060"/>
      <c r="AA72" s="2061"/>
      <c r="AB72" s="1208"/>
      <c r="AC72" s="2068" t="s">
        <v>2318</v>
      </c>
      <c r="AD72" s="2069"/>
      <c r="AE72" s="2069"/>
      <c r="AF72" s="2069"/>
      <c r="AG72" s="2069"/>
      <c r="AH72" s="2069"/>
      <c r="AI72" s="2069"/>
      <c r="AJ72" s="2069"/>
      <c r="AK72" s="2069"/>
      <c r="AL72" s="2069"/>
      <c r="AM72" s="2069"/>
      <c r="AN72" s="2069"/>
      <c r="AO72" s="2069"/>
      <c r="AP72" s="2069"/>
      <c r="AQ72" s="2069"/>
      <c r="AR72" s="2069"/>
      <c r="AS72" s="2069"/>
      <c r="AT72" s="2069"/>
      <c r="AU72" s="2069"/>
      <c r="AV72" s="2020"/>
      <c r="AW72" s="2020"/>
      <c r="AX72" s="2020"/>
      <c r="AY72" s="2020"/>
      <c r="AZ72" s="2020"/>
      <c r="BA72" s="2020"/>
      <c r="BB72" s="2020"/>
      <c r="BC72" s="2021"/>
      <c r="BD72" s="1208"/>
      <c r="BE72" s="1215"/>
    </row>
    <row r="73" spans="1:94" ht="15.75" customHeight="1">
      <c r="A73" s="1208"/>
      <c r="B73" s="2007" t="s">
        <v>2317</v>
      </c>
      <c r="C73" s="2008"/>
      <c r="D73" s="2008"/>
      <c r="E73" s="2008"/>
      <c r="F73" s="2008"/>
      <c r="G73" s="2008"/>
      <c r="H73" s="2008"/>
      <c r="I73" s="2008"/>
      <c r="J73" s="2008"/>
      <c r="K73" s="2008"/>
      <c r="L73" s="2008"/>
      <c r="M73" s="2008"/>
      <c r="N73" s="2008"/>
      <c r="O73" s="2060">
        <v>0</v>
      </c>
      <c r="P73" s="2060"/>
      <c r="Q73" s="2060"/>
      <c r="R73" s="2060"/>
      <c r="S73" s="2060"/>
      <c r="T73" s="2060"/>
      <c r="U73" s="2060"/>
      <c r="V73" s="2060"/>
      <c r="W73" s="2060"/>
      <c r="X73" s="2060"/>
      <c r="Y73" s="2060"/>
      <c r="Z73" s="2060"/>
      <c r="AA73" s="2061"/>
      <c r="AB73" s="1208"/>
      <c r="AC73" s="2070" t="s">
        <v>2270</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208"/>
      <c r="BE73" s="1215"/>
      <c r="CK73" s="1206"/>
      <c r="CL73" s="1206"/>
      <c r="CM73" s="1206"/>
      <c r="CN73" s="1206"/>
      <c r="CO73" s="1206"/>
      <c r="CP73" s="1206"/>
    </row>
    <row r="74" spans="1:94" ht="15.75" customHeight="1">
      <c r="A74" s="1208"/>
      <c r="B74" s="2076"/>
      <c r="C74" s="2026"/>
      <c r="D74" s="2026"/>
      <c r="E74" s="2026"/>
      <c r="F74" s="2026"/>
      <c r="G74" s="2026"/>
      <c r="H74" s="2026"/>
      <c r="I74" s="2026"/>
      <c r="J74" s="2026"/>
      <c r="K74" s="2026"/>
      <c r="L74" s="2026"/>
      <c r="M74" s="2026"/>
      <c r="N74" s="2026"/>
      <c r="O74" s="2060"/>
      <c r="P74" s="2060"/>
      <c r="Q74" s="2060"/>
      <c r="R74" s="2060"/>
      <c r="S74" s="2060"/>
      <c r="T74" s="2060"/>
      <c r="U74" s="2060"/>
      <c r="V74" s="2060"/>
      <c r="W74" s="2060"/>
      <c r="X74" s="2060"/>
      <c r="Y74" s="2060"/>
      <c r="Z74" s="2060"/>
      <c r="AA74" s="2061"/>
      <c r="AB74" s="1208"/>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208"/>
      <c r="BE74" s="1215"/>
      <c r="CK74" s="1206"/>
      <c r="CL74" s="1206"/>
      <c r="CM74" s="1206"/>
      <c r="CN74" s="1206"/>
      <c r="CO74" s="1206"/>
      <c r="CP74" s="1206"/>
    </row>
    <row r="75" spans="1:94" ht="15.75" customHeight="1" thickBot="1">
      <c r="A75" s="1208"/>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208"/>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81"/>
      <c r="G79" s="2082"/>
      <c r="H79" s="2082"/>
      <c r="I79" s="2082"/>
      <c r="J79" s="2082"/>
      <c r="K79" s="2082"/>
      <c r="L79" s="2082"/>
      <c r="M79" s="2082"/>
      <c r="N79" s="2082"/>
      <c r="O79" s="2082"/>
      <c r="P79" s="2082"/>
      <c r="Q79" s="2082"/>
      <c r="R79" s="2082"/>
      <c r="S79" s="2082"/>
      <c r="T79" s="208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4" t="s">
        <v>2315</v>
      </c>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5"/>
      <c r="Z81" s="2085"/>
      <c r="AA81" s="2085"/>
      <c r="AB81" s="2085"/>
      <c r="AC81" s="2085"/>
      <c r="AD81" s="2085"/>
      <c r="AE81" s="2085"/>
      <c r="AF81" s="2085"/>
      <c r="AG81" s="2085"/>
      <c r="AH81" s="2086"/>
      <c r="AI81" s="1208"/>
      <c r="AJ81" s="2087" t="s">
        <v>2617</v>
      </c>
      <c r="AK81" s="2088"/>
      <c r="AL81" s="2088"/>
      <c r="AM81" s="2088"/>
      <c r="AN81" s="2088"/>
      <c r="AO81" s="2088"/>
      <c r="AP81" s="2088"/>
      <c r="AQ81" s="2088"/>
      <c r="AR81" s="2088"/>
      <c r="AS81" s="2088"/>
      <c r="AT81" s="2088"/>
      <c r="AU81" s="2088"/>
      <c r="AV81" s="2088"/>
      <c r="AW81" s="2088"/>
      <c r="AX81" s="2088"/>
      <c r="AY81" s="2091" t="s">
        <v>545</v>
      </c>
      <c r="AZ81" s="2091"/>
      <c r="BA81" s="2091"/>
      <c r="BB81" s="2092"/>
      <c r="BC81" s="1208"/>
      <c r="BD81" s="1208"/>
      <c r="BE81" s="1215"/>
      <c r="CK81" s="1206"/>
      <c r="CL81" s="1206"/>
      <c r="CM81" s="1206"/>
      <c r="CN81" s="1206"/>
      <c r="CO81" s="1206"/>
      <c r="CP81" s="1206"/>
    </row>
    <row r="82" spans="1:94" ht="15.75" customHeight="1">
      <c r="A82" s="1208"/>
      <c r="B82" s="2022"/>
      <c r="C82" s="2023"/>
      <c r="D82" s="2023"/>
      <c r="E82" s="2023"/>
      <c r="F82" s="2023"/>
      <c r="G82" s="2023"/>
      <c r="H82" s="2023"/>
      <c r="I82" s="2023" t="s">
        <v>2309</v>
      </c>
      <c r="J82" s="2023"/>
      <c r="K82" s="2023"/>
      <c r="L82" s="2023"/>
      <c r="M82" s="2023"/>
      <c r="N82" s="2023"/>
      <c r="O82" s="2023" t="s">
        <v>2286</v>
      </c>
      <c r="P82" s="2023"/>
      <c r="Q82" s="2023"/>
      <c r="R82" s="2023"/>
      <c r="S82" s="2023"/>
      <c r="T82" s="2023"/>
      <c r="U82" s="2023"/>
      <c r="V82" s="2095" t="s">
        <v>2285</v>
      </c>
      <c r="W82" s="2095"/>
      <c r="X82" s="2095"/>
      <c r="Y82" s="2095"/>
      <c r="Z82" s="2095"/>
      <c r="AA82" s="2095"/>
      <c r="AB82" s="2096" t="s">
        <v>2308</v>
      </c>
      <c r="AC82" s="2096"/>
      <c r="AD82" s="2096"/>
      <c r="AE82" s="2096"/>
      <c r="AF82" s="2096"/>
      <c r="AG82" s="2096"/>
      <c r="AH82" s="2097"/>
      <c r="AI82" s="1208"/>
      <c r="AJ82" s="2089"/>
      <c r="AK82" s="2090"/>
      <c r="AL82" s="2090"/>
      <c r="AM82" s="2090"/>
      <c r="AN82" s="2090"/>
      <c r="AO82" s="2090"/>
      <c r="AP82" s="2090"/>
      <c r="AQ82" s="2090"/>
      <c r="AR82" s="2090"/>
      <c r="AS82" s="2090"/>
      <c r="AT82" s="2090"/>
      <c r="AU82" s="2090"/>
      <c r="AV82" s="2090"/>
      <c r="AW82" s="2090"/>
      <c r="AX82" s="2090"/>
      <c r="AY82" s="2093"/>
      <c r="AZ82" s="2093"/>
      <c r="BA82" s="2093"/>
      <c r="BB82" s="2094"/>
      <c r="BC82" s="1208"/>
      <c r="BD82" s="1208"/>
      <c r="BE82" s="1215"/>
      <c r="CK82" s="1206"/>
      <c r="CL82" s="1206"/>
      <c r="CM82" s="1206"/>
      <c r="CN82" s="1206"/>
      <c r="CO82" s="1206"/>
      <c r="CP82" s="1206"/>
    </row>
    <row r="83" spans="1:94" ht="15.75" customHeight="1">
      <c r="A83" s="1208"/>
      <c r="B83" s="2022"/>
      <c r="C83" s="2023"/>
      <c r="D83" s="2023"/>
      <c r="E83" s="2023"/>
      <c r="F83" s="2023"/>
      <c r="G83" s="2023"/>
      <c r="H83" s="2023"/>
      <c r="I83" s="2023"/>
      <c r="J83" s="2023"/>
      <c r="K83" s="2023"/>
      <c r="L83" s="2023"/>
      <c r="M83" s="2023"/>
      <c r="N83" s="2023"/>
      <c r="O83" s="2023"/>
      <c r="P83" s="2023"/>
      <c r="Q83" s="2023"/>
      <c r="R83" s="2023"/>
      <c r="S83" s="2023"/>
      <c r="T83" s="2023"/>
      <c r="U83" s="2023"/>
      <c r="V83" s="2095"/>
      <c r="W83" s="2095"/>
      <c r="X83" s="2095"/>
      <c r="Y83" s="2095"/>
      <c r="Z83" s="2095"/>
      <c r="AA83" s="2095"/>
      <c r="AB83" s="2096"/>
      <c r="AC83" s="2096"/>
      <c r="AD83" s="2096"/>
      <c r="AE83" s="2096"/>
      <c r="AF83" s="2096"/>
      <c r="AG83" s="2096"/>
      <c r="AH83" s="2097"/>
      <c r="AI83" s="1208"/>
      <c r="AJ83" s="2089"/>
      <c r="AK83" s="2090"/>
      <c r="AL83" s="2090"/>
      <c r="AM83" s="2090"/>
      <c r="AN83" s="2090"/>
      <c r="AO83" s="2090"/>
      <c r="AP83" s="2090"/>
      <c r="AQ83" s="2090"/>
      <c r="AR83" s="2090"/>
      <c r="AS83" s="2090"/>
      <c r="AT83" s="2090"/>
      <c r="AU83" s="2090"/>
      <c r="AV83" s="2090"/>
      <c r="AW83" s="2090"/>
      <c r="AX83" s="2090"/>
      <c r="AY83" s="2093"/>
      <c r="AZ83" s="2093"/>
      <c r="BA83" s="2093"/>
      <c r="BB83" s="2094"/>
      <c r="BC83" s="1208"/>
      <c r="BD83" s="1208"/>
      <c r="BE83" s="1215"/>
      <c r="CK83" s="1206"/>
      <c r="CL83" s="1206"/>
      <c r="CM83" s="1206"/>
      <c r="CN83" s="1206"/>
      <c r="CO83" s="1206"/>
      <c r="CP83" s="1206"/>
    </row>
    <row r="84" spans="1:94" ht="15.75" customHeight="1">
      <c r="A84" s="1208"/>
      <c r="B84" s="2022" t="s">
        <v>2307</v>
      </c>
      <c r="C84" s="2023"/>
      <c r="D84" s="2023"/>
      <c r="E84" s="2023"/>
      <c r="F84" s="2023"/>
      <c r="G84" s="2023"/>
      <c r="H84" s="2023"/>
      <c r="I84" s="2100">
        <v>0</v>
      </c>
      <c r="J84" s="2100"/>
      <c r="K84" s="2100"/>
      <c r="L84" s="2100"/>
      <c r="M84" s="2100"/>
      <c r="N84" s="2100"/>
      <c r="O84" s="2100">
        <v>0</v>
      </c>
      <c r="P84" s="2100"/>
      <c r="Q84" s="2100"/>
      <c r="R84" s="2100"/>
      <c r="S84" s="2100"/>
      <c r="T84" s="2100"/>
      <c r="U84" s="2100"/>
      <c r="V84" s="2100">
        <v>0</v>
      </c>
      <c r="W84" s="2100"/>
      <c r="X84" s="2100"/>
      <c r="Y84" s="2100"/>
      <c r="Z84" s="2100"/>
      <c r="AA84" s="2100"/>
      <c r="AB84" s="2100">
        <v>0</v>
      </c>
      <c r="AC84" s="2100"/>
      <c r="AD84" s="2100"/>
      <c r="AE84" s="2100"/>
      <c r="AF84" s="2100"/>
      <c r="AG84" s="2100"/>
      <c r="AH84" s="2101"/>
      <c r="AI84" s="1208"/>
      <c r="AJ84" s="2089"/>
      <c r="AK84" s="2090"/>
      <c r="AL84" s="2090"/>
      <c r="AM84" s="2090"/>
      <c r="AN84" s="2090"/>
      <c r="AO84" s="2090"/>
      <c r="AP84" s="2090"/>
      <c r="AQ84" s="2090"/>
      <c r="AR84" s="2090"/>
      <c r="AS84" s="2090"/>
      <c r="AT84" s="2090"/>
      <c r="AU84" s="2090"/>
      <c r="AV84" s="2090"/>
      <c r="AW84" s="2090"/>
      <c r="AX84" s="2090"/>
      <c r="AY84" s="2093"/>
      <c r="AZ84" s="2093"/>
      <c r="BA84" s="2093"/>
      <c r="BB84" s="2094"/>
      <c r="BC84" s="1208"/>
      <c r="BD84" s="1208"/>
      <c r="BE84" s="1215"/>
      <c r="CK84" s="1206"/>
      <c r="CL84" s="1206"/>
      <c r="CM84" s="1206"/>
      <c r="CN84" s="1206"/>
      <c r="CO84" s="1206"/>
      <c r="CP84" s="1206"/>
    </row>
    <row r="85" spans="1:94" ht="15.75" customHeight="1">
      <c r="A85" s="1208"/>
      <c r="B85" s="2022" t="s">
        <v>2306</v>
      </c>
      <c r="C85" s="2023"/>
      <c r="D85" s="2023"/>
      <c r="E85" s="2023"/>
      <c r="F85" s="2023"/>
      <c r="G85" s="2023"/>
      <c r="H85" s="2023"/>
      <c r="I85" s="2100">
        <v>0</v>
      </c>
      <c r="J85" s="2100"/>
      <c r="K85" s="2100"/>
      <c r="L85" s="2100"/>
      <c r="M85" s="2100"/>
      <c r="N85" s="2100"/>
      <c r="O85" s="2100">
        <v>0</v>
      </c>
      <c r="P85" s="2100"/>
      <c r="Q85" s="2100"/>
      <c r="R85" s="2100"/>
      <c r="S85" s="2100"/>
      <c r="T85" s="2100"/>
      <c r="U85" s="2100"/>
      <c r="V85" s="2100">
        <v>0</v>
      </c>
      <c r="W85" s="2100"/>
      <c r="X85" s="2100"/>
      <c r="Y85" s="2100"/>
      <c r="Z85" s="2100"/>
      <c r="AA85" s="2100"/>
      <c r="AB85" s="2100">
        <v>0</v>
      </c>
      <c r="AC85" s="2100"/>
      <c r="AD85" s="2100"/>
      <c r="AE85" s="2100"/>
      <c r="AF85" s="2100"/>
      <c r="AG85" s="2100"/>
      <c r="AH85" s="2101"/>
      <c r="AI85" s="1208"/>
      <c r="AJ85" s="2070" t="s">
        <v>2312</v>
      </c>
      <c r="AK85" s="2071"/>
      <c r="AL85" s="2071"/>
      <c r="AM85" s="2071"/>
      <c r="AN85" s="2071"/>
      <c r="AO85" s="2071"/>
      <c r="AP85" s="2071"/>
      <c r="AQ85" s="2071"/>
      <c r="AR85" s="2071"/>
      <c r="AS85" s="2071"/>
      <c r="AT85" s="2071"/>
      <c r="AU85" s="2071"/>
      <c r="AV85" s="2071"/>
      <c r="AW85" s="2071"/>
      <c r="AX85" s="2071"/>
      <c r="AY85" s="2071"/>
      <c r="AZ85" s="2071"/>
      <c r="BA85" s="2071"/>
      <c r="BB85" s="2072"/>
      <c r="BC85" s="1208"/>
      <c r="BD85" s="1208"/>
      <c r="BE85" s="1215"/>
      <c r="CK85" s="1206"/>
      <c r="CL85" s="1206"/>
      <c r="CM85" s="1206"/>
      <c r="CN85" s="1206"/>
      <c r="CO85" s="1206"/>
      <c r="CP85" s="1206"/>
    </row>
    <row r="86" spans="1:94" ht="15.75" customHeight="1" thickBot="1">
      <c r="A86" s="1208"/>
      <c r="B86" s="2040" t="s">
        <v>2305</v>
      </c>
      <c r="C86" s="2041"/>
      <c r="D86" s="2041"/>
      <c r="E86" s="2041"/>
      <c r="F86" s="2041"/>
      <c r="G86" s="2041"/>
      <c r="H86" s="2041"/>
      <c r="I86" s="2098">
        <v>0</v>
      </c>
      <c r="J86" s="2098"/>
      <c r="K86" s="2098"/>
      <c r="L86" s="2098"/>
      <c r="M86" s="2098"/>
      <c r="N86" s="2098"/>
      <c r="O86" s="2098">
        <v>0</v>
      </c>
      <c r="P86" s="2098"/>
      <c r="Q86" s="2098"/>
      <c r="R86" s="2098"/>
      <c r="S86" s="2098"/>
      <c r="T86" s="2098"/>
      <c r="U86" s="2098"/>
      <c r="V86" s="2098">
        <v>0</v>
      </c>
      <c r="W86" s="2098"/>
      <c r="X86" s="2098"/>
      <c r="Y86" s="2098"/>
      <c r="Z86" s="2098"/>
      <c r="AA86" s="2098"/>
      <c r="AB86" s="2098">
        <v>0</v>
      </c>
      <c r="AC86" s="2098"/>
      <c r="AD86" s="2098"/>
      <c r="AE86" s="2098"/>
      <c r="AF86" s="2098"/>
      <c r="AG86" s="2098"/>
      <c r="AH86" s="2099"/>
      <c r="AI86" s="1208"/>
      <c r="AJ86" s="2073"/>
      <c r="AK86" s="2074"/>
      <c r="AL86" s="2074"/>
      <c r="AM86" s="2074"/>
      <c r="AN86" s="2074"/>
      <c r="AO86" s="2074"/>
      <c r="AP86" s="2074"/>
      <c r="AQ86" s="2074"/>
      <c r="AR86" s="2074"/>
      <c r="AS86" s="2074"/>
      <c r="AT86" s="2074"/>
      <c r="AU86" s="2074"/>
      <c r="AV86" s="2074"/>
      <c r="AW86" s="2074"/>
      <c r="AX86" s="2074"/>
      <c r="AY86" s="2074"/>
      <c r="AZ86" s="2074"/>
      <c r="BA86" s="2074"/>
      <c r="BB86" s="207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81"/>
      <c r="G90" s="2082"/>
      <c r="H90" s="2082"/>
      <c r="I90" s="2082"/>
      <c r="J90" s="2082"/>
      <c r="K90" s="2082"/>
      <c r="L90" s="2082"/>
      <c r="M90" s="2082"/>
      <c r="N90" s="2082"/>
      <c r="O90" s="2082"/>
      <c r="P90" s="2082"/>
      <c r="Q90" s="2082"/>
      <c r="R90" s="2082"/>
      <c r="S90" s="2082"/>
      <c r="T90" s="208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4" t="s">
        <v>2313</v>
      </c>
      <c r="C92" s="2085"/>
      <c r="D92" s="2085"/>
      <c r="E92" s="2085"/>
      <c r="F92" s="2085"/>
      <c r="G92" s="2085"/>
      <c r="H92" s="2085"/>
      <c r="I92" s="2085"/>
      <c r="J92" s="2085"/>
      <c r="K92" s="2085"/>
      <c r="L92" s="2085"/>
      <c r="M92" s="2085"/>
      <c r="N92" s="2085"/>
      <c r="O92" s="2085"/>
      <c r="P92" s="2085"/>
      <c r="Q92" s="2085"/>
      <c r="R92" s="2085"/>
      <c r="S92" s="2085"/>
      <c r="T92" s="2085"/>
      <c r="U92" s="2085"/>
      <c r="V92" s="2085"/>
      <c r="W92" s="2085"/>
      <c r="X92" s="2085"/>
      <c r="Y92" s="2085"/>
      <c r="Z92" s="2085"/>
      <c r="AA92" s="2085"/>
      <c r="AB92" s="2085"/>
      <c r="AC92" s="2085"/>
      <c r="AD92" s="2085"/>
      <c r="AE92" s="2085"/>
      <c r="AF92" s="2085"/>
      <c r="AG92" s="2085"/>
      <c r="AH92" s="2086"/>
      <c r="AI92" s="1208"/>
      <c r="AJ92" s="2087" t="s">
        <v>2618</v>
      </c>
      <c r="AK92" s="2088"/>
      <c r="AL92" s="2088"/>
      <c r="AM92" s="2088"/>
      <c r="AN92" s="2088"/>
      <c r="AO92" s="2088"/>
      <c r="AP92" s="2088"/>
      <c r="AQ92" s="2088"/>
      <c r="AR92" s="2088"/>
      <c r="AS92" s="2088"/>
      <c r="AT92" s="2088"/>
      <c r="AU92" s="2088"/>
      <c r="AV92" s="2088"/>
      <c r="AW92" s="2088"/>
      <c r="AX92" s="2088"/>
      <c r="AY92" s="2091" t="s">
        <v>545</v>
      </c>
      <c r="AZ92" s="2091"/>
      <c r="BA92" s="2091"/>
      <c r="BB92" s="209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2"/>
      <c r="C93" s="2023"/>
      <c r="D93" s="2023"/>
      <c r="E93" s="2023"/>
      <c r="F93" s="2023"/>
      <c r="G93" s="2023"/>
      <c r="H93" s="2023"/>
      <c r="I93" s="2023" t="s">
        <v>2309</v>
      </c>
      <c r="J93" s="2023"/>
      <c r="K93" s="2023"/>
      <c r="L93" s="2023"/>
      <c r="M93" s="2023"/>
      <c r="N93" s="2023"/>
      <c r="O93" s="2023" t="s">
        <v>2286</v>
      </c>
      <c r="P93" s="2023"/>
      <c r="Q93" s="2023"/>
      <c r="R93" s="2023"/>
      <c r="S93" s="2023"/>
      <c r="T93" s="2023"/>
      <c r="U93" s="2023"/>
      <c r="V93" s="2095" t="s">
        <v>2285</v>
      </c>
      <c r="W93" s="2095"/>
      <c r="X93" s="2095"/>
      <c r="Y93" s="2095"/>
      <c r="Z93" s="2095"/>
      <c r="AA93" s="2095"/>
      <c r="AB93" s="2096" t="s">
        <v>2308</v>
      </c>
      <c r="AC93" s="2096"/>
      <c r="AD93" s="2096"/>
      <c r="AE93" s="2096"/>
      <c r="AF93" s="2096"/>
      <c r="AG93" s="2096"/>
      <c r="AH93" s="2097"/>
      <c r="AI93" s="1208"/>
      <c r="AJ93" s="2089"/>
      <c r="AK93" s="2090"/>
      <c r="AL93" s="2090"/>
      <c r="AM93" s="2090"/>
      <c r="AN93" s="2090"/>
      <c r="AO93" s="2090"/>
      <c r="AP93" s="2090"/>
      <c r="AQ93" s="2090"/>
      <c r="AR93" s="2090"/>
      <c r="AS93" s="2090"/>
      <c r="AT93" s="2090"/>
      <c r="AU93" s="2090"/>
      <c r="AV93" s="2090"/>
      <c r="AW93" s="2090"/>
      <c r="AX93" s="2090"/>
      <c r="AY93" s="2093"/>
      <c r="AZ93" s="2093"/>
      <c r="BA93" s="2093"/>
      <c r="BB93" s="209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2"/>
      <c r="C94" s="2023"/>
      <c r="D94" s="2023"/>
      <c r="E94" s="2023"/>
      <c r="F94" s="2023"/>
      <c r="G94" s="2023"/>
      <c r="H94" s="2023"/>
      <c r="I94" s="2023"/>
      <c r="J94" s="2023"/>
      <c r="K94" s="2023"/>
      <c r="L94" s="2023"/>
      <c r="M94" s="2023"/>
      <c r="N94" s="2023"/>
      <c r="O94" s="2023"/>
      <c r="P94" s="2023"/>
      <c r="Q94" s="2023"/>
      <c r="R94" s="2023"/>
      <c r="S94" s="2023"/>
      <c r="T94" s="2023"/>
      <c r="U94" s="2023"/>
      <c r="V94" s="2095"/>
      <c r="W94" s="2095"/>
      <c r="X94" s="2095"/>
      <c r="Y94" s="2095"/>
      <c r="Z94" s="2095"/>
      <c r="AA94" s="2095"/>
      <c r="AB94" s="2096"/>
      <c r="AC94" s="2096"/>
      <c r="AD94" s="2096"/>
      <c r="AE94" s="2096"/>
      <c r="AF94" s="2096"/>
      <c r="AG94" s="2096"/>
      <c r="AH94" s="2097"/>
      <c r="AI94" s="1208"/>
      <c r="AJ94" s="2089"/>
      <c r="AK94" s="2090"/>
      <c r="AL94" s="2090"/>
      <c r="AM94" s="2090"/>
      <c r="AN94" s="2090"/>
      <c r="AO94" s="2090"/>
      <c r="AP94" s="2090"/>
      <c r="AQ94" s="2090"/>
      <c r="AR94" s="2090"/>
      <c r="AS94" s="2090"/>
      <c r="AT94" s="2090"/>
      <c r="AU94" s="2090"/>
      <c r="AV94" s="2090"/>
      <c r="AW94" s="2090"/>
      <c r="AX94" s="2090"/>
      <c r="AY94" s="2093"/>
      <c r="AZ94" s="2093"/>
      <c r="BA94" s="2093"/>
      <c r="BB94" s="209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2" t="s">
        <v>2307</v>
      </c>
      <c r="C95" s="2023"/>
      <c r="D95" s="2023"/>
      <c r="E95" s="2023"/>
      <c r="F95" s="2023"/>
      <c r="G95" s="2023"/>
      <c r="H95" s="2023"/>
      <c r="I95" s="2100">
        <v>0</v>
      </c>
      <c r="J95" s="2100"/>
      <c r="K95" s="2100"/>
      <c r="L95" s="2100"/>
      <c r="M95" s="2100"/>
      <c r="N95" s="2100"/>
      <c r="O95" s="2100">
        <v>0</v>
      </c>
      <c r="P95" s="2100"/>
      <c r="Q95" s="2100"/>
      <c r="R95" s="2100"/>
      <c r="S95" s="2100"/>
      <c r="T95" s="2100"/>
      <c r="U95" s="2100"/>
      <c r="V95" s="2100">
        <v>0</v>
      </c>
      <c r="W95" s="2100"/>
      <c r="X95" s="2100"/>
      <c r="Y95" s="2100"/>
      <c r="Z95" s="2100"/>
      <c r="AA95" s="2100"/>
      <c r="AB95" s="2100">
        <v>0</v>
      </c>
      <c r="AC95" s="2100"/>
      <c r="AD95" s="2100"/>
      <c r="AE95" s="2100"/>
      <c r="AF95" s="2100"/>
      <c r="AG95" s="2100"/>
      <c r="AH95" s="2101"/>
      <c r="AI95" s="1208"/>
      <c r="AJ95" s="2089"/>
      <c r="AK95" s="2090"/>
      <c r="AL95" s="2090"/>
      <c r="AM95" s="2090"/>
      <c r="AN95" s="2090"/>
      <c r="AO95" s="2090"/>
      <c r="AP95" s="2090"/>
      <c r="AQ95" s="2090"/>
      <c r="AR95" s="2090"/>
      <c r="AS95" s="2090"/>
      <c r="AT95" s="2090"/>
      <c r="AU95" s="2090"/>
      <c r="AV95" s="2090"/>
      <c r="AW95" s="2090"/>
      <c r="AX95" s="2090"/>
      <c r="AY95" s="2093"/>
      <c r="AZ95" s="2093"/>
      <c r="BA95" s="2093"/>
      <c r="BB95" s="209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2" t="s">
        <v>2306</v>
      </c>
      <c r="C96" s="2023"/>
      <c r="D96" s="2023"/>
      <c r="E96" s="2023"/>
      <c r="F96" s="2023"/>
      <c r="G96" s="2023"/>
      <c r="H96" s="2023"/>
      <c r="I96" s="2100">
        <v>0</v>
      </c>
      <c r="J96" s="2100"/>
      <c r="K96" s="2100"/>
      <c r="L96" s="2100"/>
      <c r="M96" s="2100"/>
      <c r="N96" s="2100"/>
      <c r="O96" s="2100">
        <v>0</v>
      </c>
      <c r="P96" s="2100"/>
      <c r="Q96" s="2100"/>
      <c r="R96" s="2100"/>
      <c r="S96" s="2100"/>
      <c r="T96" s="2100"/>
      <c r="U96" s="2100"/>
      <c r="V96" s="2100">
        <v>0</v>
      </c>
      <c r="W96" s="2100"/>
      <c r="X96" s="2100"/>
      <c r="Y96" s="2100"/>
      <c r="Z96" s="2100"/>
      <c r="AA96" s="2100"/>
      <c r="AB96" s="2100">
        <v>0</v>
      </c>
      <c r="AC96" s="2100"/>
      <c r="AD96" s="2100"/>
      <c r="AE96" s="2100"/>
      <c r="AF96" s="2100"/>
      <c r="AG96" s="2100"/>
      <c r="AH96" s="2101"/>
      <c r="AI96" s="1208"/>
      <c r="AJ96" s="2070" t="s">
        <v>2312</v>
      </c>
      <c r="AK96" s="2071"/>
      <c r="AL96" s="2071"/>
      <c r="AM96" s="2071"/>
      <c r="AN96" s="2071"/>
      <c r="AO96" s="2071"/>
      <c r="AP96" s="2071"/>
      <c r="AQ96" s="2071"/>
      <c r="AR96" s="2071"/>
      <c r="AS96" s="2071"/>
      <c r="AT96" s="2071"/>
      <c r="AU96" s="2071"/>
      <c r="AV96" s="2071"/>
      <c r="AW96" s="2071"/>
      <c r="AX96" s="2071"/>
      <c r="AY96" s="2071"/>
      <c r="AZ96" s="2071"/>
      <c r="BA96" s="2071"/>
      <c r="BB96" s="207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0" t="s">
        <v>2305</v>
      </c>
      <c r="C97" s="2041"/>
      <c r="D97" s="2041"/>
      <c r="E97" s="2041"/>
      <c r="F97" s="2041"/>
      <c r="G97" s="2041"/>
      <c r="H97" s="2041"/>
      <c r="I97" s="2098">
        <v>0</v>
      </c>
      <c r="J97" s="2098"/>
      <c r="K97" s="2098"/>
      <c r="L97" s="2098"/>
      <c r="M97" s="2098"/>
      <c r="N97" s="2098"/>
      <c r="O97" s="2098">
        <v>0</v>
      </c>
      <c r="P97" s="2098"/>
      <c r="Q97" s="2098"/>
      <c r="R97" s="2098"/>
      <c r="S97" s="2098"/>
      <c r="T97" s="2098"/>
      <c r="U97" s="2098"/>
      <c r="V97" s="2098">
        <v>0</v>
      </c>
      <c r="W97" s="2098"/>
      <c r="X97" s="2098"/>
      <c r="Y97" s="2098"/>
      <c r="Z97" s="2098"/>
      <c r="AA97" s="2098"/>
      <c r="AB97" s="2098">
        <v>0</v>
      </c>
      <c r="AC97" s="2098"/>
      <c r="AD97" s="2098"/>
      <c r="AE97" s="2098"/>
      <c r="AF97" s="2098"/>
      <c r="AG97" s="2098"/>
      <c r="AH97" s="2099"/>
      <c r="AI97" s="1208"/>
      <c r="AJ97" s="2073"/>
      <c r="AK97" s="2074"/>
      <c r="AL97" s="2074"/>
      <c r="AM97" s="2074"/>
      <c r="AN97" s="2074"/>
      <c r="AO97" s="2074"/>
      <c r="AP97" s="2074"/>
      <c r="AQ97" s="2074"/>
      <c r="AR97" s="2074"/>
      <c r="AS97" s="2074"/>
      <c r="AT97" s="2074"/>
      <c r="AU97" s="2074"/>
      <c r="AV97" s="2074"/>
      <c r="AW97" s="2074"/>
      <c r="AX97" s="2074"/>
      <c r="AY97" s="2074"/>
      <c r="AZ97" s="2074"/>
      <c r="BA97" s="2074"/>
      <c r="BB97" s="207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6" t="s">
        <v>2310</v>
      </c>
      <c r="C102" s="2067"/>
      <c r="D102" s="2067"/>
      <c r="E102" s="2067"/>
      <c r="F102" s="2067"/>
      <c r="G102" s="2067"/>
      <c r="H102" s="2067"/>
      <c r="I102" s="2067"/>
      <c r="J102" s="2067"/>
      <c r="K102" s="2067"/>
      <c r="L102" s="2067"/>
      <c r="M102" s="2067"/>
      <c r="N102" s="2067"/>
      <c r="O102" s="2067"/>
      <c r="P102" s="2067"/>
      <c r="Q102" s="2067"/>
      <c r="R102" s="2067"/>
      <c r="S102" s="2067"/>
      <c r="T102" s="2067"/>
      <c r="U102" s="2067"/>
      <c r="V102" s="2067"/>
      <c r="W102" s="2067"/>
      <c r="X102" s="2067"/>
      <c r="Y102" s="2067"/>
      <c r="Z102" s="2067"/>
      <c r="AA102" s="2067"/>
      <c r="AB102" s="2067"/>
      <c r="AC102" s="2067"/>
      <c r="AD102" s="2067"/>
      <c r="AE102" s="2067"/>
      <c r="AF102" s="2067"/>
      <c r="AG102" s="2067"/>
      <c r="AH102" s="2105"/>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2"/>
      <c r="C103" s="2023"/>
      <c r="D103" s="2023"/>
      <c r="E103" s="2023"/>
      <c r="F103" s="2023"/>
      <c r="G103" s="2023"/>
      <c r="H103" s="2023"/>
      <c r="I103" s="2023" t="s">
        <v>2309</v>
      </c>
      <c r="J103" s="2023"/>
      <c r="K103" s="2023"/>
      <c r="L103" s="2023"/>
      <c r="M103" s="2023"/>
      <c r="N103" s="2023"/>
      <c r="O103" s="2023" t="s">
        <v>2286</v>
      </c>
      <c r="P103" s="2023"/>
      <c r="Q103" s="2023"/>
      <c r="R103" s="2023"/>
      <c r="S103" s="2023"/>
      <c r="T103" s="2023"/>
      <c r="U103" s="2023"/>
      <c r="V103" s="2095" t="s">
        <v>2285</v>
      </c>
      <c r="W103" s="2095"/>
      <c r="X103" s="2095"/>
      <c r="Y103" s="2095"/>
      <c r="Z103" s="2095"/>
      <c r="AA103" s="2095"/>
      <c r="AB103" s="2096" t="s">
        <v>2308</v>
      </c>
      <c r="AC103" s="2096"/>
      <c r="AD103" s="2096"/>
      <c r="AE103" s="2096"/>
      <c r="AF103" s="2096"/>
      <c r="AG103" s="2096"/>
      <c r="AH103" s="209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2"/>
      <c r="C104" s="2023"/>
      <c r="D104" s="2023"/>
      <c r="E104" s="2023"/>
      <c r="F104" s="2023"/>
      <c r="G104" s="2023"/>
      <c r="H104" s="2023"/>
      <c r="I104" s="2023"/>
      <c r="J104" s="2023"/>
      <c r="K104" s="2023"/>
      <c r="L104" s="2023"/>
      <c r="M104" s="2023"/>
      <c r="N104" s="2023"/>
      <c r="O104" s="2023"/>
      <c r="P104" s="2023"/>
      <c r="Q104" s="2023"/>
      <c r="R104" s="2023"/>
      <c r="S104" s="2023"/>
      <c r="T104" s="2023"/>
      <c r="U104" s="2023"/>
      <c r="V104" s="2095"/>
      <c r="W104" s="2095"/>
      <c r="X104" s="2095"/>
      <c r="Y104" s="2095"/>
      <c r="Z104" s="2095"/>
      <c r="AA104" s="2095"/>
      <c r="AB104" s="2096"/>
      <c r="AC104" s="2096"/>
      <c r="AD104" s="2096"/>
      <c r="AE104" s="2096"/>
      <c r="AF104" s="2096"/>
      <c r="AG104" s="2096"/>
      <c r="AH104" s="209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2" t="s">
        <v>2307</v>
      </c>
      <c r="C105" s="2023"/>
      <c r="D105" s="2023"/>
      <c r="E105" s="2023"/>
      <c r="F105" s="2023"/>
      <c r="G105" s="2023"/>
      <c r="H105" s="2023"/>
      <c r="I105" s="2100">
        <v>0</v>
      </c>
      <c r="J105" s="2100"/>
      <c r="K105" s="2100"/>
      <c r="L105" s="2100"/>
      <c r="M105" s="2100"/>
      <c r="N105" s="2100"/>
      <c r="O105" s="2100">
        <v>0</v>
      </c>
      <c r="P105" s="2100"/>
      <c r="Q105" s="2100"/>
      <c r="R105" s="2100"/>
      <c r="S105" s="2100"/>
      <c r="T105" s="2100"/>
      <c r="U105" s="2100"/>
      <c r="V105" s="2100">
        <v>0</v>
      </c>
      <c r="W105" s="2100"/>
      <c r="X105" s="2100"/>
      <c r="Y105" s="2100"/>
      <c r="Z105" s="2100"/>
      <c r="AA105" s="2100"/>
      <c r="AB105" s="2100">
        <v>0</v>
      </c>
      <c r="AC105" s="2100"/>
      <c r="AD105" s="2100"/>
      <c r="AE105" s="2100"/>
      <c r="AF105" s="2100"/>
      <c r="AG105" s="2100"/>
      <c r="AH105" s="210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2" t="s">
        <v>2306</v>
      </c>
      <c r="C106" s="2023"/>
      <c r="D106" s="2023"/>
      <c r="E106" s="2023"/>
      <c r="F106" s="2023"/>
      <c r="G106" s="2023"/>
      <c r="H106" s="2023"/>
      <c r="I106" s="2100">
        <v>0</v>
      </c>
      <c r="J106" s="2100"/>
      <c r="K106" s="2100"/>
      <c r="L106" s="2100"/>
      <c r="M106" s="2100"/>
      <c r="N106" s="2100"/>
      <c r="O106" s="2100">
        <v>0</v>
      </c>
      <c r="P106" s="2100"/>
      <c r="Q106" s="2100"/>
      <c r="R106" s="2100"/>
      <c r="S106" s="2100"/>
      <c r="T106" s="2100"/>
      <c r="U106" s="2100"/>
      <c r="V106" s="2100">
        <v>0</v>
      </c>
      <c r="W106" s="2100"/>
      <c r="X106" s="2100"/>
      <c r="Y106" s="2100"/>
      <c r="Z106" s="2100"/>
      <c r="AA106" s="2100"/>
      <c r="AB106" s="2100">
        <v>0</v>
      </c>
      <c r="AC106" s="2100"/>
      <c r="AD106" s="2100"/>
      <c r="AE106" s="2100"/>
      <c r="AF106" s="2100"/>
      <c r="AG106" s="2100"/>
      <c r="AH106" s="210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0" t="s">
        <v>2305</v>
      </c>
      <c r="C107" s="2041"/>
      <c r="D107" s="2041"/>
      <c r="E107" s="2041"/>
      <c r="F107" s="2041"/>
      <c r="G107" s="2041"/>
      <c r="H107" s="2041"/>
      <c r="I107" s="2098">
        <v>0</v>
      </c>
      <c r="J107" s="2098"/>
      <c r="K107" s="2098"/>
      <c r="L107" s="2098"/>
      <c r="M107" s="2098"/>
      <c r="N107" s="2098"/>
      <c r="O107" s="2098">
        <v>0</v>
      </c>
      <c r="P107" s="2098"/>
      <c r="Q107" s="2098"/>
      <c r="R107" s="2098"/>
      <c r="S107" s="2098"/>
      <c r="T107" s="2098"/>
      <c r="U107" s="2098"/>
      <c r="V107" s="2098">
        <v>0</v>
      </c>
      <c r="W107" s="2098"/>
      <c r="X107" s="2098"/>
      <c r="Y107" s="2098"/>
      <c r="Z107" s="2098"/>
      <c r="AA107" s="2098"/>
      <c r="AB107" s="2098">
        <v>0</v>
      </c>
      <c r="AC107" s="2098"/>
      <c r="AD107" s="2098"/>
      <c r="AE107" s="2098"/>
      <c r="AF107" s="2098"/>
      <c r="AG107" s="2098"/>
      <c r="AH107" s="209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6" t="s">
        <v>2619</v>
      </c>
      <c r="C112" s="2107"/>
      <c r="D112" s="2107"/>
      <c r="E112" s="2107"/>
      <c r="F112" s="2107"/>
      <c r="G112" s="2107"/>
      <c r="H112" s="2107"/>
      <c r="I112" s="2107"/>
      <c r="J112" s="2107"/>
      <c r="K112" s="2107"/>
      <c r="L112" s="2107"/>
      <c r="M112" s="2107"/>
      <c r="N112" s="2107"/>
      <c r="O112" s="2107"/>
      <c r="P112" s="2107"/>
      <c r="Q112" s="2107"/>
      <c r="R112" s="2107"/>
      <c r="S112" s="2107"/>
      <c r="T112" s="2107"/>
      <c r="U112" s="2110" t="s">
        <v>545</v>
      </c>
      <c r="V112" s="2110"/>
      <c r="W112" s="2110"/>
      <c r="X112" s="2111"/>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8"/>
      <c r="C113" s="2109"/>
      <c r="D113" s="2109"/>
      <c r="E113" s="2109"/>
      <c r="F113" s="2109"/>
      <c r="G113" s="2109"/>
      <c r="H113" s="2109"/>
      <c r="I113" s="2109"/>
      <c r="J113" s="2109"/>
      <c r="K113" s="2109"/>
      <c r="L113" s="2109"/>
      <c r="M113" s="2109"/>
      <c r="N113" s="2109"/>
      <c r="O113" s="2109"/>
      <c r="P113" s="2109"/>
      <c r="Q113" s="2109"/>
      <c r="R113" s="2109"/>
      <c r="S113" s="2109"/>
      <c r="T113" s="2109"/>
      <c r="U113" s="2112"/>
      <c r="V113" s="2112"/>
      <c r="W113" s="2112"/>
      <c r="X113" s="2113"/>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8"/>
      <c r="C114" s="2109"/>
      <c r="D114" s="2109"/>
      <c r="E114" s="2109"/>
      <c r="F114" s="2109"/>
      <c r="G114" s="2109"/>
      <c r="H114" s="2109"/>
      <c r="I114" s="2109"/>
      <c r="J114" s="2109"/>
      <c r="K114" s="2109"/>
      <c r="L114" s="2109"/>
      <c r="M114" s="2109"/>
      <c r="N114" s="2109"/>
      <c r="O114" s="2109"/>
      <c r="P114" s="2109"/>
      <c r="Q114" s="2109"/>
      <c r="R114" s="2109"/>
      <c r="S114" s="2109"/>
      <c r="T114" s="2109"/>
      <c r="U114" s="2112"/>
      <c r="V114" s="2112"/>
      <c r="W114" s="2112"/>
      <c r="X114" s="2113"/>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8"/>
      <c r="C115" s="2109"/>
      <c r="D115" s="2109"/>
      <c r="E115" s="2109"/>
      <c r="F115" s="2109"/>
      <c r="G115" s="2109"/>
      <c r="H115" s="2109"/>
      <c r="I115" s="2109"/>
      <c r="J115" s="2109"/>
      <c r="K115" s="2109"/>
      <c r="L115" s="2109"/>
      <c r="M115" s="2109"/>
      <c r="N115" s="2109"/>
      <c r="O115" s="2109"/>
      <c r="P115" s="2109"/>
      <c r="Q115" s="2109"/>
      <c r="R115" s="2109"/>
      <c r="S115" s="2109"/>
      <c r="T115" s="2109"/>
      <c r="U115" s="2112"/>
      <c r="V115" s="2112"/>
      <c r="W115" s="2112"/>
      <c r="X115" s="2113"/>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4" t="s">
        <v>2619</v>
      </c>
      <c r="C116" s="2115"/>
      <c r="D116" s="2115"/>
      <c r="E116" s="2115"/>
      <c r="F116" s="2115"/>
      <c r="G116" s="2115"/>
      <c r="H116" s="2115"/>
      <c r="I116" s="2115"/>
      <c r="J116" s="2115"/>
      <c r="K116" s="2115"/>
      <c r="L116" s="2115"/>
      <c r="M116" s="2115"/>
      <c r="N116" s="2115"/>
      <c r="O116" s="2115"/>
      <c r="P116" s="2115"/>
      <c r="Q116" s="2115"/>
      <c r="R116" s="2115"/>
      <c r="S116" s="2115"/>
      <c r="T116" s="2115"/>
      <c r="U116" s="2118" t="s">
        <v>545</v>
      </c>
      <c r="V116" s="2118"/>
      <c r="W116" s="2118"/>
      <c r="X116" s="2119"/>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6"/>
      <c r="C117" s="2117"/>
      <c r="D117" s="2117"/>
      <c r="E117" s="2117"/>
      <c r="F117" s="2117"/>
      <c r="G117" s="2117"/>
      <c r="H117" s="2117"/>
      <c r="I117" s="2117"/>
      <c r="J117" s="2117"/>
      <c r="K117" s="2117"/>
      <c r="L117" s="2117"/>
      <c r="M117" s="2117"/>
      <c r="N117" s="2117"/>
      <c r="O117" s="2117"/>
      <c r="P117" s="2117"/>
      <c r="Q117" s="2117"/>
      <c r="R117" s="2117"/>
      <c r="S117" s="2117"/>
      <c r="T117" s="2117"/>
      <c r="U117" s="2120"/>
      <c r="V117" s="2120"/>
      <c r="W117" s="2120"/>
      <c r="X117" s="2121"/>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7" t="s">
        <v>2302</v>
      </c>
      <c r="Y120" s="2088"/>
      <c r="Z120" s="2088"/>
      <c r="AA120" s="2088"/>
      <c r="AB120" s="2088"/>
      <c r="AC120" s="2088"/>
      <c r="AD120" s="2088"/>
      <c r="AE120" s="2088"/>
      <c r="AF120" s="2088"/>
      <c r="AG120" s="2088"/>
      <c r="AH120" s="2088"/>
      <c r="AI120" s="2088"/>
      <c r="AJ120" s="2088"/>
      <c r="AK120" s="2088"/>
      <c r="AL120" s="2088"/>
      <c r="AM120" s="2088"/>
      <c r="AN120" s="2088"/>
      <c r="AO120" s="2088"/>
      <c r="AP120" s="2088"/>
      <c r="AQ120" s="2088"/>
      <c r="AR120" s="2088"/>
      <c r="AS120" s="2088"/>
      <c r="AT120" s="2088"/>
      <c r="AU120" s="2088"/>
      <c r="AV120" s="2088"/>
      <c r="AW120" s="2088"/>
      <c r="AX120" s="2088"/>
      <c r="AY120" s="2088"/>
      <c r="AZ120" s="2088"/>
      <c r="BA120" s="2088"/>
      <c r="BB120" s="2088"/>
      <c r="BC120" s="2088"/>
      <c r="BD120" s="2128"/>
      <c r="BE120" s="1215"/>
    </row>
    <row r="121" spans="1:57" ht="15.75" customHeight="1">
      <c r="A121" s="1208"/>
      <c r="B121" s="2130" t="s">
        <v>1565</v>
      </c>
      <c r="C121" s="2131"/>
      <c r="D121" s="2131"/>
      <c r="E121" s="2131"/>
      <c r="F121" s="2131"/>
      <c r="G121" s="2131"/>
      <c r="H121" s="2131"/>
      <c r="I121" s="2131"/>
      <c r="J121" s="2131"/>
      <c r="K121" s="2131"/>
      <c r="L121" s="2131"/>
      <c r="M121" s="2131"/>
      <c r="N121" s="2131"/>
      <c r="O121" s="2131"/>
      <c r="P121" s="2131"/>
      <c r="Q121" s="2131"/>
      <c r="R121" s="2131"/>
      <c r="S121" s="2131"/>
      <c r="T121" s="2131"/>
      <c r="U121" s="2132"/>
      <c r="V121" s="1208"/>
      <c r="W121" s="1208"/>
      <c r="X121" s="2089"/>
      <c r="Y121" s="2090"/>
      <c r="Z121" s="2090"/>
      <c r="AA121" s="2090"/>
      <c r="AB121" s="2090"/>
      <c r="AC121" s="2090"/>
      <c r="AD121" s="2090"/>
      <c r="AE121" s="2090"/>
      <c r="AF121" s="2090"/>
      <c r="AG121" s="2090"/>
      <c r="AH121" s="2090"/>
      <c r="AI121" s="2090"/>
      <c r="AJ121" s="2090"/>
      <c r="AK121" s="2090"/>
      <c r="AL121" s="2090"/>
      <c r="AM121" s="2090"/>
      <c r="AN121" s="2090"/>
      <c r="AO121" s="2090"/>
      <c r="AP121" s="2090"/>
      <c r="AQ121" s="2090"/>
      <c r="AR121" s="2090"/>
      <c r="AS121" s="2090"/>
      <c r="AT121" s="2090"/>
      <c r="AU121" s="2090"/>
      <c r="AV121" s="2090"/>
      <c r="AW121" s="2090"/>
      <c r="AX121" s="2090"/>
      <c r="AY121" s="2090"/>
      <c r="AZ121" s="2090"/>
      <c r="BA121" s="2090"/>
      <c r="BB121" s="2090"/>
      <c r="BC121" s="2090"/>
      <c r="BD121" s="2129"/>
      <c r="BE121" s="1215"/>
    </row>
    <row r="122" spans="1:57" ht="15.75" customHeight="1">
      <c r="A122" s="1208"/>
      <c r="B122" s="2148"/>
      <c r="C122" s="2149"/>
      <c r="D122" s="2149"/>
      <c r="E122" s="2149"/>
      <c r="F122" s="2149"/>
      <c r="G122" s="2149"/>
      <c r="H122" s="2149"/>
      <c r="I122" s="2023" t="s">
        <v>2301</v>
      </c>
      <c r="J122" s="2023"/>
      <c r="K122" s="2023"/>
      <c r="L122" s="2023"/>
      <c r="M122" s="2023"/>
      <c r="N122" s="2023"/>
      <c r="O122" s="2152" t="s">
        <v>2300</v>
      </c>
      <c r="P122" s="2152"/>
      <c r="Q122" s="2152"/>
      <c r="R122" s="2152"/>
      <c r="S122" s="2152"/>
      <c r="T122" s="2152"/>
      <c r="U122" s="2153"/>
      <c r="V122" s="1208"/>
      <c r="W122" s="1208"/>
      <c r="X122" s="2070" t="s">
        <v>2270</v>
      </c>
      <c r="Y122" s="2071"/>
      <c r="Z122" s="2071"/>
      <c r="AA122" s="2071"/>
      <c r="AB122" s="2071"/>
      <c r="AC122" s="2071"/>
      <c r="AD122" s="2071"/>
      <c r="AE122" s="2071"/>
      <c r="AF122" s="2071"/>
      <c r="AG122" s="2071"/>
      <c r="AH122" s="2071"/>
      <c r="AI122" s="2071"/>
      <c r="AJ122" s="2071"/>
      <c r="AK122" s="2071"/>
      <c r="AL122" s="2071"/>
      <c r="AM122" s="2071"/>
      <c r="AN122" s="2071"/>
      <c r="AO122" s="2071"/>
      <c r="AP122" s="2071"/>
      <c r="AQ122" s="2071"/>
      <c r="AR122" s="2071"/>
      <c r="AS122" s="2071"/>
      <c r="AT122" s="2071"/>
      <c r="AU122" s="2071"/>
      <c r="AV122" s="2071"/>
      <c r="AW122" s="2071"/>
      <c r="AX122" s="2071"/>
      <c r="AY122" s="2071"/>
      <c r="AZ122" s="2071"/>
      <c r="BA122" s="2071"/>
      <c r="BB122" s="2071"/>
      <c r="BC122" s="2071"/>
      <c r="BD122" s="2072"/>
      <c r="BE122" s="1215"/>
    </row>
    <row r="123" spans="1:57" ht="15.75" customHeight="1">
      <c r="A123" s="1208"/>
      <c r="B123" s="2122" t="s">
        <v>2284</v>
      </c>
      <c r="C123" s="2123"/>
      <c r="D123" s="2123"/>
      <c r="E123" s="2123"/>
      <c r="F123" s="2123"/>
      <c r="G123" s="2123"/>
      <c r="H123" s="2123"/>
      <c r="I123" s="2100">
        <v>0</v>
      </c>
      <c r="J123" s="2100"/>
      <c r="K123" s="2100"/>
      <c r="L123" s="2100"/>
      <c r="M123" s="2100"/>
      <c r="N123" s="2100"/>
      <c r="O123" s="2100">
        <v>0</v>
      </c>
      <c r="P123" s="2100"/>
      <c r="Q123" s="2100"/>
      <c r="R123" s="2100"/>
      <c r="S123" s="2100"/>
      <c r="T123" s="2100"/>
      <c r="U123" s="2101"/>
      <c r="V123" s="1208"/>
      <c r="W123" s="1208"/>
      <c r="X123" s="2070"/>
      <c r="Y123" s="2071"/>
      <c r="Z123" s="2071"/>
      <c r="AA123" s="2071"/>
      <c r="AB123" s="2071"/>
      <c r="AC123" s="2071"/>
      <c r="AD123" s="2071"/>
      <c r="AE123" s="2071"/>
      <c r="AF123" s="2071"/>
      <c r="AG123" s="2071"/>
      <c r="AH123" s="2071"/>
      <c r="AI123" s="2071"/>
      <c r="AJ123" s="2071"/>
      <c r="AK123" s="2071"/>
      <c r="AL123" s="2071"/>
      <c r="AM123" s="2071"/>
      <c r="AN123" s="2071"/>
      <c r="AO123" s="2071"/>
      <c r="AP123" s="2071"/>
      <c r="AQ123" s="2071"/>
      <c r="AR123" s="2071"/>
      <c r="AS123" s="2071"/>
      <c r="AT123" s="2071"/>
      <c r="AU123" s="2071"/>
      <c r="AV123" s="2071"/>
      <c r="AW123" s="2071"/>
      <c r="AX123" s="2071"/>
      <c r="AY123" s="2071"/>
      <c r="AZ123" s="2071"/>
      <c r="BA123" s="2071"/>
      <c r="BB123" s="2071"/>
      <c r="BC123" s="2071"/>
      <c r="BD123" s="2072"/>
      <c r="BE123" s="1215"/>
    </row>
    <row r="124" spans="1:57" ht="15.75" customHeight="1" thickBot="1">
      <c r="A124" s="1208"/>
      <c r="B124" s="2124" t="s">
        <v>2283</v>
      </c>
      <c r="C124" s="2125"/>
      <c r="D124" s="2125"/>
      <c r="E124" s="2125"/>
      <c r="F124" s="2125"/>
      <c r="G124" s="2125"/>
      <c r="H124" s="2125"/>
      <c r="I124" s="2098">
        <v>0</v>
      </c>
      <c r="J124" s="2098"/>
      <c r="K124" s="2098"/>
      <c r="L124" s="2098"/>
      <c r="M124" s="2098"/>
      <c r="N124" s="2098"/>
      <c r="O124" s="2126"/>
      <c r="P124" s="2126"/>
      <c r="Q124" s="2126"/>
      <c r="R124" s="2126"/>
      <c r="S124" s="2126"/>
      <c r="T124" s="2126"/>
      <c r="U124" s="2127"/>
      <c r="V124" s="1208"/>
      <c r="W124" s="1208"/>
      <c r="X124" s="2070"/>
      <c r="Y124" s="2071"/>
      <c r="Z124" s="2071"/>
      <c r="AA124" s="2071"/>
      <c r="AB124" s="2071"/>
      <c r="AC124" s="2071"/>
      <c r="AD124" s="2071"/>
      <c r="AE124" s="2071"/>
      <c r="AF124" s="2071"/>
      <c r="AG124" s="2071"/>
      <c r="AH124" s="2071"/>
      <c r="AI124" s="2071"/>
      <c r="AJ124" s="2071"/>
      <c r="AK124" s="2071"/>
      <c r="AL124" s="2071"/>
      <c r="AM124" s="2071"/>
      <c r="AN124" s="2071"/>
      <c r="AO124" s="2071"/>
      <c r="AP124" s="2071"/>
      <c r="AQ124" s="2071"/>
      <c r="AR124" s="2071"/>
      <c r="AS124" s="2071"/>
      <c r="AT124" s="2071"/>
      <c r="AU124" s="2071"/>
      <c r="AV124" s="2071"/>
      <c r="AW124" s="2071"/>
      <c r="AX124" s="2071"/>
      <c r="AY124" s="2071"/>
      <c r="AZ124" s="2071"/>
      <c r="BA124" s="2071"/>
      <c r="BB124" s="2071"/>
      <c r="BC124" s="2071"/>
      <c r="BD124" s="207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0"/>
      <c r="Y125" s="2071"/>
      <c r="Z125" s="2071"/>
      <c r="AA125" s="2071"/>
      <c r="AB125" s="2071"/>
      <c r="AC125" s="2071"/>
      <c r="AD125" s="2071"/>
      <c r="AE125" s="2071"/>
      <c r="AF125" s="2071"/>
      <c r="AG125" s="2071"/>
      <c r="AH125" s="2071"/>
      <c r="AI125" s="2071"/>
      <c r="AJ125" s="2071"/>
      <c r="AK125" s="2071"/>
      <c r="AL125" s="2071"/>
      <c r="AM125" s="2071"/>
      <c r="AN125" s="2071"/>
      <c r="AO125" s="2071"/>
      <c r="AP125" s="2071"/>
      <c r="AQ125" s="2071"/>
      <c r="AR125" s="2071"/>
      <c r="AS125" s="2071"/>
      <c r="AT125" s="2071"/>
      <c r="AU125" s="2071"/>
      <c r="AV125" s="2071"/>
      <c r="AW125" s="2071"/>
      <c r="AX125" s="2071"/>
      <c r="AY125" s="2071"/>
      <c r="AZ125" s="2071"/>
      <c r="BA125" s="2071"/>
      <c r="BB125" s="2071"/>
      <c r="BC125" s="2071"/>
      <c r="BD125" s="2072"/>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0"/>
      <c r="Y126" s="2071"/>
      <c r="Z126" s="2071"/>
      <c r="AA126" s="2071"/>
      <c r="AB126" s="2071"/>
      <c r="AC126" s="2071"/>
      <c r="AD126" s="2071"/>
      <c r="AE126" s="2071"/>
      <c r="AF126" s="2071"/>
      <c r="AG126" s="2071"/>
      <c r="AH126" s="2071"/>
      <c r="AI126" s="2071"/>
      <c r="AJ126" s="2071"/>
      <c r="AK126" s="2071"/>
      <c r="AL126" s="2071"/>
      <c r="AM126" s="2071"/>
      <c r="AN126" s="2071"/>
      <c r="AO126" s="2071"/>
      <c r="AP126" s="2071"/>
      <c r="AQ126" s="2071"/>
      <c r="AR126" s="2071"/>
      <c r="AS126" s="2071"/>
      <c r="AT126" s="2071"/>
      <c r="AU126" s="2071"/>
      <c r="AV126" s="2071"/>
      <c r="AW126" s="2071"/>
      <c r="AX126" s="2071"/>
      <c r="AY126" s="2071"/>
      <c r="AZ126" s="2071"/>
      <c r="BA126" s="2071"/>
      <c r="BB126" s="2071"/>
      <c r="BC126" s="2071"/>
      <c r="BD126" s="207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0"/>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215"/>
    </row>
    <row r="128" spans="1:57" ht="15.75" customHeight="1">
      <c r="A128" s="1208"/>
      <c r="B128" s="1924" t="s">
        <v>2298</v>
      </c>
      <c r="C128" s="1925"/>
      <c r="D128" s="1925"/>
      <c r="E128" s="1925"/>
      <c r="F128" s="1925"/>
      <c r="G128" s="1925"/>
      <c r="H128" s="1925"/>
      <c r="I128" s="1925"/>
      <c r="J128" s="1925"/>
      <c r="K128" s="1925"/>
      <c r="L128" s="1925"/>
      <c r="M128" s="1925"/>
      <c r="N128" s="1925"/>
      <c r="O128" s="1925"/>
      <c r="P128" s="1925"/>
      <c r="Q128" s="1925"/>
      <c r="R128" s="1925"/>
      <c r="S128" s="1925"/>
      <c r="T128" s="1925"/>
      <c r="U128" s="1926"/>
      <c r="V128" s="1208"/>
      <c r="W128" s="1208"/>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215"/>
    </row>
    <row r="129" spans="1:57" ht="15.75" customHeight="1">
      <c r="A129" s="1208"/>
      <c r="B129" s="2148"/>
      <c r="C129" s="2149"/>
      <c r="D129" s="2149"/>
      <c r="E129" s="2149"/>
      <c r="F129" s="2149"/>
      <c r="G129" s="2149"/>
      <c r="H129" s="2149"/>
      <c r="I129" s="2150" t="s">
        <v>2286</v>
      </c>
      <c r="J129" s="2150"/>
      <c r="K129" s="2150"/>
      <c r="L129" s="2150"/>
      <c r="M129" s="2150"/>
      <c r="N129" s="2150"/>
      <c r="O129" s="2150"/>
      <c r="P129" s="2150" t="s">
        <v>2285</v>
      </c>
      <c r="Q129" s="2150"/>
      <c r="R129" s="2150"/>
      <c r="S129" s="2150"/>
      <c r="T129" s="2150"/>
      <c r="U129" s="2151"/>
      <c r="V129" s="1208"/>
      <c r="W129" s="1208"/>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215"/>
    </row>
    <row r="130" spans="1:57" ht="15.75" customHeight="1">
      <c r="A130" s="1208"/>
      <c r="B130" s="2148"/>
      <c r="C130" s="2149"/>
      <c r="D130" s="2149"/>
      <c r="E130" s="2149"/>
      <c r="F130" s="2149"/>
      <c r="G130" s="2149"/>
      <c r="H130" s="2149"/>
      <c r="I130" s="2150"/>
      <c r="J130" s="2150"/>
      <c r="K130" s="2150"/>
      <c r="L130" s="2150"/>
      <c r="M130" s="2150"/>
      <c r="N130" s="2150"/>
      <c r="O130" s="2150"/>
      <c r="P130" s="2150"/>
      <c r="Q130" s="2150"/>
      <c r="R130" s="2150"/>
      <c r="S130" s="2150"/>
      <c r="T130" s="2150"/>
      <c r="U130" s="2151"/>
      <c r="V130" s="1208"/>
      <c r="W130" s="1208"/>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215"/>
    </row>
    <row r="131" spans="1:57" ht="15.75" customHeight="1">
      <c r="A131" s="1208"/>
      <c r="B131" s="2122" t="s">
        <v>2284</v>
      </c>
      <c r="C131" s="2123"/>
      <c r="D131" s="2123"/>
      <c r="E131" s="2123"/>
      <c r="F131" s="2123"/>
      <c r="G131" s="2123"/>
      <c r="H131" s="2123"/>
      <c r="I131" s="2100">
        <v>0</v>
      </c>
      <c r="J131" s="2100"/>
      <c r="K131" s="2100"/>
      <c r="L131" s="2100"/>
      <c r="M131" s="2100"/>
      <c r="N131" s="2100"/>
      <c r="O131" s="2100"/>
      <c r="P131" s="2100">
        <v>0</v>
      </c>
      <c r="Q131" s="2100"/>
      <c r="R131" s="2100"/>
      <c r="S131" s="2100"/>
      <c r="T131" s="2100"/>
      <c r="U131" s="2101"/>
      <c r="V131" s="1208"/>
      <c r="W131" s="1208"/>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215"/>
    </row>
    <row r="132" spans="1:57" ht="15.75" customHeight="1" thickBot="1">
      <c r="A132" s="1208"/>
      <c r="B132" s="2124" t="s">
        <v>2283</v>
      </c>
      <c r="C132" s="2125"/>
      <c r="D132" s="2125"/>
      <c r="E132" s="2125"/>
      <c r="F132" s="2125"/>
      <c r="G132" s="2125"/>
      <c r="H132" s="2125"/>
      <c r="I132" s="2098">
        <v>0</v>
      </c>
      <c r="J132" s="2098"/>
      <c r="K132" s="2098"/>
      <c r="L132" s="2098"/>
      <c r="M132" s="2098"/>
      <c r="N132" s="2098"/>
      <c r="O132" s="2098"/>
      <c r="P132" s="2098">
        <v>0</v>
      </c>
      <c r="Q132" s="2098"/>
      <c r="R132" s="2098"/>
      <c r="S132" s="2098"/>
      <c r="T132" s="2098"/>
      <c r="U132" s="2099"/>
      <c r="V132" s="1208"/>
      <c r="W132" s="1208"/>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6" t="s">
        <v>2297</v>
      </c>
      <c r="C134" s="2147"/>
      <c r="D134" s="2147"/>
      <c r="E134" s="2147"/>
      <c r="F134" s="2147"/>
      <c r="G134" s="2147"/>
      <c r="H134" s="2147"/>
      <c r="I134" s="2147"/>
      <c r="J134" s="2147"/>
      <c r="K134" s="2147"/>
      <c r="L134" s="2147"/>
      <c r="M134" s="2147"/>
      <c r="N134" s="2147"/>
      <c r="O134" s="2147"/>
      <c r="P134" s="2147"/>
      <c r="Q134" s="2147"/>
      <c r="R134" s="2147"/>
      <c r="S134" s="2147"/>
      <c r="T134" s="2147"/>
      <c r="U134" s="2147"/>
      <c r="V134" s="2147"/>
      <c r="W134" s="2147"/>
      <c r="X134" s="2147"/>
      <c r="Y134" s="2147"/>
      <c r="Z134" s="2147"/>
      <c r="AA134" s="2147"/>
      <c r="AB134" s="2147"/>
      <c r="AC134" s="2147"/>
      <c r="AD134" s="2147"/>
      <c r="AE134" s="2147"/>
      <c r="AF134" s="2147"/>
      <c r="AG134" s="2147"/>
      <c r="AH134" s="2047" t="s">
        <v>545</v>
      </c>
      <c r="AI134" s="2047"/>
      <c r="AJ134" s="2047"/>
      <c r="AK134" s="2047"/>
      <c r="AL134" s="2047"/>
      <c r="AM134" s="2047"/>
      <c r="AN134" s="2047"/>
      <c r="AO134" s="2047"/>
      <c r="AP134" s="2047"/>
      <c r="AQ134" s="2047"/>
      <c r="AR134" s="2047"/>
      <c r="AS134" s="2047"/>
      <c r="AT134" s="2047"/>
      <c r="AU134" s="2047"/>
      <c r="AV134" s="2047"/>
      <c r="AW134" s="2047"/>
      <c r="AX134" s="2048"/>
      <c r="AY134" s="1208"/>
      <c r="AZ134" s="1208"/>
      <c r="BA134" s="1208"/>
      <c r="BB134" s="1208"/>
      <c r="BC134" s="1208"/>
      <c r="BD134" s="1208"/>
      <c r="BE134" s="1215"/>
    </row>
    <row r="135" spans="1:57" ht="15.75" customHeight="1" thickBot="1">
      <c r="A135" s="1208"/>
      <c r="B135" s="2133" t="s">
        <v>2296</v>
      </c>
      <c r="C135" s="2134"/>
      <c r="D135" s="2134"/>
      <c r="E135" s="2134"/>
      <c r="F135" s="2134"/>
      <c r="G135" s="2134"/>
      <c r="H135" s="2134"/>
      <c r="I135" s="2134"/>
      <c r="J135" s="2134"/>
      <c r="K135" s="2134"/>
      <c r="L135" s="2134"/>
      <c r="M135" s="2134"/>
      <c r="N135" s="2134"/>
      <c r="O135" s="2134"/>
      <c r="P135" s="2134"/>
      <c r="Q135" s="2134"/>
      <c r="R135" s="2134"/>
      <c r="S135" s="2134"/>
      <c r="T135" s="2134"/>
      <c r="U135" s="2134"/>
      <c r="V135" s="2134"/>
      <c r="W135" s="2134"/>
      <c r="X135" s="2134"/>
      <c r="Y135" s="2134"/>
      <c r="Z135" s="2134"/>
      <c r="AA135" s="2134"/>
      <c r="AB135" s="2134"/>
      <c r="AC135" s="2134"/>
      <c r="AD135" s="2134"/>
      <c r="AE135" s="2134"/>
      <c r="AF135" s="2134"/>
      <c r="AG135" s="2135"/>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133" t="s">
        <v>2295</v>
      </c>
      <c r="C136" s="2134"/>
      <c r="D136" s="2134"/>
      <c r="E136" s="2134"/>
      <c r="F136" s="2134"/>
      <c r="G136" s="2134"/>
      <c r="H136" s="2134"/>
      <c r="I136" s="2134"/>
      <c r="J136" s="2134"/>
      <c r="K136" s="2134"/>
      <c r="L136" s="2134"/>
      <c r="M136" s="2134"/>
      <c r="N136" s="2134"/>
      <c r="O136" s="2134"/>
      <c r="P136" s="2134"/>
      <c r="Q136" s="2134"/>
      <c r="R136" s="2134"/>
      <c r="S136" s="2134"/>
      <c r="T136" s="2134"/>
      <c r="U136" s="2134"/>
      <c r="V136" s="2134"/>
      <c r="W136" s="2134"/>
      <c r="X136" s="2134"/>
      <c r="Y136" s="2134"/>
      <c r="Z136" s="2134"/>
      <c r="AA136" s="2134"/>
      <c r="AB136" s="2134"/>
      <c r="AC136" s="2134"/>
      <c r="AD136" s="2134"/>
      <c r="AE136" s="2134"/>
      <c r="AF136" s="2134"/>
      <c r="AG136" s="2135"/>
      <c r="AH136" s="2047" t="s">
        <v>545</v>
      </c>
      <c r="AI136" s="2047"/>
      <c r="AJ136" s="2047"/>
      <c r="AK136" s="2047"/>
      <c r="AL136" s="2047"/>
      <c r="AM136" s="2047"/>
      <c r="AN136" s="2047"/>
      <c r="AO136" s="2047"/>
      <c r="AP136" s="2047"/>
      <c r="AQ136" s="2047"/>
      <c r="AR136" s="2047"/>
      <c r="AS136" s="2047"/>
      <c r="AT136" s="2047"/>
      <c r="AU136" s="2047"/>
      <c r="AV136" s="2047"/>
      <c r="AW136" s="2047"/>
      <c r="AX136" s="2048"/>
      <c r="AY136" s="1208"/>
      <c r="AZ136" s="1208"/>
      <c r="BA136" s="1208"/>
      <c r="BB136" s="1208"/>
      <c r="BC136" s="1208"/>
      <c r="BD136" s="1208"/>
      <c r="BE136" s="1215"/>
    </row>
    <row r="137" spans="1:57" ht="15.75" customHeight="1">
      <c r="A137" s="1208"/>
      <c r="B137" s="2136" t="s">
        <v>2294</v>
      </c>
      <c r="C137" s="2137"/>
      <c r="D137" s="2137"/>
      <c r="E137" s="2137"/>
      <c r="F137" s="2137"/>
      <c r="G137" s="2137"/>
      <c r="H137" s="2137"/>
      <c r="I137" s="2137"/>
      <c r="J137" s="2137"/>
      <c r="K137" s="2137"/>
      <c r="L137" s="2137"/>
      <c r="M137" s="2137"/>
      <c r="N137" s="2137"/>
      <c r="O137" s="2137"/>
      <c r="P137" s="2137"/>
      <c r="Q137" s="2137"/>
      <c r="R137" s="2138" t="s">
        <v>2293</v>
      </c>
      <c r="S137" s="2138"/>
      <c r="T137" s="2138"/>
      <c r="U137" s="2138"/>
      <c r="V137" s="2138"/>
      <c r="W137" s="2138"/>
      <c r="X137" s="2138"/>
      <c r="Y137" s="2138"/>
      <c r="Z137" s="2138"/>
      <c r="AA137" s="2138"/>
      <c r="AB137" s="2138"/>
      <c r="AC137" s="2138"/>
      <c r="AD137" s="2138"/>
      <c r="AE137" s="2138"/>
      <c r="AF137" s="2138"/>
      <c r="AG137" s="2138"/>
      <c r="AH137" s="2138"/>
      <c r="AI137" s="2138"/>
      <c r="AJ137" s="2138"/>
      <c r="AK137" s="2138"/>
      <c r="AL137" s="2138"/>
      <c r="AM137" s="2138"/>
      <c r="AN137" s="2138"/>
      <c r="AO137" s="2138"/>
      <c r="AP137" s="2138"/>
      <c r="AQ137" s="2138"/>
      <c r="AR137" s="2138"/>
      <c r="AS137" s="2138"/>
      <c r="AT137" s="2138"/>
      <c r="AU137" s="2138"/>
      <c r="AV137" s="2138"/>
      <c r="AW137" s="2138"/>
      <c r="AX137" s="2139"/>
      <c r="AY137" s="1208"/>
      <c r="AZ137" s="1208"/>
      <c r="BA137" s="1208"/>
      <c r="BB137" s="1208"/>
      <c r="BC137" s="1208" t="s">
        <v>250</v>
      </c>
      <c r="BD137" s="1208"/>
      <c r="BE137" s="1215"/>
    </row>
    <row r="138" spans="1:57" ht="15.75" customHeight="1">
      <c r="A138" s="1208"/>
      <c r="B138" s="2140" t="s">
        <v>2292</v>
      </c>
      <c r="C138" s="2141"/>
      <c r="D138" s="2141"/>
      <c r="E138" s="2141"/>
      <c r="F138" s="2141"/>
      <c r="G138" s="2141"/>
      <c r="H138" s="2141"/>
      <c r="I138" s="2141"/>
      <c r="J138" s="2141"/>
      <c r="K138" s="2141"/>
      <c r="L138" s="2141"/>
      <c r="M138" s="2141"/>
      <c r="N138" s="2141"/>
      <c r="O138" s="2141"/>
      <c r="P138" s="2141"/>
      <c r="Q138" s="2141"/>
      <c r="R138" s="2141"/>
      <c r="S138" s="2141"/>
      <c r="T138" s="2141"/>
      <c r="U138" s="2141"/>
      <c r="V138" s="2141"/>
      <c r="W138" s="2141"/>
      <c r="X138" s="2141"/>
      <c r="Y138" s="2141"/>
      <c r="Z138" s="2141"/>
      <c r="AA138" s="2141"/>
      <c r="AB138" s="2141"/>
      <c r="AC138" s="2141"/>
      <c r="AD138" s="2141"/>
      <c r="AE138" s="2141"/>
      <c r="AF138" s="2141"/>
      <c r="AG138" s="2141"/>
      <c r="AH138" s="2141"/>
      <c r="AI138" s="2141"/>
      <c r="AJ138" s="2141"/>
      <c r="AK138" s="2141"/>
      <c r="AL138" s="2141"/>
      <c r="AM138" s="2141"/>
      <c r="AN138" s="2141"/>
      <c r="AO138" s="2141"/>
      <c r="AP138" s="2141"/>
      <c r="AQ138" s="2141"/>
      <c r="AR138" s="2141"/>
      <c r="AS138" s="2141"/>
      <c r="AT138" s="2141"/>
      <c r="AU138" s="2141"/>
      <c r="AV138" s="2141"/>
      <c r="AW138" s="2141"/>
      <c r="AX138" s="2142"/>
      <c r="AY138" s="1208"/>
      <c r="AZ138" s="1208"/>
      <c r="BA138" s="1208"/>
      <c r="BB138" s="1208"/>
      <c r="BC138" s="1208"/>
      <c r="BD138" s="1208"/>
      <c r="BE138" s="1215"/>
    </row>
    <row r="139" spans="1:57" ht="15.75" customHeight="1">
      <c r="A139" s="1208"/>
      <c r="B139" s="2140"/>
      <c r="C139" s="2141"/>
      <c r="D139" s="2141"/>
      <c r="E139" s="2141"/>
      <c r="F139" s="2141"/>
      <c r="G139" s="2141"/>
      <c r="H139" s="2141"/>
      <c r="I139" s="2141"/>
      <c r="J139" s="2141"/>
      <c r="K139" s="2141"/>
      <c r="L139" s="2141"/>
      <c r="M139" s="2141"/>
      <c r="N139" s="2141"/>
      <c r="O139" s="2141"/>
      <c r="P139" s="2141"/>
      <c r="Q139" s="2141"/>
      <c r="R139" s="2141"/>
      <c r="S139" s="2141"/>
      <c r="T139" s="2141"/>
      <c r="U139" s="2141"/>
      <c r="V139" s="2141"/>
      <c r="W139" s="2141"/>
      <c r="X139" s="2141"/>
      <c r="Y139" s="2141"/>
      <c r="Z139" s="2141"/>
      <c r="AA139" s="2141"/>
      <c r="AB139" s="2141"/>
      <c r="AC139" s="2141"/>
      <c r="AD139" s="2141"/>
      <c r="AE139" s="2141"/>
      <c r="AF139" s="2141"/>
      <c r="AG139" s="2141"/>
      <c r="AH139" s="2141"/>
      <c r="AI139" s="2141"/>
      <c r="AJ139" s="2141"/>
      <c r="AK139" s="2141"/>
      <c r="AL139" s="2141"/>
      <c r="AM139" s="2141"/>
      <c r="AN139" s="2141"/>
      <c r="AO139" s="2141"/>
      <c r="AP139" s="2141"/>
      <c r="AQ139" s="2141"/>
      <c r="AR139" s="2141"/>
      <c r="AS139" s="2141"/>
      <c r="AT139" s="2141"/>
      <c r="AU139" s="2141"/>
      <c r="AV139" s="2141"/>
      <c r="AW139" s="2141"/>
      <c r="AX139" s="2142"/>
      <c r="AY139" s="1208"/>
      <c r="AZ139" s="1208"/>
      <c r="BA139" s="1208"/>
      <c r="BB139" s="1208"/>
      <c r="BC139" s="1208"/>
      <c r="BD139" s="1208"/>
      <c r="BE139" s="1215"/>
    </row>
    <row r="140" spans="1:57" ht="15.75" customHeight="1">
      <c r="A140" s="1208"/>
      <c r="B140" s="2140"/>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1"/>
      <c r="AH140" s="2141"/>
      <c r="AI140" s="2141"/>
      <c r="AJ140" s="2141"/>
      <c r="AK140" s="2141"/>
      <c r="AL140" s="2141"/>
      <c r="AM140" s="2141"/>
      <c r="AN140" s="2141"/>
      <c r="AO140" s="2141"/>
      <c r="AP140" s="2141"/>
      <c r="AQ140" s="2141"/>
      <c r="AR140" s="2141"/>
      <c r="AS140" s="2141"/>
      <c r="AT140" s="2141"/>
      <c r="AU140" s="2141"/>
      <c r="AV140" s="2141"/>
      <c r="AW140" s="2141"/>
      <c r="AX140" s="2142"/>
      <c r="AY140" s="1208"/>
      <c r="AZ140" s="1208"/>
      <c r="BA140" s="1208"/>
      <c r="BB140" s="1208"/>
      <c r="BC140" s="1208"/>
      <c r="BD140" s="1208"/>
      <c r="BE140" s="1215"/>
    </row>
    <row r="141" spans="1:57" ht="15.75" customHeight="1">
      <c r="A141" s="1208"/>
      <c r="B141" s="2140"/>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1"/>
      <c r="AH141" s="2141"/>
      <c r="AI141" s="2141"/>
      <c r="AJ141" s="2141"/>
      <c r="AK141" s="2141"/>
      <c r="AL141" s="2141"/>
      <c r="AM141" s="2141"/>
      <c r="AN141" s="2141"/>
      <c r="AO141" s="2141"/>
      <c r="AP141" s="2141"/>
      <c r="AQ141" s="2141"/>
      <c r="AR141" s="2141"/>
      <c r="AS141" s="2141"/>
      <c r="AT141" s="2141"/>
      <c r="AU141" s="2141"/>
      <c r="AV141" s="2141"/>
      <c r="AW141" s="2141"/>
      <c r="AX141" s="2142"/>
      <c r="AY141" s="1208"/>
      <c r="AZ141" s="1208"/>
      <c r="BA141" s="1208"/>
      <c r="BB141" s="1208"/>
      <c r="BC141" s="1208"/>
      <c r="BD141" s="1208"/>
      <c r="BE141" s="1215"/>
    </row>
    <row r="142" spans="1:57" ht="15.75" customHeight="1">
      <c r="A142" s="1208"/>
      <c r="B142" s="2140"/>
      <c r="C142" s="2141"/>
      <c r="D142" s="2141"/>
      <c r="E142" s="2141"/>
      <c r="F142" s="2141"/>
      <c r="G142" s="2141"/>
      <c r="H142" s="2141"/>
      <c r="I142" s="2141"/>
      <c r="J142" s="2141"/>
      <c r="K142" s="2141"/>
      <c r="L142" s="2141"/>
      <c r="M142" s="2141"/>
      <c r="N142" s="2141"/>
      <c r="O142" s="2141"/>
      <c r="P142" s="2141"/>
      <c r="Q142" s="2141"/>
      <c r="R142" s="2141"/>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208"/>
      <c r="AZ142" s="1208"/>
      <c r="BA142" s="1208"/>
      <c r="BB142" s="1208"/>
      <c r="BC142" s="1208"/>
      <c r="BD142" s="1208"/>
      <c r="BE142" s="1215"/>
    </row>
    <row r="143" spans="1:57" ht="15.75" customHeight="1">
      <c r="A143" s="1208"/>
      <c r="B143" s="2140"/>
      <c r="C143" s="2141"/>
      <c r="D143" s="2141"/>
      <c r="E143" s="2141"/>
      <c r="F143" s="2141"/>
      <c r="G143" s="2141"/>
      <c r="H143" s="2141"/>
      <c r="I143" s="2141"/>
      <c r="J143" s="2141"/>
      <c r="K143" s="2141"/>
      <c r="L143" s="2141"/>
      <c r="M143" s="2141"/>
      <c r="N143" s="2141"/>
      <c r="O143" s="2141"/>
      <c r="P143" s="2141"/>
      <c r="Q143" s="2141"/>
      <c r="R143" s="2141"/>
      <c r="S143" s="2141"/>
      <c r="T143" s="2141"/>
      <c r="U143" s="2141"/>
      <c r="V143" s="2141"/>
      <c r="W143" s="2141"/>
      <c r="X143" s="2141"/>
      <c r="Y143" s="2141"/>
      <c r="Z143" s="2141"/>
      <c r="AA143" s="2141"/>
      <c r="AB143" s="2141"/>
      <c r="AC143" s="2141"/>
      <c r="AD143" s="2141"/>
      <c r="AE143" s="2141"/>
      <c r="AF143" s="2141"/>
      <c r="AG143" s="2141"/>
      <c r="AH143" s="2141"/>
      <c r="AI143" s="2141"/>
      <c r="AJ143" s="2141"/>
      <c r="AK143" s="2141"/>
      <c r="AL143" s="2141"/>
      <c r="AM143" s="2141"/>
      <c r="AN143" s="2141"/>
      <c r="AO143" s="2141"/>
      <c r="AP143" s="2141"/>
      <c r="AQ143" s="2141"/>
      <c r="AR143" s="2141"/>
      <c r="AS143" s="2141"/>
      <c r="AT143" s="2141"/>
      <c r="AU143" s="2141"/>
      <c r="AV143" s="2141"/>
      <c r="AW143" s="2141"/>
      <c r="AX143" s="2142"/>
      <c r="AY143" s="1208"/>
      <c r="AZ143" s="1208"/>
      <c r="BA143" s="1208"/>
      <c r="BB143" s="1208"/>
      <c r="BC143" s="1208"/>
      <c r="BD143" s="1208"/>
      <c r="BE143" s="1215"/>
    </row>
    <row r="144" spans="1:57" ht="15.75" customHeight="1">
      <c r="A144" s="1208"/>
      <c r="B144" s="2140"/>
      <c r="C144" s="2141"/>
      <c r="D144" s="2141"/>
      <c r="E144" s="2141"/>
      <c r="F144" s="2141"/>
      <c r="G144" s="2141"/>
      <c r="H144" s="2141"/>
      <c r="I144" s="2141"/>
      <c r="J144" s="2141"/>
      <c r="K144" s="2141"/>
      <c r="L144" s="2141"/>
      <c r="M144" s="2141"/>
      <c r="N144" s="2141"/>
      <c r="O144" s="2141"/>
      <c r="P144" s="2141"/>
      <c r="Q144" s="2141"/>
      <c r="R144" s="2141"/>
      <c r="S144" s="2141"/>
      <c r="T144" s="2141"/>
      <c r="U144" s="2141"/>
      <c r="V144" s="2141"/>
      <c r="W144" s="2141"/>
      <c r="X144" s="2141"/>
      <c r="Y144" s="2141"/>
      <c r="Z144" s="2141"/>
      <c r="AA144" s="2141"/>
      <c r="AB144" s="2141"/>
      <c r="AC144" s="2141"/>
      <c r="AD144" s="2141"/>
      <c r="AE144" s="2141"/>
      <c r="AF144" s="2141"/>
      <c r="AG144" s="2141"/>
      <c r="AH144" s="2141"/>
      <c r="AI144" s="2141"/>
      <c r="AJ144" s="2141"/>
      <c r="AK144" s="2141"/>
      <c r="AL144" s="2141"/>
      <c r="AM144" s="2141"/>
      <c r="AN144" s="2141"/>
      <c r="AO144" s="2141"/>
      <c r="AP144" s="2141"/>
      <c r="AQ144" s="2141"/>
      <c r="AR144" s="2141"/>
      <c r="AS144" s="2141"/>
      <c r="AT144" s="2141"/>
      <c r="AU144" s="2141"/>
      <c r="AV144" s="2141"/>
      <c r="AW144" s="2141"/>
      <c r="AX144" s="2142"/>
      <c r="AY144" s="1208"/>
      <c r="AZ144" s="1208"/>
      <c r="BA144" s="1208"/>
      <c r="BB144" s="1208"/>
      <c r="BC144" s="1208"/>
      <c r="BD144" s="1208"/>
      <c r="BE144" s="1215"/>
    </row>
    <row r="145" spans="1:57" ht="15.75" customHeight="1">
      <c r="A145" s="1208"/>
      <c r="B145" s="2140"/>
      <c r="C145" s="2141"/>
      <c r="D145" s="2141"/>
      <c r="E145" s="2141"/>
      <c r="F145" s="2141"/>
      <c r="G145" s="2141"/>
      <c r="H145" s="2141"/>
      <c r="I145" s="2141"/>
      <c r="J145" s="2141"/>
      <c r="K145" s="2141"/>
      <c r="L145" s="2141"/>
      <c r="M145" s="2141"/>
      <c r="N145" s="2141"/>
      <c r="O145" s="2141"/>
      <c r="P145" s="2141"/>
      <c r="Q145" s="2141"/>
      <c r="R145" s="2141"/>
      <c r="S145" s="2141"/>
      <c r="T145" s="2141"/>
      <c r="U145" s="2141"/>
      <c r="V145" s="2141"/>
      <c r="W145" s="2141"/>
      <c r="X145" s="2141"/>
      <c r="Y145" s="2141"/>
      <c r="Z145" s="2141"/>
      <c r="AA145" s="2141"/>
      <c r="AB145" s="2141"/>
      <c r="AC145" s="2141"/>
      <c r="AD145" s="2141"/>
      <c r="AE145" s="2141"/>
      <c r="AF145" s="2141"/>
      <c r="AG145" s="2141"/>
      <c r="AH145" s="2141"/>
      <c r="AI145" s="2141"/>
      <c r="AJ145" s="2141"/>
      <c r="AK145" s="2141"/>
      <c r="AL145" s="2141"/>
      <c r="AM145" s="2141"/>
      <c r="AN145" s="2141"/>
      <c r="AO145" s="2141"/>
      <c r="AP145" s="2141"/>
      <c r="AQ145" s="2141"/>
      <c r="AR145" s="2141"/>
      <c r="AS145" s="2141"/>
      <c r="AT145" s="2141"/>
      <c r="AU145" s="2141"/>
      <c r="AV145" s="2141"/>
      <c r="AW145" s="2141"/>
      <c r="AX145" s="2142"/>
      <c r="AY145" s="1208"/>
      <c r="AZ145" s="1208"/>
      <c r="BA145" s="1208"/>
      <c r="BB145" s="1208"/>
      <c r="BC145" s="1208"/>
      <c r="BD145" s="1208"/>
      <c r="BE145" s="1215"/>
    </row>
    <row r="146" spans="1:57" ht="15.75" customHeight="1">
      <c r="A146" s="1208"/>
      <c r="B146" s="2140"/>
      <c r="C146" s="2141"/>
      <c r="D146" s="2141"/>
      <c r="E146" s="2141"/>
      <c r="F146" s="2141"/>
      <c r="G146" s="2141"/>
      <c r="H146" s="2141"/>
      <c r="I146" s="2141"/>
      <c r="J146" s="2141"/>
      <c r="K146" s="2141"/>
      <c r="L146" s="2141"/>
      <c r="M146" s="2141"/>
      <c r="N146" s="2141"/>
      <c r="O146" s="2141"/>
      <c r="P146" s="2141"/>
      <c r="Q146" s="2141"/>
      <c r="R146" s="2141"/>
      <c r="S146" s="2141"/>
      <c r="T146" s="2141"/>
      <c r="U146" s="2141"/>
      <c r="V146" s="2141"/>
      <c r="W146" s="2141"/>
      <c r="X146" s="2141"/>
      <c r="Y146" s="2141"/>
      <c r="Z146" s="2141"/>
      <c r="AA146" s="2141"/>
      <c r="AB146" s="2141"/>
      <c r="AC146" s="2141"/>
      <c r="AD146" s="2141"/>
      <c r="AE146" s="2141"/>
      <c r="AF146" s="2141"/>
      <c r="AG146" s="2141"/>
      <c r="AH146" s="2141"/>
      <c r="AI146" s="2141"/>
      <c r="AJ146" s="2141"/>
      <c r="AK146" s="2141"/>
      <c r="AL146" s="2141"/>
      <c r="AM146" s="2141"/>
      <c r="AN146" s="2141"/>
      <c r="AO146" s="2141"/>
      <c r="AP146" s="2141"/>
      <c r="AQ146" s="2141"/>
      <c r="AR146" s="2141"/>
      <c r="AS146" s="2141"/>
      <c r="AT146" s="2141"/>
      <c r="AU146" s="2141"/>
      <c r="AV146" s="2141"/>
      <c r="AW146" s="2141"/>
      <c r="AX146" s="2142"/>
      <c r="AY146" s="1208"/>
      <c r="AZ146" s="1208"/>
      <c r="BA146" s="1208"/>
      <c r="BB146" s="1208"/>
      <c r="BC146" s="1208"/>
      <c r="BD146" s="1208"/>
      <c r="BE146" s="1215"/>
    </row>
    <row r="147" spans="1:57" ht="15.75" customHeight="1" thickBot="1">
      <c r="A147" s="1208"/>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9" t="s">
        <v>2289</v>
      </c>
      <c r="C151" s="2020"/>
      <c r="D151" s="2020"/>
      <c r="E151" s="2020"/>
      <c r="F151" s="2020"/>
      <c r="G151" s="2020"/>
      <c r="H151" s="2020"/>
      <c r="I151" s="2020"/>
      <c r="J151" s="2020"/>
      <c r="K151" s="2020"/>
      <c r="L151" s="2020"/>
      <c r="M151" s="2020"/>
      <c r="N151" s="2020"/>
      <c r="O151" s="2020"/>
      <c r="P151" s="2020"/>
      <c r="Q151" s="2020"/>
      <c r="R151" s="2020"/>
      <c r="S151" s="2020"/>
      <c r="T151" s="2020"/>
      <c r="U151" s="2021"/>
      <c r="V151" s="1208"/>
      <c r="W151" s="1209"/>
      <c r="X151" s="2019" t="s">
        <v>2288</v>
      </c>
      <c r="Y151" s="2020"/>
      <c r="Z151" s="2020"/>
      <c r="AA151" s="2020"/>
      <c r="AB151" s="2020"/>
      <c r="AC151" s="2020"/>
      <c r="AD151" s="2020"/>
      <c r="AE151" s="2020"/>
      <c r="AF151" s="2020"/>
      <c r="AG151" s="2020"/>
      <c r="AH151" s="2020"/>
      <c r="AI151" s="2020"/>
      <c r="AJ151" s="2020"/>
      <c r="AK151" s="2020"/>
      <c r="AL151" s="2020"/>
      <c r="AM151" s="2020"/>
      <c r="AN151" s="2020"/>
      <c r="AO151" s="2020"/>
      <c r="AP151" s="2020"/>
      <c r="AQ151" s="2021"/>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8"/>
      <c r="C152" s="2149"/>
      <c r="D152" s="2149"/>
      <c r="E152" s="2149"/>
      <c r="F152" s="2149"/>
      <c r="G152" s="2149"/>
      <c r="H152" s="2149"/>
      <c r="I152" s="2150" t="s">
        <v>2286</v>
      </c>
      <c r="J152" s="2150"/>
      <c r="K152" s="2150"/>
      <c r="L152" s="2150"/>
      <c r="M152" s="2150"/>
      <c r="N152" s="2150"/>
      <c r="O152" s="2150"/>
      <c r="P152" s="2150" t="s">
        <v>2287</v>
      </c>
      <c r="Q152" s="2150"/>
      <c r="R152" s="2150"/>
      <c r="S152" s="2150"/>
      <c r="T152" s="2150"/>
      <c r="U152" s="2151"/>
      <c r="V152" s="1208"/>
      <c r="W152" s="1208"/>
      <c r="X152" s="2148"/>
      <c r="Y152" s="2149"/>
      <c r="Z152" s="2149"/>
      <c r="AA152" s="2149"/>
      <c r="AB152" s="2149"/>
      <c r="AC152" s="2149"/>
      <c r="AD152" s="2149"/>
      <c r="AE152" s="2150" t="s">
        <v>2286</v>
      </c>
      <c r="AF152" s="2150"/>
      <c r="AG152" s="2150"/>
      <c r="AH152" s="2150"/>
      <c r="AI152" s="2150"/>
      <c r="AJ152" s="2150"/>
      <c r="AK152" s="2150"/>
      <c r="AL152" s="2150" t="s">
        <v>2285</v>
      </c>
      <c r="AM152" s="2150"/>
      <c r="AN152" s="2150"/>
      <c r="AO152" s="2150"/>
      <c r="AP152" s="2150"/>
      <c r="AQ152" s="2151"/>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8"/>
      <c r="C153" s="2149"/>
      <c r="D153" s="2149"/>
      <c r="E153" s="2149"/>
      <c r="F153" s="2149"/>
      <c r="G153" s="2149"/>
      <c r="H153" s="2149"/>
      <c r="I153" s="2150"/>
      <c r="J153" s="2150"/>
      <c r="K153" s="2150"/>
      <c r="L153" s="2150"/>
      <c r="M153" s="2150"/>
      <c r="N153" s="2150"/>
      <c r="O153" s="2150"/>
      <c r="P153" s="2150"/>
      <c r="Q153" s="2150"/>
      <c r="R153" s="2150"/>
      <c r="S153" s="2150"/>
      <c r="T153" s="2150"/>
      <c r="U153" s="2151"/>
      <c r="V153" s="1208"/>
      <c r="W153" s="1208"/>
      <c r="X153" s="2148"/>
      <c r="Y153" s="2149"/>
      <c r="Z153" s="2149"/>
      <c r="AA153" s="2149"/>
      <c r="AB153" s="2149"/>
      <c r="AC153" s="2149"/>
      <c r="AD153" s="2149"/>
      <c r="AE153" s="2150"/>
      <c r="AF153" s="2150"/>
      <c r="AG153" s="2150"/>
      <c r="AH153" s="2150"/>
      <c r="AI153" s="2150"/>
      <c r="AJ153" s="2150"/>
      <c r="AK153" s="2150"/>
      <c r="AL153" s="2150"/>
      <c r="AM153" s="2150"/>
      <c r="AN153" s="2150"/>
      <c r="AO153" s="2150"/>
      <c r="AP153" s="2150"/>
      <c r="AQ153" s="215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2" t="s">
        <v>2284</v>
      </c>
      <c r="C154" s="2123"/>
      <c r="D154" s="2123"/>
      <c r="E154" s="2123"/>
      <c r="F154" s="2123"/>
      <c r="G154" s="2123"/>
      <c r="H154" s="2123"/>
      <c r="I154" s="2100">
        <v>0</v>
      </c>
      <c r="J154" s="2100"/>
      <c r="K154" s="2100"/>
      <c r="L154" s="2100"/>
      <c r="M154" s="2100"/>
      <c r="N154" s="2100"/>
      <c r="O154" s="2100"/>
      <c r="P154" s="2100">
        <v>0</v>
      </c>
      <c r="Q154" s="2100"/>
      <c r="R154" s="2100"/>
      <c r="S154" s="2100"/>
      <c r="T154" s="2100"/>
      <c r="U154" s="2101"/>
      <c r="V154" s="1208"/>
      <c r="W154" s="1208"/>
      <c r="X154" s="2124" t="s">
        <v>2284</v>
      </c>
      <c r="Y154" s="2125"/>
      <c r="Z154" s="2125"/>
      <c r="AA154" s="2125"/>
      <c r="AB154" s="2125"/>
      <c r="AC154" s="2125"/>
      <c r="AD154" s="2125"/>
      <c r="AE154" s="2098">
        <v>0</v>
      </c>
      <c r="AF154" s="2098"/>
      <c r="AG154" s="2098"/>
      <c r="AH154" s="2098"/>
      <c r="AI154" s="2098"/>
      <c r="AJ154" s="2098"/>
      <c r="AK154" s="2098"/>
      <c r="AL154" s="2098">
        <v>0</v>
      </c>
      <c r="AM154" s="2098"/>
      <c r="AN154" s="2098"/>
      <c r="AO154" s="2098"/>
      <c r="AP154" s="2098"/>
      <c r="AQ154" s="209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4" t="s">
        <v>2283</v>
      </c>
      <c r="C155" s="2125"/>
      <c r="D155" s="2125"/>
      <c r="E155" s="2125"/>
      <c r="F155" s="2125"/>
      <c r="G155" s="2125"/>
      <c r="H155" s="2125"/>
      <c r="I155" s="2098">
        <v>0</v>
      </c>
      <c r="J155" s="2098"/>
      <c r="K155" s="2098"/>
      <c r="L155" s="2098"/>
      <c r="M155" s="2098"/>
      <c r="N155" s="2098"/>
      <c r="O155" s="2098"/>
      <c r="P155" s="2098">
        <v>0</v>
      </c>
      <c r="Q155" s="2098"/>
      <c r="R155" s="2098"/>
      <c r="S155" s="2098"/>
      <c r="T155" s="2098"/>
      <c r="U155" s="209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9" t="s">
        <v>2282</v>
      </c>
      <c r="D157" s="2020"/>
      <c r="E157" s="2020"/>
      <c r="F157" s="2020"/>
      <c r="G157" s="2020"/>
      <c r="H157" s="2020"/>
      <c r="I157" s="2020"/>
      <c r="J157" s="2020"/>
      <c r="K157" s="2020"/>
      <c r="L157" s="2020"/>
      <c r="M157" s="2020"/>
      <c r="N157" s="2020"/>
      <c r="O157" s="2020"/>
      <c r="P157" s="2020"/>
      <c r="Q157" s="2020"/>
      <c r="R157" s="2020"/>
      <c r="S157" s="2020"/>
      <c r="T157" s="2020"/>
      <c r="U157" s="2020"/>
      <c r="V157" s="2020"/>
      <c r="W157" s="2020"/>
      <c r="X157" s="2020"/>
      <c r="Y157" s="2020"/>
      <c r="Z157" s="2020"/>
      <c r="AA157" s="2020"/>
      <c r="AB157" s="2020"/>
      <c r="AC157" s="2020"/>
      <c r="AD157" s="2020"/>
      <c r="AE157" s="2020"/>
      <c r="AF157" s="2020"/>
      <c r="AG157" s="202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8" t="s">
        <v>2267</v>
      </c>
      <c r="D158" s="2149"/>
      <c r="E158" s="2149"/>
      <c r="F158" s="2149"/>
      <c r="G158" s="2149"/>
      <c r="H158" s="2149"/>
      <c r="I158" s="2149"/>
      <c r="J158" s="2149"/>
      <c r="K158" s="2149"/>
      <c r="L158" s="2149"/>
      <c r="M158" s="2149"/>
      <c r="N158" s="2149"/>
      <c r="O158" s="2149"/>
      <c r="P158" s="2149"/>
      <c r="Q158" s="2149" t="s">
        <v>2281</v>
      </c>
      <c r="R158" s="2149"/>
      <c r="S158" s="2149"/>
      <c r="T158" s="2096" t="s">
        <v>2280</v>
      </c>
      <c r="U158" s="2096"/>
      <c r="V158" s="2096"/>
      <c r="W158" s="2096"/>
      <c r="X158" s="2096"/>
      <c r="Y158" s="2096"/>
      <c r="Z158" s="2096"/>
      <c r="AA158" s="2096"/>
      <c r="AB158" s="2149" t="s">
        <v>2279</v>
      </c>
      <c r="AC158" s="2149"/>
      <c r="AD158" s="2149"/>
      <c r="AE158" s="2149"/>
      <c r="AF158" s="2149"/>
      <c r="AG158" s="215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4" t="s">
        <v>2278</v>
      </c>
      <c r="D159" s="2155"/>
      <c r="E159" s="2155"/>
      <c r="F159" s="2155"/>
      <c r="G159" s="2155"/>
      <c r="H159" s="2155"/>
      <c r="I159" s="2155"/>
      <c r="J159" s="2155"/>
      <c r="K159" s="2155"/>
      <c r="L159" s="2155"/>
      <c r="M159" s="2155"/>
      <c r="N159" s="2155"/>
      <c r="O159" s="2155"/>
      <c r="P159" s="2155"/>
      <c r="Q159" s="2156">
        <v>55</v>
      </c>
      <c r="R159" s="2156"/>
      <c r="S159" s="2156"/>
      <c r="T159" s="2157"/>
      <c r="U159" s="2157"/>
      <c r="V159" s="2157"/>
      <c r="W159" s="2157"/>
      <c r="X159" s="2157"/>
      <c r="Y159" s="2157"/>
      <c r="Z159" s="2157"/>
      <c r="AA159" s="2157"/>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4" t="s">
        <v>2277</v>
      </c>
      <c r="D160" s="2155"/>
      <c r="E160" s="2155"/>
      <c r="F160" s="2155"/>
      <c r="G160" s="2155"/>
      <c r="H160" s="2155"/>
      <c r="I160" s="2155"/>
      <c r="J160" s="2155"/>
      <c r="K160" s="2155"/>
      <c r="L160" s="2155"/>
      <c r="M160" s="2155"/>
      <c r="N160" s="2155"/>
      <c r="O160" s="2155"/>
      <c r="P160" s="2155"/>
      <c r="Q160" s="2156">
        <v>55</v>
      </c>
      <c r="R160" s="2156"/>
      <c r="S160" s="2156"/>
      <c r="T160" s="2158"/>
      <c r="U160" s="2158"/>
      <c r="V160" s="2158"/>
      <c r="W160" s="2158"/>
      <c r="X160" s="2158"/>
      <c r="Y160" s="2158"/>
      <c r="Z160" s="2158"/>
      <c r="AA160" s="215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4" t="s">
        <v>2276</v>
      </c>
      <c r="D161" s="2155"/>
      <c r="E161" s="2155"/>
      <c r="F161" s="2155"/>
      <c r="G161" s="2155"/>
      <c r="H161" s="2155"/>
      <c r="I161" s="2155"/>
      <c r="J161" s="2155"/>
      <c r="K161" s="2155"/>
      <c r="L161" s="2155"/>
      <c r="M161" s="2155"/>
      <c r="N161" s="2155"/>
      <c r="O161" s="2155"/>
      <c r="P161" s="2155"/>
      <c r="Q161" s="2156">
        <v>55</v>
      </c>
      <c r="R161" s="2156"/>
      <c r="S161" s="2156"/>
      <c r="T161" s="2157"/>
      <c r="U161" s="2157"/>
      <c r="V161" s="2157"/>
      <c r="W161" s="2157"/>
      <c r="X161" s="2157"/>
      <c r="Y161" s="2157"/>
      <c r="Z161" s="2157"/>
      <c r="AA161" s="21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4" t="s">
        <v>2275</v>
      </c>
      <c r="D162" s="2155"/>
      <c r="E162" s="2155"/>
      <c r="F162" s="2155"/>
      <c r="G162" s="2155"/>
      <c r="H162" s="2155"/>
      <c r="I162" s="2155"/>
      <c r="J162" s="2155"/>
      <c r="K162" s="2155"/>
      <c r="L162" s="2155"/>
      <c r="M162" s="2155"/>
      <c r="N162" s="2155"/>
      <c r="O162" s="2155"/>
      <c r="P162" s="2155"/>
      <c r="Q162" s="2156">
        <v>55</v>
      </c>
      <c r="R162" s="2156"/>
      <c r="S162" s="2156"/>
      <c r="T162" s="2157"/>
      <c r="U162" s="2157"/>
      <c r="V162" s="2157"/>
      <c r="W162" s="2157"/>
      <c r="X162" s="2157"/>
      <c r="Y162" s="2157"/>
      <c r="Z162" s="2157"/>
      <c r="AA162" s="2157"/>
      <c r="AB162" s="2160">
        <v>0</v>
      </c>
      <c r="AC162" s="2160"/>
      <c r="AD162" s="2160"/>
      <c r="AE162" s="2160"/>
      <c r="AF162" s="2160"/>
      <c r="AG162" s="216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4" t="s">
        <v>170</v>
      </c>
      <c r="D163" s="2155"/>
      <c r="E163" s="2155"/>
      <c r="F163" s="2162" t="s">
        <v>2256</v>
      </c>
      <c r="G163" s="2162"/>
      <c r="H163" s="2162"/>
      <c r="I163" s="2162"/>
      <c r="J163" s="2162"/>
      <c r="K163" s="2162"/>
      <c r="L163" s="2162"/>
      <c r="M163" s="2162"/>
      <c r="N163" s="2162"/>
      <c r="O163" s="2162"/>
      <c r="P163" s="2162"/>
      <c r="Q163" s="2156">
        <v>55</v>
      </c>
      <c r="R163" s="2156"/>
      <c r="S163" s="2156"/>
      <c r="T163" s="2158"/>
      <c r="U163" s="2158"/>
      <c r="V163" s="2158"/>
      <c r="W163" s="2158"/>
      <c r="X163" s="2158"/>
      <c r="Y163" s="2158"/>
      <c r="Z163" s="2158"/>
      <c r="AA163" s="2158"/>
      <c r="AB163" s="2160">
        <v>0</v>
      </c>
      <c r="AC163" s="2160"/>
      <c r="AD163" s="2160"/>
      <c r="AE163" s="2160"/>
      <c r="AF163" s="2160"/>
      <c r="AG163" s="216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4" t="s">
        <v>170</v>
      </c>
      <c r="D164" s="2155"/>
      <c r="E164" s="2155"/>
      <c r="F164" s="2162" t="s">
        <v>2256</v>
      </c>
      <c r="G164" s="2162"/>
      <c r="H164" s="2162"/>
      <c r="I164" s="2162"/>
      <c r="J164" s="2162"/>
      <c r="K164" s="2162"/>
      <c r="L164" s="2162"/>
      <c r="M164" s="2162"/>
      <c r="N164" s="2162"/>
      <c r="O164" s="2162"/>
      <c r="P164" s="2162"/>
      <c r="Q164" s="2156">
        <v>55</v>
      </c>
      <c r="R164" s="2156"/>
      <c r="S164" s="2156"/>
      <c r="T164" s="2158"/>
      <c r="U164" s="2158"/>
      <c r="V164" s="2158"/>
      <c r="W164" s="2158"/>
      <c r="X164" s="2158"/>
      <c r="Y164" s="2158"/>
      <c r="Z164" s="2158"/>
      <c r="AA164" s="2158"/>
      <c r="AB164" s="2160">
        <v>0</v>
      </c>
      <c r="AC164" s="2160"/>
      <c r="AD164" s="2160"/>
      <c r="AE164" s="2160"/>
      <c r="AF164" s="2160"/>
      <c r="AG164" s="2161"/>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3" t="s">
        <v>170</v>
      </c>
      <c r="D165" s="2164"/>
      <c r="E165" s="2164"/>
      <c r="F165" s="2165" t="s">
        <v>2256</v>
      </c>
      <c r="G165" s="2165"/>
      <c r="H165" s="2165"/>
      <c r="I165" s="2165"/>
      <c r="J165" s="2165"/>
      <c r="K165" s="2165"/>
      <c r="L165" s="2165"/>
      <c r="M165" s="2165"/>
      <c r="N165" s="2165"/>
      <c r="O165" s="2165"/>
      <c r="P165" s="2165"/>
      <c r="Q165" s="2166">
        <v>55</v>
      </c>
      <c r="R165" s="2166"/>
      <c r="S165" s="2166"/>
      <c r="T165" s="2167"/>
      <c r="U165" s="2167"/>
      <c r="V165" s="2167"/>
      <c r="W165" s="2167"/>
      <c r="X165" s="2167"/>
      <c r="Y165" s="2167"/>
      <c r="Z165" s="2167"/>
      <c r="AA165" s="2167"/>
      <c r="AB165" s="2168">
        <v>0</v>
      </c>
      <c r="AC165" s="2168"/>
      <c r="AD165" s="2168"/>
      <c r="AE165" s="2168"/>
      <c r="AF165" s="2168"/>
      <c r="AG165" s="21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6" t="s">
        <v>2274</v>
      </c>
      <c r="D167" s="2067"/>
      <c r="E167" s="2067"/>
      <c r="F167" s="2067"/>
      <c r="G167" s="2067"/>
      <c r="H167" s="2067"/>
      <c r="I167" s="2067"/>
      <c r="J167" s="2067"/>
      <c r="K167" s="2067"/>
      <c r="L167" s="2067"/>
      <c r="M167" s="2067"/>
      <c r="N167" s="2105"/>
      <c r="O167" s="1208"/>
      <c r="P167" s="2170" t="s">
        <v>2273</v>
      </c>
      <c r="Q167" s="2171"/>
      <c r="R167" s="2171"/>
      <c r="S167" s="2171"/>
      <c r="T167" s="2171"/>
      <c r="U167" s="2171"/>
      <c r="V167" s="2171"/>
      <c r="W167" s="2171"/>
      <c r="X167" s="2171"/>
      <c r="Y167" s="2171"/>
      <c r="Z167" s="2171"/>
      <c r="AA167" s="2171"/>
      <c r="AB167" s="2171"/>
      <c r="AC167" s="2171"/>
      <c r="AD167" s="2171"/>
      <c r="AE167" s="2171"/>
      <c r="AF167" s="2171"/>
      <c r="AG167" s="2171"/>
      <c r="AH167" s="2171"/>
      <c r="AI167" s="2171"/>
      <c r="AJ167" s="2171"/>
      <c r="AK167" s="2171"/>
      <c r="AL167" s="2171"/>
      <c r="AM167" s="2171"/>
      <c r="AN167" s="2171"/>
      <c r="AO167" s="217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8" t="s">
        <v>2272</v>
      </c>
      <c r="D168" s="2149"/>
      <c r="E168" s="2149"/>
      <c r="F168" s="2149"/>
      <c r="G168" s="2149"/>
      <c r="H168" s="2149"/>
      <c r="I168" s="2149" t="s">
        <v>2271</v>
      </c>
      <c r="J168" s="2149"/>
      <c r="K168" s="2149"/>
      <c r="L168" s="2149"/>
      <c r="M168" s="2149"/>
      <c r="N168" s="2159"/>
      <c r="O168" s="1208"/>
      <c r="P168" s="2070" t="s">
        <v>2270</v>
      </c>
      <c r="Q168" s="2071"/>
      <c r="R168" s="2071"/>
      <c r="S168" s="2071"/>
      <c r="T168" s="2071"/>
      <c r="U168" s="2071"/>
      <c r="V168" s="2071"/>
      <c r="W168" s="2071"/>
      <c r="X168" s="2071"/>
      <c r="Y168" s="2071"/>
      <c r="Z168" s="2071"/>
      <c r="AA168" s="2071"/>
      <c r="AB168" s="2071"/>
      <c r="AC168" s="2071"/>
      <c r="AD168" s="2071"/>
      <c r="AE168" s="2071"/>
      <c r="AF168" s="2071"/>
      <c r="AG168" s="2071"/>
      <c r="AH168" s="2071"/>
      <c r="AI168" s="2071"/>
      <c r="AJ168" s="2071"/>
      <c r="AK168" s="2071"/>
      <c r="AL168" s="2071"/>
      <c r="AM168" s="2071"/>
      <c r="AN168" s="2071"/>
      <c r="AO168" s="207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6"/>
      <c r="D169" s="2026"/>
      <c r="E169" s="2026"/>
      <c r="F169" s="2026"/>
      <c r="G169" s="2026"/>
      <c r="H169" s="2026"/>
      <c r="I169" s="2157"/>
      <c r="J169" s="2157"/>
      <c r="K169" s="2157"/>
      <c r="L169" s="2157"/>
      <c r="M169" s="2157"/>
      <c r="N169" s="2173"/>
      <c r="O169" s="1208"/>
      <c r="P169" s="2070"/>
      <c r="Q169" s="2071"/>
      <c r="R169" s="2071"/>
      <c r="S169" s="2071"/>
      <c r="T169" s="2071"/>
      <c r="U169" s="2071"/>
      <c r="V169" s="2071"/>
      <c r="W169" s="2071"/>
      <c r="X169" s="2071"/>
      <c r="Y169" s="2071"/>
      <c r="Z169" s="2071"/>
      <c r="AA169" s="2071"/>
      <c r="AB169" s="2071"/>
      <c r="AC169" s="2071"/>
      <c r="AD169" s="2071"/>
      <c r="AE169" s="2071"/>
      <c r="AF169" s="2071"/>
      <c r="AG169" s="2071"/>
      <c r="AH169" s="2071"/>
      <c r="AI169" s="2071"/>
      <c r="AJ169" s="2071"/>
      <c r="AK169" s="2071"/>
      <c r="AL169" s="2071"/>
      <c r="AM169" s="2071"/>
      <c r="AN169" s="2071"/>
      <c r="AO169" s="207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6"/>
      <c r="D170" s="2026"/>
      <c r="E170" s="2026"/>
      <c r="F170" s="2026"/>
      <c r="G170" s="2026"/>
      <c r="H170" s="2026"/>
      <c r="I170" s="2157"/>
      <c r="J170" s="2157"/>
      <c r="K170" s="2157"/>
      <c r="L170" s="2157"/>
      <c r="M170" s="2157"/>
      <c r="N170" s="2173"/>
      <c r="O170" s="1208"/>
      <c r="P170" s="2070"/>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2071"/>
      <c r="AN170" s="2071"/>
      <c r="AO170" s="207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6"/>
      <c r="D171" s="2026"/>
      <c r="E171" s="2026"/>
      <c r="F171" s="2026"/>
      <c r="G171" s="2026"/>
      <c r="H171" s="2026"/>
      <c r="I171" s="2157"/>
      <c r="J171" s="2157"/>
      <c r="K171" s="2157"/>
      <c r="L171" s="2157"/>
      <c r="M171" s="2157"/>
      <c r="N171" s="2173"/>
      <c r="O171" s="1208"/>
      <c r="P171" s="2070"/>
      <c r="Q171" s="2071"/>
      <c r="R171" s="2071"/>
      <c r="S171" s="2071"/>
      <c r="T171" s="2071"/>
      <c r="U171" s="2071"/>
      <c r="V171" s="2071"/>
      <c r="W171" s="2071"/>
      <c r="X171" s="2071"/>
      <c r="Y171" s="2071"/>
      <c r="Z171" s="2071"/>
      <c r="AA171" s="2071"/>
      <c r="AB171" s="2071"/>
      <c r="AC171" s="2071"/>
      <c r="AD171" s="2071"/>
      <c r="AE171" s="2071"/>
      <c r="AF171" s="2071"/>
      <c r="AG171" s="2071"/>
      <c r="AH171" s="2071"/>
      <c r="AI171" s="2071"/>
      <c r="AJ171" s="2071"/>
      <c r="AK171" s="2071"/>
      <c r="AL171" s="2071"/>
      <c r="AM171" s="2071"/>
      <c r="AN171" s="2071"/>
      <c r="AO171" s="207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6"/>
      <c r="D172" s="2026"/>
      <c r="E172" s="2026"/>
      <c r="F172" s="2026"/>
      <c r="G172" s="2026"/>
      <c r="H172" s="2026"/>
      <c r="I172" s="2157"/>
      <c r="J172" s="2157"/>
      <c r="K172" s="2157"/>
      <c r="L172" s="2157"/>
      <c r="M172" s="2157"/>
      <c r="N172" s="2173"/>
      <c r="O172" s="1208"/>
      <c r="P172" s="2070"/>
      <c r="Q172" s="2071"/>
      <c r="R172" s="2071"/>
      <c r="S172" s="2071"/>
      <c r="T172" s="2071"/>
      <c r="U172" s="2071"/>
      <c r="V172" s="2071"/>
      <c r="W172" s="2071"/>
      <c r="X172" s="2071"/>
      <c r="Y172" s="2071"/>
      <c r="Z172" s="2071"/>
      <c r="AA172" s="2071"/>
      <c r="AB172" s="2071"/>
      <c r="AC172" s="2071"/>
      <c r="AD172" s="2071"/>
      <c r="AE172" s="2071"/>
      <c r="AF172" s="2071"/>
      <c r="AG172" s="2071"/>
      <c r="AH172" s="2071"/>
      <c r="AI172" s="2071"/>
      <c r="AJ172" s="2071"/>
      <c r="AK172" s="2071"/>
      <c r="AL172" s="2071"/>
      <c r="AM172" s="2071"/>
      <c r="AN172" s="2071"/>
      <c r="AO172" s="207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6"/>
      <c r="D173" s="2026"/>
      <c r="E173" s="2026"/>
      <c r="F173" s="2026"/>
      <c r="G173" s="2026"/>
      <c r="H173" s="2026"/>
      <c r="I173" s="2157"/>
      <c r="J173" s="2157"/>
      <c r="K173" s="2157"/>
      <c r="L173" s="2157"/>
      <c r="M173" s="2157"/>
      <c r="N173" s="2173"/>
      <c r="O173" s="1208"/>
      <c r="P173" s="2070"/>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6"/>
      <c r="D174" s="2026"/>
      <c r="E174" s="2026"/>
      <c r="F174" s="2026"/>
      <c r="G174" s="2026"/>
      <c r="H174" s="2026"/>
      <c r="I174" s="2157"/>
      <c r="J174" s="2157"/>
      <c r="K174" s="2157"/>
      <c r="L174" s="2157"/>
      <c r="M174" s="2157"/>
      <c r="N174" s="2173"/>
      <c r="O174" s="1208"/>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4"/>
      <c r="D175" s="2175"/>
      <c r="E175" s="2175"/>
      <c r="F175" s="2175"/>
      <c r="G175" s="2175"/>
      <c r="H175" s="2175"/>
      <c r="I175" s="2176"/>
      <c r="J175" s="2176"/>
      <c r="K175" s="2176"/>
      <c r="L175" s="2176"/>
      <c r="M175" s="2176"/>
      <c r="N175" s="2177"/>
      <c r="O175" s="1208"/>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1" t="s">
        <v>2269</v>
      </c>
      <c r="D177" s="2182"/>
      <c r="E177" s="2182"/>
      <c r="F177" s="2182"/>
      <c r="G177" s="2182"/>
      <c r="H177" s="2182"/>
      <c r="I177" s="2182"/>
      <c r="J177" s="2182"/>
      <c r="K177" s="2182"/>
      <c r="L177" s="2182"/>
      <c r="M177" s="2182"/>
      <c r="N177" s="2182"/>
      <c r="O177" s="2182"/>
      <c r="P177" s="2182"/>
      <c r="Q177" s="2182"/>
      <c r="R177" s="2182"/>
      <c r="S177" s="2182"/>
      <c r="T177" s="2182"/>
      <c r="U177" s="2182"/>
      <c r="V177" s="2182"/>
      <c r="W177" s="2182"/>
      <c r="X177" s="2182"/>
      <c r="Y177" s="2182"/>
      <c r="Z177" s="2182"/>
      <c r="AA177" s="2182"/>
      <c r="AB177" s="2182"/>
      <c r="AC177" s="2182"/>
      <c r="AD177" s="2182"/>
      <c r="AE177" s="2183"/>
      <c r="AF177" s="1208"/>
      <c r="AG177" s="1208"/>
      <c r="AH177" s="2191"/>
      <c r="AI177" s="2191"/>
      <c r="AJ177" s="2191"/>
      <c r="AK177" s="2191"/>
      <c r="AL177" s="2191"/>
      <c r="AM177" s="2191"/>
      <c r="AN177" s="2191"/>
      <c r="AO177" s="2191"/>
      <c r="AP177" s="2191"/>
      <c r="AQ177" s="2191"/>
      <c r="AR177" s="2191"/>
      <c r="AS177" s="2191"/>
      <c r="AT177" s="2191"/>
      <c r="AU177" s="2191"/>
      <c r="AV177" s="2191"/>
      <c r="AW177" s="2191"/>
      <c r="AX177" s="2191"/>
      <c r="AY177" s="2191"/>
      <c r="AZ177" s="2191"/>
      <c r="BA177" s="2191"/>
      <c r="BB177" s="2191"/>
      <c r="BC177" s="2191"/>
      <c r="BD177" s="2191"/>
      <c r="BE177" s="2191"/>
    </row>
    <row r="178" spans="1:57" ht="15.75" customHeight="1" thickBot="1">
      <c r="A178" s="1208"/>
      <c r="B178" s="1208"/>
      <c r="C178" s="2184"/>
      <c r="D178" s="2185"/>
      <c r="E178" s="2185"/>
      <c r="F178" s="2185"/>
      <c r="G178" s="2185"/>
      <c r="H178" s="2185"/>
      <c r="I178" s="2185"/>
      <c r="J178" s="2185"/>
      <c r="K178" s="2185"/>
      <c r="L178" s="2185"/>
      <c r="M178" s="2185"/>
      <c r="N178" s="2185"/>
      <c r="O178" s="2185"/>
      <c r="P178" s="2185"/>
      <c r="Q178" s="2185"/>
      <c r="R178" s="2185"/>
      <c r="S178" s="2185"/>
      <c r="T178" s="2185"/>
      <c r="U178" s="2185"/>
      <c r="V178" s="2185"/>
      <c r="W178" s="2185"/>
      <c r="X178" s="2185"/>
      <c r="Y178" s="2185"/>
      <c r="Z178" s="2185"/>
      <c r="AA178" s="2185"/>
      <c r="AB178" s="2185"/>
      <c r="AC178" s="2185"/>
      <c r="AD178" s="2185"/>
      <c r="AE178" s="2186"/>
      <c r="AF178" s="1208"/>
      <c r="AG178" s="1208"/>
      <c r="AH178" s="2191"/>
      <c r="AI178" s="2191"/>
      <c r="AJ178" s="2191"/>
      <c r="AK178" s="2191"/>
      <c r="AL178" s="2191"/>
      <c r="AM178" s="2191"/>
      <c r="AN178" s="2191"/>
      <c r="AO178" s="2191"/>
      <c r="AP178" s="2191"/>
      <c r="AQ178" s="2191"/>
      <c r="AR178" s="2191"/>
      <c r="AS178" s="2191"/>
      <c r="AT178" s="2191"/>
      <c r="AU178" s="2191"/>
      <c r="AV178" s="2191"/>
      <c r="AW178" s="2191"/>
      <c r="AX178" s="2191"/>
      <c r="AY178" s="2191"/>
      <c r="AZ178" s="2191"/>
      <c r="BA178" s="2191"/>
      <c r="BB178" s="2191"/>
      <c r="BC178" s="2191"/>
      <c r="BD178" s="2191"/>
      <c r="BE178" s="2191"/>
    </row>
    <row r="179" spans="1:57" ht="15.75" customHeight="1">
      <c r="A179" s="1208"/>
      <c r="B179" s="1208"/>
      <c r="C179" s="2066" t="s">
        <v>2267</v>
      </c>
      <c r="D179" s="2067"/>
      <c r="E179" s="2067"/>
      <c r="F179" s="2067"/>
      <c r="G179" s="2067"/>
      <c r="H179" s="2067"/>
      <c r="I179" s="2067"/>
      <c r="J179" s="2067"/>
      <c r="K179" s="2067"/>
      <c r="L179" s="2067"/>
      <c r="M179" s="2067"/>
      <c r="N179" s="2067" t="s">
        <v>2268</v>
      </c>
      <c r="O179" s="2067"/>
      <c r="P179" s="2067"/>
      <c r="Q179" s="2067"/>
      <c r="R179" s="2067"/>
      <c r="S179" s="2067"/>
      <c r="T179" s="2067"/>
      <c r="U179" s="2020" t="s">
        <v>2267</v>
      </c>
      <c r="V179" s="2020"/>
      <c r="W179" s="2020"/>
      <c r="X179" s="2020"/>
      <c r="Y179" s="2020"/>
      <c r="Z179" s="2020"/>
      <c r="AA179" s="2020"/>
      <c r="AB179" s="2020"/>
      <c r="AC179" s="2020"/>
      <c r="AD179" s="2020"/>
      <c r="AE179" s="2021"/>
      <c r="AF179" s="1208"/>
      <c r="AG179" s="1208"/>
      <c r="AH179" s="2191"/>
      <c r="AI179" s="2191"/>
      <c r="AJ179" s="2191"/>
      <c r="AK179" s="2191"/>
      <c r="AL179" s="2191"/>
      <c r="AM179" s="2191"/>
      <c r="AN179" s="2191"/>
      <c r="AO179" s="2191"/>
      <c r="AP179" s="2191"/>
      <c r="AQ179" s="2191"/>
      <c r="AR179" s="2191"/>
      <c r="AS179" s="2191"/>
      <c r="AT179" s="2191"/>
      <c r="AU179" s="2191"/>
      <c r="AV179" s="2191"/>
      <c r="AW179" s="2191"/>
      <c r="AX179" s="2191"/>
      <c r="AY179" s="2191"/>
      <c r="AZ179" s="2191"/>
      <c r="BA179" s="2191"/>
      <c r="BB179" s="2191"/>
      <c r="BC179" s="2191"/>
      <c r="BD179" s="2191"/>
      <c r="BE179" s="2191"/>
    </row>
    <row r="180" spans="1:57" ht="15.75" customHeight="1">
      <c r="A180" s="1208"/>
      <c r="B180" s="1208"/>
      <c r="C180" s="2178" t="s">
        <v>2266</v>
      </c>
      <c r="D180" s="2179"/>
      <c r="E180" s="2179"/>
      <c r="F180" s="2179"/>
      <c r="G180" s="2179"/>
      <c r="H180" s="2179"/>
      <c r="I180" s="2179"/>
      <c r="J180" s="2179"/>
      <c r="K180" s="2179"/>
      <c r="L180" s="2179"/>
      <c r="M180" s="2179"/>
      <c r="N180" s="2180">
        <f>'Sources and Uses Budget'!B105</f>
        <v>77544450</v>
      </c>
      <c r="O180" s="2180"/>
      <c r="P180" s="2180"/>
      <c r="Q180" s="2180"/>
      <c r="R180" s="2180"/>
      <c r="S180" s="2180"/>
      <c r="T180" s="2180"/>
      <c r="U180" s="2192"/>
      <c r="V180" s="2192"/>
      <c r="W180" s="2192"/>
      <c r="X180" s="2192"/>
      <c r="Y180" s="2192"/>
      <c r="Z180" s="2192"/>
      <c r="AA180" s="2192"/>
      <c r="AB180" s="2192"/>
      <c r="AC180" s="2192"/>
      <c r="AD180" s="2192"/>
      <c r="AE180" s="2193"/>
      <c r="AF180" s="1208"/>
      <c r="AG180" s="1208"/>
      <c r="AH180" s="2191"/>
      <c r="AI180" s="2191"/>
      <c r="AJ180" s="2191"/>
      <c r="AK180" s="2191"/>
      <c r="AL180" s="2191"/>
      <c r="AM180" s="2191"/>
      <c r="AN180" s="2191"/>
      <c r="AO180" s="2191"/>
      <c r="AP180" s="2191"/>
      <c r="AQ180" s="2191"/>
      <c r="AR180" s="2191"/>
      <c r="AS180" s="2191"/>
      <c r="AT180" s="2191"/>
      <c r="AU180" s="2191"/>
      <c r="AV180" s="2191"/>
      <c r="AW180" s="2191"/>
      <c r="AX180" s="2191"/>
      <c r="AY180" s="2191"/>
      <c r="AZ180" s="2191"/>
      <c r="BA180" s="2191"/>
      <c r="BB180" s="2191"/>
      <c r="BC180" s="2191"/>
      <c r="BD180" s="2191"/>
      <c r="BE180" s="2191"/>
    </row>
    <row r="181" spans="1:57" ht="15.75" customHeight="1">
      <c r="A181" s="1208"/>
      <c r="B181" s="1208"/>
      <c r="C181" s="2178" t="s">
        <v>2265</v>
      </c>
      <c r="D181" s="2179"/>
      <c r="E181" s="2179"/>
      <c r="F181" s="2179"/>
      <c r="G181" s="2179"/>
      <c r="H181" s="2179"/>
      <c r="I181" s="2179"/>
      <c r="J181" s="2179"/>
      <c r="K181" s="2179"/>
      <c r="L181" s="2179"/>
      <c r="M181" s="2179"/>
      <c r="N181" s="2180">
        <f>N180/J29</f>
        <v>807754.6875</v>
      </c>
      <c r="O181" s="2180"/>
      <c r="P181" s="2180"/>
      <c r="Q181" s="2180"/>
      <c r="R181" s="2180"/>
      <c r="S181" s="2180"/>
      <c r="T181" s="2180"/>
      <c r="U181" s="1248"/>
      <c r="V181" s="1248"/>
      <c r="W181" s="1248"/>
      <c r="X181" s="1248"/>
      <c r="Y181" s="1248"/>
      <c r="Z181" s="1248"/>
      <c r="AA181" s="1248"/>
      <c r="AB181" s="1248"/>
      <c r="AC181" s="1248"/>
      <c r="AD181" s="1248"/>
      <c r="AE181" s="1249"/>
      <c r="AF181" s="1208"/>
      <c r="AG181" s="1208"/>
      <c r="AH181" s="2191"/>
      <c r="AI181" s="2191"/>
      <c r="AJ181" s="2191"/>
      <c r="AK181" s="2191"/>
      <c r="AL181" s="2191"/>
      <c r="AM181" s="2191"/>
      <c r="AN181" s="2191"/>
      <c r="AO181" s="2191"/>
      <c r="AP181" s="2191"/>
      <c r="AQ181" s="2191"/>
      <c r="AR181" s="2191"/>
      <c r="AS181" s="2191"/>
      <c r="AT181" s="2191"/>
      <c r="AU181" s="2191"/>
      <c r="AV181" s="2191"/>
      <c r="AW181" s="2191"/>
      <c r="AX181" s="2191"/>
      <c r="AY181" s="2191"/>
      <c r="AZ181" s="2191"/>
      <c r="BA181" s="2191"/>
      <c r="BB181" s="2191"/>
      <c r="BC181" s="2191"/>
      <c r="BD181" s="2191"/>
      <c r="BE181" s="2191"/>
    </row>
    <row r="182" spans="1:57" ht="15.75" customHeight="1">
      <c r="A182" s="1208"/>
      <c r="B182" s="1208"/>
      <c r="C182" s="2194" t="s">
        <v>2264</v>
      </c>
      <c r="D182" s="2195"/>
      <c r="E182" s="2195"/>
      <c r="F182" s="2195"/>
      <c r="G182" s="2195"/>
      <c r="H182" s="2195"/>
      <c r="I182" s="2195"/>
      <c r="J182" s="2195"/>
      <c r="K182" s="2195"/>
      <c r="L182" s="2195"/>
      <c r="M182" s="2195"/>
      <c r="N182" s="2060">
        <v>0</v>
      </c>
      <c r="O182" s="2060"/>
      <c r="P182" s="2060"/>
      <c r="Q182" s="2060"/>
      <c r="R182" s="2060"/>
      <c r="S182" s="2060"/>
      <c r="T182" s="2060"/>
      <c r="U182" s="2038"/>
      <c r="V182" s="2038"/>
      <c r="W182" s="2038"/>
      <c r="X182" s="2038"/>
      <c r="Y182" s="2038"/>
      <c r="Z182" s="2038"/>
      <c r="AA182" s="2038"/>
      <c r="AB182" s="2038"/>
      <c r="AC182" s="2038"/>
      <c r="AD182" s="2038"/>
      <c r="AE182" s="2039"/>
      <c r="AF182" s="1208"/>
      <c r="AG182" s="1208"/>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208"/>
      <c r="B183" s="1208"/>
      <c r="C183" s="2178" t="s">
        <v>2263</v>
      </c>
      <c r="D183" s="2179"/>
      <c r="E183" s="2179"/>
      <c r="F183" s="2179"/>
      <c r="G183" s="2179"/>
      <c r="H183" s="2179"/>
      <c r="I183" s="2179"/>
      <c r="J183" s="2179"/>
      <c r="K183" s="2179"/>
      <c r="L183" s="2179"/>
      <c r="M183" s="2179"/>
      <c r="N183" s="2196">
        <f>SUM('Sources and Uses Budget'!B85:B86)</f>
        <v>3500000</v>
      </c>
      <c r="O183" s="2196"/>
      <c r="P183" s="2196"/>
      <c r="Q183" s="2196"/>
      <c r="R183" s="2196"/>
      <c r="S183" s="2196"/>
      <c r="T183" s="2196"/>
      <c r="U183" s="2038"/>
      <c r="V183" s="2038"/>
      <c r="W183" s="2038"/>
      <c r="X183" s="2038"/>
      <c r="Y183" s="2038"/>
      <c r="Z183" s="2038"/>
      <c r="AA183" s="2038"/>
      <c r="AB183" s="2038"/>
      <c r="AC183" s="2038"/>
      <c r="AD183" s="2038"/>
      <c r="AE183" s="2039"/>
      <c r="AF183" s="1208"/>
      <c r="AG183" s="1208"/>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thickBot="1">
      <c r="A184" s="1208"/>
      <c r="B184" s="1208"/>
      <c r="C184" s="2178" t="s">
        <v>2262</v>
      </c>
      <c r="D184" s="2179"/>
      <c r="E184" s="2179"/>
      <c r="F184" s="2179"/>
      <c r="G184" s="2179"/>
      <c r="H184" s="2179"/>
      <c r="I184" s="2179"/>
      <c r="J184" s="2179"/>
      <c r="K184" s="2179"/>
      <c r="L184" s="2179"/>
      <c r="M184" s="2179"/>
      <c r="N184" s="2196">
        <f>'Sources and Uses Budget'!B8</f>
        <v>5850000</v>
      </c>
      <c r="O184" s="2196"/>
      <c r="P184" s="2196"/>
      <c r="Q184" s="2196"/>
      <c r="R184" s="2196"/>
      <c r="S184" s="2196"/>
      <c r="T184" s="2196"/>
      <c r="U184" s="2038"/>
      <c r="V184" s="2038"/>
      <c r="W184" s="2038"/>
      <c r="X184" s="2038"/>
      <c r="Y184" s="2038"/>
      <c r="Z184" s="2038"/>
      <c r="AA184" s="2038"/>
      <c r="AB184" s="2038"/>
      <c r="AC184" s="2038"/>
      <c r="AD184" s="2038"/>
      <c r="AE184" s="2039"/>
      <c r="AF184" s="1208"/>
      <c r="AG184" s="1208"/>
      <c r="AH184" s="2200" t="s">
        <v>2260</v>
      </c>
      <c r="AI184" s="2201"/>
      <c r="AJ184" s="2201"/>
      <c r="AK184" s="2201"/>
      <c r="AL184" s="2201"/>
      <c r="AM184" s="2201"/>
      <c r="AN184" s="2201"/>
      <c r="AO184" s="2201"/>
      <c r="AP184" s="2201"/>
      <c r="AQ184" s="2201"/>
      <c r="AR184" s="2201"/>
      <c r="AS184" s="2201"/>
      <c r="AT184" s="2201"/>
      <c r="AU184" s="2201"/>
      <c r="AV184" s="2201"/>
      <c r="AW184" s="2201"/>
      <c r="AX184" s="2201"/>
      <c r="AY184" s="2201"/>
      <c r="AZ184" s="2201"/>
      <c r="BA184" s="2201"/>
      <c r="BB184" s="2201"/>
      <c r="BC184" s="2201"/>
      <c r="BD184" s="2201"/>
      <c r="BE184" s="2202"/>
    </row>
    <row r="185" spans="1:57" ht="15.75" customHeight="1">
      <c r="A185" s="1208"/>
      <c r="B185" s="1208"/>
      <c r="C185" s="2178" t="s">
        <v>2261</v>
      </c>
      <c r="D185" s="2179"/>
      <c r="E185" s="2179"/>
      <c r="F185" s="2179"/>
      <c r="G185" s="2179"/>
      <c r="H185" s="2179"/>
      <c r="I185" s="2179"/>
      <c r="J185" s="2179"/>
      <c r="K185" s="2179"/>
      <c r="L185" s="2179"/>
      <c r="M185" s="2179"/>
      <c r="N185" s="2187">
        <v>0</v>
      </c>
      <c r="O185" s="2187"/>
      <c r="P185" s="2187"/>
      <c r="Q185" s="2187"/>
      <c r="R185" s="2187"/>
      <c r="S185" s="2187"/>
      <c r="T185" s="2187"/>
      <c r="U185" s="2038"/>
      <c r="V185" s="2038"/>
      <c r="W185" s="2038"/>
      <c r="X185" s="2038"/>
      <c r="Y185" s="2038"/>
      <c r="Z185" s="2038"/>
      <c r="AA185" s="2038"/>
      <c r="AB185" s="2038"/>
      <c r="AC185" s="2038"/>
      <c r="AD185" s="2038"/>
      <c r="AE185" s="2039"/>
      <c r="AF185" s="1208"/>
      <c r="AG185" s="1208"/>
      <c r="AH185" s="2203" t="s">
        <v>2260</v>
      </c>
      <c r="AI185" s="2204"/>
      <c r="AJ185" s="2204"/>
      <c r="AK185" s="2204"/>
      <c r="AL185" s="2204"/>
      <c r="AM185" s="2204"/>
      <c r="AN185" s="2204"/>
      <c r="AO185" s="2204"/>
      <c r="AP185" s="2204"/>
      <c r="AQ185" s="2204"/>
      <c r="AR185" s="2204"/>
      <c r="AS185" s="2204"/>
      <c r="AT185" s="2204"/>
      <c r="AU185" s="2205">
        <v>0</v>
      </c>
      <c r="AV185" s="2205"/>
      <c r="AW185" s="2205"/>
      <c r="AX185" s="2205"/>
      <c r="AY185" s="2205"/>
      <c r="AZ185" s="2205"/>
      <c r="BA185" s="2205"/>
      <c r="BB185" s="2205"/>
      <c r="BC185" s="2206"/>
      <c r="BD185" s="2207"/>
      <c r="BE185" s="2208"/>
    </row>
    <row r="186" spans="1:57" ht="15.75" customHeight="1">
      <c r="A186" s="1208"/>
      <c r="B186" s="1208"/>
      <c r="C186" s="2178" t="s">
        <v>2259</v>
      </c>
      <c r="D186" s="2179"/>
      <c r="E186" s="2179"/>
      <c r="F186" s="2179"/>
      <c r="G186" s="2179"/>
      <c r="H186" s="2179"/>
      <c r="I186" s="2179"/>
      <c r="J186" s="2179"/>
      <c r="K186" s="2179"/>
      <c r="L186" s="2179"/>
      <c r="M186" s="2179"/>
      <c r="N186" s="2187">
        <v>0</v>
      </c>
      <c r="O186" s="2187"/>
      <c r="P186" s="2187"/>
      <c r="Q186" s="2187"/>
      <c r="R186" s="2187"/>
      <c r="S186" s="2187"/>
      <c r="T186" s="2187"/>
      <c r="U186" s="2038"/>
      <c r="V186" s="2038"/>
      <c r="W186" s="2038"/>
      <c r="X186" s="2038"/>
      <c r="Y186" s="2038"/>
      <c r="Z186" s="2038"/>
      <c r="AA186" s="2038"/>
      <c r="AB186" s="2038"/>
      <c r="AC186" s="2038"/>
      <c r="AD186" s="2038"/>
      <c r="AE186" s="2039"/>
      <c r="AF186" s="1208"/>
      <c r="AG186" s="1208"/>
      <c r="AH186" s="2188" t="s">
        <v>2258</v>
      </c>
      <c r="AI186" s="2189"/>
      <c r="AJ186" s="2189"/>
      <c r="AK186" s="2189"/>
      <c r="AL186" s="2189"/>
      <c r="AM186" s="2189"/>
      <c r="AN186" s="2189"/>
      <c r="AO186" s="2189"/>
      <c r="AP186" s="2189"/>
      <c r="AQ186" s="2189"/>
      <c r="AR186" s="2189"/>
      <c r="AS186" s="2189"/>
      <c r="AT186" s="2189"/>
      <c r="AU186" s="2190"/>
      <c r="AV186" s="2190"/>
      <c r="AW186" s="2190"/>
      <c r="AX186" s="2190"/>
      <c r="AY186" s="2190"/>
      <c r="AZ186" s="2190"/>
      <c r="BA186" s="2190"/>
      <c r="BB186" s="2190"/>
      <c r="BC186" s="2197"/>
      <c r="BD186" s="2198"/>
      <c r="BE186" s="2199"/>
    </row>
    <row r="187" spans="1:57" ht="15.75" customHeight="1">
      <c r="A187" s="1208"/>
      <c r="B187" s="1208"/>
      <c r="C187" s="2213" t="s">
        <v>300</v>
      </c>
      <c r="D187" s="2156"/>
      <c r="E187" s="2209" t="s">
        <v>2256</v>
      </c>
      <c r="F187" s="2209"/>
      <c r="G187" s="2209"/>
      <c r="H187" s="2209"/>
      <c r="I187" s="2209"/>
      <c r="J187" s="2209"/>
      <c r="K187" s="2209"/>
      <c r="L187" s="2209"/>
      <c r="M187" s="2209"/>
      <c r="N187" s="2187">
        <v>0</v>
      </c>
      <c r="O187" s="2187"/>
      <c r="P187" s="2187"/>
      <c r="Q187" s="2187"/>
      <c r="R187" s="2187"/>
      <c r="S187" s="2187"/>
      <c r="T187" s="2187"/>
      <c r="U187" s="2038"/>
      <c r="V187" s="2038"/>
      <c r="W187" s="2038"/>
      <c r="X187" s="2038"/>
      <c r="Y187" s="2038"/>
      <c r="Z187" s="2038"/>
      <c r="AA187" s="2038"/>
      <c r="AB187" s="2038"/>
      <c r="AC187" s="2038"/>
      <c r="AD187" s="2038"/>
      <c r="AE187" s="2039"/>
      <c r="AF187" s="1208"/>
      <c r="AG187" s="1208"/>
      <c r="AH187" s="2214" t="s">
        <v>2257</v>
      </c>
      <c r="AI187" s="2215"/>
      <c r="AJ187" s="2215"/>
      <c r="AK187" s="2215"/>
      <c r="AL187" s="2215"/>
      <c r="AM187" s="2215"/>
      <c r="AN187" s="2215"/>
      <c r="AO187" s="2215"/>
      <c r="AP187" s="2215"/>
      <c r="AQ187" s="2215"/>
      <c r="AR187" s="2215"/>
      <c r="AS187" s="2215"/>
      <c r="AT187" s="2215"/>
      <c r="AU187" s="2216">
        <f>SUM(AU185:BB186)</f>
        <v>0</v>
      </c>
      <c r="AV187" s="2216"/>
      <c r="AW187" s="2216"/>
      <c r="AX187" s="2216"/>
      <c r="AY187" s="2216"/>
      <c r="AZ187" s="2216"/>
      <c r="BA187" s="2216"/>
      <c r="BB187" s="2216"/>
      <c r="BC187" s="2197"/>
      <c r="BD187" s="2198"/>
      <c r="BE187" s="2199"/>
    </row>
    <row r="188" spans="1:57" ht="15.75" customHeight="1" thickBot="1">
      <c r="A188" s="1208"/>
      <c r="B188" s="1208"/>
      <c r="C188" s="2076" t="s">
        <v>300</v>
      </c>
      <c r="D188" s="2026"/>
      <c r="E188" s="2209" t="s">
        <v>2256</v>
      </c>
      <c r="F188" s="2209"/>
      <c r="G188" s="2209"/>
      <c r="H188" s="2209"/>
      <c r="I188" s="2209"/>
      <c r="J188" s="2209"/>
      <c r="K188" s="2209"/>
      <c r="L188" s="2209"/>
      <c r="M188" s="2209"/>
      <c r="N188" s="2187">
        <v>0</v>
      </c>
      <c r="O188" s="2187"/>
      <c r="P188" s="2187"/>
      <c r="Q188" s="2187"/>
      <c r="R188" s="2187"/>
      <c r="S188" s="2187"/>
      <c r="T188" s="2187"/>
      <c r="U188" s="2038"/>
      <c r="V188" s="2038"/>
      <c r="W188" s="2038"/>
      <c r="X188" s="2038"/>
      <c r="Y188" s="2038"/>
      <c r="Z188" s="2038"/>
      <c r="AA188" s="2038"/>
      <c r="AB188" s="2038"/>
      <c r="AC188" s="2038"/>
      <c r="AD188" s="2038"/>
      <c r="AE188" s="203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0"/>
      <c r="BD188" s="2211"/>
      <c r="BE188" s="2212"/>
    </row>
    <row r="189" spans="1:57" ht="15.75" customHeight="1" thickBot="1">
      <c r="A189" s="1208"/>
      <c r="B189" s="1208"/>
      <c r="C189" s="2234" t="s">
        <v>300</v>
      </c>
      <c r="D189" s="2235"/>
      <c r="E189" s="2236" t="s">
        <v>2256</v>
      </c>
      <c r="F189" s="2236"/>
      <c r="G189" s="2236"/>
      <c r="H189" s="2236"/>
      <c r="I189" s="2236"/>
      <c r="J189" s="2236"/>
      <c r="K189" s="2236"/>
      <c r="L189" s="2236"/>
      <c r="M189" s="2237"/>
      <c r="N189" s="2238">
        <v>0</v>
      </c>
      <c r="O189" s="2238"/>
      <c r="P189" s="2238"/>
      <c r="Q189" s="2238"/>
      <c r="R189" s="2238"/>
      <c r="S189" s="2238"/>
      <c r="T189" s="2239"/>
      <c r="U189" s="2240"/>
      <c r="V189" s="2241"/>
      <c r="W189" s="2241"/>
      <c r="X189" s="2241"/>
      <c r="Y189" s="2241"/>
      <c r="Z189" s="2241"/>
      <c r="AA189" s="2241"/>
      <c r="AB189" s="2241"/>
      <c r="AC189" s="2241"/>
      <c r="AD189" s="2241"/>
      <c r="AE189" s="2242"/>
      <c r="AF189" s="1208"/>
      <c r="AG189" s="1208"/>
      <c r="AH189" s="2243" t="s">
        <v>2255</v>
      </c>
      <c r="AI189" s="2244"/>
      <c r="AJ189" s="2244"/>
      <c r="AK189" s="2244"/>
      <c r="AL189" s="2244"/>
      <c r="AM189" s="2244"/>
      <c r="AN189" s="2244"/>
      <c r="AO189" s="2244"/>
      <c r="AP189" s="2244"/>
      <c r="AQ189" s="2244"/>
      <c r="AR189" s="2244"/>
      <c r="AS189" s="2244"/>
      <c r="AT189" s="2244"/>
      <c r="AU189" s="2245"/>
      <c r="AV189" s="2245"/>
      <c r="AW189" s="2245"/>
      <c r="AX189" s="2245"/>
      <c r="AY189" s="2245"/>
      <c r="AZ189" s="2245"/>
      <c r="BA189" s="2245"/>
      <c r="BB189" s="2245"/>
      <c r="BC189" s="1164"/>
      <c r="BD189" s="1164"/>
      <c r="BE189" s="1252"/>
    </row>
    <row r="190" spans="1:57" ht="15.75" customHeight="1">
      <c r="A190" s="1208"/>
      <c r="B190" s="1208"/>
      <c r="C190" s="2217" t="s">
        <v>2254</v>
      </c>
      <c r="D190" s="2218"/>
      <c r="E190" s="2218"/>
      <c r="F190" s="2218"/>
      <c r="G190" s="2218"/>
      <c r="H190" s="2218"/>
      <c r="I190" s="2218"/>
      <c r="J190" s="2218"/>
      <c r="K190" s="2218"/>
      <c r="L190" s="2218"/>
      <c r="M190" s="2218"/>
      <c r="N190" s="2219">
        <f>SUM(N182:T189)</f>
        <v>9350000</v>
      </c>
      <c r="O190" s="2219"/>
      <c r="P190" s="2219"/>
      <c r="Q190" s="2219"/>
      <c r="R190" s="2219"/>
      <c r="S190" s="2219"/>
      <c r="T190" s="2220"/>
      <c r="U190" s="1208"/>
      <c r="V190" s="1208"/>
      <c r="W190" s="1208"/>
      <c r="X190" s="1208"/>
      <c r="Y190" s="1208"/>
      <c r="Z190" s="1208"/>
      <c r="AA190" s="1208"/>
      <c r="AB190" s="1208"/>
      <c r="AC190" s="1208"/>
      <c r="AD190" s="1208"/>
      <c r="AE190" s="1208"/>
      <c r="AF190" s="1208"/>
      <c r="AG190" s="1208"/>
      <c r="AH190" s="2221" t="s">
        <v>2253</v>
      </c>
      <c r="AI190" s="2222"/>
      <c r="AJ190" s="2222"/>
      <c r="AK190" s="2222"/>
      <c r="AL190" s="2222"/>
      <c r="AM190" s="2222"/>
      <c r="AN190" s="2222"/>
      <c r="AO190" s="2222"/>
      <c r="AP190" s="2222"/>
      <c r="AQ190" s="2222"/>
      <c r="AR190" s="2222"/>
      <c r="AS190" s="2222"/>
      <c r="AT190" s="2222"/>
      <c r="AU190" s="2222"/>
      <c r="AV190" s="2222"/>
      <c r="AW190" s="2222"/>
      <c r="AX190" s="2222"/>
      <c r="AY190" s="2222"/>
      <c r="AZ190" s="2222"/>
      <c r="BA190" s="2222"/>
      <c r="BB190" s="2222"/>
      <c r="BC190" s="2222"/>
      <c r="BD190" s="2222"/>
      <c r="BE190" s="2223"/>
    </row>
    <row r="191" spans="1:57" ht="15.75" customHeight="1" thickBot="1">
      <c r="A191" s="1208"/>
      <c r="B191" s="1208"/>
      <c r="C191" s="2227" t="s">
        <v>2252</v>
      </c>
      <c r="D191" s="2228"/>
      <c r="E191" s="2228"/>
      <c r="F191" s="2228"/>
      <c r="G191" s="2228"/>
      <c r="H191" s="2228"/>
      <c r="I191" s="2228"/>
      <c r="J191" s="2228"/>
      <c r="K191" s="2228"/>
      <c r="L191" s="2228"/>
      <c r="M191" s="2228"/>
      <c r="N191" s="2229">
        <f>(N180-N190)/J29</f>
        <v>710358.85416666663</v>
      </c>
      <c r="O191" s="2230"/>
      <c r="P191" s="2230"/>
      <c r="Q191" s="2230"/>
      <c r="R191" s="2230"/>
      <c r="S191" s="2230"/>
      <c r="T191" s="2231"/>
      <c r="U191" s="1216"/>
      <c r="V191" s="1208"/>
      <c r="W191" s="1208"/>
      <c r="X191" s="1208"/>
      <c r="Y191" s="1208"/>
      <c r="Z191" s="1208"/>
      <c r="AA191" s="1208"/>
      <c r="AB191" s="1208"/>
      <c r="AC191" s="1208"/>
      <c r="AD191" s="1208"/>
      <c r="AE191" s="1208"/>
      <c r="AF191" s="1208"/>
      <c r="AG191" s="1208"/>
      <c r="AH191" s="2224"/>
      <c r="AI191" s="2225"/>
      <c r="AJ191" s="2225"/>
      <c r="AK191" s="2225"/>
      <c r="AL191" s="2225"/>
      <c r="AM191" s="2225"/>
      <c r="AN191" s="2225"/>
      <c r="AO191" s="2225"/>
      <c r="AP191" s="2225"/>
      <c r="AQ191" s="2225"/>
      <c r="AR191" s="2225"/>
      <c r="AS191" s="2225"/>
      <c r="AT191" s="2225"/>
      <c r="AU191" s="2225"/>
      <c r="AV191" s="2225"/>
      <c r="AW191" s="2225"/>
      <c r="AX191" s="2225"/>
      <c r="AY191" s="2225"/>
      <c r="AZ191" s="2225"/>
      <c r="BA191" s="2225"/>
      <c r="BB191" s="2225"/>
      <c r="BC191" s="2225"/>
      <c r="BD191" s="2225"/>
      <c r="BE191" s="222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2"/>
      <c r="AI192" s="2232"/>
      <c r="AJ192" s="2232"/>
      <c r="AK192" s="2232"/>
      <c r="AL192" s="2232"/>
      <c r="AM192" s="2232"/>
      <c r="AN192" s="2232"/>
      <c r="AO192" s="2232"/>
      <c r="AP192" s="2232"/>
      <c r="AQ192" s="2232"/>
      <c r="AR192" s="2232"/>
      <c r="AS192" s="2233"/>
      <c r="AT192" s="2233"/>
      <c r="AU192" s="2233"/>
      <c r="AV192" s="2233"/>
      <c r="AW192" s="2233"/>
      <c r="AX192" s="2233"/>
      <c r="AY192" s="2233"/>
      <c r="AZ192" s="2233"/>
      <c r="BA192" s="2233"/>
      <c r="BB192" s="2233"/>
      <c r="BC192" s="2233"/>
      <c r="BD192" s="223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1" t="s">
        <v>2251</v>
      </c>
      <c r="D194" s="2252"/>
      <c r="E194" s="2252"/>
      <c r="F194" s="2252"/>
      <c r="G194" s="2252"/>
      <c r="H194" s="2252"/>
      <c r="I194" s="2252"/>
      <c r="J194" s="2252"/>
      <c r="K194" s="2252"/>
      <c r="L194" s="2252"/>
      <c r="M194" s="2252"/>
      <c r="N194" s="2252"/>
      <c r="O194" s="2252"/>
      <c r="P194" s="2252"/>
      <c r="Q194" s="2252"/>
      <c r="R194" s="2252"/>
      <c r="S194" s="2252"/>
      <c r="T194" s="2252"/>
      <c r="U194" s="2252"/>
      <c r="V194" s="2252"/>
      <c r="W194" s="2252"/>
      <c r="X194" s="2252"/>
      <c r="Y194" s="2252"/>
      <c r="Z194" s="2252"/>
      <c r="AA194" s="2252"/>
      <c r="AB194" s="2252"/>
      <c r="AC194" s="2252"/>
      <c r="AD194" s="2252"/>
      <c r="AE194" s="225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4" t="s">
        <v>2250</v>
      </c>
      <c r="D195" s="2254"/>
      <c r="E195" s="2254"/>
      <c r="F195" s="2254"/>
      <c r="G195" s="2254"/>
      <c r="H195" s="2254"/>
      <c r="I195" s="2254"/>
      <c r="J195" s="2254"/>
      <c r="K195" s="2254"/>
      <c r="L195" s="2254"/>
      <c r="M195" s="2254"/>
      <c r="N195" s="2254"/>
      <c r="O195" s="2255" t="s">
        <v>2249</v>
      </c>
      <c r="P195" s="2255"/>
      <c r="Q195" s="2255"/>
      <c r="R195" s="2255"/>
      <c r="S195" s="2255"/>
      <c r="T195" s="2255"/>
      <c r="U195" s="2255"/>
      <c r="V195" s="2255"/>
      <c r="W195" s="2255"/>
      <c r="X195" s="2255" t="s">
        <v>2248</v>
      </c>
      <c r="Y195" s="2255"/>
      <c r="Z195" s="2255"/>
      <c r="AA195" s="2255"/>
      <c r="AB195" s="2255"/>
      <c r="AC195" s="2255"/>
      <c r="AD195" s="2255"/>
      <c r="AE195" s="225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6" t="s">
        <v>2247</v>
      </c>
      <c r="D196" s="2246"/>
      <c r="E196" s="2246"/>
      <c r="F196" s="2246"/>
      <c r="G196" s="2246"/>
      <c r="H196" s="2246"/>
      <c r="I196" s="2246"/>
      <c r="J196" s="2246"/>
      <c r="K196" s="2246"/>
      <c r="L196" s="2246"/>
      <c r="M196" s="2246"/>
      <c r="N196" s="2246"/>
      <c r="O196" s="2247" t="s">
        <v>2246</v>
      </c>
      <c r="P196" s="2247"/>
      <c r="Q196" s="2247"/>
      <c r="R196" s="2247"/>
      <c r="S196" s="2247"/>
      <c r="T196" s="2247"/>
      <c r="U196" s="2247"/>
      <c r="V196" s="2247"/>
      <c r="W196" s="2247"/>
      <c r="X196" s="2248">
        <v>0.03</v>
      </c>
      <c r="Y196" s="2248"/>
      <c r="Z196" s="2248"/>
      <c r="AA196" s="2248"/>
      <c r="AB196" s="2248"/>
      <c r="AC196" s="2248"/>
      <c r="AD196" s="2248"/>
      <c r="AE196" s="224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6" t="s">
        <v>853</v>
      </c>
      <c r="D197" s="2246"/>
      <c r="E197" s="2246"/>
      <c r="F197" s="2246"/>
      <c r="G197" s="2246"/>
      <c r="H197" s="2246"/>
      <c r="I197" s="2246"/>
      <c r="J197" s="2246"/>
      <c r="K197" s="2246"/>
      <c r="L197" s="2246"/>
      <c r="M197" s="2246"/>
      <c r="N197" s="2246"/>
      <c r="O197" s="2247" t="s">
        <v>2246</v>
      </c>
      <c r="P197" s="2247"/>
      <c r="Q197" s="2247"/>
      <c r="R197" s="2247"/>
      <c r="S197" s="2247"/>
      <c r="T197" s="2247"/>
      <c r="U197" s="2247"/>
      <c r="V197" s="2247"/>
      <c r="W197" s="2247"/>
      <c r="X197" s="2248">
        <v>0.03</v>
      </c>
      <c r="Y197" s="2248"/>
      <c r="Z197" s="2248"/>
      <c r="AA197" s="2248"/>
      <c r="AB197" s="2248"/>
      <c r="AC197" s="2248"/>
      <c r="AD197" s="2248"/>
      <c r="AE197" s="224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6" t="s">
        <v>2245</v>
      </c>
      <c r="D198" s="2246"/>
      <c r="E198" s="2246"/>
      <c r="F198" s="2246"/>
      <c r="G198" s="2246"/>
      <c r="H198" s="2246"/>
      <c r="I198" s="2246"/>
      <c r="J198" s="2246"/>
      <c r="K198" s="2246"/>
      <c r="L198" s="2246"/>
      <c r="M198" s="2246"/>
      <c r="N198" s="2246"/>
      <c r="O198" s="2249">
        <f>SUM(O196:W197)</f>
        <v>0</v>
      </c>
      <c r="P198" s="2250"/>
      <c r="Q198" s="2250"/>
      <c r="R198" s="2250"/>
      <c r="S198" s="2250"/>
      <c r="T198" s="2250"/>
      <c r="U198" s="2250"/>
      <c r="V198" s="2250"/>
      <c r="W198" s="2250"/>
      <c r="X198" s="2250" t="s">
        <v>2244</v>
      </c>
      <c r="Y198" s="2250"/>
      <c r="Z198" s="2250"/>
      <c r="AA198" s="2250"/>
      <c r="AB198" s="2250"/>
      <c r="AC198" s="2250"/>
      <c r="AD198" s="2250"/>
      <c r="AE198" s="225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6" t="s">
        <v>2243</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7" t="s">
        <v>2242</v>
      </c>
      <c r="D201" s="2258"/>
      <c r="E201" s="2258"/>
      <c r="F201" s="2258"/>
      <c r="G201" s="2258"/>
      <c r="H201" s="2258"/>
      <c r="I201" s="2258"/>
      <c r="J201" s="2258"/>
      <c r="K201" s="2258"/>
      <c r="L201" s="2258"/>
      <c r="M201" s="2258"/>
      <c r="N201" s="2258"/>
      <c r="O201" s="2258"/>
      <c r="P201" s="2258"/>
      <c r="Q201" s="2258"/>
      <c r="R201" s="2258"/>
      <c r="S201" s="2258"/>
      <c r="T201" s="2258"/>
      <c r="U201" s="2258"/>
      <c r="V201" s="2258"/>
      <c r="W201" s="2258"/>
      <c r="X201" s="2258"/>
      <c r="Y201" s="2258"/>
      <c r="Z201" s="2258"/>
      <c r="AA201" s="2258"/>
      <c r="AB201" s="2258"/>
      <c r="AC201" s="2258"/>
      <c r="AD201" s="2258"/>
      <c r="AE201" s="2258"/>
      <c r="AF201" s="2258"/>
      <c r="AG201" s="2258"/>
      <c r="AH201" s="2258"/>
      <c r="AI201" s="2258"/>
      <c r="AJ201" s="2258"/>
      <c r="AK201" s="225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0" t="s">
        <v>2241</v>
      </c>
      <c r="D202" s="2261"/>
      <c r="E202" s="2261"/>
      <c r="F202" s="2262"/>
      <c r="G202" s="2266" t="s">
        <v>2240</v>
      </c>
      <c r="H202" s="2261"/>
      <c r="I202" s="2261"/>
      <c r="J202" s="2261"/>
      <c r="K202" s="2261"/>
      <c r="L202" s="2261"/>
      <c r="M202" s="2261"/>
      <c r="N202" s="2261"/>
      <c r="O202" s="2262"/>
      <c r="P202" s="2268" t="s">
        <v>2239</v>
      </c>
      <c r="Q202" s="2269"/>
      <c r="R202" s="2269"/>
      <c r="S202" s="2269"/>
      <c r="T202" s="2270"/>
      <c r="U202" s="2274" t="s">
        <v>2238</v>
      </c>
      <c r="V202" s="2275"/>
      <c r="W202" s="2275"/>
      <c r="X202" s="2276"/>
      <c r="Y202" s="2274" t="s">
        <v>2237</v>
      </c>
      <c r="Z202" s="2275"/>
      <c r="AA202" s="2275"/>
      <c r="AB202" s="2276"/>
      <c r="AC202" s="2274" t="s">
        <v>2236</v>
      </c>
      <c r="AD202" s="2275"/>
      <c r="AE202" s="2275"/>
      <c r="AF202" s="2276"/>
      <c r="AG202" s="2266" t="s">
        <v>2235</v>
      </c>
      <c r="AH202" s="2261"/>
      <c r="AI202" s="2261"/>
      <c r="AJ202" s="2261"/>
      <c r="AK202" s="228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3"/>
      <c r="D203" s="2264"/>
      <c r="E203" s="2264"/>
      <c r="F203" s="2265"/>
      <c r="G203" s="2267"/>
      <c r="H203" s="2264"/>
      <c r="I203" s="2264"/>
      <c r="J203" s="2264"/>
      <c r="K203" s="2264"/>
      <c r="L203" s="2264"/>
      <c r="M203" s="2264"/>
      <c r="N203" s="2264"/>
      <c r="O203" s="2265"/>
      <c r="P203" s="2271"/>
      <c r="Q203" s="2272"/>
      <c r="R203" s="2272"/>
      <c r="S203" s="2272"/>
      <c r="T203" s="2273"/>
      <c r="U203" s="2277"/>
      <c r="V203" s="2278"/>
      <c r="W203" s="2278"/>
      <c r="X203" s="2279"/>
      <c r="Y203" s="2277"/>
      <c r="Z203" s="2278"/>
      <c r="AA203" s="2278"/>
      <c r="AB203" s="2279"/>
      <c r="AC203" s="2277"/>
      <c r="AD203" s="2278"/>
      <c r="AE203" s="2278"/>
      <c r="AF203" s="2279"/>
      <c r="AG203" s="2267"/>
      <c r="AH203" s="2264"/>
      <c r="AI203" s="2264"/>
      <c r="AJ203" s="2264"/>
      <c r="AK203" s="228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5">
        <v>1</v>
      </c>
      <c r="D204" s="2286"/>
      <c r="E204" s="2286"/>
      <c r="F204" s="2286"/>
      <c r="G204" s="2287" t="s">
        <v>1857</v>
      </c>
      <c r="H204" s="2287"/>
      <c r="I204" s="2287"/>
      <c r="J204" s="2287"/>
      <c r="K204" s="2287"/>
      <c r="L204" s="2287"/>
      <c r="M204" s="2287"/>
      <c r="N204" s="2287"/>
      <c r="O204" s="2287"/>
      <c r="P204" s="2288"/>
      <c r="Q204" s="2291"/>
      <c r="R204" s="2291"/>
      <c r="S204" s="2291"/>
      <c r="T204" s="2291"/>
      <c r="U204" s="2289" t="s">
        <v>1857</v>
      </c>
      <c r="V204" s="2289"/>
      <c r="W204" s="2289"/>
      <c r="X204" s="2289"/>
      <c r="Y204" s="2289" t="s">
        <v>1857</v>
      </c>
      <c r="Z204" s="2289"/>
      <c r="AA204" s="2289"/>
      <c r="AB204" s="2289"/>
      <c r="AC204" s="2290" t="s">
        <v>1857</v>
      </c>
      <c r="AD204" s="2290"/>
      <c r="AE204" s="2290"/>
      <c r="AF204" s="2290"/>
      <c r="AG204" s="2282"/>
      <c r="AH204" s="2283"/>
      <c r="AI204" s="2283"/>
      <c r="AJ204" s="2283"/>
      <c r="AK204" s="228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5">
        <v>2</v>
      </c>
      <c r="D205" s="2286"/>
      <c r="E205" s="2286"/>
      <c r="F205" s="2286"/>
      <c r="G205" s="2287" t="s">
        <v>1857</v>
      </c>
      <c r="H205" s="2287"/>
      <c r="I205" s="2287"/>
      <c r="J205" s="2287"/>
      <c r="K205" s="2287"/>
      <c r="L205" s="2287"/>
      <c r="M205" s="2287"/>
      <c r="N205" s="2287"/>
      <c r="O205" s="2287"/>
      <c r="P205" s="2288"/>
      <c r="Q205" s="2288"/>
      <c r="R205" s="2288"/>
      <c r="S205" s="2288"/>
      <c r="T205" s="2288"/>
      <c r="U205" s="2289" t="s">
        <v>1857</v>
      </c>
      <c r="V205" s="2289"/>
      <c r="W205" s="2289"/>
      <c r="X205" s="2289"/>
      <c r="Y205" s="2289" t="s">
        <v>1857</v>
      </c>
      <c r="Z205" s="2289"/>
      <c r="AA205" s="2289"/>
      <c r="AB205" s="2289"/>
      <c r="AC205" s="2290" t="s">
        <v>1857</v>
      </c>
      <c r="AD205" s="2290"/>
      <c r="AE205" s="2290"/>
      <c r="AF205" s="2290"/>
      <c r="AG205" s="2282"/>
      <c r="AH205" s="2283"/>
      <c r="AI205" s="2283"/>
      <c r="AJ205" s="2283"/>
      <c r="AK205" s="228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5">
        <v>3</v>
      </c>
      <c r="D206" s="2286"/>
      <c r="E206" s="2286"/>
      <c r="F206" s="2286"/>
      <c r="G206" s="2287" t="s">
        <v>1857</v>
      </c>
      <c r="H206" s="2287"/>
      <c r="I206" s="2287"/>
      <c r="J206" s="2287"/>
      <c r="K206" s="2287"/>
      <c r="L206" s="2287"/>
      <c r="M206" s="2287"/>
      <c r="N206" s="2287"/>
      <c r="O206" s="2287"/>
      <c r="P206" s="2288"/>
      <c r="Q206" s="2288"/>
      <c r="R206" s="2288"/>
      <c r="S206" s="2288"/>
      <c r="T206" s="2288"/>
      <c r="U206" s="2289" t="s">
        <v>1857</v>
      </c>
      <c r="V206" s="2289"/>
      <c r="W206" s="2289"/>
      <c r="X206" s="2289"/>
      <c r="Y206" s="2289" t="s">
        <v>1857</v>
      </c>
      <c r="Z206" s="2289"/>
      <c r="AA206" s="2289"/>
      <c r="AB206" s="2289"/>
      <c r="AC206" s="2290" t="s">
        <v>1857</v>
      </c>
      <c r="AD206" s="2290"/>
      <c r="AE206" s="2290"/>
      <c r="AF206" s="2290"/>
      <c r="AG206" s="2282"/>
      <c r="AH206" s="2283"/>
      <c r="AI206" s="2283"/>
      <c r="AJ206" s="2283"/>
      <c r="AK206" s="228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5">
        <v>4</v>
      </c>
      <c r="D207" s="2286"/>
      <c r="E207" s="2286"/>
      <c r="F207" s="2286"/>
      <c r="G207" s="2287" t="s">
        <v>1857</v>
      </c>
      <c r="H207" s="2287"/>
      <c r="I207" s="2287"/>
      <c r="J207" s="2287"/>
      <c r="K207" s="2287"/>
      <c r="L207" s="2287"/>
      <c r="M207" s="2287"/>
      <c r="N207" s="2287"/>
      <c r="O207" s="2287"/>
      <c r="P207" s="2288"/>
      <c r="Q207" s="2288"/>
      <c r="R207" s="2288"/>
      <c r="S207" s="2288"/>
      <c r="T207" s="2288"/>
      <c r="U207" s="2289" t="s">
        <v>1857</v>
      </c>
      <c r="V207" s="2289"/>
      <c r="W207" s="2289"/>
      <c r="X207" s="2289"/>
      <c r="Y207" s="2289" t="s">
        <v>1857</v>
      </c>
      <c r="Z207" s="2289"/>
      <c r="AA207" s="2289"/>
      <c r="AB207" s="2289"/>
      <c r="AC207" s="2290" t="s">
        <v>1857</v>
      </c>
      <c r="AD207" s="2290"/>
      <c r="AE207" s="2290"/>
      <c r="AF207" s="2290"/>
      <c r="AG207" s="2282"/>
      <c r="AH207" s="2283"/>
      <c r="AI207" s="2283"/>
      <c r="AJ207" s="2283"/>
      <c r="AK207" s="228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5">
        <v>5</v>
      </c>
      <c r="D208" s="2286"/>
      <c r="E208" s="2286"/>
      <c r="F208" s="2286"/>
      <c r="G208" s="2287" t="s">
        <v>1857</v>
      </c>
      <c r="H208" s="2287"/>
      <c r="I208" s="2287"/>
      <c r="J208" s="2287"/>
      <c r="K208" s="2287"/>
      <c r="L208" s="2287"/>
      <c r="M208" s="2287"/>
      <c r="N208" s="2287"/>
      <c r="O208" s="2287"/>
      <c r="P208" s="2288"/>
      <c r="Q208" s="2288"/>
      <c r="R208" s="2288"/>
      <c r="S208" s="2288"/>
      <c r="T208" s="2288"/>
      <c r="U208" s="2289" t="s">
        <v>1857</v>
      </c>
      <c r="V208" s="2289"/>
      <c r="W208" s="2289"/>
      <c r="X208" s="2289"/>
      <c r="Y208" s="2289" t="s">
        <v>1857</v>
      </c>
      <c r="Z208" s="2289"/>
      <c r="AA208" s="2289"/>
      <c r="AB208" s="2289"/>
      <c r="AC208" s="2290" t="s">
        <v>1857</v>
      </c>
      <c r="AD208" s="2290"/>
      <c r="AE208" s="2290"/>
      <c r="AF208" s="2290"/>
      <c r="AG208" s="2282"/>
      <c r="AH208" s="2283"/>
      <c r="AI208" s="2283"/>
      <c r="AJ208" s="2283"/>
      <c r="AK208" s="228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5">
        <v>6</v>
      </c>
      <c r="D209" s="2286"/>
      <c r="E209" s="2286"/>
      <c r="F209" s="2286"/>
      <c r="G209" s="2287" t="s">
        <v>1857</v>
      </c>
      <c r="H209" s="2287"/>
      <c r="I209" s="2287"/>
      <c r="J209" s="2287"/>
      <c r="K209" s="2287"/>
      <c r="L209" s="2287"/>
      <c r="M209" s="2287"/>
      <c r="N209" s="2287"/>
      <c r="O209" s="2287"/>
      <c r="P209" s="2288"/>
      <c r="Q209" s="2288"/>
      <c r="R209" s="2288"/>
      <c r="S209" s="2288"/>
      <c r="T209" s="2288"/>
      <c r="U209" s="2289"/>
      <c r="V209" s="2289"/>
      <c r="W209" s="2289"/>
      <c r="X209" s="2289"/>
      <c r="Y209" s="2289"/>
      <c r="Z209" s="2289"/>
      <c r="AA209" s="2289"/>
      <c r="AB209" s="2289"/>
      <c r="AC209" s="2290" t="s">
        <v>1857</v>
      </c>
      <c r="AD209" s="2290"/>
      <c r="AE209" s="2290"/>
      <c r="AF209" s="2290"/>
      <c r="AG209" s="2282"/>
      <c r="AH209" s="2283"/>
      <c r="AI209" s="2283"/>
      <c r="AJ209" s="2283"/>
      <c r="AK209" s="228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5">
        <v>7</v>
      </c>
      <c r="D210" s="2286"/>
      <c r="E210" s="2286"/>
      <c r="F210" s="2286"/>
      <c r="G210" s="2287"/>
      <c r="H210" s="2287"/>
      <c r="I210" s="2287"/>
      <c r="J210" s="2287"/>
      <c r="K210" s="2287"/>
      <c r="L210" s="2287"/>
      <c r="M210" s="2287"/>
      <c r="N210" s="2287"/>
      <c r="O210" s="2287"/>
      <c r="P210" s="2288"/>
      <c r="Q210" s="2288"/>
      <c r="R210" s="2288"/>
      <c r="S210" s="2288"/>
      <c r="T210" s="2288"/>
      <c r="U210" s="2289"/>
      <c r="V210" s="2289"/>
      <c r="W210" s="2289"/>
      <c r="X210" s="2289"/>
      <c r="Y210" s="2289"/>
      <c r="Z210" s="2289"/>
      <c r="AA210" s="2289"/>
      <c r="AB210" s="2289"/>
      <c r="AC210" s="2290" t="s">
        <v>1857</v>
      </c>
      <c r="AD210" s="2290"/>
      <c r="AE210" s="2290"/>
      <c r="AF210" s="2290"/>
      <c r="AG210" s="2282"/>
      <c r="AH210" s="2283"/>
      <c r="AI210" s="2283"/>
      <c r="AJ210" s="2283"/>
      <c r="AK210" s="228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4" t="s">
        <v>2234</v>
      </c>
      <c r="D211" s="2305"/>
      <c r="E211" s="2305"/>
      <c r="F211" s="2305"/>
      <c r="G211" s="2305"/>
      <c r="H211" s="2305"/>
      <c r="I211" s="2305"/>
      <c r="J211" s="2305"/>
      <c r="K211" s="2305"/>
      <c r="L211" s="2305"/>
      <c r="M211" s="2305"/>
      <c r="N211" s="2305"/>
      <c r="O211" s="2305"/>
      <c r="P211" s="2306"/>
      <c r="Q211" s="2306"/>
      <c r="R211" s="2306"/>
      <c r="S211" s="2306"/>
      <c r="T211" s="2306"/>
      <c r="U211" s="2307">
        <f>-SUM(U204:U210)</f>
        <v>0</v>
      </c>
      <c r="V211" s="2307"/>
      <c r="W211" s="2307"/>
      <c r="X211" s="2307"/>
      <c r="Y211" s="2307">
        <f>-SUM(Y204:Y210)</f>
        <v>0</v>
      </c>
      <c r="Z211" s="2307"/>
      <c r="AA211" s="2307"/>
      <c r="AB211" s="2307"/>
      <c r="AC211" s="2308">
        <f>-SUM(AC204:AC210)</f>
        <v>0</v>
      </c>
      <c r="AD211" s="2308"/>
      <c r="AE211" s="2308"/>
      <c r="AF211" s="2308"/>
      <c r="AG211" s="2309"/>
      <c r="AH211" s="2310"/>
      <c r="AI211" s="2310"/>
      <c r="AJ211" s="2310"/>
      <c r="AK211" s="231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2" t="s">
        <v>2232</v>
      </c>
      <c r="C216" s="2293"/>
      <c r="D216" s="2293"/>
      <c r="E216" s="2293"/>
      <c r="F216" s="2293"/>
      <c r="G216" s="2293"/>
      <c r="H216" s="2293"/>
      <c r="I216" s="2293"/>
      <c r="J216" s="2293"/>
      <c r="K216" s="2293"/>
      <c r="L216" s="2293"/>
      <c r="M216" s="2293"/>
      <c r="N216" s="2293"/>
      <c r="O216" s="2293"/>
      <c r="P216" s="2293"/>
      <c r="Q216" s="2293"/>
      <c r="R216" s="2293"/>
      <c r="S216" s="2293"/>
      <c r="T216" s="2293"/>
      <c r="U216" s="2293"/>
      <c r="V216" s="2293"/>
      <c r="W216" s="2293"/>
      <c r="X216" s="2293"/>
      <c r="Y216" s="2293"/>
      <c r="Z216" s="2293"/>
      <c r="AA216" s="2293"/>
      <c r="AB216" s="2293"/>
      <c r="AC216" s="2293"/>
      <c r="AD216" s="2293"/>
      <c r="AE216" s="2293"/>
      <c r="AF216" s="2293"/>
      <c r="AG216" s="2293"/>
      <c r="AH216" s="2293"/>
      <c r="AI216" s="2293"/>
      <c r="AJ216" s="2293"/>
      <c r="AK216" s="2293"/>
      <c r="AL216" s="2293"/>
      <c r="AM216" s="2293"/>
      <c r="AN216" s="2293"/>
      <c r="AO216" s="2293"/>
      <c r="AP216" s="2293"/>
      <c r="AQ216" s="2293"/>
      <c r="AR216" s="2293"/>
      <c r="AS216" s="2293"/>
      <c r="AT216" s="2293"/>
      <c r="AU216" s="2293"/>
      <c r="AV216" s="2293"/>
      <c r="AW216" s="2293"/>
      <c r="AX216" s="2293"/>
      <c r="AY216" s="2293"/>
      <c r="AZ216" s="2293"/>
      <c r="BA216" s="2293"/>
      <c r="BB216" s="2293"/>
      <c r="BC216" s="2293"/>
      <c r="BD216" s="2294"/>
      <c r="BE216" s="1215"/>
    </row>
    <row r="217" spans="1:57" ht="15.75" customHeight="1">
      <c r="A217" s="1208"/>
      <c r="B217" s="2295"/>
      <c r="C217" s="2296"/>
      <c r="D217" s="2296"/>
      <c r="E217" s="2296"/>
      <c r="F217" s="2296"/>
      <c r="G217" s="2296"/>
      <c r="H217" s="2296"/>
      <c r="I217" s="2296"/>
      <c r="J217" s="2296"/>
      <c r="K217" s="2296"/>
      <c r="L217" s="2296"/>
      <c r="M217" s="2296"/>
      <c r="N217" s="2296"/>
      <c r="O217" s="2296"/>
      <c r="P217" s="2296"/>
      <c r="Q217" s="2296"/>
      <c r="R217" s="2296"/>
      <c r="S217" s="2296"/>
      <c r="T217" s="2296"/>
      <c r="U217" s="2296"/>
      <c r="V217" s="2296"/>
      <c r="W217" s="2296"/>
      <c r="X217" s="2296"/>
      <c r="Y217" s="2296"/>
      <c r="Z217" s="2296"/>
      <c r="AA217" s="2296"/>
      <c r="AB217" s="2296"/>
      <c r="AC217" s="2296"/>
      <c r="AD217" s="2296"/>
      <c r="AE217" s="2296"/>
      <c r="AF217" s="2296"/>
      <c r="AG217" s="2296"/>
      <c r="AH217" s="2296"/>
      <c r="AI217" s="2296"/>
      <c r="AJ217" s="2296"/>
      <c r="AK217" s="2296"/>
      <c r="AL217" s="2296"/>
      <c r="AM217" s="2296"/>
      <c r="AN217" s="2296"/>
      <c r="AO217" s="2296"/>
      <c r="AP217" s="2296"/>
      <c r="AQ217" s="2296"/>
      <c r="AR217" s="2296"/>
      <c r="AS217" s="2296"/>
      <c r="AT217" s="2296"/>
      <c r="AU217" s="2296"/>
      <c r="AV217" s="2296"/>
      <c r="AW217" s="2296"/>
      <c r="AX217" s="2296"/>
      <c r="AY217" s="2296"/>
      <c r="AZ217" s="2296"/>
      <c r="BA217" s="2296"/>
      <c r="BB217" s="2296"/>
      <c r="BC217" s="2296"/>
      <c r="BD217" s="2297"/>
      <c r="BE217" s="1215"/>
    </row>
    <row r="218" spans="1:57" ht="15.75" customHeight="1">
      <c r="A218" s="1208"/>
      <c r="B218" s="2298" t="s">
        <v>2231</v>
      </c>
      <c r="C218" s="2299"/>
      <c r="D218" s="2299"/>
      <c r="E218" s="2299"/>
      <c r="F218" s="2299"/>
      <c r="G218" s="2299"/>
      <c r="H218" s="2299"/>
      <c r="I218" s="2299"/>
      <c r="J218" s="2299"/>
      <c r="K218" s="2299"/>
      <c r="L218" s="2299"/>
      <c r="M218" s="2299"/>
      <c r="N218" s="2299"/>
      <c r="O218" s="2299"/>
      <c r="P218" s="2299"/>
      <c r="Q218" s="2299"/>
      <c r="R218" s="2299"/>
      <c r="S218" s="2299"/>
      <c r="T218" s="2299"/>
      <c r="U218" s="2299"/>
      <c r="V218" s="2299"/>
      <c r="W218" s="2299"/>
      <c r="X218" s="2299"/>
      <c r="Y218" s="2299"/>
      <c r="Z218" s="2299"/>
      <c r="AA218" s="2299"/>
      <c r="AB218" s="2299"/>
      <c r="AC218" s="2299"/>
      <c r="AD218" s="2299"/>
      <c r="AE218" s="2299"/>
      <c r="AF218" s="2299"/>
      <c r="AG218" s="2299"/>
      <c r="AH218" s="2299"/>
      <c r="AI218" s="2299"/>
      <c r="AJ218" s="2299"/>
      <c r="AK218" s="2299"/>
      <c r="AL218" s="2299"/>
      <c r="AM218" s="2299"/>
      <c r="AN218" s="2299"/>
      <c r="AO218" s="2299"/>
      <c r="AP218" s="2299"/>
      <c r="AQ218" s="2299"/>
      <c r="AR218" s="2299"/>
      <c r="AS218" s="2299"/>
      <c r="AT218" s="2299"/>
      <c r="AU218" s="2299"/>
      <c r="AV218" s="2299"/>
      <c r="AW218" s="2299"/>
      <c r="AX218" s="2299"/>
      <c r="AY218" s="2299"/>
      <c r="AZ218" s="2299"/>
      <c r="BA218" s="2299"/>
      <c r="BB218" s="2299"/>
      <c r="BC218" s="2299"/>
      <c r="BD218" s="2300"/>
      <c r="BE218" s="1215"/>
    </row>
    <row r="219" spans="1:57" ht="15.75" customHeight="1">
      <c r="A219" s="1208"/>
      <c r="B219" s="2298" t="s">
        <v>2230</v>
      </c>
      <c r="C219" s="2299"/>
      <c r="D219" s="2299"/>
      <c r="E219" s="2299"/>
      <c r="F219" s="2299"/>
      <c r="G219" s="2299"/>
      <c r="H219" s="2299"/>
      <c r="I219" s="2299"/>
      <c r="J219" s="2299"/>
      <c r="K219" s="2299"/>
      <c r="L219" s="2299"/>
      <c r="M219" s="2299"/>
      <c r="N219" s="2299"/>
      <c r="O219" s="2299"/>
      <c r="P219" s="2299"/>
      <c r="Q219" s="2299"/>
      <c r="R219" s="2299"/>
      <c r="S219" s="2299"/>
      <c r="T219" s="2299"/>
      <c r="U219" s="2299"/>
      <c r="V219" s="2299"/>
      <c r="W219" s="2299"/>
      <c r="X219" s="2299"/>
      <c r="Y219" s="2299"/>
      <c r="Z219" s="2299"/>
      <c r="AA219" s="2299"/>
      <c r="AB219" s="2299"/>
      <c r="AC219" s="2299"/>
      <c r="AD219" s="2299"/>
      <c r="AE219" s="2299"/>
      <c r="AF219" s="2299"/>
      <c r="AG219" s="2299"/>
      <c r="AH219" s="2299"/>
      <c r="AI219" s="2299"/>
      <c r="AJ219" s="2299"/>
      <c r="AK219" s="2299"/>
      <c r="AL219" s="2299"/>
      <c r="AM219" s="2299"/>
      <c r="AN219" s="2299"/>
      <c r="AO219" s="2299"/>
      <c r="AP219" s="2299"/>
      <c r="AQ219" s="2299"/>
      <c r="AR219" s="2299"/>
      <c r="AS219" s="2299"/>
      <c r="AT219" s="2299"/>
      <c r="AU219" s="2299"/>
      <c r="AV219" s="2299"/>
      <c r="AW219" s="2299"/>
      <c r="AX219" s="2299"/>
      <c r="AY219" s="2299"/>
      <c r="AZ219" s="2299"/>
      <c r="BA219" s="2299"/>
      <c r="BB219" s="2299"/>
      <c r="BC219" s="2299"/>
      <c r="BD219" s="230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1" t="s">
        <v>2229</v>
      </c>
      <c r="C221" s="2191"/>
      <c r="D221" s="2191"/>
      <c r="E221" s="2191"/>
      <c r="F221" s="2191"/>
      <c r="G221" s="2191"/>
      <c r="H221" s="2191"/>
      <c r="I221" s="2191"/>
      <c r="J221" s="2191"/>
      <c r="K221" s="2191"/>
      <c r="L221" s="2191"/>
      <c r="M221" s="2191"/>
      <c r="N221" s="2191"/>
      <c r="O221" s="2191"/>
      <c r="P221" s="2191"/>
      <c r="Q221" s="2191"/>
      <c r="R221" s="2191"/>
      <c r="S221" s="2191"/>
      <c r="T221" s="2191"/>
      <c r="U221" s="2191"/>
      <c r="V221" s="2191"/>
      <c r="W221" s="2191"/>
      <c r="X221" s="2191"/>
      <c r="Y221" s="2191"/>
      <c r="Z221" s="2191"/>
      <c r="AA221" s="2191"/>
      <c r="AB221" s="2191"/>
      <c r="AC221" s="2191"/>
      <c r="AD221" s="2191"/>
      <c r="AE221" s="2191"/>
      <c r="AF221" s="2191"/>
      <c r="AG221" s="2191"/>
      <c r="AH221" s="2191"/>
      <c r="AI221" s="2191"/>
      <c r="AJ221" s="2191"/>
      <c r="AK221" s="2191"/>
      <c r="AL221" s="2191"/>
      <c r="AM221" s="2191"/>
      <c r="AN221" s="2191"/>
      <c r="AO221" s="2191"/>
      <c r="AP221" s="2191"/>
      <c r="AQ221" s="2191"/>
      <c r="AR221" s="2191"/>
      <c r="AS221" s="2191"/>
      <c r="AT221" s="2191"/>
      <c r="AU221" s="2191"/>
      <c r="AV221" s="2191"/>
      <c r="AW221" s="2191"/>
      <c r="AX221" s="2191"/>
      <c r="AY221" s="2191"/>
      <c r="AZ221" s="2191"/>
      <c r="BA221" s="2191"/>
      <c r="BB221" s="2191"/>
      <c r="BC221" s="2191"/>
      <c r="BD221" s="230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3" t="s">
        <v>2227</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303"/>
      <c r="AD225" s="2303"/>
      <c r="AE225" s="2303"/>
      <c r="AF225" s="2303"/>
      <c r="AG225" s="2303"/>
      <c r="AH225" s="2303"/>
      <c r="AI225" s="2303"/>
      <c r="AJ225" s="2303"/>
      <c r="AK225" s="2303"/>
      <c r="AL225" s="2303"/>
      <c r="AM225" s="2303"/>
      <c r="AN225" s="2303"/>
      <c r="AO225" s="2303"/>
      <c r="AP225" s="2303"/>
      <c r="AQ225" s="2303"/>
      <c r="AR225" s="2303"/>
      <c r="AS225" s="2303"/>
      <c r="AT225" s="2303"/>
      <c r="AU225" s="2303"/>
      <c r="AV225" s="2303"/>
      <c r="AW225" s="2303"/>
      <c r="AX225" s="2303"/>
      <c r="AY225" s="230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1" t="s">
        <v>2226</v>
      </c>
      <c r="I227" s="2321"/>
      <c r="J227" s="2321"/>
      <c r="K227" s="2321"/>
      <c r="L227" s="2321"/>
      <c r="M227" s="2321"/>
      <c r="N227" s="2321"/>
      <c r="O227" s="2321"/>
      <c r="P227" s="2321"/>
      <c r="Q227" s="2321"/>
      <c r="R227" s="2321"/>
      <c r="S227" s="2321"/>
      <c r="T227" s="2321"/>
      <c r="U227" s="2321"/>
      <c r="V227" s="2321"/>
      <c r="W227" s="2321"/>
      <c r="X227" s="2321"/>
      <c r="Y227" s="2321"/>
      <c r="Z227" s="2321"/>
      <c r="AA227" s="2321"/>
      <c r="AB227" s="2321"/>
      <c r="AC227" s="2321"/>
      <c r="AD227" s="2321"/>
      <c r="AE227" s="2321"/>
      <c r="AF227" s="2321"/>
      <c r="AG227" s="2321"/>
      <c r="AH227" s="2321"/>
      <c r="AI227" s="2321"/>
      <c r="AJ227" s="2321"/>
      <c r="AK227" s="2321"/>
      <c r="AL227" s="2321"/>
      <c r="AM227" s="2321"/>
      <c r="AN227" s="2321"/>
      <c r="AO227" s="2321"/>
      <c r="AP227" s="2321"/>
      <c r="AQ227" s="2321"/>
      <c r="AR227" s="2321"/>
      <c r="AS227" s="2321"/>
      <c r="AT227" s="2321"/>
      <c r="AU227" s="2321"/>
      <c r="AV227" s="2321"/>
      <c r="AW227" s="2321"/>
      <c r="AX227" s="2321"/>
      <c r="AY227" s="2321"/>
      <c r="AZ227" s="2321"/>
      <c r="BA227" s="1208"/>
      <c r="BB227" s="1208"/>
      <c r="BC227" s="1208"/>
      <c r="BD227" s="1215"/>
      <c r="BE227" s="1215"/>
    </row>
    <row r="228" spans="1:57" ht="15.75" customHeight="1">
      <c r="A228" s="1208"/>
      <c r="B228" s="1207"/>
      <c r="C228" s="1208"/>
      <c r="D228" s="1208"/>
      <c r="E228" s="1208"/>
      <c r="F228" s="1208"/>
      <c r="G228" s="1208"/>
      <c r="H228" s="2321"/>
      <c r="I228" s="2321"/>
      <c r="J228" s="2321"/>
      <c r="K228" s="2321"/>
      <c r="L228" s="2321"/>
      <c r="M228" s="2321"/>
      <c r="N228" s="2321"/>
      <c r="O228" s="2321"/>
      <c r="P228" s="2321"/>
      <c r="Q228" s="2321"/>
      <c r="R228" s="2321"/>
      <c r="S228" s="2321"/>
      <c r="T228" s="2321"/>
      <c r="U228" s="2321"/>
      <c r="V228" s="2321"/>
      <c r="W228" s="2321"/>
      <c r="X228" s="2321"/>
      <c r="Y228" s="2321"/>
      <c r="Z228" s="2321"/>
      <c r="AA228" s="2321"/>
      <c r="AB228" s="2321"/>
      <c r="AC228" s="2321"/>
      <c r="AD228" s="2321"/>
      <c r="AE228" s="2321"/>
      <c r="AF228" s="2321"/>
      <c r="AG228" s="2321"/>
      <c r="AH228" s="2321"/>
      <c r="AI228" s="2321"/>
      <c r="AJ228" s="2321"/>
      <c r="AK228" s="2321"/>
      <c r="AL228" s="2321"/>
      <c r="AM228" s="2321"/>
      <c r="AN228" s="2321"/>
      <c r="AO228" s="2321"/>
      <c r="AP228" s="2321"/>
      <c r="AQ228" s="2321"/>
      <c r="AR228" s="2321"/>
      <c r="AS228" s="2321"/>
      <c r="AT228" s="2321"/>
      <c r="AU228" s="2321"/>
      <c r="AV228" s="2321"/>
      <c r="AW228" s="2321"/>
      <c r="AX228" s="2321"/>
      <c r="AY228" s="2321"/>
      <c r="AZ228" s="2321"/>
      <c r="BA228" s="1208"/>
      <c r="BB228" s="1208"/>
      <c r="BC228" s="1208"/>
      <c r="BD228" s="1215"/>
      <c r="BE228" s="1215"/>
    </row>
    <row r="229" spans="1:57" ht="15.75" customHeight="1">
      <c r="A229" s="1208"/>
      <c r="B229" s="1207"/>
      <c r="C229" s="1208"/>
      <c r="D229" s="1208"/>
      <c r="E229" s="1208"/>
      <c r="F229" s="1208"/>
      <c r="G229" s="1208"/>
      <c r="H229" s="2321"/>
      <c r="I229" s="2321"/>
      <c r="J229" s="2321"/>
      <c r="K229" s="2321"/>
      <c r="L229" s="2321"/>
      <c r="M229" s="2321"/>
      <c r="N229" s="2321"/>
      <c r="O229" s="2321"/>
      <c r="P229" s="2321"/>
      <c r="Q229" s="2321"/>
      <c r="R229" s="2321"/>
      <c r="S229" s="2321"/>
      <c r="T229" s="2321"/>
      <c r="U229" s="2321"/>
      <c r="V229" s="2321"/>
      <c r="W229" s="2321"/>
      <c r="X229" s="2321"/>
      <c r="Y229" s="2321"/>
      <c r="Z229" s="2321"/>
      <c r="AA229" s="2321"/>
      <c r="AB229" s="2321"/>
      <c r="AC229" s="2321"/>
      <c r="AD229" s="2321"/>
      <c r="AE229" s="2321"/>
      <c r="AF229" s="2321"/>
      <c r="AG229" s="2321"/>
      <c r="AH229" s="2321"/>
      <c r="AI229" s="2321"/>
      <c r="AJ229" s="2321"/>
      <c r="AK229" s="2321"/>
      <c r="AL229" s="2321"/>
      <c r="AM229" s="2321"/>
      <c r="AN229" s="2321"/>
      <c r="AO229" s="2321"/>
      <c r="AP229" s="2321"/>
      <c r="AQ229" s="2321"/>
      <c r="AR229" s="2321"/>
      <c r="AS229" s="2321"/>
      <c r="AT229" s="2321"/>
      <c r="AU229" s="2321"/>
      <c r="AV229" s="2321"/>
      <c r="AW229" s="2321"/>
      <c r="AX229" s="2321"/>
      <c r="AY229" s="2321"/>
      <c r="AZ229" s="2321"/>
      <c r="BA229" s="1208"/>
      <c r="BB229" s="1208"/>
      <c r="BC229" s="1208"/>
      <c r="BD229" s="1215"/>
      <c r="BE229" s="1215"/>
    </row>
    <row r="230" spans="1:57" ht="15.75" customHeight="1">
      <c r="A230" s="1208"/>
      <c r="B230" s="1207"/>
      <c r="C230" s="1208"/>
      <c r="D230" s="1208"/>
      <c r="E230" s="1208"/>
      <c r="F230" s="1208"/>
      <c r="G230" s="1208"/>
      <c r="H230" s="2321"/>
      <c r="I230" s="2321"/>
      <c r="J230" s="2321"/>
      <c r="K230" s="2321"/>
      <c r="L230" s="2321"/>
      <c r="M230" s="2321"/>
      <c r="N230" s="2321"/>
      <c r="O230" s="2321"/>
      <c r="P230" s="2321"/>
      <c r="Q230" s="2321"/>
      <c r="R230" s="2321"/>
      <c r="S230" s="2321"/>
      <c r="T230" s="2321"/>
      <c r="U230" s="2321"/>
      <c r="V230" s="2321"/>
      <c r="W230" s="2321"/>
      <c r="X230" s="2321"/>
      <c r="Y230" s="2321"/>
      <c r="Z230" s="2321"/>
      <c r="AA230" s="2321"/>
      <c r="AB230" s="2321"/>
      <c r="AC230" s="2321"/>
      <c r="AD230" s="2321"/>
      <c r="AE230" s="2321"/>
      <c r="AF230" s="2321"/>
      <c r="AG230" s="2321"/>
      <c r="AH230" s="2321"/>
      <c r="AI230" s="2321"/>
      <c r="AJ230" s="2321"/>
      <c r="AK230" s="2321"/>
      <c r="AL230" s="2321"/>
      <c r="AM230" s="2321"/>
      <c r="AN230" s="2321"/>
      <c r="AO230" s="2321"/>
      <c r="AP230" s="2321"/>
      <c r="AQ230" s="2321"/>
      <c r="AR230" s="2321"/>
      <c r="AS230" s="2321"/>
      <c r="AT230" s="2321"/>
      <c r="AU230" s="2321"/>
      <c r="AV230" s="2321"/>
      <c r="AW230" s="2321"/>
      <c r="AX230" s="2321"/>
      <c r="AY230" s="2321"/>
      <c r="AZ230" s="232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2" t="s">
        <v>2225</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2" t="s">
        <v>2224</v>
      </c>
      <c r="I234" s="2312"/>
      <c r="J234" s="2312"/>
      <c r="K234" s="2312"/>
      <c r="L234" s="1259"/>
      <c r="M234" s="1259"/>
      <c r="N234" s="1259"/>
      <c r="O234" s="1259"/>
      <c r="P234" s="1259"/>
      <c r="Q234" s="1259"/>
      <c r="R234" s="1259"/>
      <c r="S234" s="2323"/>
      <c r="T234" s="2324"/>
      <c r="U234" s="2324"/>
      <c r="V234" s="2324"/>
      <c r="W234" s="2324"/>
      <c r="X234" s="2324"/>
      <c r="Y234" s="2324"/>
      <c r="Z234" s="2324"/>
      <c r="AA234" s="2324"/>
      <c r="AB234" s="2324"/>
      <c r="AC234" s="2324"/>
      <c r="AD234" s="2324"/>
      <c r="AE234" s="2324"/>
      <c r="AF234" s="2324"/>
      <c r="AG234" s="2324"/>
      <c r="AH234" s="2324"/>
      <c r="AI234" s="2324"/>
      <c r="AJ234" s="232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2" t="s">
        <v>2223</v>
      </c>
      <c r="I236" s="2312"/>
      <c r="J236" s="2312"/>
      <c r="K236" s="1261"/>
      <c r="L236" s="1259"/>
      <c r="M236" s="1259"/>
      <c r="N236" s="1259"/>
      <c r="O236" s="1259"/>
      <c r="P236" s="1259"/>
      <c r="Q236" s="1259"/>
      <c r="R236" s="1259"/>
      <c r="S236" s="2313"/>
      <c r="T236" s="2314"/>
      <c r="U236" s="2314"/>
      <c r="V236" s="2314"/>
      <c r="W236" s="2314"/>
      <c r="X236" s="2314"/>
      <c r="Y236" s="2314"/>
      <c r="Z236" s="2314"/>
      <c r="AA236" s="2314"/>
      <c r="AB236" s="2314"/>
      <c r="AC236" s="2314"/>
      <c r="AD236" s="2314"/>
      <c r="AE236" s="2314"/>
      <c r="AF236" s="2314"/>
      <c r="AG236" s="2314"/>
      <c r="AH236" s="2314"/>
      <c r="AI236" s="2314"/>
      <c r="AJ236" s="231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2" t="s">
        <v>441</v>
      </c>
      <c r="I238" s="2312"/>
      <c r="J238" s="1261"/>
      <c r="K238" s="1261"/>
      <c r="L238" s="1259"/>
      <c r="M238" s="1259"/>
      <c r="N238" s="1259"/>
      <c r="O238" s="1259"/>
      <c r="P238" s="1259"/>
      <c r="Q238" s="1259"/>
      <c r="R238" s="1259"/>
      <c r="S238" s="2313"/>
      <c r="T238" s="2314"/>
      <c r="U238" s="2314"/>
      <c r="V238" s="2314"/>
      <c r="W238" s="2314"/>
      <c r="X238" s="2314"/>
      <c r="Y238" s="2314"/>
      <c r="Z238" s="2314"/>
      <c r="AA238" s="2314"/>
      <c r="AB238" s="2314"/>
      <c r="AC238" s="2314"/>
      <c r="AD238" s="2314"/>
      <c r="AE238" s="2314"/>
      <c r="AF238" s="2314"/>
      <c r="AG238" s="2314"/>
      <c r="AH238" s="2314"/>
      <c r="AI238" s="2314"/>
      <c r="AJ238" s="231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6" t="s">
        <v>2222</v>
      </c>
      <c r="I240" s="2316"/>
      <c r="J240" s="2316"/>
      <c r="K240" s="2316"/>
      <c r="L240" s="2316"/>
      <c r="M240" s="2316"/>
      <c r="N240" s="2316"/>
      <c r="O240" s="2316"/>
      <c r="P240" s="1259"/>
      <c r="Q240" s="1259"/>
      <c r="R240" s="1259"/>
      <c r="S240" s="2313"/>
      <c r="T240" s="2314"/>
      <c r="U240" s="2314"/>
      <c r="V240" s="2314"/>
      <c r="W240" s="2314"/>
      <c r="X240" s="2314"/>
      <c r="Y240" s="2314"/>
      <c r="Z240" s="2314"/>
      <c r="AA240" s="2314"/>
      <c r="AB240" s="2314"/>
      <c r="AC240" s="2314"/>
      <c r="AD240" s="2314"/>
      <c r="AE240" s="2314"/>
      <c r="AF240" s="2314"/>
      <c r="AG240" s="2314"/>
      <c r="AH240" s="2314"/>
      <c r="AI240" s="2314"/>
      <c r="AJ240" s="231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7" t="s">
        <v>2221</v>
      </c>
      <c r="I242" s="2317"/>
      <c r="J242" s="1259"/>
      <c r="K242" s="1259"/>
      <c r="L242" s="1259"/>
      <c r="M242" s="1259"/>
      <c r="N242" s="1259"/>
      <c r="O242" s="1259"/>
      <c r="P242" s="1259"/>
      <c r="Q242" s="1259"/>
      <c r="R242" s="1259"/>
      <c r="S242" s="2318"/>
      <c r="T242" s="2319"/>
      <c r="U242" s="2319"/>
      <c r="V242" s="2319"/>
      <c r="W242" s="2319"/>
      <c r="X242" s="2319"/>
      <c r="Y242" s="2319"/>
      <c r="Z242" s="2319"/>
      <c r="AA242" s="2319"/>
      <c r="AB242" s="2319"/>
      <c r="AC242" s="2319"/>
      <c r="AD242" s="2319"/>
      <c r="AE242" s="2319"/>
      <c r="AF242" s="2319"/>
      <c r="AG242" s="2319"/>
      <c r="AH242" s="2319"/>
      <c r="AI242" s="2319"/>
      <c r="AJ242" s="232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7" activeCellId="1" sqref="AB79:AF79 AB57:AF57"/>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3" t="s">
        <v>1279</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3"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3"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3"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3"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3"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67893061</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3" customHeight="1">
      <c r="B12" s="2377" t="s">
        <v>497</v>
      </c>
      <c r="C12" s="1292"/>
      <c r="D12" s="1292"/>
      <c r="E12" s="1292"/>
      <c r="F12" s="1292"/>
      <c r="G12" s="1292"/>
      <c r="H12" s="1292"/>
      <c r="I12" s="1292"/>
      <c r="J12" s="1292"/>
      <c r="K12" s="1292"/>
      <c r="L12" s="1292"/>
      <c r="M12" s="1292"/>
      <c r="N12" s="1292"/>
      <c r="O12" s="1292"/>
      <c r="P12" s="1292"/>
      <c r="Q12" s="1292"/>
      <c r="R12" s="1292"/>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3" customHeight="1">
      <c r="B13" s="435"/>
      <c r="C13" s="2379" t="s">
        <v>498</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3" customHeight="1">
      <c r="B14" s="435"/>
      <c r="C14" s="2379" t="s">
        <v>499</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3" customHeight="1">
      <c r="B15" s="435"/>
      <c r="C15" s="2379" t="s">
        <v>500</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3" customHeight="1">
      <c r="B16" s="435"/>
      <c r="C16" s="2379" t="s">
        <v>804</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3" customHeight="1">
      <c r="B17" s="435"/>
      <c r="C17" s="2379" t="s">
        <v>501</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3" customHeight="1">
      <c r="A18"/>
      <c r="B18" s="1144"/>
      <c r="C18" s="1582" t="s">
        <v>959</v>
      </c>
      <c r="D18" s="1582"/>
      <c r="E18" s="1582"/>
      <c r="F18" s="1582"/>
      <c r="G18" s="1582"/>
      <c r="H18" s="1582"/>
      <c r="I18" s="1582"/>
      <c r="J18" s="1582"/>
      <c r="K18" s="1582"/>
      <c r="L18" s="1582"/>
      <c r="M18" s="1582"/>
      <c r="N18" s="1582"/>
      <c r="O18" s="1582"/>
      <c r="P18" s="1582"/>
      <c r="Q18" s="1582"/>
      <c r="R18" s="1582"/>
      <c r="S18" s="1583"/>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3" customHeight="1">
      <c r="B19" s="1144"/>
      <c r="C19" s="1582" t="s">
        <v>959</v>
      </c>
      <c r="D19" s="1582"/>
      <c r="E19" s="1582"/>
      <c r="F19" s="1582"/>
      <c r="G19" s="1582"/>
      <c r="H19" s="1582"/>
      <c r="I19" s="1582"/>
      <c r="J19" s="1582"/>
      <c r="K19" s="1582"/>
      <c r="L19" s="1582"/>
      <c r="M19" s="1582"/>
      <c r="N19" s="1582"/>
      <c r="O19" s="1582"/>
      <c r="P19" s="1582"/>
      <c r="Q19" s="1582"/>
      <c r="R19" s="1582"/>
      <c r="S19" s="1583"/>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3" customHeight="1">
      <c r="B20" s="2339" t="s">
        <v>502</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3" customHeight="1">
      <c r="B21" s="2339" t="s">
        <v>1262</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3" customHeight="1">
      <c r="B22" s="2339" t="s">
        <v>503</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3" customHeight="1">
      <c r="B23" s="2339" t="s">
        <v>504</v>
      </c>
      <c r="C23" s="2340"/>
      <c r="D23" s="2340"/>
      <c r="E23" s="2340"/>
      <c r="F23" s="2340"/>
      <c r="G23" s="2340"/>
      <c r="H23" s="2340"/>
      <c r="I23" s="2340"/>
      <c r="J23" s="2340"/>
      <c r="K23" s="2340"/>
      <c r="L23" s="2340"/>
      <c r="M23" s="2340"/>
      <c r="N23" s="2340"/>
      <c r="O23" s="2340"/>
      <c r="P23" s="2340"/>
      <c r="Q23" s="2340"/>
      <c r="R23" s="2340"/>
      <c r="S23" s="2341"/>
      <c r="T23" s="2352">
        <f>T11+T22</f>
        <v>67893061</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3" customHeight="1">
      <c r="B24" s="2339" t="s">
        <v>960</v>
      </c>
      <c r="C24" s="2340"/>
      <c r="D24" s="2340"/>
      <c r="E24" s="2340"/>
      <c r="F24" s="2340"/>
      <c r="G24" s="2340"/>
      <c r="H24" s="2340"/>
      <c r="I24" s="2340"/>
      <c r="J24" s="2340"/>
      <c r="K24" s="2340"/>
      <c r="L24" s="2340"/>
      <c r="M24" s="2340"/>
      <c r="N24" s="2340"/>
      <c r="O24" s="2340"/>
      <c r="P24" s="2340"/>
      <c r="Q24" s="2340"/>
      <c r="R24" s="2340"/>
      <c r="S24" s="2341"/>
      <c r="T24" s="2343">
        <f>Application!AJ1062</f>
        <v>120805484.8</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3" customHeight="1">
      <c r="B25" s="2383" t="s">
        <v>1263</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 customHeight="1">
      <c r="B26" s="2339" t="s">
        <v>505</v>
      </c>
      <c r="C26" s="2340"/>
      <c r="D26" s="2340"/>
      <c r="E26" s="2340"/>
      <c r="F26" s="2340"/>
      <c r="G26" s="2340"/>
      <c r="H26" s="2340"/>
      <c r="I26" s="2340"/>
      <c r="J26" s="2340"/>
      <c r="K26" s="2340"/>
      <c r="L26" s="2340"/>
      <c r="M26" s="2340"/>
      <c r="N26" s="2340"/>
      <c r="O26" s="2340"/>
      <c r="P26" s="2340"/>
      <c r="Q26" s="2340"/>
      <c r="R26" s="2340"/>
      <c r="S26" s="2341"/>
      <c r="T26" s="2352">
        <f>T23*T25</f>
        <v>88260979.299999997</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3"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Application!$AG$454</f>
        <v>1</v>
      </c>
      <c r="U27" s="2364"/>
      <c r="V27" s="2364"/>
      <c r="W27" s="2364"/>
      <c r="X27" s="2364"/>
      <c r="Y27" s="2363">
        <f>Application!$AG$454</f>
        <v>1</v>
      </c>
      <c r="Z27" s="2364"/>
      <c r="AA27" s="2364"/>
      <c r="AB27" s="2364"/>
      <c r="AC27" s="2364"/>
      <c r="AD27" s="2363">
        <f>Application!$AG$454</f>
        <v>1</v>
      </c>
      <c r="AE27" s="2364"/>
      <c r="AF27" s="2364"/>
      <c r="AG27" s="2364"/>
      <c r="AH27" s="2364"/>
      <c r="AI27" s="2363">
        <f>Application!$AG$454</f>
        <v>1</v>
      </c>
      <c r="AJ27" s="2364"/>
      <c r="AK27" s="2364"/>
      <c r="AL27" s="2364"/>
      <c r="AM27" s="2364"/>
    </row>
    <row r="28" spans="1:40" ht="13"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52">
        <f>IF(ISERROR((T26*T27)),0,(T26*T27))</f>
        <v>88260979.299999997</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3" customHeight="1">
      <c r="B29" s="2339" t="s">
        <v>523</v>
      </c>
      <c r="C29" s="2340"/>
      <c r="D29" s="2340"/>
      <c r="E29" s="2340"/>
      <c r="F29" s="2340"/>
      <c r="G29" s="2340"/>
      <c r="H29" s="2340"/>
      <c r="I29" s="2340"/>
      <c r="J29" s="2340"/>
      <c r="K29" s="2340"/>
      <c r="L29" s="2340"/>
      <c r="M29" s="2340"/>
      <c r="N29" s="2340"/>
      <c r="O29" s="2340"/>
      <c r="P29" s="2340"/>
      <c r="Q29" s="2340"/>
      <c r="R29" s="2340"/>
      <c r="S29" s="2341"/>
      <c r="T29" s="2343">
        <f>T28+Y28+AD28+AI28</f>
        <v>88260979.299999997</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3" customHeight="1">
      <c r="B30" s="2356" t="s">
        <v>1265</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3" customHeight="1">
      <c r="B31" s="2356" t="s">
        <v>1264</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1153</v>
      </c>
      <c r="Z35" s="2353"/>
      <c r="AA35" s="2353"/>
      <c r="AB35" s="2353"/>
      <c r="AC35" s="2353"/>
      <c r="AD35" s="2354" t="s">
        <v>369</v>
      </c>
      <c r="AE35" s="2354"/>
      <c r="AF35" s="2354"/>
      <c r="AG35" s="2354"/>
      <c r="AH35" s="2354"/>
    </row>
    <row r="36" spans="1:76" ht="13" customHeight="1">
      <c r="B36" s="407"/>
      <c r="X36" s="412"/>
      <c r="Y36" s="2353"/>
      <c r="Z36" s="2353"/>
      <c r="AA36" s="2353"/>
      <c r="AB36" s="2353"/>
      <c r="AC36" s="2353"/>
      <c r="AD36" s="2354"/>
      <c r="AE36" s="2354"/>
      <c r="AF36" s="2354"/>
      <c r="AG36" s="2354"/>
      <c r="AH36" s="2354"/>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3"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88260979.299999997</v>
      </c>
      <c r="Z38" s="2333"/>
      <c r="AA38" s="2333"/>
      <c r="AB38" s="2333"/>
      <c r="AC38" s="2333"/>
      <c r="AD38" s="2333">
        <f>IF(T24&gt;=(T23+Y23+AD23+AI23),AD28+AI28,0)</f>
        <v>0</v>
      </c>
      <c r="AE38" s="2333"/>
      <c r="AF38" s="2333"/>
      <c r="AG38" s="2333"/>
      <c r="AH38" s="2333"/>
    </row>
    <row r="39" spans="1:76" ht="13" customHeight="1">
      <c r="B39" s="2339" t="s">
        <v>1679</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3" customHeight="1">
      <c r="A40" s="404"/>
      <c r="B40" s="2339" t="s">
        <v>641</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3530439</v>
      </c>
      <c r="Z40" s="2333"/>
      <c r="AA40" s="2333"/>
      <c r="AB40" s="2333"/>
      <c r="AC40" s="2333"/>
      <c r="AD40" s="2352">
        <f>ROUND(AD38*AD39,0)</f>
        <v>0</v>
      </c>
      <c r="AE40" s="2333"/>
      <c r="AF40" s="2333"/>
      <c r="AG40" s="2333"/>
      <c r="AH40" s="2333"/>
    </row>
    <row r="41" spans="1:76" ht="13" customHeight="1">
      <c r="B41" s="2339" t="s">
        <v>642</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3530439</v>
      </c>
      <c r="Z41" s="2351"/>
      <c r="AA41" s="2351"/>
      <c r="AB41" s="2351"/>
      <c r="AC41" s="2351"/>
      <c r="AD41" s="2351"/>
      <c r="AE41" s="2351"/>
      <c r="AF41" s="2351"/>
      <c r="AG41" s="2351"/>
      <c r="AH41" s="2352"/>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0" t="s">
        <v>1275</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3" customHeight="1" thickTop="1"/>
    <row r="46" spans="1:76" ht="13" customHeight="1">
      <c r="A46" s="404" t="s">
        <v>586</v>
      </c>
      <c r="C46" s="404" t="s">
        <v>282</v>
      </c>
    </row>
    <row r="47" spans="1:76" ht="13" customHeight="1">
      <c r="D47" s="404" t="s">
        <v>283</v>
      </c>
      <c r="AB47" s="2347">
        <f>'Sources and Uses Budget'!B105-MAX(IF('Sources and Uses Budget'!B15="",0,'Sources and Uses Budget'!B15),IF(Application!AG403="",0,Application!AG403))</f>
        <v>77544450</v>
      </c>
      <c r="AC47" s="2348"/>
      <c r="AD47" s="2348"/>
      <c r="AE47" s="2348"/>
      <c r="AF47" s="2349"/>
    </row>
    <row r="48" spans="1:76" ht="13" customHeight="1">
      <c r="D48" s="404" t="s">
        <v>21</v>
      </c>
      <c r="AB48" s="2347">
        <f>Application!AO647-MAX(IF('Sources and Uses Budget'!B15="",0,'Sources and Uses Budget'!B15),IF(Application!AG403="",0,Application!AG403))</f>
        <v>36766725</v>
      </c>
      <c r="AC48" s="2348"/>
      <c r="AD48" s="2348"/>
      <c r="AE48" s="2348"/>
      <c r="AF48" s="2349"/>
    </row>
    <row r="49" spans="1:76" ht="13" customHeight="1">
      <c r="D49" s="404" t="s">
        <v>91</v>
      </c>
      <c r="AB49" s="2347">
        <f>AB47-AB48</f>
        <v>40777725</v>
      </c>
      <c r="AC49" s="2348"/>
      <c r="AD49" s="2348"/>
      <c r="AE49" s="2348"/>
      <c r="AF49" s="2349"/>
    </row>
    <row r="50" spans="1:76" ht="13" customHeight="1">
      <c r="D50" s="404" t="s">
        <v>680</v>
      </c>
      <c r="AA50" s="415"/>
      <c r="AB50" s="2335">
        <v>0.83991609</v>
      </c>
      <c r="AC50" s="2336"/>
      <c r="AD50" s="2336"/>
      <c r="AE50" s="2336"/>
      <c r="AF50" s="2337"/>
    </row>
    <row r="51" spans="1:76" s="417" customFormat="1" ht="13" customHeight="1">
      <c r="A51" s="402"/>
      <c r="B51" s="402"/>
      <c r="C51" s="402"/>
      <c r="D51" s="402"/>
      <c r="E51" s="2346" t="s">
        <v>2534</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7">
        <f>ROUND(IF(ISERROR((AB49/AB50)),0,(AB49/AB50)),0)</f>
        <v>48549760</v>
      </c>
      <c r="AC54" s="2348"/>
      <c r="AD54" s="2348"/>
      <c r="AE54" s="2348"/>
      <c r="AF54" s="2349"/>
    </row>
    <row r="55" spans="1:76" ht="13" customHeight="1">
      <c r="D55" s="404" t="s">
        <v>333</v>
      </c>
      <c r="AB55" s="2347">
        <f>(AB54/10)</f>
        <v>4854976</v>
      </c>
      <c r="AC55" s="2348"/>
      <c r="AD55" s="2348"/>
      <c r="AE55" s="2348"/>
      <c r="AF55" s="2349"/>
    </row>
    <row r="56" spans="1:76" ht="13" customHeight="1">
      <c r="D56" s="404" t="s">
        <v>755</v>
      </c>
      <c r="AB56" s="2347">
        <f>ROUND((IF((Y41&lt;AB55),Y41,AB55)),0)</f>
        <v>3530439</v>
      </c>
      <c r="AC56" s="2348"/>
      <c r="AD56" s="2348"/>
      <c r="AE56" s="2348"/>
      <c r="AF56" s="2349"/>
    </row>
    <row r="57" spans="1:76" ht="13" customHeight="1">
      <c r="D57" s="404" t="s">
        <v>754</v>
      </c>
      <c r="AB57" s="2347">
        <f>ROUND((10*AB56*AB50),0)</f>
        <v>29652725</v>
      </c>
      <c r="AC57" s="2348"/>
      <c r="AD57" s="2348"/>
      <c r="AE57" s="2348"/>
      <c r="AF57" s="2349"/>
    </row>
    <row r="58" spans="1:76" ht="13" customHeight="1">
      <c r="D58" s="404"/>
      <c r="AB58" s="423"/>
      <c r="AC58" s="423"/>
      <c r="AD58" s="423"/>
      <c r="AE58" s="423"/>
      <c r="AF58" s="423"/>
    </row>
    <row r="59" spans="1:76" ht="13" customHeight="1">
      <c r="D59" s="404" t="s">
        <v>753</v>
      </c>
      <c r="AB59" s="2331">
        <f>AB49-AB57</f>
        <v>11125000</v>
      </c>
      <c r="AC59" s="2331"/>
      <c r="AD59" s="2331"/>
      <c r="AE59" s="2331"/>
      <c r="AF59" s="2331"/>
    </row>
    <row r="60" spans="1:76" ht="13" customHeight="1">
      <c r="D60" s="404"/>
      <c r="AB60" s="423"/>
      <c r="AC60" s="423"/>
      <c r="AD60" s="423"/>
      <c r="AE60" s="423"/>
      <c r="AF60" s="423"/>
    </row>
    <row r="61" spans="1:76" s="204" customFormat="1" ht="13"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3" customHeight="1" thickTop="1"/>
    <row r="63" spans="1:76" ht="13" customHeight="1">
      <c r="A63" s="404" t="s">
        <v>589</v>
      </c>
      <c r="C63" s="205" t="s">
        <v>1247</v>
      </c>
      <c r="Y63" s="2342" t="s">
        <v>983</v>
      </c>
      <c r="Z63" s="2342"/>
      <c r="AA63" s="2342"/>
      <c r="AB63" s="2342"/>
      <c r="AC63" s="2342"/>
      <c r="AD63" s="2342" t="s">
        <v>369</v>
      </c>
      <c r="AE63" s="2342"/>
      <c r="AF63" s="2342"/>
      <c r="AG63" s="2342"/>
      <c r="AH63" s="2342"/>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67893061</v>
      </c>
      <c r="Z64" s="2344"/>
      <c r="AA64" s="2344"/>
      <c r="AB64" s="2344"/>
      <c r="AC64" s="2345"/>
      <c r="AD64" s="2343">
        <f>IF(AND(OR(Application!D211="At-Risk",Application!D211="At-Risk and Special Needs"),Application!M367="yes"),AD28+AI28,0)</f>
        <v>0</v>
      </c>
      <c r="AE64" s="2344"/>
      <c r="AF64" s="2344"/>
      <c r="AG64" s="2344"/>
      <c r="AH64" s="2345"/>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0.3</v>
      </c>
      <c r="Z67" s="2332"/>
      <c r="AA67" s="2332"/>
      <c r="AB67" s="2332"/>
      <c r="AC67" s="2332"/>
      <c r="AD67" s="2332">
        <f>IF(Application!Z205="15% set-aside with qualifying low value rehab", 0.95,IF(OR(Application!D211="At-Risk",'Points System'!B26="Yes"),0.13,0))</f>
        <v>0</v>
      </c>
      <c r="AE67" s="2332"/>
      <c r="AF67" s="2332"/>
      <c r="AG67" s="2332"/>
      <c r="AH67" s="2332"/>
    </row>
    <row r="68" spans="1:37" ht="13" customHeight="1">
      <c r="C68" s="404"/>
      <c r="D68" s="205" t="s">
        <v>2177</v>
      </c>
      <c r="Y68" s="2333">
        <f>IF(AND(T25=1.3,OR(Y67=0.13,Y67=0.95),NOT(Application!T212&gt;=50%)),0,ROUND(Y64*Y67,0))</f>
        <v>20367918</v>
      </c>
      <c r="Z68" s="2334"/>
      <c r="AA68" s="2334"/>
      <c r="AB68" s="2334"/>
      <c r="AC68" s="2334"/>
      <c r="AD68" s="2333">
        <f>IF(AND(T25=1.3,AD67&gt;0,NOT(Application!T212&gt;=50%)),0,ROUND(AD64*AD67,0))</f>
        <v>0</v>
      </c>
      <c r="AE68" s="2334"/>
      <c r="AF68" s="2334"/>
      <c r="AG68" s="2334"/>
      <c r="AH68" s="2334"/>
      <c r="AK68" s="1192"/>
    </row>
    <row r="69" spans="1:37" ht="13" customHeight="1">
      <c r="C69" s="404"/>
      <c r="D69" s="205" t="s">
        <v>2178</v>
      </c>
      <c r="Y69" s="2333">
        <f>IF(OR(Application!Z205="State Farmworker Credit",Application!Z205="$500M (Farmworker Housing)"),Y68+AD68,MIN(Y68+AD68,200000*(Application!G761+Application!O785)))</f>
        <v>19200000</v>
      </c>
      <c r="Z69" s="2333"/>
      <c r="AA69" s="2333"/>
      <c r="AB69" s="2333"/>
      <c r="AC69" s="2333"/>
      <c r="AD69" s="2333"/>
      <c r="AE69" s="2333"/>
      <c r="AF69" s="2333"/>
      <c r="AG69" s="2333"/>
      <c r="AH69" s="2333"/>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1249</v>
      </c>
      <c r="AB72" s="2335">
        <v>0.89</v>
      </c>
      <c r="AC72" s="2336"/>
      <c r="AD72" s="2336"/>
      <c r="AE72" s="2336"/>
      <c r="AF72" s="2337"/>
    </row>
    <row r="73" spans="1:37" ht="13" customHeight="1">
      <c r="A73" s="404"/>
      <c r="C73" s="404"/>
      <c r="D73" s="404"/>
      <c r="E73" s="2338" t="s">
        <v>1250</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7" ht="13"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7" ht="13"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26">
        <f>ROUND(IF(ISERROR((AB59/AB72)),0,(AB59/AB72)),0)</f>
        <v>12500000</v>
      </c>
      <c r="AC77" s="2326"/>
      <c r="AD77" s="2326"/>
      <c r="AE77" s="2326"/>
      <c r="AF77" s="2326"/>
    </row>
    <row r="78" spans="1:37" ht="13" customHeight="1">
      <c r="C78" s="404"/>
      <c r="D78" s="205" t="s">
        <v>1252</v>
      </c>
      <c r="AB78" s="2327">
        <f>ROUNDUP(MIN(Y69,AB77),0)</f>
        <v>12500000</v>
      </c>
      <c r="AC78" s="2328"/>
      <c r="AD78" s="2328"/>
      <c r="AE78" s="2328"/>
      <c r="AF78" s="2329"/>
    </row>
    <row r="79" spans="1:37" ht="13" customHeight="1">
      <c r="C79" s="404"/>
      <c r="D79" s="205" t="s">
        <v>1253</v>
      </c>
      <c r="AB79" s="2330">
        <f>AB78*AB72</f>
        <v>11125000</v>
      </c>
      <c r="AC79" s="2330"/>
      <c r="AD79" s="2330"/>
      <c r="AE79" s="2330"/>
      <c r="AF79" s="2330"/>
    </row>
    <row r="80" spans="1:37" ht="13" customHeight="1">
      <c r="C80" s="404"/>
      <c r="D80" s="404"/>
      <c r="AB80" s="425"/>
      <c r="AC80" s="425"/>
      <c r="AD80" s="425"/>
      <c r="AE80" s="425"/>
      <c r="AF80" s="425"/>
    </row>
    <row r="81" spans="1:78" ht="13" customHeight="1">
      <c r="D81" s="404" t="s">
        <v>753</v>
      </c>
      <c r="AB81" s="2331">
        <f>AB49-(AB57+AB79)</f>
        <v>0</v>
      </c>
      <c r="AC81" s="2331"/>
      <c r="AD81" s="2331"/>
      <c r="AE81" s="2331"/>
      <c r="AF81" s="2331"/>
    </row>
    <row r="82" spans="1:78" ht="13" customHeight="1">
      <c r="F82" s="522"/>
      <c r="J82" s="522" t="str">
        <f>IF(AB81&gt;0,"FUNDING GAP MUST NOT EXCEED ZERO","")</f>
        <v/>
      </c>
    </row>
    <row r="83" spans="1:78" ht="13" customHeight="1">
      <c r="D83" s="523"/>
    </row>
    <row r="84" spans="1:78" ht="13"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3" customHeight="1" thickTop="1"/>
    <row r="86" spans="1:78" ht="13" hidden="1" customHeight="1">
      <c r="A86" s="404"/>
      <c r="C86" s="205"/>
    </row>
    <row r="87" spans="1:78" ht="13" hidden="1" customHeight="1">
      <c r="D87" s="205"/>
      <c r="AB87" s="2382"/>
      <c r="AC87" s="2382"/>
      <c r="AD87" s="2382"/>
      <c r="AE87" s="2382"/>
      <c r="AF87" s="2382"/>
    </row>
    <row r="88" spans="1:78" ht="13" hidden="1"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97" zoomScale="130" zoomScaleNormal="130" workbookViewId="0">
      <selection activeCell="E67" sqref="E67:AJ7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5" t="s">
        <v>1298</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1"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8" t="s">
        <v>1302</v>
      </c>
      <c r="AF7" s="2418"/>
      <c r="AG7" s="2418"/>
      <c r="AH7" s="2418"/>
      <c r="AI7" s="2418"/>
      <c r="AJ7" s="2418"/>
      <c r="AK7" s="2418"/>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0" t="s">
        <v>591</v>
      </c>
      <c r="C12" s="2390"/>
      <c r="D12" s="540"/>
      <c r="E12" s="2406" t="s">
        <v>2548</v>
      </c>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8"/>
      <c r="AK12" s="540"/>
      <c r="AL12" s="540"/>
      <c r="AM12" s="540"/>
      <c r="AN12" s="535"/>
      <c r="AO12" s="557"/>
    </row>
    <row r="13" spans="1:41" s="536" customFormat="1" ht="12.75" customHeight="1">
      <c r="A13" s="540"/>
      <c r="D13" s="546"/>
      <c r="E13" s="2435"/>
      <c r="F13" s="2436"/>
      <c r="G13" s="2436"/>
      <c r="H13" s="2436"/>
      <c r="I13" s="2436"/>
      <c r="J13" s="2436"/>
      <c r="K13" s="2436"/>
      <c r="L13" s="2436"/>
      <c r="M13" s="2436"/>
      <c r="N13" s="2436"/>
      <c r="O13" s="2436"/>
      <c r="P13" s="2436"/>
      <c r="Q13" s="2436"/>
      <c r="R13" s="2436"/>
      <c r="S13" s="2436"/>
      <c r="T13" s="2436"/>
      <c r="U13" s="2436"/>
      <c r="V13" s="2436"/>
      <c r="W13" s="2436"/>
      <c r="X13" s="2436"/>
      <c r="Y13" s="2436"/>
      <c r="Z13" s="2436"/>
      <c r="AA13" s="2436"/>
      <c r="AB13" s="2436"/>
      <c r="AC13" s="2436"/>
      <c r="AD13" s="2436"/>
      <c r="AE13" s="2436"/>
      <c r="AF13" s="2436"/>
      <c r="AG13" s="2436"/>
      <c r="AH13" s="2436"/>
      <c r="AI13" s="2436"/>
      <c r="AJ13" s="2437"/>
      <c r="AK13" s="540"/>
      <c r="AL13" s="540"/>
      <c r="AM13" s="540"/>
      <c r="AN13" s="535"/>
      <c r="AO13" s="557"/>
    </row>
    <row r="14" spans="1:41" s="536" customFormat="1" ht="12.75" customHeight="1">
      <c r="A14" s="540"/>
      <c r="D14" s="540"/>
      <c r="E14" s="2409"/>
      <c r="F14" s="2410"/>
      <c r="G14" s="2410"/>
      <c r="H14" s="2410"/>
      <c r="I14" s="2410"/>
      <c r="J14" s="2410"/>
      <c r="K14" s="2410"/>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c r="AH14" s="2410"/>
      <c r="AI14" s="2410"/>
      <c r="AJ14" s="24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0" t="s">
        <v>591</v>
      </c>
      <c r="C16" s="2390"/>
      <c r="D16" s="540"/>
      <c r="E16" s="2406" t="s">
        <v>2549</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row>
    <row r="17" spans="1:50" s="536" customFormat="1" ht="12.75" customHeight="1">
      <c r="A17" s="540"/>
      <c r="B17" s="540"/>
      <c r="C17" s="540"/>
      <c r="D17" s="540"/>
      <c r="E17" s="2435"/>
      <c r="F17" s="2436"/>
      <c r="G17" s="2436"/>
      <c r="H17" s="2436"/>
      <c r="I17" s="2436"/>
      <c r="J17" s="2436"/>
      <c r="K17" s="2436"/>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7"/>
      <c r="AK17" s="540"/>
      <c r="AL17" s="540"/>
      <c r="AM17" s="540"/>
      <c r="AN17" s="535"/>
    </row>
    <row r="18" spans="1:50" s="536" customFormat="1" ht="12.75" customHeight="1">
      <c r="A18" s="540"/>
      <c r="B18" s="540"/>
      <c r="C18" s="1135"/>
      <c r="D18" s="540"/>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0" t="s">
        <v>591</v>
      </c>
      <c r="C20" s="2390"/>
      <c r="D20" s="540"/>
      <c r="E20" s="2406" t="s">
        <v>1978</v>
      </c>
      <c r="F20" s="2407"/>
      <c r="G20" s="2407"/>
      <c r="H20" s="2407"/>
      <c r="I20" s="2407"/>
      <c r="J20" s="2407"/>
      <c r="K20" s="2407"/>
      <c r="L20" s="2407"/>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8"/>
      <c r="AK20" s="540"/>
      <c r="AL20" s="540"/>
      <c r="AM20" s="540"/>
      <c r="AN20" s="535"/>
    </row>
    <row r="21" spans="1:50" s="536" customFormat="1" ht="12.75" customHeight="1">
      <c r="A21" s="540"/>
      <c r="B21" s="546"/>
      <c r="C21" s="546"/>
      <c r="D21" s="546"/>
      <c r="E21" s="2409"/>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1"/>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0" t="s">
        <v>591</v>
      </c>
      <c r="C26" s="239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7"/>
      <c r="AH26" s="2427"/>
      <c r="AI26" s="2427"/>
      <c r="AJ26" s="2428"/>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0" t="s">
        <v>591</v>
      </c>
      <c r="C30" s="2390"/>
      <c r="D30" s="546"/>
      <c r="E30" s="2391" t="s">
        <v>2638</v>
      </c>
      <c r="F30" s="2392"/>
      <c r="G30" s="2392"/>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3"/>
      <c r="AK30" s="540"/>
      <c r="AL30" s="540"/>
      <c r="AM30" s="540"/>
      <c r="AN30" s="535"/>
      <c r="AO30" s="549">
        <f>IF($B30="yes",9,0)</f>
        <v>0</v>
      </c>
    </row>
    <row r="31" spans="1:50" s="536" customFormat="1" ht="12.75" customHeight="1">
      <c r="A31" s="540"/>
      <c r="B31" s="540"/>
      <c r="C31" s="540"/>
      <c r="E31" s="2394"/>
      <c r="F31" s="2395"/>
      <c r="G31" s="2395"/>
      <c r="H31" s="2395"/>
      <c r="I31" s="2395"/>
      <c r="J31" s="2395"/>
      <c r="K31" s="2395"/>
      <c r="L31" s="2395"/>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0" t="s">
        <v>591</v>
      </c>
      <c r="C33" s="2390"/>
      <c r="D33" s="546"/>
      <c r="E33" s="2391" t="s">
        <v>2555</v>
      </c>
      <c r="F33" s="2392"/>
      <c r="G33" s="2392"/>
      <c r="H33" s="2392"/>
      <c r="I33" s="2392"/>
      <c r="J33" s="2392"/>
      <c r="K33" s="2392"/>
      <c r="L33" s="2392"/>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3"/>
      <c r="AK33" s="540"/>
      <c r="AL33" s="540"/>
      <c r="AM33" s="540"/>
      <c r="AN33" s="535"/>
      <c r="AO33" s="549">
        <f>IF($B39="yes",9,0)</f>
        <v>0</v>
      </c>
    </row>
    <row r="34" spans="1:43" s="536" customFormat="1" ht="12.75" customHeight="1">
      <c r="A34" s="540"/>
      <c r="B34" s="540"/>
      <c r="C34" s="540"/>
      <c r="D34" s="546"/>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c r="AO34" s="536">
        <f>MAX(AO30,AO31,AO32,AO33)</f>
        <v>0</v>
      </c>
      <c r="AP34" s="536" t="s">
        <v>1304</v>
      </c>
    </row>
    <row r="35" spans="1:43" s="536" customFormat="1" ht="12.75" customHeight="1">
      <c r="A35" s="540"/>
      <c r="B35" s="540"/>
      <c r="C35" s="540"/>
      <c r="E35" s="2394"/>
      <c r="F35" s="2395"/>
      <c r="G35" s="2395"/>
      <c r="H35" s="2395"/>
      <c r="I35" s="2395"/>
      <c r="J35" s="2395"/>
      <c r="K35" s="2395"/>
      <c r="L35" s="2395"/>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0" t="s">
        <v>591</v>
      </c>
      <c r="C37" s="2390"/>
      <c r="D37" s="1136"/>
      <c r="E37" s="2397" t="s">
        <v>2557</v>
      </c>
      <c r="F37" s="2398"/>
      <c r="G37" s="2398"/>
      <c r="H37" s="239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0" t="s">
        <v>591</v>
      </c>
      <c r="C39" s="2390"/>
      <c r="D39" s="1136"/>
      <c r="E39" s="2397" t="s">
        <v>2556</v>
      </c>
      <c r="F39" s="2398"/>
      <c r="G39" s="2398"/>
      <c r="H39" s="2398"/>
      <c r="I39" s="2398"/>
      <c r="J39" s="2398"/>
      <c r="K39" s="2398"/>
      <c r="L39" s="2398"/>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0" t="s">
        <v>591</v>
      </c>
      <c r="C43" s="2390"/>
      <c r="D43" s="546"/>
      <c r="E43" s="2400" t="s">
        <v>2639</v>
      </c>
      <c r="F43" s="2401"/>
      <c r="G43" s="2401"/>
      <c r="H43" s="2401"/>
      <c r="I43" s="2401"/>
      <c r="J43" s="2401"/>
      <c r="K43" s="2401"/>
      <c r="L43" s="240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2"/>
      <c r="AK43" s="540"/>
      <c r="AL43" s="540"/>
      <c r="AM43" s="540"/>
      <c r="AN43" s="535"/>
      <c r="AO43" s="549">
        <f>IF($B43="yes",8,0)</f>
        <v>0</v>
      </c>
      <c r="AP43" s="14"/>
    </row>
    <row r="44" spans="1:43" s="536" customFormat="1" ht="12.75" customHeight="1">
      <c r="A44" s="540"/>
      <c r="B44" s="540"/>
      <c r="C44" s="540"/>
      <c r="D44" s="550"/>
      <c r="E44" s="2403"/>
      <c r="F44" s="2404"/>
      <c r="G44" s="2404"/>
      <c r="H44" s="2404"/>
      <c r="I44" s="2404"/>
      <c r="J44" s="2404"/>
      <c r="K44" s="2404"/>
      <c r="L44" s="2404"/>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0" t="s">
        <v>591</v>
      </c>
      <c r="C46" s="2390"/>
      <c r="D46" s="546"/>
      <c r="E46" s="2391" t="s">
        <v>2640</v>
      </c>
      <c r="F46" s="2392"/>
      <c r="G46" s="2392"/>
      <c r="H46" s="2392"/>
      <c r="I46" s="2392"/>
      <c r="J46" s="2392"/>
      <c r="K46" s="2392"/>
      <c r="L46" s="2392"/>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3"/>
      <c r="AK46" s="540"/>
      <c r="AL46" s="540"/>
      <c r="AM46" s="540"/>
      <c r="AN46" s="535"/>
      <c r="AO46" s="549">
        <f>IF($B52="yes",8,0)</f>
        <v>0</v>
      </c>
    </row>
    <row r="47" spans="1:43" s="536" customFormat="1" ht="12.75" customHeight="1">
      <c r="A47" s="540"/>
      <c r="B47" s="540"/>
      <c r="C47" s="540"/>
      <c r="D47" s="549"/>
      <c r="E47" s="2394"/>
      <c r="F47" s="2395"/>
      <c r="G47" s="2395"/>
      <c r="H47" s="2395"/>
      <c r="I47" s="2395"/>
      <c r="J47" s="2395"/>
      <c r="K47" s="2395"/>
      <c r="L47" s="2395"/>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6"/>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0" t="s">
        <v>591</v>
      </c>
      <c r="C49" s="2390"/>
      <c r="D49" s="546"/>
      <c r="E49" s="2406" t="s">
        <v>2641</v>
      </c>
      <c r="F49" s="2407"/>
      <c r="G49" s="2407"/>
      <c r="H49" s="2407"/>
      <c r="I49" s="2407"/>
      <c r="J49" s="2407"/>
      <c r="K49" s="2407"/>
      <c r="L49" s="2407"/>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8"/>
      <c r="AK49" s="540"/>
      <c r="AL49" s="540"/>
      <c r="AM49" s="540"/>
      <c r="AN49" s="535"/>
      <c r="AO49" s="549"/>
    </row>
    <row r="50" spans="1:42" s="536" customFormat="1" ht="12.75" customHeight="1">
      <c r="A50" s="540"/>
      <c r="B50" s="540"/>
      <c r="C50" s="540"/>
      <c r="D50" s="549"/>
      <c r="E50" s="2409"/>
      <c r="F50" s="2410"/>
      <c r="G50" s="2410"/>
      <c r="H50" s="2410"/>
      <c r="I50" s="2410"/>
      <c r="J50" s="2410"/>
      <c r="K50" s="2410"/>
      <c r="L50" s="2410"/>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0" t="s">
        <v>591</v>
      </c>
      <c r="C52" s="2390"/>
      <c r="D52" s="546"/>
      <c r="E52" s="2397" t="s">
        <v>2642</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0" t="s">
        <v>591</v>
      </c>
      <c r="C56" s="2390"/>
      <c r="D56" s="546"/>
      <c r="E56" s="2406" t="s">
        <v>2558</v>
      </c>
      <c r="F56" s="2407"/>
      <c r="G56" s="2407"/>
      <c r="H56" s="2407"/>
      <c r="I56" s="2407"/>
      <c r="J56" s="2407"/>
      <c r="K56" s="2407"/>
      <c r="L56" s="2407"/>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8"/>
      <c r="AK56" s="540"/>
      <c r="AL56" s="540"/>
      <c r="AM56" s="540"/>
      <c r="AN56" s="535"/>
      <c r="AO56" s="549">
        <f>IF($B59="yes",7,0)</f>
        <v>0</v>
      </c>
    </row>
    <row r="57" spans="1:42" s="536" customFormat="1" ht="12.75" customHeight="1">
      <c r="A57" s="540"/>
      <c r="B57" s="540"/>
      <c r="C57" s="540"/>
      <c r="D57" s="549"/>
      <c r="E57" s="2409"/>
      <c r="F57" s="2410"/>
      <c r="G57" s="2410"/>
      <c r="H57" s="2410"/>
      <c r="I57" s="2410"/>
      <c r="J57" s="2410"/>
      <c r="K57" s="2410"/>
      <c r="L57" s="2410"/>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1"/>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0" t="s">
        <v>591</v>
      </c>
      <c r="C59" s="2390"/>
      <c r="D59" s="546"/>
      <c r="E59" s="2397" t="s">
        <v>2559</v>
      </c>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429">
        <f>AO60</f>
        <v>0</v>
      </c>
      <c r="AL61" s="2430"/>
      <c r="AM61" s="243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8" t="s">
        <v>1307</v>
      </c>
      <c r="AF64" s="2418"/>
      <c r="AG64" s="2418"/>
      <c r="AH64" s="2418"/>
      <c r="AI64" s="2418"/>
      <c r="AJ64" s="2418"/>
      <c r="AK64" s="241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0" t="s">
        <v>591</v>
      </c>
      <c r="C67" s="2390"/>
      <c r="D67" s="546" t="s">
        <v>1308</v>
      </c>
      <c r="E67" s="2400" t="s">
        <v>1979</v>
      </c>
      <c r="F67" s="2401"/>
      <c r="G67" s="2401"/>
      <c r="H67" s="2401"/>
      <c r="I67" s="2401"/>
      <c r="J67" s="2401"/>
      <c r="K67" s="2401"/>
      <c r="L67" s="240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2"/>
      <c r="AK67" s="543"/>
      <c r="AL67" s="540"/>
      <c r="AM67" s="540"/>
      <c r="AN67" s="535"/>
      <c r="AO67" s="549">
        <f>IF($B67="yes",10,0)</f>
        <v>0</v>
      </c>
    </row>
    <row r="68" spans="1:42" s="536" customFormat="1" ht="12.75" customHeight="1">
      <c r="A68" s="538"/>
      <c r="B68" s="540"/>
      <c r="C68" s="540"/>
      <c r="D68" s="550"/>
      <c r="E68" s="2419"/>
      <c r="F68" s="2420"/>
      <c r="G68" s="2420"/>
      <c r="H68" s="2420"/>
      <c r="I68" s="2420"/>
      <c r="J68" s="2420"/>
      <c r="K68" s="2420"/>
      <c r="L68" s="2420"/>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1"/>
      <c r="AK68" s="543"/>
      <c r="AL68" s="540"/>
      <c r="AM68" s="540"/>
      <c r="AN68" s="535"/>
      <c r="AO68" s="549">
        <f>IF(AND($B73="yes",OR(E74="Yes",E75="Yes",E76="Yes")),10,0)</f>
        <v>10</v>
      </c>
    </row>
    <row r="69" spans="1:42" s="536" customFormat="1" ht="12.75" customHeight="1">
      <c r="A69" s="538"/>
      <c r="B69" s="540"/>
      <c r="C69" s="540"/>
      <c r="D69" s="550"/>
      <c r="E69" s="2419"/>
      <c r="F69" s="2420"/>
      <c r="G69" s="2420"/>
      <c r="H69" s="2420"/>
      <c r="I69" s="2420"/>
      <c r="J69" s="2420"/>
      <c r="K69" s="2420"/>
      <c r="L69" s="2420"/>
      <c r="M69" s="2420"/>
      <c r="N69" s="2420"/>
      <c r="O69" s="2420"/>
      <c r="P69" s="2420"/>
      <c r="Q69" s="2420"/>
      <c r="R69" s="2420"/>
      <c r="S69" s="2420"/>
      <c r="T69" s="2420"/>
      <c r="U69" s="2420"/>
      <c r="V69" s="2420"/>
      <c r="W69" s="2420"/>
      <c r="X69" s="2420"/>
      <c r="Y69" s="2420"/>
      <c r="Z69" s="2420"/>
      <c r="AA69" s="2420"/>
      <c r="AB69" s="2420"/>
      <c r="AC69" s="2420"/>
      <c r="AD69" s="2420"/>
      <c r="AE69" s="2420"/>
      <c r="AF69" s="2420"/>
      <c r="AG69" s="2420"/>
      <c r="AH69" s="2420"/>
      <c r="AI69" s="2420"/>
      <c r="AJ69" s="2421"/>
      <c r="AK69" s="543"/>
      <c r="AL69" s="540"/>
      <c r="AM69" s="540"/>
      <c r="AN69" s="535"/>
      <c r="AO69" s="549">
        <f>IF($B78="yes",10,0)</f>
        <v>0</v>
      </c>
    </row>
    <row r="70" spans="1:42" s="536" customFormat="1" ht="12.75" customHeight="1">
      <c r="A70" s="538"/>
      <c r="B70" s="540"/>
      <c r="C70" s="540"/>
      <c r="D70" s="550"/>
      <c r="E70" s="2419"/>
      <c r="F70" s="2420"/>
      <c r="G70" s="2420"/>
      <c r="H70" s="2420"/>
      <c r="I70" s="2420"/>
      <c r="J70" s="2420"/>
      <c r="K70" s="2420"/>
      <c r="L70" s="2420"/>
      <c r="M70" s="2420"/>
      <c r="N70" s="2420"/>
      <c r="O70" s="2420"/>
      <c r="P70" s="2420"/>
      <c r="Q70" s="2420"/>
      <c r="R70" s="2420"/>
      <c r="S70" s="2420"/>
      <c r="T70" s="2420"/>
      <c r="U70" s="2420"/>
      <c r="V70" s="2420"/>
      <c r="W70" s="2420"/>
      <c r="X70" s="2420"/>
      <c r="Y70" s="2420"/>
      <c r="Z70" s="2420"/>
      <c r="AA70" s="2420"/>
      <c r="AB70" s="2420"/>
      <c r="AC70" s="2420"/>
      <c r="AD70" s="2420"/>
      <c r="AE70" s="2420"/>
      <c r="AF70" s="2420"/>
      <c r="AG70" s="2420"/>
      <c r="AH70" s="2420"/>
      <c r="AI70" s="2420"/>
      <c r="AJ70" s="2421"/>
      <c r="AK70" s="543"/>
      <c r="AL70" s="540"/>
      <c r="AM70" s="540"/>
      <c r="AN70" s="535"/>
      <c r="AO70" s="549">
        <f>IF($B81="yes",10,0)</f>
        <v>0</v>
      </c>
    </row>
    <row r="71" spans="1:42" s="536" customFormat="1" ht="12.75" customHeight="1">
      <c r="A71" s="538"/>
      <c r="B71" s="540"/>
      <c r="C71" s="540"/>
      <c r="D71" s="550"/>
      <c r="E71" s="2403"/>
      <c r="F71" s="2404"/>
      <c r="G71" s="2404"/>
      <c r="H71" s="2404"/>
      <c r="I71" s="2404"/>
      <c r="J71" s="2404"/>
      <c r="K71" s="2404"/>
      <c r="L71" s="2404"/>
      <c r="M71" s="2404"/>
      <c r="N71" s="2404"/>
      <c r="O71" s="2404"/>
      <c r="P71" s="2404"/>
      <c r="Q71" s="2404"/>
      <c r="R71" s="2404"/>
      <c r="S71" s="2404"/>
      <c r="T71" s="2404"/>
      <c r="U71" s="2404"/>
      <c r="V71" s="2404"/>
      <c r="W71" s="2404"/>
      <c r="X71" s="2404"/>
      <c r="Y71" s="2404"/>
      <c r="Z71" s="2404"/>
      <c r="AA71" s="2404"/>
      <c r="AB71" s="2404"/>
      <c r="AC71" s="2404"/>
      <c r="AD71" s="2404"/>
      <c r="AE71" s="2404"/>
      <c r="AF71" s="2404"/>
      <c r="AG71" s="2404"/>
      <c r="AH71" s="2404"/>
      <c r="AI71" s="2404"/>
      <c r="AJ71" s="2405"/>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0" t="s">
        <v>545</v>
      </c>
      <c r="C73" s="239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2" t="s">
        <v>545</v>
      </c>
      <c r="F74" s="239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6" t="s">
        <v>591</v>
      </c>
      <c r="F75" s="241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6" t="s">
        <v>591</v>
      </c>
      <c r="F76" s="241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0" t="s">
        <v>591</v>
      </c>
      <c r="C78" s="2390"/>
      <c r="D78" s="546" t="s">
        <v>1313</v>
      </c>
      <c r="E78" s="2406" t="s">
        <v>1727</v>
      </c>
      <c r="F78" s="2407"/>
      <c r="G78" s="2407"/>
      <c r="H78" s="2407"/>
      <c r="I78" s="2407"/>
      <c r="J78" s="2407"/>
      <c r="K78" s="2407"/>
      <c r="L78" s="2407"/>
      <c r="M78" s="2407"/>
      <c r="N78" s="2407"/>
      <c r="O78" s="2407"/>
      <c r="P78" s="2407"/>
      <c r="Q78" s="2407"/>
      <c r="R78" s="2407"/>
      <c r="S78" s="2407"/>
      <c r="T78" s="2407"/>
      <c r="U78" s="2407"/>
      <c r="V78" s="2407"/>
      <c r="W78" s="2407"/>
      <c r="X78" s="2407"/>
      <c r="Y78" s="2407"/>
      <c r="Z78" s="2407"/>
      <c r="AA78" s="2407"/>
      <c r="AB78" s="2407"/>
      <c r="AC78" s="2407"/>
      <c r="AD78" s="2407"/>
      <c r="AE78" s="2407"/>
      <c r="AF78" s="2407"/>
      <c r="AG78" s="2407"/>
      <c r="AH78" s="2407"/>
      <c r="AI78" s="2407"/>
      <c r="AJ78" s="2408"/>
      <c r="AK78" s="543"/>
      <c r="AL78" s="540"/>
      <c r="AM78" s="540"/>
      <c r="AN78" s="535"/>
    </row>
    <row r="79" spans="1:42" s="536" customFormat="1" ht="12.75" customHeight="1">
      <c r="A79" s="538"/>
      <c r="B79" s="540"/>
      <c r="C79" s="540"/>
      <c r="E79" s="2409"/>
      <c r="F79" s="2410"/>
      <c r="G79" s="2410"/>
      <c r="H79" s="2410"/>
      <c r="I79" s="2410"/>
      <c r="J79" s="2410"/>
      <c r="K79" s="2410"/>
      <c r="L79" s="2410"/>
      <c r="M79" s="2410"/>
      <c r="N79" s="2410"/>
      <c r="O79" s="2410"/>
      <c r="P79" s="2410"/>
      <c r="Q79" s="2410"/>
      <c r="R79" s="2410"/>
      <c r="S79" s="2410"/>
      <c r="T79" s="2410"/>
      <c r="U79" s="2410"/>
      <c r="V79" s="2410"/>
      <c r="W79" s="2410"/>
      <c r="X79" s="2410"/>
      <c r="Y79" s="2410"/>
      <c r="Z79" s="2410"/>
      <c r="AA79" s="2410"/>
      <c r="AB79" s="2410"/>
      <c r="AC79" s="2410"/>
      <c r="AD79" s="2410"/>
      <c r="AE79" s="2410"/>
      <c r="AF79" s="2410"/>
      <c r="AG79" s="2410"/>
      <c r="AH79" s="2410"/>
      <c r="AI79" s="2410"/>
      <c r="AJ79" s="24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0" t="s">
        <v>591</v>
      </c>
      <c r="C81" s="2390"/>
      <c r="D81" s="546" t="s">
        <v>1460</v>
      </c>
      <c r="E81" s="2397" t="s">
        <v>1725</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9">
        <f>IF(AK61&gt;0,0,AO71)</f>
        <v>10</v>
      </c>
      <c r="AL83" s="2430"/>
      <c r="AM83" s="243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8" t="s">
        <v>1302</v>
      </c>
      <c r="AF86" s="2418"/>
      <c r="AG86" s="2418"/>
      <c r="AH86" s="2418"/>
      <c r="AI86" s="2418"/>
      <c r="AJ86" s="2418"/>
      <c r="AK86" s="241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0" t="s">
        <v>591</v>
      </c>
      <c r="C89" s="2390"/>
      <c r="D89" s="546" t="s">
        <v>1308</v>
      </c>
      <c r="E89" s="2400" t="s">
        <v>1318</v>
      </c>
      <c r="F89" s="2401"/>
      <c r="G89" s="2401"/>
      <c r="H89" s="2401"/>
      <c r="I89" s="2401"/>
      <c r="J89" s="2401"/>
      <c r="K89" s="2401"/>
      <c r="L89" s="2401"/>
      <c r="M89" s="2401"/>
      <c r="N89" s="2401"/>
      <c r="O89" s="2401"/>
      <c r="P89" s="2401"/>
      <c r="Q89" s="2401"/>
      <c r="R89" s="2401"/>
      <c r="S89" s="2401"/>
      <c r="T89" s="2401"/>
      <c r="U89" s="2401"/>
      <c r="V89" s="2401"/>
      <c r="W89" s="2401"/>
      <c r="X89" s="2401"/>
      <c r="Y89" s="2401"/>
      <c r="Z89" s="2401"/>
      <c r="AA89" s="2401"/>
      <c r="AB89" s="2401"/>
      <c r="AC89" s="2401"/>
      <c r="AD89" s="2401"/>
      <c r="AE89" s="2401"/>
      <c r="AF89" s="2401"/>
      <c r="AG89" s="2401"/>
      <c r="AH89" s="2401"/>
      <c r="AI89" s="2401"/>
      <c r="AJ89" s="2402"/>
      <c r="AK89" s="543"/>
      <c r="AL89" s="540"/>
      <c r="AM89" s="540"/>
      <c r="AN89" s="535"/>
    </row>
    <row r="90" spans="1:43" s="536" customFormat="1" ht="12.75" customHeight="1">
      <c r="A90" s="538"/>
      <c r="B90" s="539"/>
      <c r="C90" s="539"/>
      <c r="D90" s="539"/>
      <c r="E90" s="2419"/>
      <c r="F90" s="2420"/>
      <c r="G90" s="2420"/>
      <c r="H90" s="2420"/>
      <c r="I90" s="2420"/>
      <c r="J90" s="2420"/>
      <c r="K90" s="2420"/>
      <c r="L90" s="2420"/>
      <c r="M90" s="2420"/>
      <c r="N90" s="2420"/>
      <c r="O90" s="2420"/>
      <c r="P90" s="2420"/>
      <c r="Q90" s="2420"/>
      <c r="R90" s="2420"/>
      <c r="S90" s="2420"/>
      <c r="T90" s="2420"/>
      <c r="U90" s="2420"/>
      <c r="V90" s="2420"/>
      <c r="W90" s="2420"/>
      <c r="X90" s="2420"/>
      <c r="Y90" s="2420"/>
      <c r="Z90" s="2420"/>
      <c r="AA90" s="2420"/>
      <c r="AB90" s="2420"/>
      <c r="AC90" s="2420"/>
      <c r="AD90" s="2420"/>
      <c r="AE90" s="2420"/>
      <c r="AF90" s="2420"/>
      <c r="AG90" s="2420"/>
      <c r="AH90" s="2420"/>
      <c r="AI90" s="2420"/>
      <c r="AJ90" s="242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2">
        <f>Application!AC761</f>
        <v>0.59894736842105256</v>
      </c>
      <c r="F92" s="2413"/>
      <c r="G92" s="2413"/>
      <c r="H92" s="2413"/>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4">
        <f>0.6-ROUNDUP(E92,2)</f>
        <v>0</v>
      </c>
      <c r="F93" s="2415"/>
      <c r="G93" s="2415"/>
      <c r="H93" s="2415"/>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1">
        <f>IF(E93*200&gt;20,20,E93*200)</f>
        <v>0</v>
      </c>
      <c r="F94" s="2442"/>
      <c r="G94" s="2442"/>
      <c r="H94" s="2442"/>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0" t="s">
        <v>545</v>
      </c>
      <c r="C97" s="2390"/>
      <c r="D97" s="546" t="s">
        <v>1310</v>
      </c>
      <c r="E97" s="2400" t="s">
        <v>1713</v>
      </c>
      <c r="F97" s="2401"/>
      <c r="G97" s="2401"/>
      <c r="H97" s="2401"/>
      <c r="I97" s="2401"/>
      <c r="J97" s="2401"/>
      <c r="K97" s="2401"/>
      <c r="L97" s="2401"/>
      <c r="M97" s="2401"/>
      <c r="N97" s="2401"/>
      <c r="O97" s="2401"/>
      <c r="P97" s="2401"/>
      <c r="Q97" s="2401"/>
      <c r="R97" s="2401"/>
      <c r="S97" s="2401"/>
      <c r="T97" s="2401"/>
      <c r="U97" s="2401"/>
      <c r="V97" s="2401"/>
      <c r="W97" s="2401"/>
      <c r="X97" s="2401"/>
      <c r="Y97" s="2401"/>
      <c r="Z97" s="2401"/>
      <c r="AA97" s="2401"/>
      <c r="AB97" s="2401"/>
      <c r="AC97" s="2401"/>
      <c r="AD97" s="2401"/>
      <c r="AE97" s="2401"/>
      <c r="AF97" s="2401"/>
      <c r="AG97" s="2401"/>
      <c r="AH97" s="2401"/>
      <c r="AI97" s="2401"/>
      <c r="AJ97" s="2402"/>
      <c r="AK97" s="543"/>
      <c r="AL97" s="540"/>
      <c r="AM97" s="540"/>
      <c r="AN97" s="535"/>
    </row>
    <row r="98" spans="1:47" s="536" customFormat="1" ht="12.75" customHeight="1">
      <c r="A98" s="538"/>
      <c r="B98" s="539"/>
      <c r="C98" s="539"/>
      <c r="D98" s="539"/>
      <c r="E98" s="2419"/>
      <c r="F98" s="2420"/>
      <c r="G98" s="2420"/>
      <c r="H98" s="2420"/>
      <c r="I98" s="2420"/>
      <c r="J98" s="2420"/>
      <c r="K98" s="2420"/>
      <c r="L98" s="2420"/>
      <c r="M98" s="2420"/>
      <c r="N98" s="2420"/>
      <c r="O98" s="2420"/>
      <c r="P98" s="2420"/>
      <c r="Q98" s="2420"/>
      <c r="R98" s="2420"/>
      <c r="S98" s="2420"/>
      <c r="T98" s="2420"/>
      <c r="U98" s="2420"/>
      <c r="V98" s="2420"/>
      <c r="W98" s="2420"/>
      <c r="X98" s="2420"/>
      <c r="Y98" s="2420"/>
      <c r="Z98" s="2420"/>
      <c r="AA98" s="2420"/>
      <c r="AB98" s="2420"/>
      <c r="AC98" s="2420"/>
      <c r="AD98" s="2420"/>
      <c r="AE98" s="2420"/>
      <c r="AF98" s="2420"/>
      <c r="AG98" s="2420"/>
      <c r="AH98" s="2420"/>
      <c r="AI98" s="2420"/>
      <c r="AJ98" s="2421"/>
      <c r="AK98" s="543"/>
      <c r="AL98" s="540"/>
      <c r="AM98" s="540"/>
      <c r="AN98" s="535"/>
    </row>
    <row r="99" spans="1:47" s="536" customFormat="1" ht="12.75" customHeight="1">
      <c r="A99" s="538"/>
      <c r="B99" s="539"/>
      <c r="C99" s="539"/>
      <c r="D99" s="539"/>
      <c r="E99" s="2419"/>
      <c r="F99" s="2420"/>
      <c r="G99" s="2420"/>
      <c r="H99" s="2420"/>
      <c r="I99" s="2420"/>
      <c r="J99" s="2420"/>
      <c r="K99" s="2420"/>
      <c r="L99" s="2420"/>
      <c r="M99" s="2420"/>
      <c r="N99" s="2420"/>
      <c r="O99" s="2420"/>
      <c r="P99" s="2420"/>
      <c r="Q99" s="2420"/>
      <c r="R99" s="2420"/>
      <c r="S99" s="2420"/>
      <c r="T99" s="2420"/>
      <c r="U99" s="2420"/>
      <c r="V99" s="2420"/>
      <c r="W99" s="2420"/>
      <c r="X99" s="2420"/>
      <c r="Y99" s="2420"/>
      <c r="Z99" s="2420"/>
      <c r="AA99" s="2420"/>
      <c r="AB99" s="2420"/>
      <c r="AC99" s="2420"/>
      <c r="AD99" s="2420"/>
      <c r="AE99" s="2420"/>
      <c r="AF99" s="2420"/>
      <c r="AG99" s="2420"/>
      <c r="AH99" s="2420"/>
      <c r="AI99" s="2420"/>
      <c r="AJ99" s="2421"/>
      <c r="AK99" s="543"/>
      <c r="AL99" s="540"/>
      <c r="AM99" s="540"/>
      <c r="AN99" s="535"/>
    </row>
    <row r="100" spans="1:47" s="536" customFormat="1" ht="12.75" customHeight="1">
      <c r="A100" s="538"/>
      <c r="B100" s="539"/>
      <c r="C100" s="539"/>
      <c r="D100" s="539"/>
      <c r="E100" s="2419"/>
      <c r="F100" s="2420"/>
      <c r="G100" s="2420"/>
      <c r="H100" s="2420"/>
      <c r="I100" s="2420"/>
      <c r="J100" s="2420"/>
      <c r="K100" s="2420"/>
      <c r="L100" s="2420"/>
      <c r="M100" s="2420"/>
      <c r="N100" s="2420"/>
      <c r="O100" s="2420"/>
      <c r="P100" s="2420"/>
      <c r="Q100" s="2420"/>
      <c r="R100" s="2420"/>
      <c r="S100" s="2420"/>
      <c r="T100" s="2420"/>
      <c r="U100" s="2420"/>
      <c r="V100" s="2420"/>
      <c r="W100" s="2420"/>
      <c r="X100" s="2420"/>
      <c r="Y100" s="2420"/>
      <c r="Z100" s="2420"/>
      <c r="AA100" s="2420"/>
      <c r="AB100" s="2420"/>
      <c r="AC100" s="2420"/>
      <c r="AD100" s="2420"/>
      <c r="AE100" s="2420"/>
      <c r="AF100" s="2420"/>
      <c r="AG100" s="2420"/>
      <c r="AH100" s="2420"/>
      <c r="AI100" s="2420"/>
      <c r="AJ100" s="242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2">
        <f>Application!AC761</f>
        <v>0.59894736842105256</v>
      </c>
      <c r="F102" s="2413"/>
      <c r="G102" s="2413"/>
      <c r="H102" s="2413"/>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2">
        <f ca="1">SUMIF(Application!AC726:AG760,0.2,Application!G726:J760)/Application!G761+SUMIF(Application!AC726:AG760,0.25,Application!G726:J760)/Application!G761+SUMIF(Application!AC726:AG760,0.3,Application!G726:J760)/Application!G761</f>
        <v>0.11578947368421053</v>
      </c>
      <c r="F103" s="2413"/>
      <c r="G103" s="2413"/>
      <c r="H103" s="2413"/>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2">
        <f ca="1">SUMIF(Application!AC726:AG760,0.35,Application!G726:J760)/Application!G761+SUMIF(Application!AC726:AG760,0.4,Application!G726:J760)/Application!G761+SUMIF(Application!AC726:AG760,0.45,Application!G726:J760)/Application!G761+SUMIF(Application!AC726:AG760,0.5,Application!G726:J760)/Application!G761</f>
        <v>0.11578947368421053</v>
      </c>
      <c r="F104" s="2413"/>
      <c r="G104" s="2413"/>
      <c r="H104" s="2413"/>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7">
        <f ca="1">IF(AND(E102&lt;=0.6,OR(AND(E103&gt;=0.1,E104&gt;=0.1),AND(E103&gt;0.1,(E103+E104)&gt;=0.2))),20,0)</f>
        <v>20</v>
      </c>
      <c r="F105" s="2448"/>
      <c r="G105" s="2448"/>
      <c r="H105" s="2448"/>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9">
        <f ca="1">MAX(AP94,AP105)</f>
        <v>20</v>
      </c>
      <c r="AL108" s="2430"/>
      <c r="AM108" s="243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8" t="s">
        <v>1307</v>
      </c>
      <c r="AF111" s="2418"/>
      <c r="AG111" s="2418"/>
      <c r="AH111" s="2418"/>
      <c r="AI111" s="2418"/>
      <c r="AJ111" s="2418"/>
      <c r="AK111" s="2418"/>
      <c r="AL111" s="540"/>
      <c r="AM111" s="540"/>
      <c r="AN111" s="535"/>
      <c r="AO111" s="536" t="str">
        <f>Application!B726</f>
        <v>2 Bedrooms</v>
      </c>
      <c r="AQ111" s="536">
        <f>Application!O726</f>
        <v>1153</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2043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2488</v>
      </c>
    </row>
    <row r="114" spans="1:52" s="536" customFormat="1" ht="12.75" customHeight="1">
      <c r="A114" s="540"/>
      <c r="B114" s="2390" t="s">
        <v>545</v>
      </c>
      <c r="C114" s="2390"/>
      <c r="D114" s="546" t="s">
        <v>1308</v>
      </c>
      <c r="E114" s="2400" t="s">
        <v>2561</v>
      </c>
      <c r="F114" s="2401"/>
      <c r="G114" s="2401"/>
      <c r="H114" s="2401"/>
      <c r="I114" s="2401"/>
      <c r="J114" s="2401"/>
      <c r="K114" s="2401"/>
      <c r="L114" s="2401"/>
      <c r="M114" s="2401"/>
      <c r="N114" s="2401"/>
      <c r="O114" s="2401"/>
      <c r="P114" s="2401"/>
      <c r="Q114" s="2401"/>
      <c r="R114" s="2401"/>
      <c r="S114" s="2401"/>
      <c r="T114" s="2401"/>
      <c r="U114" s="2401"/>
      <c r="V114" s="2401"/>
      <c r="W114" s="2401"/>
      <c r="X114" s="2401"/>
      <c r="Y114" s="2401"/>
      <c r="Z114" s="2401"/>
      <c r="AA114" s="2401"/>
      <c r="AB114" s="2401"/>
      <c r="AC114" s="2401"/>
      <c r="AD114" s="2401"/>
      <c r="AE114" s="2401"/>
      <c r="AF114" s="2401"/>
      <c r="AG114" s="2401"/>
      <c r="AH114" s="2401"/>
      <c r="AI114" s="2401"/>
      <c r="AJ114" s="2402"/>
      <c r="AK114" s="540"/>
      <c r="AL114" s="540"/>
      <c r="AM114" s="540"/>
      <c r="AN114" s="535"/>
      <c r="AO114" s="536" t="str">
        <f>Application!B729</f>
        <v>2 Bedrooms</v>
      </c>
      <c r="AQ114" s="536">
        <f>Application!O729</f>
        <v>2933</v>
      </c>
      <c r="AU114" s="536" t="s">
        <v>1815</v>
      </c>
      <c r="AV114" s="593" t="s">
        <v>1816</v>
      </c>
      <c r="AW114" s="536" t="s">
        <v>1817</v>
      </c>
    </row>
    <row r="115" spans="1:52" s="536" customFormat="1" ht="12.75" customHeight="1">
      <c r="A115" s="540"/>
      <c r="B115" s="539"/>
      <c r="C115" s="539"/>
      <c r="D115" s="539"/>
      <c r="E115" s="2419"/>
      <c r="F115" s="2420"/>
      <c r="G115" s="2420"/>
      <c r="H115" s="2420"/>
      <c r="I115" s="2420"/>
      <c r="J115" s="2420"/>
      <c r="K115" s="2420"/>
      <c r="L115" s="2420"/>
      <c r="M115" s="2420"/>
      <c r="N115" s="2420"/>
      <c r="O115" s="2420"/>
      <c r="P115" s="2420"/>
      <c r="Q115" s="2420"/>
      <c r="R115" s="2420"/>
      <c r="S115" s="2420"/>
      <c r="T115" s="2420"/>
      <c r="U115" s="2420"/>
      <c r="V115" s="2420"/>
      <c r="W115" s="2420"/>
      <c r="X115" s="2420"/>
      <c r="Y115" s="2420"/>
      <c r="Z115" s="2420"/>
      <c r="AA115" s="2420"/>
      <c r="AB115" s="2420"/>
      <c r="AC115" s="2420"/>
      <c r="AD115" s="2420"/>
      <c r="AE115" s="2420"/>
      <c r="AF115" s="2420"/>
      <c r="AG115" s="2420"/>
      <c r="AH115" s="2420"/>
      <c r="AI115" s="2420"/>
      <c r="AJ115" s="2421"/>
      <c r="AK115" s="540"/>
      <c r="AL115" s="540"/>
      <c r="AM115" s="540"/>
      <c r="AN115" s="535"/>
      <c r="AO115" s="536" t="str">
        <f>Application!B730</f>
        <v>3 Bedrooms</v>
      </c>
      <c r="AQ115" s="536">
        <f>Application!O730</f>
        <v>1306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9"/>
      <c r="F116" s="2420"/>
      <c r="G116" s="2420"/>
      <c r="H116" s="2420"/>
      <c r="I116" s="2420"/>
      <c r="J116" s="2420"/>
      <c r="K116" s="2420"/>
      <c r="L116" s="2420"/>
      <c r="M116" s="2420"/>
      <c r="N116" s="2420"/>
      <c r="O116" s="2420"/>
      <c r="P116" s="2420"/>
      <c r="Q116" s="2420"/>
      <c r="R116" s="2420"/>
      <c r="S116" s="2420"/>
      <c r="T116" s="2420"/>
      <c r="U116" s="2420"/>
      <c r="V116" s="2420"/>
      <c r="W116" s="2420"/>
      <c r="X116" s="2420"/>
      <c r="Y116" s="2420"/>
      <c r="Z116" s="2420"/>
      <c r="AA116" s="2420"/>
      <c r="AB116" s="2420"/>
      <c r="AC116" s="2420"/>
      <c r="AD116" s="2420"/>
      <c r="AE116" s="2420"/>
      <c r="AF116" s="2420"/>
      <c r="AG116" s="2420"/>
      <c r="AH116" s="2420"/>
      <c r="AI116" s="2420"/>
      <c r="AJ116" s="2421"/>
      <c r="AK116" s="540"/>
      <c r="AL116" s="540"/>
      <c r="AM116" s="540"/>
      <c r="AN116" s="535"/>
      <c r="AO116" s="536" t="str">
        <f>Application!B731</f>
        <v>3 Bedrooms</v>
      </c>
      <c r="AQ116" s="536">
        <f>Application!O731</f>
        <v>2335</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19"/>
      <c r="F117" s="2420"/>
      <c r="G117" s="2420"/>
      <c r="H117" s="2420"/>
      <c r="I117" s="2420"/>
      <c r="J117" s="2420"/>
      <c r="K117" s="2420"/>
      <c r="L117" s="2420"/>
      <c r="M117" s="2420"/>
      <c r="N117" s="2420"/>
      <c r="O117" s="2420"/>
      <c r="P117" s="2420"/>
      <c r="Q117" s="2420"/>
      <c r="R117" s="2420"/>
      <c r="S117" s="2420"/>
      <c r="T117" s="2420"/>
      <c r="U117" s="2420"/>
      <c r="V117" s="2420"/>
      <c r="W117" s="2420"/>
      <c r="X117" s="2420"/>
      <c r="Y117" s="2420"/>
      <c r="Z117" s="2420"/>
      <c r="AA117" s="2420"/>
      <c r="AB117" s="2420"/>
      <c r="AC117" s="2420"/>
      <c r="AD117" s="2420"/>
      <c r="AE117" s="2420"/>
      <c r="AF117" s="2420"/>
      <c r="AG117" s="2420"/>
      <c r="AH117" s="2420"/>
      <c r="AI117" s="2420"/>
      <c r="AJ117" s="2421"/>
      <c r="AK117" s="540"/>
      <c r="AL117" s="540"/>
      <c r="AM117" s="540"/>
      <c r="AN117" s="535"/>
      <c r="AO117" s="536" t="str">
        <f>Application!B732</f>
        <v>3 Bedrooms</v>
      </c>
      <c r="AQ117" s="536">
        <f>Application!O732</f>
        <v>2849</v>
      </c>
      <c r="AU117" s="852" t="str">
        <f>O123</f>
        <v>2-bedroom</v>
      </c>
      <c r="AV117" s="536">
        <f t="array" ref="AV117">SUM(IF(Application!B726:F760="2 Bedrooms",Application!G726:J760))</f>
        <v>34</v>
      </c>
      <c r="AW117" s="1006">
        <f>AV117/AV121</f>
        <v>0.35789473684210527</v>
      </c>
    </row>
    <row r="118" spans="1:52" s="536" customFormat="1" ht="12.75" customHeight="1">
      <c r="A118" s="540"/>
      <c r="B118" s="539"/>
      <c r="C118" s="539"/>
      <c r="D118" s="539"/>
      <c r="E118" s="2419"/>
      <c r="F118" s="2420"/>
      <c r="G118" s="2420"/>
      <c r="H118" s="2420"/>
      <c r="I118" s="2420"/>
      <c r="J118" s="2420"/>
      <c r="K118" s="2420"/>
      <c r="L118" s="2420"/>
      <c r="M118" s="2420"/>
      <c r="N118" s="2420"/>
      <c r="O118" s="2420"/>
      <c r="P118" s="2420"/>
      <c r="Q118" s="2420"/>
      <c r="R118" s="2420"/>
      <c r="S118" s="2420"/>
      <c r="T118" s="2420"/>
      <c r="U118" s="2420"/>
      <c r="V118" s="2420"/>
      <c r="W118" s="2420"/>
      <c r="X118" s="2420"/>
      <c r="Y118" s="2420"/>
      <c r="Z118" s="2420"/>
      <c r="AA118" s="2420"/>
      <c r="AB118" s="2420"/>
      <c r="AC118" s="2420"/>
      <c r="AD118" s="2420"/>
      <c r="AE118" s="2420"/>
      <c r="AF118" s="2420"/>
      <c r="AG118" s="2420"/>
      <c r="AH118" s="2420"/>
      <c r="AI118" s="2420"/>
      <c r="AJ118" s="2421"/>
      <c r="AK118" s="540"/>
      <c r="AL118" s="540"/>
      <c r="AM118" s="540"/>
      <c r="AN118" s="535"/>
      <c r="AO118" s="536" t="str">
        <f>Application!B733</f>
        <v>3 Bedrooms</v>
      </c>
      <c r="AQ118" s="536">
        <f>Application!O733</f>
        <v>3363</v>
      </c>
      <c r="AU118" s="852" t="str">
        <f>T123</f>
        <v>3-bedroom</v>
      </c>
      <c r="AV118" s="536">
        <f t="array" ref="AV118">SUM(IF(Application!B726:F760="3 Bedrooms",Application!G726:J760))</f>
        <v>61</v>
      </c>
      <c r="AW118" s="1006">
        <f>AV118/AV121</f>
        <v>0.64210526315789473</v>
      </c>
    </row>
    <row r="119" spans="1:52" s="536" customFormat="1" ht="12.75" customHeight="1">
      <c r="A119" s="540"/>
      <c r="B119" s="539"/>
      <c r="C119" s="539"/>
      <c r="D119" s="539"/>
      <c r="E119" s="2419"/>
      <c r="F119" s="2420"/>
      <c r="G119" s="2420"/>
      <c r="H119" s="2420"/>
      <c r="I119" s="2420"/>
      <c r="J119" s="2420"/>
      <c r="K119" s="2420"/>
      <c r="L119" s="2420"/>
      <c r="M119" s="2420"/>
      <c r="N119" s="2420"/>
      <c r="O119" s="2420"/>
      <c r="P119" s="2420"/>
      <c r="Q119" s="2420"/>
      <c r="R119" s="2420"/>
      <c r="S119" s="2420"/>
      <c r="T119" s="2420"/>
      <c r="U119" s="2420"/>
      <c r="V119" s="2420"/>
      <c r="W119" s="2420"/>
      <c r="X119" s="2420"/>
      <c r="Y119" s="2420"/>
      <c r="Z119" s="2420"/>
      <c r="AA119" s="2420"/>
      <c r="AB119" s="2420"/>
      <c r="AC119" s="2420"/>
      <c r="AD119" s="2420"/>
      <c r="AE119" s="2420"/>
      <c r="AF119" s="2420"/>
      <c r="AG119" s="2420"/>
      <c r="AH119" s="2420"/>
      <c r="AI119" s="2420"/>
      <c r="AJ119" s="2421"/>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9"/>
      <c r="F120" s="2420"/>
      <c r="G120" s="2420"/>
      <c r="H120" s="2420"/>
      <c r="I120" s="2420"/>
      <c r="J120" s="2420"/>
      <c r="K120" s="2420"/>
      <c r="L120" s="2420"/>
      <c r="M120" s="2420"/>
      <c r="N120" s="2420"/>
      <c r="O120" s="2420"/>
      <c r="P120" s="2420"/>
      <c r="Q120" s="2420"/>
      <c r="R120" s="2420"/>
      <c r="S120" s="2420"/>
      <c r="T120" s="2420"/>
      <c r="U120" s="2420"/>
      <c r="V120" s="2420"/>
      <c r="W120" s="2420"/>
      <c r="X120" s="2420"/>
      <c r="Y120" s="2420"/>
      <c r="Z120" s="2420"/>
      <c r="AA120" s="2420"/>
      <c r="AB120" s="2420"/>
      <c r="AC120" s="2420"/>
      <c r="AD120" s="2420"/>
      <c r="AE120" s="2420"/>
      <c r="AF120" s="2420"/>
      <c r="AG120" s="2420"/>
      <c r="AH120" s="2420"/>
      <c r="AI120" s="2420"/>
      <c r="AJ120" s="2421"/>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9"/>
      <c r="F121" s="2420"/>
      <c r="G121" s="2420"/>
      <c r="H121" s="2420"/>
      <c r="I121" s="2420"/>
      <c r="J121" s="2420"/>
      <c r="K121" s="2420"/>
      <c r="L121" s="2420"/>
      <c r="M121" s="2420"/>
      <c r="N121" s="2420"/>
      <c r="O121" s="2420"/>
      <c r="P121" s="2420"/>
      <c r="Q121" s="2420"/>
      <c r="R121" s="2420"/>
      <c r="S121" s="2420"/>
      <c r="T121" s="2420"/>
      <c r="U121" s="2420"/>
      <c r="V121" s="2420"/>
      <c r="W121" s="2420"/>
      <c r="X121" s="2420"/>
      <c r="Y121" s="2420"/>
      <c r="Z121" s="2420"/>
      <c r="AA121" s="2420"/>
      <c r="AB121" s="2420"/>
      <c r="AC121" s="2420"/>
      <c r="AD121" s="2420"/>
      <c r="AE121" s="2420"/>
      <c r="AF121" s="2420"/>
      <c r="AG121" s="2420"/>
      <c r="AH121" s="2420"/>
      <c r="AI121" s="2420"/>
      <c r="AJ121" s="2421"/>
      <c r="AK121" s="540"/>
      <c r="AL121" s="540"/>
      <c r="AM121" s="540"/>
      <c r="AN121" s="535"/>
      <c r="AO121" s="536">
        <f>Application!B736</f>
        <v>0</v>
      </c>
      <c r="AQ121" s="536">
        <f>Application!O736</f>
        <v>0</v>
      </c>
      <c r="AV121" s="536">
        <f>SUM(AV115:AV120)</f>
        <v>95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2" t="s">
        <v>1576</v>
      </c>
      <c r="F123" s="2413"/>
      <c r="G123" s="2413"/>
      <c r="H123" s="2413"/>
      <c r="I123" s="575"/>
      <c r="J123" s="2413" t="s">
        <v>1619</v>
      </c>
      <c r="K123" s="2413"/>
      <c r="L123" s="2413"/>
      <c r="M123" s="2413"/>
      <c r="N123" s="575"/>
      <c r="O123" s="2413" t="s">
        <v>1620</v>
      </c>
      <c r="P123" s="2413"/>
      <c r="Q123" s="2413"/>
      <c r="R123" s="2413"/>
      <c r="S123" s="575"/>
      <c r="T123" s="2413" t="s">
        <v>1327</v>
      </c>
      <c r="U123" s="2413"/>
      <c r="V123" s="2413"/>
      <c r="W123" s="2413"/>
      <c r="X123" s="575"/>
      <c r="Y123" s="2413" t="s">
        <v>1621</v>
      </c>
      <c r="Z123" s="2413"/>
      <c r="AA123" s="2413"/>
      <c r="AB123" s="2413"/>
      <c r="AC123" s="575"/>
      <c r="AD123" s="2413" t="s">
        <v>1622</v>
      </c>
      <c r="AE123" s="2413"/>
      <c r="AF123" s="2413"/>
      <c r="AG123" s="241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9"/>
      <c r="F126" s="2450"/>
      <c r="G126" s="2450"/>
      <c r="H126" s="2450"/>
      <c r="I126" s="860"/>
      <c r="J126" s="2450"/>
      <c r="K126" s="2450"/>
      <c r="L126" s="2450"/>
      <c r="M126" s="2450"/>
      <c r="N126" s="860"/>
      <c r="O126" s="2450">
        <v>3576</v>
      </c>
      <c r="P126" s="2450"/>
      <c r="Q126" s="2450"/>
      <c r="R126" s="2450"/>
      <c r="S126" s="860"/>
      <c r="T126" s="2450">
        <v>3918</v>
      </c>
      <c r="U126" s="2450"/>
      <c r="V126" s="2450"/>
      <c r="W126" s="2450"/>
      <c r="X126" s="860"/>
      <c r="Y126" s="2450"/>
      <c r="Z126" s="2450"/>
      <c r="AA126" s="2450"/>
      <c r="AB126" s="2450"/>
      <c r="AC126" s="860"/>
      <c r="AD126" s="2450"/>
      <c r="AE126" s="2450"/>
      <c r="AF126" s="2450"/>
      <c r="AG126" s="245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3">
        <f>Application!DX678</f>
        <v>0</v>
      </c>
      <c r="F129" s="2424"/>
      <c r="G129" s="2424"/>
      <c r="H129" s="2424"/>
      <c r="I129" s="860"/>
      <c r="J129" s="2424">
        <f>Application!EC678</f>
        <v>0</v>
      </c>
      <c r="K129" s="2424"/>
      <c r="L129" s="2424"/>
      <c r="M129" s="2424"/>
      <c r="N129" s="860"/>
      <c r="O129" s="2424">
        <f>Application!EH678</f>
        <v>2461.8235294117649</v>
      </c>
      <c r="P129" s="2424"/>
      <c r="Q129" s="2424"/>
      <c r="R129" s="2424"/>
      <c r="S129" s="864"/>
      <c r="T129" s="2424">
        <f>Application!EM678</f>
        <v>2857.311475409836</v>
      </c>
      <c r="U129" s="2424"/>
      <c r="V129" s="2424"/>
      <c r="W129" s="2424"/>
      <c r="X129" s="864"/>
      <c r="Y129" s="2424">
        <f>Application!ER678</f>
        <v>0</v>
      </c>
      <c r="Z129" s="2424"/>
      <c r="AA129" s="2424"/>
      <c r="AB129" s="2424"/>
      <c r="AC129" s="864"/>
      <c r="AD129" s="2424">
        <f>Application!EW678</f>
        <v>0</v>
      </c>
      <c r="AE129" s="2424"/>
      <c r="AF129" s="2424"/>
      <c r="AG129" s="242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2" t="e">
        <f>(E126-E129)/E126</f>
        <v>#DIV/0!</v>
      </c>
      <c r="F132" s="2415"/>
      <c r="G132" s="2415"/>
      <c r="H132" s="2623"/>
      <c r="I132" s="575"/>
      <c r="J132" s="2622" t="e">
        <f>(J126-J129)/J126</f>
        <v>#DIV/0!</v>
      </c>
      <c r="K132" s="2415"/>
      <c r="L132" s="2415"/>
      <c r="M132" s="2623"/>
      <c r="N132" s="575"/>
      <c r="O132" s="2622">
        <f>(O126-O129)/O126</f>
        <v>0.31157060139492032</v>
      </c>
      <c r="P132" s="2415"/>
      <c r="Q132" s="2415"/>
      <c r="R132" s="2623"/>
      <c r="S132" s="575"/>
      <c r="T132" s="2622">
        <f>(T126-T129)/T126</f>
        <v>0.27072193072745382</v>
      </c>
      <c r="U132" s="2415"/>
      <c r="V132" s="2415"/>
      <c r="W132" s="2623"/>
      <c r="X132" s="575"/>
      <c r="Y132" s="2622" t="e">
        <f>(Y126-Y129)/Y126</f>
        <v>#DIV/0!</v>
      </c>
      <c r="Z132" s="2415"/>
      <c r="AA132" s="2415"/>
      <c r="AB132" s="2623"/>
      <c r="AC132" s="575"/>
      <c r="AD132" s="2622" t="e">
        <f>(AD126-AD129)/AD126</f>
        <v>#DIV/0!</v>
      </c>
      <c r="AE132" s="2415"/>
      <c r="AF132" s="2415"/>
      <c r="AG132" s="26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8" t="e">
        <f>IF(((E132-0.1)*AW115)&gt;0,((E132-0.1)*AW115),0)</f>
        <v>#DIV/0!</v>
      </c>
      <c r="F135" s="2439"/>
      <c r="G135" s="2439"/>
      <c r="H135" s="2440"/>
      <c r="I135" s="575"/>
      <c r="J135" s="2438" t="e">
        <f>IF(((J132-0.1)*AW116)&gt;0,((J132-0.1)*AW116),0)</f>
        <v>#DIV/0!</v>
      </c>
      <c r="K135" s="2439"/>
      <c r="L135" s="2439"/>
      <c r="M135" s="2440"/>
      <c r="N135" s="575"/>
      <c r="O135" s="2438">
        <f>IF(((O132-0.1)*AW117)&gt;0,((O132-0.1)*AW117),0)</f>
        <v>7.5720004709760952E-2</v>
      </c>
      <c r="P135" s="2439"/>
      <c r="Q135" s="2439"/>
      <c r="R135" s="2440"/>
      <c r="S135" s="575"/>
      <c r="T135" s="2438">
        <f>IF(((T132-0.1)*AW118)&gt;0,((T132-0.1)*AW118),0)</f>
        <v>0.1096214502565756</v>
      </c>
      <c r="U135" s="2439"/>
      <c r="V135" s="2439"/>
      <c r="W135" s="2440"/>
      <c r="X135" s="575"/>
      <c r="Y135" s="2438" t="e">
        <f>IF(((Y132-0.1)*AW119)&gt;0,((Y132-0.1)*AW119),0)</f>
        <v>#DIV/0!</v>
      </c>
      <c r="Z135" s="2439"/>
      <c r="AA135" s="2439"/>
      <c r="AB135" s="2440"/>
      <c r="AC135" s="575"/>
      <c r="AD135" s="2438" t="e">
        <f>IF(((AD132-0.1)*AW120)&gt;0,((AD132-0.1)*AW120),0)</f>
        <v>#DIV/0!</v>
      </c>
      <c r="AE135" s="2439"/>
      <c r="AF135" s="2439"/>
      <c r="AG135" s="244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2">
        <f>ROUNDDOWN(SUMIF(E135:AG135,"&gt;0"),2)</f>
        <v>0.18</v>
      </c>
      <c r="F137" s="2415"/>
      <c r="G137" s="2415"/>
      <c r="H137" s="262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9">
        <f>IF((E137*100)&gt;10,10,E137*100)</f>
        <v>10</v>
      </c>
      <c r="F138" s="2430"/>
      <c r="G138" s="2430"/>
      <c r="H138" s="2431"/>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9">
        <f>E138</f>
        <v>10</v>
      </c>
      <c r="AL142" s="2430"/>
      <c r="AM142" s="243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8" t="s">
        <v>1307</v>
      </c>
      <c r="AF145" s="2418"/>
      <c r="AG145" s="2418"/>
      <c r="AH145" s="2418"/>
      <c r="AI145" s="2418"/>
      <c r="AJ145" s="2418"/>
      <c r="AK145" s="2418"/>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1" t="s">
        <v>1331</v>
      </c>
      <c r="AG147" s="2451"/>
      <c r="AH147" s="2451"/>
      <c r="AI147" s="2451"/>
      <c r="AJ147" s="2451"/>
      <c r="AK147" s="2451"/>
      <c r="AL147" s="2451"/>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1" t="s">
        <v>2751</v>
      </c>
      <c r="C149" s="2461"/>
      <c r="D149" s="2461"/>
      <c r="E149" s="2461"/>
      <c r="F149" s="2461"/>
      <c r="G149" s="2461"/>
      <c r="H149" s="2461"/>
      <c r="I149" s="2461"/>
      <c r="J149" s="2461"/>
      <c r="K149" s="2461"/>
      <c r="L149" s="2461"/>
      <c r="M149" s="2461"/>
      <c r="N149" s="2461"/>
      <c r="O149" s="2461"/>
      <c r="P149" s="2461"/>
      <c r="Q149" s="2461"/>
      <c r="R149" s="2461"/>
      <c r="S149" s="2461"/>
      <c r="T149" s="2461"/>
      <c r="U149" s="2461"/>
      <c r="V149" s="2461"/>
      <c r="W149" s="2461"/>
      <c r="X149" s="2461"/>
      <c r="Y149" s="2461"/>
      <c r="Z149" s="2461"/>
      <c r="AA149" s="2461"/>
      <c r="AB149" s="2461"/>
      <c r="AC149" s="246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2" t="s">
        <v>1334</v>
      </c>
      <c r="C152" s="2462"/>
      <c r="D152" s="2462"/>
      <c r="E152" s="2462"/>
      <c r="F152" s="2462"/>
      <c r="G152" s="2462"/>
      <c r="H152" s="2462"/>
      <c r="I152" s="2462"/>
      <c r="J152" s="2462"/>
      <c r="K152" s="2462"/>
      <c r="L152" s="2462"/>
      <c r="M152" s="2462"/>
      <c r="N152" s="2462"/>
      <c r="O152" s="2462"/>
      <c r="P152" s="2462"/>
      <c r="Q152" s="2462"/>
      <c r="R152" s="2462"/>
      <c r="S152" s="2462"/>
      <c r="T152" s="2462"/>
      <c r="U152" s="2462"/>
      <c r="V152" s="2462"/>
      <c r="W152" s="2462"/>
      <c r="X152" s="2462"/>
      <c r="Y152" s="2462"/>
      <c r="Z152" s="2462"/>
      <c r="AA152" s="2462"/>
      <c r="AB152" s="2462"/>
      <c r="AC152" s="2462"/>
      <c r="AD152" s="2462"/>
      <c r="AE152" s="2462"/>
      <c r="AF152" s="2462"/>
      <c r="AG152" s="2462"/>
      <c r="AH152" s="2462"/>
      <c r="AI152" s="2462"/>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63" t="s">
        <v>591</v>
      </c>
      <c r="AC154" s="246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2" t="s">
        <v>1336</v>
      </c>
      <c r="C157" s="2462"/>
      <c r="D157" s="2462"/>
      <c r="E157" s="2462"/>
      <c r="F157" s="2462"/>
      <c r="G157" s="2462"/>
      <c r="H157" s="2462"/>
      <c r="I157" s="2462"/>
      <c r="J157" s="2462"/>
      <c r="K157" s="2462"/>
      <c r="L157" s="2462"/>
      <c r="M157" s="2462"/>
      <c r="N157" s="2462"/>
      <c r="O157" s="2462"/>
      <c r="P157" s="2462"/>
      <c r="Q157" s="2462"/>
      <c r="R157" s="2462"/>
      <c r="S157" s="2462"/>
      <c r="T157" s="2462"/>
      <c r="U157" s="2462"/>
      <c r="V157" s="2462"/>
      <c r="W157" s="2462"/>
      <c r="X157" s="2462"/>
      <c r="Y157" s="2462"/>
      <c r="Z157" s="2462"/>
      <c r="AA157" s="2462"/>
      <c r="AB157" s="2462"/>
      <c r="AC157" s="2462"/>
      <c r="AD157" s="2462"/>
      <c r="AE157" s="2462"/>
      <c r="AF157" s="2462"/>
      <c r="AG157" s="2462"/>
      <c r="AH157" s="2462"/>
      <c r="AI157" s="2462"/>
      <c r="AJ157" s="2462"/>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7" t="s">
        <v>2404</v>
      </c>
      <c r="C160" s="2627"/>
      <c r="D160" s="2627"/>
      <c r="E160" s="2627"/>
      <c r="F160" s="2627"/>
      <c r="G160" s="2627"/>
      <c r="H160" s="2627"/>
      <c r="I160" s="2627"/>
      <c r="J160" s="2627"/>
      <c r="K160" s="2627"/>
      <c r="L160" s="2627"/>
      <c r="M160" s="2627"/>
      <c r="N160" s="2627"/>
      <c r="O160" s="2627"/>
      <c r="P160" s="2627"/>
      <c r="Q160" s="2627"/>
      <c r="R160" s="2627"/>
      <c r="S160" s="2627"/>
      <c r="T160" s="2627"/>
      <c r="U160" s="2627"/>
      <c r="V160" s="2627"/>
      <c r="W160" s="2627"/>
      <c r="X160" s="2627"/>
      <c r="Y160" s="2627"/>
      <c r="Z160" s="2627"/>
      <c r="AA160" s="2627"/>
      <c r="AB160" s="2627"/>
      <c r="AC160" s="2627"/>
      <c r="AD160" s="2627"/>
      <c r="AE160" s="2627"/>
      <c r="AF160" s="2627"/>
      <c r="AG160" s="2627"/>
      <c r="AH160" s="2627"/>
      <c r="AI160" s="2627"/>
      <c r="AJ160" s="2627"/>
      <c r="AK160" s="1173"/>
      <c r="AM160" s="539"/>
      <c r="AN160" s="535"/>
      <c r="AO160" s="476"/>
      <c r="AP160" s="489"/>
    </row>
    <row r="161" spans="1:42" s="536" customFormat="1" ht="12.75" customHeight="1">
      <c r="B161" s="2627"/>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73"/>
      <c r="AM161" s="539"/>
      <c r="AN161" s="535"/>
      <c r="AO161" s="476"/>
      <c r="AP161" s="489"/>
    </row>
    <row r="162" spans="1:42" s="536" customFormat="1" ht="12.75" customHeight="1">
      <c r="C162" s="2538" t="s">
        <v>2405</v>
      </c>
      <c r="D162" s="2538"/>
      <c r="E162" s="2538"/>
      <c r="F162" s="2538"/>
      <c r="G162" s="2538"/>
      <c r="H162" s="2538"/>
      <c r="I162" s="2538"/>
      <c r="J162" s="2538"/>
      <c r="K162" s="2538"/>
      <c r="L162" s="2538"/>
      <c r="M162" s="2538"/>
      <c r="N162" s="2538"/>
      <c r="O162" s="2538"/>
      <c r="P162" s="2538"/>
      <c r="Q162" s="2538"/>
      <c r="R162" s="2538"/>
      <c r="S162" s="2538"/>
      <c r="T162" s="2538"/>
      <c r="U162" s="2538"/>
      <c r="V162" s="2538"/>
      <c r="W162" s="2538"/>
      <c r="X162" s="2538"/>
      <c r="Y162" s="2538"/>
      <c r="Z162" s="2538"/>
      <c r="AA162" s="2538"/>
      <c r="AB162" s="2538"/>
      <c r="AC162" s="2538"/>
      <c r="AD162" s="2538"/>
      <c r="AE162" s="2538"/>
      <c r="AF162" s="2538"/>
      <c r="AG162" s="2538"/>
      <c r="AH162" s="2538"/>
      <c r="AI162" s="2538"/>
      <c r="AJ162" s="2538"/>
      <c r="AK162" s="1173"/>
      <c r="AM162" s="539"/>
      <c r="AN162" s="535"/>
      <c r="AO162" s="476"/>
      <c r="AP162" s="489"/>
    </row>
    <row r="163" spans="1:42" s="536" customFormat="1" ht="12.75" customHeight="1">
      <c r="B163" s="1173"/>
      <c r="C163" s="2460" t="s">
        <v>2403</v>
      </c>
      <c r="D163" s="2460"/>
      <c r="E163" s="2460"/>
      <c r="F163" s="2460"/>
      <c r="G163" s="2460"/>
      <c r="H163" s="2460"/>
      <c r="I163" s="2460"/>
      <c r="J163" s="2460"/>
      <c r="K163" s="2460"/>
      <c r="L163" s="2460"/>
      <c r="M163" s="2460"/>
      <c r="N163" s="2460"/>
      <c r="O163" s="2460"/>
      <c r="P163" s="2460"/>
      <c r="Q163" s="2460"/>
      <c r="R163" s="2460"/>
      <c r="S163" s="2460"/>
      <c r="T163" s="2460"/>
      <c r="U163" s="2460"/>
      <c r="V163" s="2460"/>
      <c r="W163" s="2460"/>
      <c r="X163" s="2460"/>
      <c r="Y163" s="2460"/>
      <c r="Z163" s="2460"/>
      <c r="AA163" s="1163"/>
      <c r="AB163" s="1163"/>
      <c r="AC163" s="1163"/>
      <c r="AD163" s="1163"/>
      <c r="AE163" s="1163"/>
      <c r="AF163" s="1163"/>
      <c r="AG163" s="1163"/>
      <c r="AH163" s="1163"/>
      <c r="AJ163" s="2463" t="s">
        <v>591</v>
      </c>
      <c r="AK163" s="246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6">
        <f>IF($AB$154="N/A",VLOOKUP($B$152,$AO$150:$AP$153,2,FALSE),VLOOKUP($B$157,$AO$155:$AP$157,2,FALSE))</f>
        <v>7</v>
      </c>
      <c r="AK165" s="246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1" t="s">
        <v>1345</v>
      </c>
      <c r="AG167" s="2451"/>
      <c r="AH167" s="2451"/>
      <c r="AI167" s="2451"/>
      <c r="AJ167" s="2451"/>
      <c r="AK167" s="2451"/>
      <c r="AL167" s="2451"/>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2" t="s">
        <v>1343</v>
      </c>
      <c r="D169" s="2462"/>
      <c r="E169" s="2462"/>
      <c r="F169" s="2462"/>
      <c r="G169" s="2462"/>
      <c r="H169" s="2462"/>
      <c r="I169" s="2462"/>
      <c r="J169" s="2462"/>
      <c r="K169" s="2462"/>
      <c r="L169" s="2462"/>
      <c r="M169" s="2462"/>
      <c r="N169" s="2462"/>
      <c r="O169" s="2462"/>
      <c r="P169" s="2462"/>
      <c r="Q169" s="2462"/>
      <c r="R169" s="2462"/>
      <c r="S169" s="2462"/>
      <c r="T169" s="2462"/>
      <c r="U169" s="2462"/>
      <c r="V169" s="2462"/>
      <c r="W169" s="2462"/>
      <c r="X169" s="2462"/>
      <c r="Y169" s="2462"/>
      <c r="Z169" s="2462"/>
      <c r="AA169" s="2462"/>
      <c r="AB169" s="2462"/>
      <c r="AC169" s="2462"/>
      <c r="AD169" s="2462"/>
      <c r="AE169" s="2462"/>
      <c r="AF169" s="2462"/>
      <c r="AG169" s="2462"/>
      <c r="AH169" s="2462"/>
      <c r="AI169" s="2462"/>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3" t="s">
        <v>591</v>
      </c>
      <c r="AG171" s="2463"/>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2" t="s">
        <v>1336</v>
      </c>
      <c r="D173" s="2462"/>
      <c r="E173" s="2462"/>
      <c r="F173" s="2462"/>
      <c r="G173" s="2462"/>
      <c r="H173" s="2462"/>
      <c r="I173" s="2462"/>
      <c r="J173" s="2462"/>
      <c r="K173" s="2462"/>
      <c r="L173" s="2462"/>
      <c r="M173" s="2462"/>
      <c r="N173" s="2462"/>
      <c r="O173" s="2462"/>
      <c r="P173" s="2462"/>
      <c r="Q173" s="2462"/>
      <c r="R173" s="2462"/>
      <c r="S173" s="2462"/>
      <c r="T173" s="2462"/>
      <c r="U173" s="2462"/>
      <c r="V173" s="2462"/>
      <c r="W173" s="2462"/>
      <c r="X173" s="2462"/>
      <c r="Y173" s="2462"/>
      <c r="Z173" s="2462"/>
      <c r="AA173" s="2462"/>
      <c r="AB173" s="2462"/>
      <c r="AC173" s="2462"/>
      <c r="AD173" s="2462"/>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4" t="str">
        <f>Application!AA344</f>
        <v>FPI Management Inc</v>
      </c>
      <c r="D177" s="2464"/>
      <c r="E177" s="2464"/>
      <c r="F177" s="2464"/>
      <c r="G177" s="2464"/>
      <c r="H177" s="2464"/>
      <c r="I177" s="2464"/>
      <c r="J177" s="2464"/>
      <c r="K177" s="2464"/>
      <c r="L177" s="2464"/>
      <c r="M177" s="2464"/>
      <c r="N177" s="2464"/>
      <c r="O177" s="2464"/>
      <c r="P177" s="2464"/>
      <c r="Q177" s="2464"/>
      <c r="R177" s="2464"/>
      <c r="S177" s="2464"/>
      <c r="T177" s="2464"/>
      <c r="U177" s="2464"/>
      <c r="V177" s="2464"/>
      <c r="W177" s="2464"/>
      <c r="X177" s="2464"/>
      <c r="Y177" s="2464"/>
      <c r="Z177" s="2464"/>
      <c r="AA177" s="2464"/>
      <c r="AB177" s="2464"/>
      <c r="AC177" s="2464"/>
      <c r="AD177" s="2464"/>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5">
        <f>IF($AF$171="N/A",VLOOKUP($C$169,$AO$169:$AP$172,2,FALSE),VLOOKUP($C$173,$AO$176:$AP$178,2,FALSE))</f>
        <v>3</v>
      </c>
      <c r="AK179" s="246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9">
        <f>$AJ$165+$AJ$179</f>
        <v>10</v>
      </c>
      <c r="AL182" s="2430"/>
      <c r="AM182" s="243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8" t="s">
        <v>1307</v>
      </c>
      <c r="AF185" s="2418"/>
      <c r="AG185" s="2418"/>
      <c r="AH185" s="2418"/>
      <c r="AI185" s="2418"/>
      <c r="AJ185" s="2418"/>
      <c r="AK185" s="241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9" t="s">
        <v>1040</v>
      </c>
      <c r="C187" s="2459"/>
      <c r="D187" s="2459"/>
      <c r="E187" s="2459"/>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536"/>
      <c r="AE187" s="536"/>
      <c r="AF187" s="2451" t="s">
        <v>1356</v>
      </c>
      <c r="AG187" s="2451"/>
      <c r="AH187" s="2451"/>
      <c r="AI187" s="2451"/>
      <c r="AJ187" s="2451"/>
      <c r="AK187" s="2451"/>
      <c r="AL187" s="2451"/>
      <c r="AN187" s="595"/>
      <c r="AP187" s="549" t="s">
        <v>1042</v>
      </c>
      <c r="AQ187" s="549">
        <v>10</v>
      </c>
    </row>
    <row r="188" spans="1:73" s="549" customFormat="1" ht="12.75" customHeight="1">
      <c r="A188" s="536"/>
      <c r="B188" s="2460" t="s">
        <v>1714</v>
      </c>
      <c r="C188" s="2460"/>
      <c r="D188" s="2460"/>
      <c r="E188" s="2460"/>
      <c r="F188" s="2460"/>
      <c r="G188" s="2460"/>
      <c r="H188" s="2460"/>
      <c r="I188" s="2460"/>
      <c r="J188" s="2460"/>
      <c r="K188" s="2460"/>
      <c r="L188" s="2460"/>
      <c r="M188" s="2460"/>
      <c r="N188" s="2460"/>
      <c r="O188" s="2460"/>
      <c r="P188" s="2460"/>
      <c r="Q188" s="2460"/>
      <c r="R188" s="2460"/>
      <c r="S188" s="2460"/>
      <c r="T188" s="2461" t="s">
        <v>591</v>
      </c>
      <c r="U188" s="2461"/>
      <c r="V188" s="2461"/>
      <c r="W188" s="2461"/>
      <c r="X188" s="2461"/>
      <c r="Y188" s="2461"/>
      <c r="Z188" s="2461"/>
      <c r="AA188" s="2461"/>
      <c r="AB188" s="2461"/>
      <c r="AC188" s="2461"/>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6">
        <f>IF(AK83&gt;0,VLOOKUP($B$187,AP184:AQ190,2,FALSE),0)</f>
        <v>10</v>
      </c>
      <c r="AL190" s="2477"/>
      <c r="AM190" s="2478"/>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8" t="s">
        <v>1364</v>
      </c>
      <c r="AF193" s="2418"/>
      <c r="AG193" s="2418"/>
      <c r="AH193" s="2418"/>
      <c r="AI193" s="2418"/>
      <c r="AJ193" s="2418"/>
      <c r="AK193" s="2418"/>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3"/>
      <c r="C198" s="2453"/>
      <c r="D198" s="2453"/>
      <c r="E198" s="2453"/>
      <c r="F198" s="2453"/>
      <c r="G198" s="2453"/>
      <c r="H198" s="2453"/>
      <c r="I198" s="2453"/>
      <c r="J198" s="2453"/>
      <c r="K198" s="2453"/>
      <c r="L198" s="2453"/>
      <c r="M198" s="2453"/>
      <c r="N198" s="2453"/>
      <c r="O198" s="2453"/>
      <c r="P198" s="2453"/>
      <c r="Q198" s="2453"/>
      <c r="R198" s="2453"/>
      <c r="S198" s="2453"/>
      <c r="T198" s="2453"/>
      <c r="U198" s="2453"/>
      <c r="V198" s="2453"/>
      <c r="W198" s="2453"/>
      <c r="X198" s="2453"/>
      <c r="Y198" s="2453"/>
      <c r="Z198" s="2453"/>
      <c r="AA198" s="2453"/>
      <c r="AB198" s="2453"/>
      <c r="AC198" s="842"/>
      <c r="AD198" s="2454"/>
      <c r="AE198" s="2454"/>
      <c r="AF198" s="2454"/>
      <c r="AG198" s="2454"/>
      <c r="AH198" s="2454"/>
      <c r="AI198" s="2454"/>
      <c r="AJ198" s="2454"/>
      <c r="AK198" s="608"/>
    </row>
    <row r="199" spans="1:37" hidden="1">
      <c r="A199" s="603"/>
      <c r="B199" s="2453"/>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2"/>
      <c r="AD199" s="2454"/>
      <c r="AE199" s="2454"/>
      <c r="AF199" s="2454"/>
      <c r="AG199" s="2454"/>
      <c r="AH199" s="2454"/>
      <c r="AI199" s="2454"/>
      <c r="AJ199" s="2454"/>
      <c r="AK199" s="608"/>
    </row>
    <row r="200" spans="1:37" hidden="1">
      <c r="A200" s="603"/>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2"/>
      <c r="AD200" s="2454"/>
      <c r="AE200" s="2454"/>
      <c r="AF200" s="2454"/>
      <c r="AG200" s="2454"/>
      <c r="AH200" s="2454"/>
      <c r="AI200" s="2454"/>
      <c r="AJ200" s="2454"/>
      <c r="AK200" s="608"/>
    </row>
    <row r="201" spans="1:37" hidden="1">
      <c r="A201" s="603"/>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2"/>
      <c r="AD201" s="2454"/>
      <c r="AE201" s="2454"/>
      <c r="AF201" s="2454"/>
      <c r="AG201" s="2454"/>
      <c r="AH201" s="2454"/>
      <c r="AI201" s="2454"/>
      <c r="AJ201" s="2454"/>
      <c r="AK201" s="608"/>
    </row>
    <row r="202" spans="1:37" hidden="1">
      <c r="A202" s="603"/>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2"/>
      <c r="AD202" s="2454"/>
      <c r="AE202" s="2454"/>
      <c r="AF202" s="2454"/>
      <c r="AG202" s="2454"/>
      <c r="AH202" s="2454"/>
      <c r="AI202" s="2454"/>
      <c r="AJ202" s="2454"/>
      <c r="AK202" s="608"/>
    </row>
    <row r="203" spans="1:37" hidden="1">
      <c r="A203" s="603"/>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2"/>
      <c r="AD203" s="2454"/>
      <c r="AE203" s="2454"/>
      <c r="AF203" s="2454"/>
      <c r="AG203" s="2454"/>
      <c r="AH203" s="2454"/>
      <c r="AI203" s="2454"/>
      <c r="AJ203" s="2454"/>
      <c r="AK203" s="608"/>
    </row>
    <row r="204" spans="1:37" hidden="1">
      <c r="A204" s="603"/>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2"/>
      <c r="AD204" s="2454"/>
      <c r="AE204" s="2454"/>
      <c r="AF204" s="2454"/>
      <c r="AG204" s="2454"/>
      <c r="AH204" s="2454"/>
      <c r="AI204" s="2454"/>
      <c r="AJ204" s="2454"/>
      <c r="AK204" s="608"/>
    </row>
    <row r="205" spans="1:37" hidden="1">
      <c r="A205" s="603"/>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2"/>
      <c r="AD205" s="2454"/>
      <c r="AE205" s="2454"/>
      <c r="AF205" s="2454"/>
      <c r="AG205" s="2454"/>
      <c r="AH205" s="2454"/>
      <c r="AI205" s="2454"/>
      <c r="AJ205" s="2454"/>
      <c r="AK205" s="608"/>
    </row>
    <row r="206" spans="1:37" hidden="1">
      <c r="A206" s="603"/>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2"/>
      <c r="AD206" s="2454"/>
      <c r="AE206" s="2454"/>
      <c r="AF206" s="2454"/>
      <c r="AG206" s="2454"/>
      <c r="AH206" s="2454"/>
      <c r="AI206" s="2454"/>
      <c r="AJ206" s="2454"/>
      <c r="AK206" s="608"/>
    </row>
    <row r="207" spans="1:37" hidden="1">
      <c r="A207" s="603"/>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2"/>
      <c r="AD207" s="2454"/>
      <c r="AE207" s="2454"/>
      <c r="AF207" s="2454"/>
      <c r="AG207" s="2454"/>
      <c r="AH207" s="2454"/>
      <c r="AI207" s="2454"/>
      <c r="AJ207" s="2454"/>
      <c r="AK207" s="608"/>
    </row>
    <row r="208" spans="1:37" hidden="1">
      <c r="A208" s="603"/>
      <c r="B208" s="2500" t="s">
        <v>1615</v>
      </c>
      <c r="C208" s="2500"/>
      <c r="D208" s="2500"/>
      <c r="E208" s="2500"/>
      <c r="F208" s="2500"/>
      <c r="G208" s="2500"/>
      <c r="H208" s="2500"/>
      <c r="I208" s="2500"/>
      <c r="J208" s="2500"/>
      <c r="K208" s="2500"/>
      <c r="L208" s="2500"/>
      <c r="M208" s="2500"/>
      <c r="N208" s="2500"/>
      <c r="O208" s="2500"/>
      <c r="P208" s="2500"/>
      <c r="Q208" s="2500"/>
      <c r="R208" s="2500"/>
      <c r="S208" s="2500"/>
      <c r="T208" s="2500"/>
      <c r="U208" s="2500"/>
      <c r="V208" s="2500"/>
      <c r="W208" s="2500"/>
      <c r="X208" s="2500"/>
      <c r="Y208" s="2500"/>
      <c r="Z208" s="2500"/>
      <c r="AA208" s="2500"/>
      <c r="AB208" s="2500"/>
      <c r="AC208" s="536"/>
      <c r="AD208" s="2483">
        <f>AB259</f>
        <v>0</v>
      </c>
      <c r="AE208" s="2483"/>
      <c r="AF208" s="2483"/>
      <c r="AG208" s="2483"/>
      <c r="AH208" s="2483"/>
      <c r="AI208" s="2483"/>
      <c r="AJ208" s="2483"/>
      <c r="AK208" s="608"/>
    </row>
    <row r="209" spans="1:37" hidden="1">
      <c r="A209" s="603"/>
      <c r="B209" s="2638" t="s">
        <v>1578</v>
      </c>
      <c r="C209" s="2638"/>
      <c r="D209" s="2638"/>
      <c r="E209" s="2638"/>
      <c r="F209" s="2638"/>
      <c r="G209" s="2638"/>
      <c r="H209" s="2638"/>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842"/>
      <c r="AD209" s="2484">
        <f>'Sources and Uses Budget'!B15</f>
        <v>0</v>
      </c>
      <c r="AE209" s="2484"/>
      <c r="AF209" s="2484"/>
      <c r="AG209" s="2484"/>
      <c r="AH209" s="2484"/>
      <c r="AI209" s="2484"/>
      <c r="AJ209" s="2484"/>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8">
        <f>SUM(AD198:AJ208)-AD209</f>
        <v>0</v>
      </c>
      <c r="AE210" s="2488"/>
      <c r="AF210" s="2488"/>
      <c r="AG210" s="2488"/>
      <c r="AH210" s="2488"/>
      <c r="AI210" s="2488"/>
      <c r="AJ210" s="248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7" t="s">
        <v>1595</v>
      </c>
      <c r="J221" s="2457"/>
      <c r="K221" s="2457"/>
      <c r="L221" s="536"/>
      <c r="M221" s="536"/>
      <c r="N221" s="536"/>
      <c r="O221" s="536"/>
      <c r="P221" s="536"/>
      <c r="Q221" s="536"/>
      <c r="R221" s="536"/>
      <c r="S221" s="536"/>
      <c r="T221" s="2625" t="s">
        <v>1589</v>
      </c>
      <c r="U221" s="2625"/>
      <c r="V221" s="2625"/>
      <c r="W221" s="2625"/>
      <c r="X221" s="2625"/>
      <c r="Y221" s="2625"/>
      <c r="Z221" s="845"/>
      <c r="AA221" s="489"/>
      <c r="AB221" s="2452" t="s">
        <v>1590</v>
      </c>
      <c r="AC221" s="2452"/>
      <c r="AD221" s="2452"/>
      <c r="AE221" s="2452"/>
      <c r="AF221" s="2452"/>
      <c r="AG221" s="2452"/>
      <c r="AH221" s="823"/>
      <c r="AI221" s="823"/>
      <c r="AJ221" s="823"/>
      <c r="AK221" s="608"/>
    </row>
    <row r="222" spans="1:37" hidden="1">
      <c r="A222" s="603"/>
      <c r="B222" s="2455" t="s">
        <v>1575</v>
      </c>
      <c r="C222" s="2455"/>
      <c r="D222" s="2455"/>
      <c r="E222" s="2455"/>
      <c r="F222" s="2455"/>
      <c r="G222" s="2455"/>
      <c r="I222" s="2456" t="s">
        <v>1596</v>
      </c>
      <c r="J222" s="2456"/>
      <c r="K222" s="2456"/>
      <c r="L222" s="1003"/>
      <c r="N222" s="2446" t="s">
        <v>1591</v>
      </c>
      <c r="O222" s="2446"/>
      <c r="P222" s="2446"/>
      <c r="Q222" s="2446"/>
      <c r="R222" s="2446"/>
      <c r="T222" s="2446" t="s">
        <v>1592</v>
      </c>
      <c r="U222" s="2446"/>
      <c r="V222" s="2446"/>
      <c r="W222" s="2446"/>
      <c r="X222" s="2446"/>
      <c r="Y222" s="2446"/>
      <c r="Z222" s="846"/>
      <c r="AA222" s="489"/>
      <c r="AB222" s="2604" t="s">
        <v>1593</v>
      </c>
      <c r="AC222" s="2604"/>
      <c r="AD222" s="2604"/>
      <c r="AE222" s="2604"/>
      <c r="AF222" s="2604"/>
      <c r="AG222" s="2604"/>
      <c r="AH222" s="823"/>
      <c r="AI222" s="823"/>
      <c r="AJ222" s="823"/>
      <c r="AK222" s="608"/>
    </row>
    <row r="223" spans="1:37" hidden="1">
      <c r="A223" s="603"/>
      <c r="B223" s="2458" t="s">
        <v>1183</v>
      </c>
      <c r="C223" s="2458"/>
      <c r="D223" s="2458"/>
      <c r="E223" s="2458"/>
      <c r="F223" s="2458"/>
      <c r="G223" s="2458"/>
      <c r="H223" s="848"/>
      <c r="I223" s="2444"/>
      <c r="J223" s="2444"/>
      <c r="K223" s="2444"/>
      <c r="L223" s="1003"/>
      <c r="N223" s="2499"/>
      <c r="O223" s="2499"/>
      <c r="P223" s="2499"/>
      <c r="Q223" s="2499"/>
      <c r="R223" s="2499"/>
      <c r="T223" s="2603"/>
      <c r="U223" s="2603"/>
      <c r="V223" s="2603"/>
      <c r="W223" s="2603"/>
      <c r="X223" s="2603"/>
      <c r="Y223" s="2603"/>
      <c r="Z223" s="847"/>
      <c r="AA223" s="847"/>
      <c r="AB223" s="2443">
        <f t="shared" ref="AB223:AB232" si="0">MAX(($T223-$N223)*$I223*12,0)</f>
        <v>0</v>
      </c>
      <c r="AC223" s="2443"/>
      <c r="AD223" s="2443"/>
      <c r="AE223" s="2443"/>
      <c r="AF223" s="2443"/>
      <c r="AG223" s="2443"/>
      <c r="AH223" s="823"/>
      <c r="AI223" s="823"/>
      <c r="AJ223" s="823"/>
      <c r="AK223" s="608"/>
    </row>
    <row r="224" spans="1:37" hidden="1">
      <c r="A224" s="603"/>
      <c r="B224" s="2458" t="s">
        <v>1183</v>
      </c>
      <c r="C224" s="2458"/>
      <c r="D224" s="2458"/>
      <c r="E224" s="2458"/>
      <c r="F224" s="2458"/>
      <c r="G224" s="2458"/>
      <c r="I224" s="2444"/>
      <c r="J224" s="2444"/>
      <c r="K224" s="2444"/>
      <c r="L224" s="1003"/>
      <c r="N224" s="2499"/>
      <c r="O224" s="2499"/>
      <c r="P224" s="2499"/>
      <c r="Q224" s="2499"/>
      <c r="R224" s="2499"/>
      <c r="T224" s="2603"/>
      <c r="U224" s="2603"/>
      <c r="V224" s="2603"/>
      <c r="W224" s="2603"/>
      <c r="X224" s="2603"/>
      <c r="Y224" s="2603"/>
      <c r="Z224" s="847"/>
      <c r="AA224" s="847"/>
      <c r="AB224" s="2443">
        <f t="shared" si="0"/>
        <v>0</v>
      </c>
      <c r="AC224" s="2443"/>
      <c r="AD224" s="2443"/>
      <c r="AE224" s="2443"/>
      <c r="AF224" s="2443"/>
      <c r="AG224" s="2443"/>
      <c r="AH224" s="823"/>
      <c r="AI224" s="823"/>
      <c r="AJ224" s="823"/>
      <c r="AK224" s="608"/>
    </row>
    <row r="225" spans="1:37" hidden="1">
      <c r="A225" s="603"/>
      <c r="B225" s="2458" t="s">
        <v>1183</v>
      </c>
      <c r="C225" s="2458"/>
      <c r="D225" s="2458"/>
      <c r="E225" s="2458"/>
      <c r="F225" s="2458"/>
      <c r="G225" s="2458"/>
      <c r="I225" s="2444"/>
      <c r="J225" s="2444"/>
      <c r="K225" s="2444"/>
      <c r="L225" s="1003"/>
      <c r="N225" s="2499"/>
      <c r="O225" s="2499"/>
      <c r="P225" s="2499"/>
      <c r="Q225" s="2499"/>
      <c r="R225" s="2499"/>
      <c r="T225" s="2603"/>
      <c r="U225" s="2603"/>
      <c r="V225" s="2603"/>
      <c r="W225" s="2603"/>
      <c r="X225" s="2603"/>
      <c r="Y225" s="2603"/>
      <c r="Z225" s="847"/>
      <c r="AA225" s="847"/>
      <c r="AB225" s="2443">
        <f t="shared" si="0"/>
        <v>0</v>
      </c>
      <c r="AC225" s="2443"/>
      <c r="AD225" s="2443"/>
      <c r="AE225" s="2443"/>
      <c r="AF225" s="2443"/>
      <c r="AG225" s="2443"/>
      <c r="AH225" s="823"/>
      <c r="AI225" s="823"/>
      <c r="AJ225" s="823"/>
      <c r="AK225" s="608"/>
    </row>
    <row r="226" spans="1:37" hidden="1">
      <c r="A226" s="603"/>
      <c r="B226" s="2458" t="s">
        <v>1183</v>
      </c>
      <c r="C226" s="2458"/>
      <c r="D226" s="2458"/>
      <c r="E226" s="2458"/>
      <c r="F226" s="2458"/>
      <c r="G226" s="2458"/>
      <c r="I226" s="2444"/>
      <c r="J226" s="2444"/>
      <c r="K226" s="2444"/>
      <c r="L226" s="1003"/>
      <c r="N226" s="2499"/>
      <c r="O226" s="2499"/>
      <c r="P226" s="2499"/>
      <c r="Q226" s="2499"/>
      <c r="R226" s="2499"/>
      <c r="T226" s="2603"/>
      <c r="U226" s="2603"/>
      <c r="V226" s="2603"/>
      <c r="W226" s="2603"/>
      <c r="X226" s="2603"/>
      <c r="Y226" s="2603"/>
      <c r="Z226" s="847"/>
      <c r="AA226" s="847"/>
      <c r="AB226" s="2443">
        <f t="shared" si="0"/>
        <v>0</v>
      </c>
      <c r="AC226" s="2443"/>
      <c r="AD226" s="2443"/>
      <c r="AE226" s="2443"/>
      <c r="AF226" s="2443"/>
      <c r="AG226" s="2443"/>
      <c r="AH226" s="823"/>
      <c r="AI226" s="823"/>
      <c r="AJ226" s="823"/>
      <c r="AK226" s="608"/>
    </row>
    <row r="227" spans="1:37" hidden="1">
      <c r="A227" s="603"/>
      <c r="B227" s="2458" t="s">
        <v>1183</v>
      </c>
      <c r="C227" s="2458"/>
      <c r="D227" s="2458"/>
      <c r="E227" s="2458"/>
      <c r="F227" s="2458"/>
      <c r="G227" s="2458"/>
      <c r="I227" s="2444"/>
      <c r="J227" s="2444"/>
      <c r="K227" s="2444"/>
      <c r="L227" s="1010"/>
      <c r="N227" s="2499"/>
      <c r="O227" s="2499"/>
      <c r="P227" s="2499"/>
      <c r="Q227" s="2499"/>
      <c r="R227" s="2499"/>
      <c r="T227" s="2603"/>
      <c r="U227" s="2603"/>
      <c r="V227" s="2603"/>
      <c r="W227" s="2603"/>
      <c r="X227" s="2603"/>
      <c r="Y227" s="2603"/>
      <c r="Z227" s="847"/>
      <c r="AA227" s="847"/>
      <c r="AB227" s="2443">
        <f t="shared" si="0"/>
        <v>0</v>
      </c>
      <c r="AC227" s="2443"/>
      <c r="AD227" s="2443"/>
      <c r="AE227" s="2443"/>
      <c r="AF227" s="2443"/>
      <c r="AG227" s="2443"/>
      <c r="AH227" s="823"/>
      <c r="AI227" s="823"/>
      <c r="AJ227" s="823"/>
      <c r="AK227" s="608"/>
    </row>
    <row r="228" spans="1:37" hidden="1">
      <c r="A228" s="603"/>
      <c r="B228" s="2458" t="s">
        <v>1183</v>
      </c>
      <c r="C228" s="2458"/>
      <c r="D228" s="2458"/>
      <c r="E228" s="2458"/>
      <c r="F228" s="2458"/>
      <c r="G228" s="2458"/>
      <c r="I228" s="2444"/>
      <c r="J228" s="2444"/>
      <c r="K228" s="2444"/>
      <c r="L228" s="1010"/>
      <c r="N228" s="2499"/>
      <c r="O228" s="2499"/>
      <c r="P228" s="2499"/>
      <c r="Q228" s="2499"/>
      <c r="R228" s="2499"/>
      <c r="T228" s="2603"/>
      <c r="U228" s="2603"/>
      <c r="V228" s="2603"/>
      <c r="W228" s="2603"/>
      <c r="X228" s="2603"/>
      <c r="Y228" s="2603"/>
      <c r="Z228" s="847"/>
      <c r="AA228" s="847"/>
      <c r="AB228" s="2443">
        <f t="shared" si="0"/>
        <v>0</v>
      </c>
      <c r="AC228" s="2443"/>
      <c r="AD228" s="2443"/>
      <c r="AE228" s="2443"/>
      <c r="AF228" s="2443"/>
      <c r="AG228" s="2443"/>
      <c r="AH228" s="823"/>
      <c r="AI228" s="823"/>
      <c r="AJ228" s="823"/>
      <c r="AK228" s="608"/>
    </row>
    <row r="229" spans="1:37" hidden="1">
      <c r="A229" s="603"/>
      <c r="B229" s="2458" t="s">
        <v>1183</v>
      </c>
      <c r="C229" s="2458"/>
      <c r="D229" s="2458"/>
      <c r="E229" s="2458"/>
      <c r="F229" s="2458"/>
      <c r="G229" s="2458"/>
      <c r="I229" s="2444"/>
      <c r="J229" s="2444"/>
      <c r="K229" s="2444"/>
      <c r="L229" s="1010"/>
      <c r="N229" s="2499"/>
      <c r="O229" s="2499"/>
      <c r="P229" s="2499"/>
      <c r="Q229" s="2499"/>
      <c r="R229" s="2499"/>
      <c r="T229" s="2603"/>
      <c r="U229" s="2603"/>
      <c r="V229" s="2603"/>
      <c r="W229" s="2603"/>
      <c r="X229" s="2603"/>
      <c r="Y229" s="2603"/>
      <c r="Z229" s="847"/>
      <c r="AA229" s="847"/>
      <c r="AB229" s="2443">
        <f t="shared" si="0"/>
        <v>0</v>
      </c>
      <c r="AC229" s="2443"/>
      <c r="AD229" s="2443"/>
      <c r="AE229" s="2443"/>
      <c r="AF229" s="2443"/>
      <c r="AG229" s="2443"/>
      <c r="AH229" s="823"/>
      <c r="AI229" s="823"/>
      <c r="AJ229" s="823"/>
      <c r="AK229" s="608"/>
    </row>
    <row r="230" spans="1:37" hidden="1">
      <c r="A230" s="603"/>
      <c r="B230" s="2458" t="s">
        <v>1183</v>
      </c>
      <c r="C230" s="2458"/>
      <c r="D230" s="2458"/>
      <c r="E230" s="2458"/>
      <c r="F230" s="2458"/>
      <c r="G230" s="2458"/>
      <c r="I230" s="2444"/>
      <c r="J230" s="2444"/>
      <c r="K230" s="2444"/>
      <c r="L230" s="1010"/>
      <c r="N230" s="2499"/>
      <c r="O230" s="2499"/>
      <c r="P230" s="2499"/>
      <c r="Q230" s="2499"/>
      <c r="R230" s="2499"/>
      <c r="T230" s="2603"/>
      <c r="U230" s="2603"/>
      <c r="V230" s="2603"/>
      <c r="W230" s="2603"/>
      <c r="X230" s="2603"/>
      <c r="Y230" s="2603"/>
      <c r="Z230" s="847"/>
      <c r="AA230" s="847"/>
      <c r="AB230" s="2443">
        <f t="shared" si="0"/>
        <v>0</v>
      </c>
      <c r="AC230" s="2443"/>
      <c r="AD230" s="2443"/>
      <c r="AE230" s="2443"/>
      <c r="AF230" s="2443"/>
      <c r="AG230" s="2443"/>
      <c r="AH230" s="823"/>
      <c r="AI230" s="823"/>
      <c r="AJ230" s="823"/>
      <c r="AK230" s="608"/>
    </row>
    <row r="231" spans="1:37" hidden="1">
      <c r="A231" s="603"/>
      <c r="B231" s="2458" t="s">
        <v>1183</v>
      </c>
      <c r="C231" s="2458"/>
      <c r="D231" s="2458"/>
      <c r="E231" s="2458"/>
      <c r="F231" s="2458"/>
      <c r="G231" s="2458"/>
      <c r="I231" s="2444"/>
      <c r="J231" s="2444"/>
      <c r="K231" s="2444"/>
      <c r="L231" s="1010"/>
      <c r="N231" s="2499"/>
      <c r="O231" s="2499"/>
      <c r="P231" s="2499"/>
      <c r="Q231" s="2499"/>
      <c r="R231" s="2499"/>
      <c r="T231" s="2603"/>
      <c r="U231" s="2603"/>
      <c r="V231" s="2603"/>
      <c r="W231" s="2603"/>
      <c r="X231" s="2603"/>
      <c r="Y231" s="2603"/>
      <c r="Z231" s="847"/>
      <c r="AA231" s="847"/>
      <c r="AB231" s="2443">
        <f t="shared" si="0"/>
        <v>0</v>
      </c>
      <c r="AC231" s="2443"/>
      <c r="AD231" s="2443"/>
      <c r="AE231" s="2443"/>
      <c r="AF231" s="2443"/>
      <c r="AG231" s="2443"/>
      <c r="AH231" s="823"/>
      <c r="AI231" s="823"/>
      <c r="AJ231" s="823"/>
      <c r="AK231" s="608"/>
    </row>
    <row r="232" spans="1:37" hidden="1">
      <c r="A232" s="603"/>
      <c r="B232" s="2458" t="s">
        <v>1183</v>
      </c>
      <c r="C232" s="2458"/>
      <c r="D232" s="2458"/>
      <c r="E232" s="2458"/>
      <c r="F232" s="2458"/>
      <c r="G232" s="2458"/>
      <c r="I232" s="2445"/>
      <c r="J232" s="2445"/>
      <c r="K232" s="2445"/>
      <c r="L232" s="1010"/>
      <c r="N232" s="2499"/>
      <c r="O232" s="2499"/>
      <c r="P232" s="2499"/>
      <c r="Q232" s="2499"/>
      <c r="R232" s="2499"/>
      <c r="T232" s="2603"/>
      <c r="U232" s="2603"/>
      <c r="V232" s="2603"/>
      <c r="W232" s="2603"/>
      <c r="X232" s="2603"/>
      <c r="Y232" s="2603"/>
      <c r="Z232" s="847"/>
      <c r="AA232" s="847"/>
      <c r="AB232" s="2612">
        <f t="shared" si="0"/>
        <v>0</v>
      </c>
      <c r="AC232" s="2612"/>
      <c r="AD232" s="2612"/>
      <c r="AE232" s="2612"/>
      <c r="AF232" s="2612"/>
      <c r="AG232" s="2612"/>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3">
        <f>SUM(AB223:AB232)</f>
        <v>0</v>
      </c>
      <c r="AC233" s="2443"/>
      <c r="AD233" s="2443"/>
      <c r="AE233" s="2443"/>
      <c r="AF233" s="2443"/>
      <c r="AG233" s="244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3"/>
      <c r="AC239" s="2613"/>
      <c r="AD239" s="2613"/>
      <c r="AE239" s="2613"/>
      <c r="AF239" s="2613"/>
      <c r="AG239" s="2613"/>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3"/>
      <c r="AC242" s="2613"/>
      <c r="AD242" s="2613"/>
      <c r="AE242" s="2613"/>
      <c r="AF242" s="2613"/>
      <c r="AG242" s="2613"/>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4"/>
      <c r="AC243" s="2624"/>
      <c r="AD243" s="2624"/>
      <c r="AE243" s="2624"/>
      <c r="AF243" s="2624"/>
      <c r="AG243" s="262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7">
        <f>IFERROR(AB242/AB243,0)</f>
        <v>0</v>
      </c>
      <c r="AC244" s="2637"/>
      <c r="AD244" s="2637"/>
      <c r="AE244" s="2637"/>
      <c r="AF244" s="2637"/>
      <c r="AG244" s="263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2">
        <f>MAX(AB239,AB244)</f>
        <v>0</v>
      </c>
      <c r="AC246" s="2612"/>
      <c r="AD246" s="2612"/>
      <c r="AE246" s="2612"/>
      <c r="AF246" s="2612"/>
      <c r="AG246" s="2612"/>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3">
        <f>AB233+AB246</f>
        <v>0</v>
      </c>
      <c r="AC249" s="2443"/>
      <c r="AD249" s="2443"/>
      <c r="AE249" s="2443"/>
      <c r="AF249" s="2443"/>
      <c r="AG249" s="2443"/>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2">
        <v>0.05</v>
      </c>
      <c r="AC250" s="2492"/>
      <c r="AD250" s="2492"/>
      <c r="AE250" s="2492"/>
      <c r="AF250" s="2492"/>
      <c r="AG250" s="2492"/>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3">
        <f>AB249-(AB249*AB250)</f>
        <v>0</v>
      </c>
      <c r="AC251" s="2493"/>
      <c r="AD251" s="2493"/>
      <c r="AE251" s="2493"/>
      <c r="AF251" s="2493"/>
      <c r="AG251" s="2493"/>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3">
        <f>AB251/AB257</f>
        <v>0</v>
      </c>
      <c r="AC253" s="2443"/>
      <c r="AD253" s="2443"/>
      <c r="AE253" s="2443"/>
      <c r="AF253" s="2443"/>
      <c r="AG253" s="244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2">
        <v>15</v>
      </c>
      <c r="AC255" s="2452"/>
      <c r="AD255" s="2452"/>
      <c r="AE255" s="2452"/>
      <c r="AF255" s="2452"/>
      <c r="AG255" s="2452"/>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4">
        <v>0.04</v>
      </c>
      <c r="AC256" s="2494"/>
      <c r="AD256" s="2494"/>
      <c r="AE256" s="2494"/>
      <c r="AF256" s="2494"/>
      <c r="AG256" s="2494"/>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1">
        <v>1.1499999999999999</v>
      </c>
      <c r="AC257" s="2501"/>
      <c r="AD257" s="2501"/>
      <c r="AE257" s="2501"/>
      <c r="AF257" s="2501"/>
      <c r="AG257" s="2501"/>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5">
        <f>PV(AB256/12,AB255*12,-AB253/12, ,0)</f>
        <v>0</v>
      </c>
      <c r="AC259" s="2486"/>
      <c r="AD259" s="2486"/>
      <c r="AE259" s="2486"/>
      <c r="AF259" s="2486"/>
      <c r="AG259" s="2487"/>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9">
        <f>IFERROR(('Sources and Uses Budget'!D105/'Sources and Uses Budget'!B105),0)</f>
        <v>0</v>
      </c>
      <c r="AC265" s="2490"/>
      <c r="AD265" s="2490"/>
      <c r="AE265" s="2490"/>
      <c r="AF265" s="2490"/>
      <c r="AG265" s="249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9">
        <f>AD210*(1-AB265)</f>
        <v>0</v>
      </c>
      <c r="AH267" s="2479"/>
      <c r="AI267" s="2479"/>
      <c r="AJ267" s="2479"/>
      <c r="AK267" s="2479"/>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9">
        <f>'Sources and Uses Budget'!C105</f>
        <v>77544450</v>
      </c>
      <c r="AH268" s="2479"/>
      <c r="AI268" s="2479"/>
      <c r="AJ268" s="2479"/>
      <c r="AK268" s="247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0">
        <f>ROUNDDOWN(IF(AND(C305="Yes",AK83=10),((AG267*2)/AG268),AG267/AG268),2)</f>
        <v>0</v>
      </c>
      <c r="AH269" s="2480"/>
      <c r="AI269" s="2480"/>
      <c r="AJ269" s="2480"/>
      <c r="AK269" s="2480"/>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1">
        <f>IFERROR(IF(AG269=0,0,IF((AG269*100)&gt;8,8,(AG269*100))),0)</f>
        <v>0</v>
      </c>
      <c r="AL272" s="2481"/>
      <c r="AM272" s="2482"/>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3" t="s">
        <v>545</v>
      </c>
      <c r="D279" s="2473"/>
      <c r="E279" s="546"/>
      <c r="F279" s="2628" t="s">
        <v>2562</v>
      </c>
      <c r="G279" s="2629"/>
      <c r="H279" s="2629"/>
      <c r="I279" s="2629"/>
      <c r="J279" s="2629"/>
      <c r="K279" s="2629"/>
      <c r="L279" s="2629"/>
      <c r="M279" s="2629"/>
      <c r="N279" s="2629"/>
      <c r="O279" s="2629"/>
      <c r="P279" s="2629"/>
      <c r="Q279" s="2629"/>
      <c r="R279" s="2629"/>
      <c r="S279" s="2629"/>
      <c r="T279" s="2629"/>
      <c r="U279" s="2629"/>
      <c r="V279" s="2629"/>
      <c r="W279" s="2629"/>
      <c r="X279" s="2629"/>
      <c r="Y279" s="2629"/>
      <c r="Z279" s="2629"/>
      <c r="AA279" s="2629"/>
      <c r="AB279" s="2629"/>
      <c r="AC279" s="2629"/>
      <c r="AD279" s="2630"/>
      <c r="AE279" s="549"/>
      <c r="AF279" s="633"/>
      <c r="AG279" s="2474" t="s">
        <v>1356</v>
      </c>
      <c r="AH279" s="2474"/>
      <c r="AI279" s="2474"/>
      <c r="AJ279" s="2474"/>
      <c r="AK279" s="549"/>
      <c r="AL279" s="549"/>
      <c r="AM279" s="549"/>
      <c r="AO279" s="549"/>
    </row>
    <row r="280" spans="1:52" ht="13.75" customHeight="1">
      <c r="A280" s="549"/>
      <c r="B280" s="594"/>
      <c r="C280" s="634"/>
      <c r="D280" s="549"/>
      <c r="E280" s="546"/>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49"/>
      <c r="AF280" s="633"/>
      <c r="AG280" s="633"/>
      <c r="AH280" s="633"/>
      <c r="AI280" s="633"/>
      <c r="AJ280" s="549"/>
      <c r="AK280" s="549"/>
      <c r="AL280" s="549"/>
      <c r="AM280" s="549"/>
      <c r="AO280" s="549"/>
    </row>
    <row r="281" spans="1:52" ht="13.75" customHeight="1">
      <c r="A281" s="549"/>
      <c r="B281" s="594"/>
      <c r="C281" s="634"/>
      <c r="D281" s="549"/>
      <c r="E281" s="546"/>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49"/>
      <c r="AF281" s="633"/>
      <c r="AG281" s="633"/>
      <c r="AH281" s="633"/>
      <c r="AI281" s="633"/>
      <c r="AJ281" s="549"/>
      <c r="AK281" s="549"/>
      <c r="AL281" s="549"/>
      <c r="AM281" s="549"/>
      <c r="AO281" s="549"/>
    </row>
    <row r="282" spans="1:52" ht="13.75" customHeight="1">
      <c r="A282" s="549"/>
      <c r="B282" s="594"/>
      <c r="C282" s="634"/>
      <c r="D282" s="549"/>
      <c r="E282" s="546"/>
      <c r="F282" s="2631"/>
      <c r="G282" s="2632"/>
      <c r="H282" s="2632"/>
      <c r="I282" s="2632"/>
      <c r="J282" s="2632"/>
      <c r="K282" s="2632"/>
      <c r="L282" s="2632"/>
      <c r="M282" s="2632"/>
      <c r="N282" s="2632"/>
      <c r="O282" s="2632"/>
      <c r="P282" s="2632"/>
      <c r="Q282" s="2632"/>
      <c r="R282" s="2632"/>
      <c r="S282" s="2632"/>
      <c r="T282" s="2632"/>
      <c r="U282" s="2632"/>
      <c r="V282" s="2632"/>
      <c r="W282" s="2632"/>
      <c r="X282" s="2632"/>
      <c r="Y282" s="2632"/>
      <c r="Z282" s="2632"/>
      <c r="AA282" s="2632"/>
      <c r="AB282" s="2632"/>
      <c r="AC282" s="2632"/>
      <c r="AD282" s="2633"/>
      <c r="AE282" s="549"/>
      <c r="AF282" s="633"/>
      <c r="AG282" s="633"/>
      <c r="AH282" s="633"/>
      <c r="AI282" s="633"/>
      <c r="AJ282" s="549"/>
      <c r="AK282" s="549"/>
      <c r="AL282" s="549"/>
      <c r="AM282" s="549"/>
      <c r="AO282" s="549"/>
    </row>
    <row r="283" spans="1:52" ht="13.75" customHeight="1">
      <c r="A283" s="549"/>
      <c r="B283" s="594"/>
      <c r="C283" s="634"/>
      <c r="D283" s="549"/>
      <c r="E283" s="546"/>
      <c r="F283" s="2631"/>
      <c r="G283" s="2632"/>
      <c r="H283" s="2632"/>
      <c r="I283" s="2632"/>
      <c r="J283" s="2632"/>
      <c r="K283" s="2632"/>
      <c r="L283" s="2632"/>
      <c r="M283" s="2632"/>
      <c r="N283" s="2632"/>
      <c r="O283" s="2632"/>
      <c r="P283" s="2632"/>
      <c r="Q283" s="2632"/>
      <c r="R283" s="2632"/>
      <c r="S283" s="2632"/>
      <c r="T283" s="2632"/>
      <c r="U283" s="2632"/>
      <c r="V283" s="2632"/>
      <c r="W283" s="2632"/>
      <c r="X283" s="2632"/>
      <c r="Y283" s="2632"/>
      <c r="Z283" s="2632"/>
      <c r="AA283" s="2632"/>
      <c r="AB283" s="2632"/>
      <c r="AC283" s="2632"/>
      <c r="AD283" s="2633"/>
      <c r="AE283" s="549"/>
      <c r="AF283" s="633"/>
      <c r="AG283" s="633"/>
      <c r="AH283" s="633"/>
      <c r="AI283" s="633"/>
      <c r="AJ283" s="549"/>
      <c r="AK283" s="549"/>
      <c r="AL283" s="549"/>
      <c r="AM283" s="549"/>
      <c r="AO283" s="549"/>
    </row>
    <row r="284" spans="1:52">
      <c r="A284" s="549"/>
      <c r="B284" s="594"/>
      <c r="C284" s="634"/>
      <c r="D284" s="549"/>
      <c r="E284" s="546"/>
      <c r="F284" s="2631"/>
      <c r="G284" s="2632"/>
      <c r="H284" s="2632"/>
      <c r="I284" s="2632"/>
      <c r="J284" s="2632"/>
      <c r="K284" s="2632"/>
      <c r="L284" s="2632"/>
      <c r="M284" s="2632"/>
      <c r="N284" s="2632"/>
      <c r="O284" s="2632"/>
      <c r="P284" s="2632"/>
      <c r="Q284" s="2632"/>
      <c r="R284" s="2632"/>
      <c r="S284" s="2632"/>
      <c r="T284" s="2632"/>
      <c r="U284" s="2632"/>
      <c r="V284" s="2632"/>
      <c r="W284" s="2632"/>
      <c r="X284" s="2632"/>
      <c r="Y284" s="2632"/>
      <c r="Z284" s="2632"/>
      <c r="AA284" s="2632"/>
      <c r="AB284" s="2632"/>
      <c r="AC284" s="2632"/>
      <c r="AD284" s="2633"/>
      <c r="AE284" s="549"/>
      <c r="AF284" s="633"/>
      <c r="AG284" s="633"/>
      <c r="AH284" s="633"/>
      <c r="AI284" s="633"/>
      <c r="AJ284" s="549"/>
      <c r="AK284" s="549"/>
      <c r="AL284" s="549"/>
      <c r="AM284" s="549"/>
      <c r="AO284" s="549"/>
      <c r="AP284" s="635"/>
    </row>
    <row r="285" spans="1:52">
      <c r="A285" s="549"/>
      <c r="B285" s="594"/>
      <c r="C285" s="634"/>
      <c r="D285" s="549"/>
      <c r="E285" s="546"/>
      <c r="F285" s="2631"/>
      <c r="G285" s="2632"/>
      <c r="H285" s="2632"/>
      <c r="I285" s="2632"/>
      <c r="J285" s="2632"/>
      <c r="K285" s="2632"/>
      <c r="L285" s="2632"/>
      <c r="M285" s="2632"/>
      <c r="N285" s="2632"/>
      <c r="O285" s="2632"/>
      <c r="P285" s="2632"/>
      <c r="Q285" s="2632"/>
      <c r="R285" s="2632"/>
      <c r="S285" s="2632"/>
      <c r="T285" s="2632"/>
      <c r="U285" s="2632"/>
      <c r="V285" s="2632"/>
      <c r="W285" s="2632"/>
      <c r="X285" s="2632"/>
      <c r="Y285" s="2632"/>
      <c r="Z285" s="2632"/>
      <c r="AA285" s="2632"/>
      <c r="AB285" s="2632"/>
      <c r="AC285" s="2632"/>
      <c r="AD285" s="2633"/>
      <c r="AE285" s="549"/>
      <c r="AF285" s="633"/>
      <c r="AG285" s="633"/>
      <c r="AH285" s="633"/>
      <c r="AI285" s="633"/>
      <c r="AJ285" s="549"/>
      <c r="AK285" s="549"/>
      <c r="AL285" s="549"/>
      <c r="AM285" s="549"/>
      <c r="AO285" s="549"/>
      <c r="AP285" s="635"/>
    </row>
    <row r="286" spans="1:52" ht="13.75" customHeight="1">
      <c r="A286" s="549"/>
      <c r="B286" s="594"/>
      <c r="C286" s="2475"/>
      <c r="D286" s="2475"/>
      <c r="E286" s="546"/>
      <c r="F286" s="2634"/>
      <c r="G286" s="2635"/>
      <c r="H286" s="2635"/>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35"/>
      <c r="AD286" s="2636"/>
      <c r="AE286" s="549"/>
      <c r="AF286" s="633"/>
      <c r="AG286" s="2474"/>
      <c r="AH286" s="2474"/>
      <c r="AI286" s="2474"/>
      <c r="AJ286" s="2474"/>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9" t="s">
        <v>2569</v>
      </c>
      <c r="C289" s="2389"/>
      <c r="D289" s="2389"/>
      <c r="E289" s="2389"/>
      <c r="F289" s="2389"/>
      <c r="G289" s="2389"/>
      <c r="H289" s="2389"/>
      <c r="I289" s="2389"/>
      <c r="J289" s="2389"/>
      <c r="K289" s="2389"/>
      <c r="L289" s="2389"/>
      <c r="M289" s="2389"/>
      <c r="N289" s="2389"/>
      <c r="O289" s="2389"/>
      <c r="P289" s="2389"/>
      <c r="Q289" s="2389"/>
      <c r="R289" s="2389"/>
      <c r="S289" s="2389"/>
      <c r="T289" s="2389"/>
      <c r="U289" s="2389"/>
      <c r="V289" s="2389"/>
      <c r="W289" s="2389"/>
      <c r="X289" s="2389"/>
      <c r="Y289" s="2389"/>
      <c r="Z289" s="2389"/>
      <c r="AA289" s="2389"/>
      <c r="AB289" s="2389"/>
      <c r="AC289" s="2389"/>
      <c r="AD289" s="2389"/>
      <c r="AE289" s="2389"/>
      <c r="AF289" s="2389"/>
      <c r="AG289" s="2389"/>
      <c r="AH289" s="2389"/>
      <c r="AI289" s="2389"/>
      <c r="AJ289" s="2389"/>
      <c r="AK289" s="2389"/>
      <c r="AL289" s="2389"/>
      <c r="AM289" s="549"/>
      <c r="AN289" s="73"/>
    </row>
    <row r="290" spans="1:49">
      <c r="A290" s="549"/>
      <c r="B290" s="2389"/>
      <c r="C290" s="2389"/>
      <c r="D290" s="2389"/>
      <c r="E290" s="2389"/>
      <c r="F290" s="2389"/>
      <c r="G290" s="2389"/>
      <c r="H290" s="2389"/>
      <c r="I290" s="2389"/>
      <c r="J290" s="2389"/>
      <c r="K290" s="2389"/>
      <c r="L290" s="2389"/>
      <c r="M290" s="2389"/>
      <c r="N290" s="2389"/>
      <c r="O290" s="2389"/>
      <c r="P290" s="2389"/>
      <c r="Q290" s="2389"/>
      <c r="R290" s="2389"/>
      <c r="S290" s="2389"/>
      <c r="T290" s="2389"/>
      <c r="U290" s="2389"/>
      <c r="V290" s="2389"/>
      <c r="W290" s="2389"/>
      <c r="X290" s="2389"/>
      <c r="Y290" s="2389"/>
      <c r="Z290" s="2389"/>
      <c r="AA290" s="2389"/>
      <c r="AB290" s="2389"/>
      <c r="AC290" s="2389"/>
      <c r="AD290" s="2389"/>
      <c r="AE290" s="2389"/>
      <c r="AF290" s="2389"/>
      <c r="AG290" s="2389"/>
      <c r="AH290" s="2389"/>
      <c r="AI290" s="2389"/>
      <c r="AJ290" s="2389"/>
      <c r="AK290" s="2389"/>
      <c r="AL290" s="2389"/>
      <c r="AM290" s="549"/>
      <c r="AN290" s="73"/>
    </row>
    <row r="291" spans="1:49">
      <c r="A291" s="549"/>
      <c r="B291" s="2389"/>
      <c r="C291" s="2389"/>
      <c r="D291" s="2389"/>
      <c r="E291" s="2389"/>
      <c r="F291" s="2389"/>
      <c r="G291" s="2389"/>
      <c r="H291" s="2389"/>
      <c r="I291" s="2389"/>
      <c r="J291" s="2389"/>
      <c r="K291" s="2389"/>
      <c r="L291" s="2389"/>
      <c r="M291" s="2389"/>
      <c r="N291" s="2389"/>
      <c r="O291" s="2389"/>
      <c r="P291" s="2389"/>
      <c r="Q291" s="2389"/>
      <c r="R291" s="2389"/>
      <c r="S291" s="2389"/>
      <c r="T291" s="2389"/>
      <c r="U291" s="2389"/>
      <c r="V291" s="2389"/>
      <c r="W291" s="2389"/>
      <c r="X291" s="2389"/>
      <c r="Y291" s="2389"/>
      <c r="Z291" s="2389"/>
      <c r="AA291" s="2389"/>
      <c r="AB291" s="2389"/>
      <c r="AC291" s="2389"/>
      <c r="AD291" s="2389"/>
      <c r="AE291" s="2389"/>
      <c r="AF291" s="2389"/>
      <c r="AG291" s="2389"/>
      <c r="AH291" s="2389"/>
      <c r="AI291" s="2389"/>
      <c r="AJ291" s="2389"/>
      <c r="AK291" s="2389"/>
      <c r="AL291" s="2389"/>
      <c r="AM291" s="549"/>
      <c r="AN291" s="73"/>
    </row>
    <row r="292" spans="1:49">
      <c r="A292" s="549"/>
      <c r="B292" s="2389"/>
      <c r="C292" s="2389"/>
      <c r="D292" s="2389"/>
      <c r="E292" s="2389"/>
      <c r="F292" s="2389"/>
      <c r="G292" s="2389"/>
      <c r="H292" s="2389"/>
      <c r="I292" s="2389"/>
      <c r="J292" s="2389"/>
      <c r="K292" s="2389"/>
      <c r="L292" s="2389"/>
      <c r="M292" s="2389"/>
      <c r="N292" s="2389"/>
      <c r="O292" s="2389"/>
      <c r="P292" s="2389"/>
      <c r="Q292" s="2389"/>
      <c r="R292" s="2389"/>
      <c r="S292" s="2389"/>
      <c r="T292" s="2389"/>
      <c r="U292" s="2389"/>
      <c r="V292" s="2389"/>
      <c r="W292" s="2389"/>
      <c r="X292" s="2389"/>
      <c r="Y292" s="2389"/>
      <c r="Z292" s="2389"/>
      <c r="AA292" s="2389"/>
      <c r="AB292" s="2389"/>
      <c r="AC292" s="2389"/>
      <c r="AD292" s="2389"/>
      <c r="AE292" s="2389"/>
      <c r="AF292" s="2389"/>
      <c r="AG292" s="2389"/>
      <c r="AH292" s="2389"/>
      <c r="AI292" s="2389"/>
      <c r="AJ292" s="2389"/>
      <c r="AK292" s="2389"/>
      <c r="AL292" s="2389"/>
      <c r="AM292" s="549"/>
      <c r="AN292" s="73"/>
    </row>
    <row r="293" spans="1:49">
      <c r="A293" s="549"/>
      <c r="B293" s="2389"/>
      <c r="C293" s="2389"/>
      <c r="D293" s="2389"/>
      <c r="E293" s="2389"/>
      <c r="F293" s="2389"/>
      <c r="G293" s="2389"/>
      <c r="H293" s="2389"/>
      <c r="I293" s="2389"/>
      <c r="J293" s="2389"/>
      <c r="K293" s="2389"/>
      <c r="L293" s="2389"/>
      <c r="M293" s="2389"/>
      <c r="N293" s="2389"/>
      <c r="O293" s="2389"/>
      <c r="P293" s="2389"/>
      <c r="Q293" s="2389"/>
      <c r="R293" s="2389"/>
      <c r="S293" s="2389"/>
      <c r="T293" s="2389"/>
      <c r="U293" s="2389"/>
      <c r="V293" s="2389"/>
      <c r="W293" s="2389"/>
      <c r="X293" s="2389"/>
      <c r="Y293" s="2389"/>
      <c r="Z293" s="2389"/>
      <c r="AA293" s="2389"/>
      <c r="AB293" s="2389"/>
      <c r="AC293" s="2389"/>
      <c r="AD293" s="2389"/>
      <c r="AE293" s="2389"/>
      <c r="AF293" s="2389"/>
      <c r="AG293" s="2389"/>
      <c r="AH293" s="2389"/>
      <c r="AI293" s="2389"/>
      <c r="AJ293" s="2389"/>
      <c r="AK293" s="2389"/>
      <c r="AL293" s="2389"/>
      <c r="AM293" s="549"/>
      <c r="AN293" s="73"/>
    </row>
    <row r="294" spans="1:49">
      <c r="A294" s="549"/>
      <c r="B294" s="2389"/>
      <c r="C294" s="2389"/>
      <c r="D294" s="2389"/>
      <c r="E294" s="2389"/>
      <c r="F294" s="2389"/>
      <c r="G294" s="2389"/>
      <c r="H294" s="2389"/>
      <c r="I294" s="2389"/>
      <c r="J294" s="2389"/>
      <c r="K294" s="2389"/>
      <c r="L294" s="2389"/>
      <c r="M294" s="2389"/>
      <c r="N294" s="2389"/>
      <c r="O294" s="2389"/>
      <c r="P294" s="2389"/>
      <c r="Q294" s="2389"/>
      <c r="R294" s="2389"/>
      <c r="S294" s="2389"/>
      <c r="T294" s="2389"/>
      <c r="U294" s="2389"/>
      <c r="V294" s="2389"/>
      <c r="W294" s="2389"/>
      <c r="X294" s="2389"/>
      <c r="Y294" s="2389"/>
      <c r="Z294" s="2389"/>
      <c r="AA294" s="2389"/>
      <c r="AB294" s="2389"/>
      <c r="AC294" s="2389"/>
      <c r="AD294" s="2389"/>
      <c r="AE294" s="2389"/>
      <c r="AF294" s="2389"/>
      <c r="AG294" s="2389"/>
      <c r="AH294" s="2389"/>
      <c r="AI294" s="2389"/>
      <c r="AJ294" s="2389"/>
      <c r="AK294" s="2389"/>
      <c r="AL294" s="2389"/>
      <c r="AM294" s="549"/>
      <c r="AN294" s="73"/>
    </row>
    <row r="295" spans="1:49">
      <c r="A295" s="549"/>
      <c r="B295" s="2389"/>
      <c r="C295" s="2389"/>
      <c r="D295" s="2389"/>
      <c r="E295" s="2389"/>
      <c r="F295" s="2389"/>
      <c r="G295" s="2389"/>
      <c r="H295" s="2389"/>
      <c r="I295" s="2389"/>
      <c r="J295" s="2389"/>
      <c r="K295" s="2389"/>
      <c r="L295" s="2389"/>
      <c r="M295" s="2389"/>
      <c r="N295" s="2389"/>
      <c r="O295" s="2389"/>
      <c r="P295" s="2389"/>
      <c r="Q295" s="2389"/>
      <c r="R295" s="2389"/>
      <c r="S295" s="2389"/>
      <c r="T295" s="2389"/>
      <c r="U295" s="2389"/>
      <c r="V295" s="2389"/>
      <c r="W295" s="2389"/>
      <c r="X295" s="2389"/>
      <c r="Y295" s="2389"/>
      <c r="Z295" s="2389"/>
      <c r="AA295" s="2389"/>
      <c r="AB295" s="2389"/>
      <c r="AC295" s="2389"/>
      <c r="AD295" s="2389"/>
      <c r="AE295" s="2389"/>
      <c r="AF295" s="2389"/>
      <c r="AG295" s="2389"/>
      <c r="AH295" s="2389"/>
      <c r="AI295" s="2389"/>
      <c r="AJ295" s="2389"/>
      <c r="AK295" s="2389"/>
      <c r="AL295" s="2389"/>
      <c r="AM295" s="549"/>
      <c r="AN295" s="73"/>
    </row>
    <row r="296" spans="1:49">
      <c r="A296" s="549"/>
      <c r="B296" s="2389"/>
      <c r="C296" s="2389"/>
      <c r="D296" s="2389"/>
      <c r="E296" s="2389"/>
      <c r="F296" s="2389"/>
      <c r="G296" s="2389"/>
      <c r="H296" s="2389"/>
      <c r="I296" s="2389"/>
      <c r="J296" s="2389"/>
      <c r="K296" s="2389"/>
      <c r="L296" s="2389"/>
      <c r="M296" s="2389"/>
      <c r="N296" s="2389"/>
      <c r="O296" s="2389"/>
      <c r="P296" s="2389"/>
      <c r="Q296" s="2389"/>
      <c r="R296" s="2389"/>
      <c r="S296" s="2389"/>
      <c r="T296" s="2389"/>
      <c r="U296" s="2389"/>
      <c r="V296" s="2389"/>
      <c r="W296" s="2389"/>
      <c r="X296" s="2389"/>
      <c r="Y296" s="2389"/>
      <c r="Z296" s="2389"/>
      <c r="AA296" s="2389"/>
      <c r="AB296" s="2389"/>
      <c r="AC296" s="2389"/>
      <c r="AD296" s="2389"/>
      <c r="AE296" s="2389"/>
      <c r="AF296" s="2389"/>
      <c r="AG296" s="2389"/>
      <c r="AH296" s="2389"/>
      <c r="AI296" s="2389"/>
      <c r="AJ296" s="2389"/>
      <c r="AK296" s="2389"/>
      <c r="AL296" s="238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1">
        <f>IF($C$279="yes",10,0)</f>
        <v>10</v>
      </c>
      <c r="AL298" s="2481"/>
      <c r="AM298" s="2482"/>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2563</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2" t="s">
        <v>1373</v>
      </c>
      <c r="B305" s="1682"/>
      <c r="C305" s="2463" t="s">
        <v>545</v>
      </c>
      <c r="D305" s="2473"/>
      <c r="E305" s="546"/>
      <c r="F305" s="2495" t="s">
        <v>1374</v>
      </c>
      <c r="G305" s="2496"/>
      <c r="H305" s="2496"/>
      <c r="I305" s="2496"/>
      <c r="J305" s="2496"/>
      <c r="K305" s="2496"/>
      <c r="L305" s="2496"/>
      <c r="M305" s="2496"/>
      <c r="N305" s="2496"/>
      <c r="O305" s="2496"/>
      <c r="P305" s="2496"/>
      <c r="Q305" s="2496"/>
      <c r="R305" s="2496"/>
      <c r="S305" s="2496"/>
      <c r="T305" s="2496"/>
      <c r="U305" s="2496"/>
      <c r="V305" s="2496"/>
      <c r="W305" s="2496"/>
      <c r="X305" s="2496"/>
      <c r="Y305" s="2496"/>
      <c r="Z305" s="2496"/>
      <c r="AA305" s="2496"/>
      <c r="AB305" s="2496"/>
      <c r="AC305" s="2496"/>
      <c r="AD305" s="2497"/>
      <c r="AE305" s="640"/>
      <c r="AF305" s="549"/>
      <c r="AG305" s="2498" t="s">
        <v>1980</v>
      </c>
      <c r="AH305" s="2498"/>
      <c r="AI305" s="2498"/>
      <c r="AJ305" s="2498"/>
      <c r="AK305" s="2498"/>
      <c r="AL305" s="549"/>
      <c r="AM305" s="549"/>
      <c r="AN305" s="73"/>
      <c r="AO305" s="14"/>
      <c r="AP305" s="30"/>
      <c r="AS305" s="568"/>
      <c r="AT305" s="568"/>
      <c r="AU305" s="568"/>
      <c r="AV305" s="32"/>
      <c r="AW305" s="32"/>
    </row>
    <row r="306" spans="1:49" ht="13">
      <c r="A306" s="638"/>
      <c r="B306" s="594"/>
      <c r="F306" s="2467"/>
      <c r="G306" s="2468"/>
      <c r="H306" s="2468"/>
      <c r="I306" s="2468"/>
      <c r="J306" s="2468"/>
      <c r="K306" s="2468"/>
      <c r="L306" s="2468"/>
      <c r="M306" s="2468"/>
      <c r="N306" s="2468"/>
      <c r="O306" s="2468"/>
      <c r="P306" s="2468"/>
      <c r="Q306" s="2468"/>
      <c r="R306" s="2468"/>
      <c r="S306" s="2468"/>
      <c r="T306" s="2468"/>
      <c r="U306" s="2468"/>
      <c r="V306" s="2468"/>
      <c r="W306" s="2468"/>
      <c r="X306" s="2468"/>
      <c r="Y306" s="2468"/>
      <c r="Z306" s="2468"/>
      <c r="AA306" s="2468"/>
      <c r="AB306" s="2468"/>
      <c r="AC306" s="2468"/>
      <c r="AD306" s="246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7"/>
      <c r="G307" s="2468"/>
      <c r="H307" s="2468"/>
      <c r="I307" s="2468"/>
      <c r="J307" s="2468"/>
      <c r="K307" s="2468"/>
      <c r="L307" s="2468"/>
      <c r="M307" s="2468"/>
      <c r="N307" s="2468"/>
      <c r="O307" s="2468"/>
      <c r="P307" s="2468"/>
      <c r="Q307" s="2468"/>
      <c r="R307" s="2468"/>
      <c r="S307" s="2468"/>
      <c r="T307" s="2468"/>
      <c r="U307" s="2468"/>
      <c r="V307" s="2468"/>
      <c r="W307" s="2468"/>
      <c r="X307" s="2468"/>
      <c r="Y307" s="2468"/>
      <c r="Z307" s="2468"/>
      <c r="AA307" s="2468"/>
      <c r="AB307" s="2468"/>
      <c r="AC307" s="2468"/>
      <c r="AD307" s="246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7" t="s">
        <v>1985</v>
      </c>
      <c r="G308" s="2468"/>
      <c r="H308" s="2468"/>
      <c r="I308" s="2468"/>
      <c r="J308" s="2468"/>
      <c r="K308" s="2468"/>
      <c r="L308" s="2468"/>
      <c r="M308" s="2468"/>
      <c r="N308" s="2468"/>
      <c r="O308" s="2468"/>
      <c r="P308" s="2468"/>
      <c r="Q308" s="2468"/>
      <c r="R308" s="2468"/>
      <c r="S308" s="2468"/>
      <c r="T308" s="2468"/>
      <c r="U308" s="2468"/>
      <c r="V308" s="2468"/>
      <c r="W308" s="2468"/>
      <c r="X308" s="2468"/>
      <c r="Y308" s="2468"/>
      <c r="Z308" s="2468"/>
      <c r="AA308" s="2468"/>
      <c r="AB308" s="2468"/>
      <c r="AC308" s="2468"/>
      <c r="AD308" s="2469"/>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ht="13">
      <c r="A309" s="638"/>
      <c r="B309" s="594"/>
      <c r="F309" s="2467"/>
      <c r="G309" s="2468"/>
      <c r="H309" s="2468"/>
      <c r="I309" s="2468"/>
      <c r="J309" s="2468"/>
      <c r="K309" s="2468"/>
      <c r="L309" s="2468"/>
      <c r="M309" s="2468"/>
      <c r="N309" s="2468"/>
      <c r="O309" s="2468"/>
      <c r="P309" s="2468"/>
      <c r="Q309" s="2468"/>
      <c r="R309" s="2468"/>
      <c r="S309" s="2468"/>
      <c r="T309" s="2468"/>
      <c r="U309" s="2468"/>
      <c r="V309" s="2468"/>
      <c r="W309" s="2468"/>
      <c r="X309" s="2468"/>
      <c r="Y309" s="2468"/>
      <c r="Z309" s="2468"/>
      <c r="AA309" s="2468"/>
      <c r="AB309" s="2468"/>
      <c r="AC309" s="2468"/>
      <c r="AD309" s="246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7" t="s">
        <v>1375</v>
      </c>
      <c r="G310" s="2468"/>
      <c r="H310" s="2468"/>
      <c r="I310" s="2468"/>
      <c r="J310" s="2468"/>
      <c r="K310" s="2468"/>
      <c r="L310" s="2468"/>
      <c r="M310" s="2468"/>
      <c r="N310" s="2468"/>
      <c r="O310" s="2468"/>
      <c r="P310" s="2468"/>
      <c r="Q310" s="2468"/>
      <c r="R310" s="2468"/>
      <c r="S310" s="2468"/>
      <c r="T310" s="2468"/>
      <c r="U310" s="2468"/>
      <c r="V310" s="2468"/>
      <c r="W310" s="2468"/>
      <c r="X310" s="2468"/>
      <c r="Y310" s="2468"/>
      <c r="Z310" s="2468"/>
      <c r="AA310" s="2468"/>
      <c r="AB310" s="2468"/>
      <c r="AC310" s="2468"/>
      <c r="AD310" s="246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7"/>
      <c r="G311" s="2468"/>
      <c r="H311" s="2468"/>
      <c r="I311" s="2468"/>
      <c r="J311" s="2468"/>
      <c r="K311" s="2468"/>
      <c r="L311" s="2468"/>
      <c r="M311" s="2468"/>
      <c r="N311" s="2468"/>
      <c r="O311" s="2468"/>
      <c r="P311" s="2468"/>
      <c r="Q311" s="2468"/>
      <c r="R311" s="2468"/>
      <c r="S311" s="2468"/>
      <c r="T311" s="2468"/>
      <c r="U311" s="2468"/>
      <c r="V311" s="2468"/>
      <c r="W311" s="2468"/>
      <c r="X311" s="2468"/>
      <c r="Y311" s="2468"/>
      <c r="Z311" s="2468"/>
      <c r="AA311" s="2468"/>
      <c r="AB311" s="2468"/>
      <c r="AC311" s="2468"/>
      <c r="AD311" s="246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7" t="s">
        <v>1376</v>
      </c>
      <c r="G312" s="2468"/>
      <c r="H312" s="2468"/>
      <c r="I312" s="2468"/>
      <c r="J312" s="2468"/>
      <c r="K312" s="2468"/>
      <c r="L312" s="2468"/>
      <c r="M312" s="2468"/>
      <c r="N312" s="2468"/>
      <c r="O312" s="2468"/>
      <c r="P312" s="2468"/>
      <c r="Q312" s="2468"/>
      <c r="R312" s="2468"/>
      <c r="S312" s="2468"/>
      <c r="T312" s="2468"/>
      <c r="U312" s="2468"/>
      <c r="V312" s="2468"/>
      <c r="W312" s="2468"/>
      <c r="X312" s="2468"/>
      <c r="Y312" s="2468"/>
      <c r="Z312" s="2468"/>
      <c r="AA312" s="2468"/>
      <c r="AB312" s="2468"/>
      <c r="AC312" s="2468"/>
      <c r="AD312" s="246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0"/>
      <c r="G313" s="2471"/>
      <c r="H313" s="2471"/>
      <c r="I313" s="2471"/>
      <c r="J313" s="2471"/>
      <c r="K313" s="2471"/>
      <c r="L313" s="2471"/>
      <c r="M313" s="2471"/>
      <c r="N313" s="2471"/>
      <c r="O313" s="2471"/>
      <c r="P313" s="2471"/>
      <c r="Q313" s="2471"/>
      <c r="R313" s="2471"/>
      <c r="S313" s="2471"/>
      <c r="T313" s="2471"/>
      <c r="U313" s="2471"/>
      <c r="V313" s="2471"/>
      <c r="W313" s="2471"/>
      <c r="X313" s="2471"/>
      <c r="Y313" s="2471"/>
      <c r="Z313" s="2471"/>
      <c r="AA313" s="2471"/>
      <c r="AB313" s="2471"/>
      <c r="AC313" s="2471"/>
      <c r="AD313" s="247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2" t="s">
        <v>1377</v>
      </c>
      <c r="B315" s="1682"/>
      <c r="C315" s="2473" t="s">
        <v>591</v>
      </c>
      <c r="D315" s="2473"/>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7" t="s">
        <v>1981</v>
      </c>
      <c r="G316" s="2468"/>
      <c r="H316" s="2468"/>
      <c r="I316" s="2468"/>
      <c r="J316" s="2468"/>
      <c r="K316" s="2468"/>
      <c r="L316" s="2468"/>
      <c r="M316" s="2468"/>
      <c r="N316" s="2468"/>
      <c r="O316" s="2468"/>
      <c r="P316" s="2468"/>
      <c r="Q316" s="2468"/>
      <c r="R316" s="2468"/>
      <c r="S316" s="2468"/>
      <c r="T316" s="2468"/>
      <c r="U316" s="2468"/>
      <c r="V316" s="2468"/>
      <c r="W316" s="2468"/>
      <c r="X316" s="2468"/>
      <c r="Y316" s="2468"/>
      <c r="Z316" s="2468"/>
      <c r="AA316" s="2468"/>
      <c r="AB316" s="2468"/>
      <c r="AC316" s="2468"/>
      <c r="AD316" s="2469"/>
      <c r="AE316" s="550"/>
      <c r="AF316" s="550"/>
      <c r="AG316" s="550"/>
      <c r="AH316" s="550"/>
      <c r="AI316" s="550"/>
      <c r="AJ316" s="549"/>
      <c r="AK316" s="549"/>
      <c r="AL316" s="549"/>
      <c r="AM316" s="549"/>
      <c r="AR316" s="644"/>
    </row>
    <row r="317" spans="1:49" ht="15" customHeight="1">
      <c r="A317" s="549"/>
      <c r="B317" s="550"/>
      <c r="C317" s="549"/>
      <c r="D317" s="550"/>
      <c r="E317" s="549"/>
      <c r="F317" s="2467"/>
      <c r="G317" s="2468"/>
      <c r="H317" s="2468"/>
      <c r="I317" s="2468"/>
      <c r="J317" s="2468"/>
      <c r="K317" s="2468"/>
      <c r="L317" s="2468"/>
      <c r="M317" s="2468"/>
      <c r="N317" s="2468"/>
      <c r="O317" s="2468"/>
      <c r="P317" s="2468"/>
      <c r="Q317" s="2468"/>
      <c r="R317" s="2468"/>
      <c r="S317" s="2468"/>
      <c r="T317" s="2468"/>
      <c r="U317" s="2468"/>
      <c r="V317" s="2468"/>
      <c r="W317" s="2468"/>
      <c r="X317" s="2468"/>
      <c r="Y317" s="2468"/>
      <c r="Z317" s="2468"/>
      <c r="AA317" s="2468"/>
      <c r="AB317" s="2468"/>
      <c r="AC317" s="2468"/>
      <c r="AD317" s="2469"/>
      <c r="AE317" s="550"/>
      <c r="AF317" s="550"/>
      <c r="AG317" s="550"/>
      <c r="AH317" s="550"/>
      <c r="AI317" s="550"/>
      <c r="AJ317" s="549"/>
      <c r="AK317" s="549"/>
      <c r="AL317" s="549"/>
      <c r="AM317" s="549"/>
      <c r="AR317" s="644"/>
    </row>
    <row r="318" spans="1:49">
      <c r="A318" s="549"/>
      <c r="B318" s="550"/>
      <c r="C318" s="549"/>
      <c r="D318" s="550"/>
      <c r="E318" s="549"/>
      <c r="F318" s="2467"/>
      <c r="G318" s="2468"/>
      <c r="H318" s="2468"/>
      <c r="I318" s="2468"/>
      <c r="J318" s="2468"/>
      <c r="K318" s="2468"/>
      <c r="L318" s="2468"/>
      <c r="M318" s="2468"/>
      <c r="N318" s="2468"/>
      <c r="O318" s="2468"/>
      <c r="P318" s="2468"/>
      <c r="Q318" s="2468"/>
      <c r="R318" s="2468"/>
      <c r="S318" s="2468"/>
      <c r="T318" s="2468"/>
      <c r="U318" s="2468"/>
      <c r="V318" s="2468"/>
      <c r="W318" s="2468"/>
      <c r="X318" s="2468"/>
      <c r="Y318" s="2468"/>
      <c r="Z318" s="2468"/>
      <c r="AA318" s="2468"/>
      <c r="AB318" s="2468"/>
      <c r="AC318" s="2468"/>
      <c r="AD318" s="246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0"/>
      <c r="G319" s="2471"/>
      <c r="H319" s="2471"/>
      <c r="I319" s="2471"/>
      <c r="J319" s="2471"/>
      <c r="K319" s="2471"/>
      <c r="L319" s="2471"/>
      <c r="M319" s="2471"/>
      <c r="N319" s="2471"/>
      <c r="O319" s="2471"/>
      <c r="P319" s="2471"/>
      <c r="Q319" s="2471"/>
      <c r="R319" s="2471"/>
      <c r="S319" s="2471"/>
      <c r="T319" s="2471"/>
      <c r="U319" s="2471"/>
      <c r="V319" s="2471"/>
      <c r="W319" s="2471"/>
      <c r="X319" s="2471"/>
      <c r="Y319" s="2471"/>
      <c r="Z319" s="2471"/>
      <c r="AA319" s="2471"/>
      <c r="AB319" s="2471"/>
      <c r="AC319" s="2471"/>
      <c r="AD319" s="247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82" t="s">
        <v>1380</v>
      </c>
      <c r="B323" s="1682"/>
      <c r="C323" s="2473" t="s">
        <v>591</v>
      </c>
      <c r="D323" s="2473"/>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2467" t="s">
        <v>1986</v>
      </c>
      <c r="G324" s="2468"/>
      <c r="H324" s="2468"/>
      <c r="I324" s="2468"/>
      <c r="J324" s="2468"/>
      <c r="K324" s="2468"/>
      <c r="L324" s="2468"/>
      <c r="M324" s="2468"/>
      <c r="N324" s="2468"/>
      <c r="O324" s="2468"/>
      <c r="P324" s="2468"/>
      <c r="Q324" s="2468"/>
      <c r="R324" s="2468"/>
      <c r="S324" s="2468"/>
      <c r="T324" s="2468"/>
      <c r="U324" s="2468"/>
      <c r="V324" s="2468"/>
      <c r="W324" s="2468"/>
      <c r="X324" s="2468"/>
      <c r="Y324" s="2468"/>
      <c r="Z324" s="2468"/>
      <c r="AA324" s="2468"/>
      <c r="AB324" s="2468"/>
      <c r="AC324" s="2468"/>
      <c r="AD324" s="2469"/>
      <c r="AE324" s="550"/>
      <c r="AF324" s="550"/>
      <c r="AG324" s="539"/>
      <c r="AH324" s="550"/>
      <c r="AI324" s="550"/>
      <c r="AJ324" s="549"/>
      <c r="AK324" s="549"/>
      <c r="AL324" s="549"/>
      <c r="AM324" s="549"/>
      <c r="AN324" s="73"/>
      <c r="AO324" s="14"/>
      <c r="AP324" s="555" t="s">
        <v>1183</v>
      </c>
    </row>
    <row r="325" spans="1:44" hidden="1">
      <c r="F325" s="2467"/>
      <c r="G325" s="2468"/>
      <c r="H325" s="2468"/>
      <c r="I325" s="2468"/>
      <c r="J325" s="2468"/>
      <c r="K325" s="2468"/>
      <c r="L325" s="2468"/>
      <c r="M325" s="2468"/>
      <c r="N325" s="2468"/>
      <c r="O325" s="2468"/>
      <c r="P325" s="2468"/>
      <c r="Q325" s="2468"/>
      <c r="R325" s="2468"/>
      <c r="S325" s="2468"/>
      <c r="T325" s="2468"/>
      <c r="U325" s="2468"/>
      <c r="V325" s="2468"/>
      <c r="W325" s="2468"/>
      <c r="X325" s="2468"/>
      <c r="Y325" s="2468"/>
      <c r="Z325" s="2468"/>
      <c r="AA325" s="2468"/>
      <c r="AB325" s="2468"/>
      <c r="AC325" s="2468"/>
      <c r="AD325" s="2469"/>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2" t="s">
        <v>1183</v>
      </c>
      <c r="G329" s="2503"/>
      <c r="H329" s="2503"/>
      <c r="I329" s="2503"/>
      <c r="J329" s="2503"/>
      <c r="K329" s="2503"/>
      <c r="L329" s="2503"/>
      <c r="M329" s="2503"/>
      <c r="N329" s="2503"/>
      <c r="O329" s="2503"/>
      <c r="P329" s="2503"/>
      <c r="Q329" s="2503"/>
      <c r="R329" s="2503"/>
      <c r="S329" s="2503"/>
      <c r="T329" s="2503"/>
      <c r="U329" s="2503"/>
      <c r="V329" s="2503"/>
      <c r="W329" s="2503"/>
      <c r="X329" s="2503"/>
      <c r="Y329" s="2503"/>
      <c r="Z329" s="2503"/>
      <c r="AA329" s="2503"/>
      <c r="AB329" s="2503"/>
      <c r="AC329" s="2503"/>
      <c r="AD329" s="2504"/>
      <c r="AE329" s="640"/>
      <c r="AF329" s="640"/>
      <c r="AG329" s="640"/>
      <c r="AH329" s="640"/>
      <c r="AI329" s="640"/>
      <c r="AJ329" s="640"/>
      <c r="AK329" s="640"/>
      <c r="AL329" s="549"/>
      <c r="AM329" s="549"/>
      <c r="AN329" s="73"/>
      <c r="AO329" s="14"/>
      <c r="AP329" s="30"/>
    </row>
    <row r="330" spans="1:44" ht="13" hidden="1">
      <c r="A330" s="549"/>
      <c r="B330" s="550"/>
      <c r="C330" s="726"/>
      <c r="D330" s="726"/>
      <c r="E330" s="546"/>
      <c r="F330" s="2502"/>
      <c r="G330" s="2503"/>
      <c r="H330" s="2503"/>
      <c r="I330" s="2503"/>
      <c r="J330" s="2503"/>
      <c r="K330" s="2503"/>
      <c r="L330" s="2503"/>
      <c r="M330" s="2503"/>
      <c r="N330" s="2503"/>
      <c r="O330" s="2503"/>
      <c r="P330" s="2503"/>
      <c r="Q330" s="2503"/>
      <c r="R330" s="2503"/>
      <c r="S330" s="2503"/>
      <c r="T330" s="2503"/>
      <c r="U330" s="2503"/>
      <c r="V330" s="2503"/>
      <c r="W330" s="2503"/>
      <c r="X330" s="2503"/>
      <c r="Y330" s="2503"/>
      <c r="Z330" s="2503"/>
      <c r="AA330" s="2503"/>
      <c r="AB330" s="2503"/>
      <c r="AC330" s="2503"/>
      <c r="AD330" s="2504"/>
      <c r="AE330" s="550"/>
      <c r="AF330" s="550"/>
      <c r="AG330" s="539"/>
      <c r="AH330" s="550"/>
      <c r="AI330" s="550"/>
      <c r="AJ330" s="549"/>
      <c r="AK330" s="549"/>
      <c r="AL330" s="549"/>
      <c r="AM330" s="549"/>
      <c r="AN330" s="73"/>
      <c r="AO330" s="14"/>
      <c r="AP330" s="30"/>
    </row>
    <row r="331" spans="1:44" ht="13" hidden="1">
      <c r="A331" s="549"/>
      <c r="B331" s="550"/>
      <c r="C331" s="726"/>
      <c r="D331" s="726"/>
      <c r="E331" s="546"/>
      <c r="F331" s="2502"/>
      <c r="G331" s="2503"/>
      <c r="H331" s="2503"/>
      <c r="I331" s="2503"/>
      <c r="J331" s="2503"/>
      <c r="K331" s="2503"/>
      <c r="L331" s="2503"/>
      <c r="M331" s="2503"/>
      <c r="N331" s="2503"/>
      <c r="O331" s="2503"/>
      <c r="P331" s="2503"/>
      <c r="Q331" s="2503"/>
      <c r="R331" s="2503"/>
      <c r="S331" s="2503"/>
      <c r="T331" s="2503"/>
      <c r="U331" s="2503"/>
      <c r="V331" s="2503"/>
      <c r="W331" s="2503"/>
      <c r="X331" s="2503"/>
      <c r="Y331" s="2503"/>
      <c r="Z331" s="2503"/>
      <c r="AA331" s="2503"/>
      <c r="AB331" s="2503"/>
      <c r="AC331" s="2503"/>
      <c r="AD331" s="2504"/>
      <c r="AE331" s="550"/>
      <c r="AF331" s="550"/>
      <c r="AG331" s="539"/>
      <c r="AH331" s="550"/>
      <c r="AI331" s="550"/>
      <c r="AJ331" s="549"/>
      <c r="AK331" s="549"/>
      <c r="AL331" s="549"/>
      <c r="AM331" s="549"/>
      <c r="AN331" s="73"/>
      <c r="AO331" s="14"/>
      <c r="AP331" s="30"/>
    </row>
    <row r="332" spans="1:44" ht="13" hidden="1">
      <c r="A332" s="549"/>
      <c r="B332" s="550"/>
      <c r="C332" s="726"/>
      <c r="D332" s="726"/>
      <c r="E332" s="546"/>
      <c r="F332" s="2502"/>
      <c r="G332" s="2503"/>
      <c r="H332" s="2503"/>
      <c r="I332" s="2503"/>
      <c r="J332" s="2503"/>
      <c r="K332" s="2503"/>
      <c r="L332" s="2503"/>
      <c r="M332" s="2503"/>
      <c r="N332" s="2503"/>
      <c r="O332" s="2503"/>
      <c r="P332" s="2503"/>
      <c r="Q332" s="2503"/>
      <c r="R332" s="2503"/>
      <c r="S332" s="2503"/>
      <c r="T332" s="2503"/>
      <c r="U332" s="2503"/>
      <c r="V332" s="2503"/>
      <c r="W332" s="2503"/>
      <c r="X332" s="2503"/>
      <c r="Y332" s="2503"/>
      <c r="Z332" s="2503"/>
      <c r="AA332" s="2503"/>
      <c r="AB332" s="2503"/>
      <c r="AC332" s="2503"/>
      <c r="AD332" s="2504"/>
      <c r="AE332" s="550"/>
      <c r="AF332" s="550"/>
      <c r="AG332" s="539"/>
      <c r="AH332" s="550"/>
      <c r="AI332" s="550"/>
      <c r="AJ332" s="549"/>
      <c r="AK332" s="549"/>
      <c r="AL332" s="549"/>
      <c r="AM332" s="549"/>
      <c r="AN332" s="73"/>
      <c r="AO332" s="14"/>
      <c r="AP332" s="30"/>
    </row>
    <row r="333" spans="1:44" ht="13" hidden="1">
      <c r="A333" s="549"/>
      <c r="B333" s="550"/>
      <c r="C333" s="726"/>
      <c r="D333" s="726"/>
      <c r="E333" s="546"/>
      <c r="F333" s="2505"/>
      <c r="G333" s="2506"/>
      <c r="H333" s="2506"/>
      <c r="I333" s="2506"/>
      <c r="J333" s="2506"/>
      <c r="K333" s="2506"/>
      <c r="L333" s="2506"/>
      <c r="M333" s="2506"/>
      <c r="N333" s="2506"/>
      <c r="O333" s="2506"/>
      <c r="P333" s="2506"/>
      <c r="Q333" s="2506"/>
      <c r="R333" s="2506"/>
      <c r="S333" s="2506"/>
      <c r="T333" s="2506"/>
      <c r="U333" s="2506"/>
      <c r="V333" s="2506"/>
      <c r="W333" s="2506"/>
      <c r="X333" s="2506"/>
      <c r="Y333" s="2506"/>
      <c r="Z333" s="2506"/>
      <c r="AA333" s="2506"/>
      <c r="AB333" s="2506"/>
      <c r="AC333" s="2506"/>
      <c r="AD333" s="2507"/>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8" t="s">
        <v>1183</v>
      </c>
      <c r="J337" s="2508"/>
      <c r="K337" s="2508"/>
      <c r="L337" s="2508"/>
      <c r="M337" s="2508"/>
      <c r="N337" s="2508"/>
      <c r="O337" s="2508"/>
      <c r="P337" s="2508"/>
      <c r="Q337" s="2508"/>
      <c r="R337" s="2508"/>
      <c r="S337" s="2508"/>
      <c r="T337" s="2508"/>
      <c r="U337" s="2508"/>
      <c r="V337" s="2508"/>
      <c r="W337" s="2508"/>
      <c r="X337" s="2508"/>
      <c r="Y337" s="2508"/>
      <c r="Z337" s="2508"/>
      <c r="AA337" s="2508"/>
      <c r="AB337" s="2508"/>
      <c r="AC337" s="2508"/>
      <c r="AD337" s="2509"/>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2508"/>
      <c r="J338" s="2508"/>
      <c r="K338" s="2508"/>
      <c r="L338" s="2508"/>
      <c r="M338" s="2508"/>
      <c r="N338" s="2508"/>
      <c r="O338" s="2508"/>
      <c r="P338" s="2508"/>
      <c r="Q338" s="2508"/>
      <c r="R338" s="2508"/>
      <c r="S338" s="2508"/>
      <c r="T338" s="2508"/>
      <c r="U338" s="2508"/>
      <c r="V338" s="2508"/>
      <c r="W338" s="2508"/>
      <c r="X338" s="2508"/>
      <c r="Y338" s="2508"/>
      <c r="Z338" s="2508"/>
      <c r="AA338" s="2508"/>
      <c r="AB338" s="2508"/>
      <c r="AC338" s="2508"/>
      <c r="AD338" s="2509"/>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2508"/>
      <c r="J339" s="2508"/>
      <c r="K339" s="2508"/>
      <c r="L339" s="2508"/>
      <c r="M339" s="2508"/>
      <c r="N339" s="2508"/>
      <c r="O339" s="2508"/>
      <c r="P339" s="2508"/>
      <c r="Q339" s="2508"/>
      <c r="R339" s="2508"/>
      <c r="S339" s="2508"/>
      <c r="T339" s="2508"/>
      <c r="U339" s="2508"/>
      <c r="V339" s="2508"/>
      <c r="W339" s="2508"/>
      <c r="X339" s="2508"/>
      <c r="Y339" s="2508"/>
      <c r="Z339" s="2508"/>
      <c r="AA339" s="2508"/>
      <c r="AB339" s="2508"/>
      <c r="AC339" s="2508"/>
      <c r="AD339" s="2509"/>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2510"/>
      <c r="J340" s="2510"/>
      <c r="K340" s="2510"/>
      <c r="L340" s="2510"/>
      <c r="M340" s="2510"/>
      <c r="N340" s="2510"/>
      <c r="O340" s="2510"/>
      <c r="P340" s="2510"/>
      <c r="Q340" s="2510"/>
      <c r="R340" s="2510"/>
      <c r="S340" s="2510"/>
      <c r="T340" s="2510"/>
      <c r="U340" s="2510"/>
      <c r="V340" s="2510"/>
      <c r="W340" s="2510"/>
      <c r="X340" s="2510"/>
      <c r="Y340" s="2510"/>
      <c r="Z340" s="2510"/>
      <c r="AA340" s="2510"/>
      <c r="AB340" s="2510"/>
      <c r="AC340" s="2510"/>
      <c r="AD340" s="2511"/>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08" t="s">
        <v>1183</v>
      </c>
      <c r="J342" s="2508"/>
      <c r="K342" s="2508"/>
      <c r="L342" s="2508"/>
      <c r="M342" s="2508"/>
      <c r="N342" s="2508"/>
      <c r="O342" s="2508"/>
      <c r="P342" s="2508"/>
      <c r="Q342" s="2508"/>
      <c r="R342" s="2508"/>
      <c r="S342" s="2508"/>
      <c r="T342" s="2508"/>
      <c r="U342" s="2508"/>
      <c r="V342" s="2508"/>
      <c r="W342" s="2508"/>
      <c r="X342" s="2508"/>
      <c r="Y342" s="2508"/>
      <c r="Z342" s="2508"/>
      <c r="AA342" s="2508"/>
      <c r="AB342" s="2508"/>
      <c r="AC342" s="2508"/>
      <c r="AD342" s="2509"/>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8"/>
      <c r="J343" s="2508"/>
      <c r="K343" s="2508"/>
      <c r="L343" s="2508"/>
      <c r="M343" s="2508"/>
      <c r="N343" s="2508"/>
      <c r="O343" s="2508"/>
      <c r="P343" s="2508"/>
      <c r="Q343" s="2508"/>
      <c r="R343" s="2508"/>
      <c r="S343" s="2508"/>
      <c r="T343" s="2508"/>
      <c r="U343" s="2508"/>
      <c r="V343" s="2508"/>
      <c r="W343" s="2508"/>
      <c r="X343" s="2508"/>
      <c r="Y343" s="2508"/>
      <c r="Z343" s="2508"/>
      <c r="AA343" s="2508"/>
      <c r="AB343" s="2508"/>
      <c r="AC343" s="2508"/>
      <c r="AD343" s="2509"/>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2510"/>
      <c r="J344" s="2510"/>
      <c r="K344" s="2510"/>
      <c r="L344" s="2510"/>
      <c r="M344" s="2510"/>
      <c r="N344" s="2510"/>
      <c r="O344" s="2510"/>
      <c r="P344" s="2510"/>
      <c r="Q344" s="2510"/>
      <c r="R344" s="2510"/>
      <c r="S344" s="2510"/>
      <c r="T344" s="2510"/>
      <c r="U344" s="2510"/>
      <c r="V344" s="2510"/>
      <c r="W344" s="2510"/>
      <c r="X344" s="2510"/>
      <c r="Y344" s="2510"/>
      <c r="Z344" s="2510"/>
      <c r="AA344" s="2510"/>
      <c r="AB344" s="2510"/>
      <c r="AC344" s="2510"/>
      <c r="AD344" s="2511"/>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82" t="s">
        <v>1383</v>
      </c>
      <c r="B346" s="1682"/>
      <c r="C346" s="2473" t="s">
        <v>591</v>
      </c>
      <c r="D346" s="2473"/>
      <c r="E346" s="546"/>
      <c r="F346" s="2406" t="s">
        <v>1987</v>
      </c>
      <c r="G346" s="2407"/>
      <c r="H346" s="2407"/>
      <c r="I346" s="2407"/>
      <c r="J346" s="2407"/>
      <c r="K346" s="2407"/>
      <c r="L346" s="2407"/>
      <c r="M346" s="2407"/>
      <c r="N346" s="2407"/>
      <c r="O346" s="2407"/>
      <c r="P346" s="2407"/>
      <c r="Q346" s="2407"/>
      <c r="R346" s="2407"/>
      <c r="S346" s="2407"/>
      <c r="T346" s="2407"/>
      <c r="U346" s="2407"/>
      <c r="V346" s="2407"/>
      <c r="W346" s="2407"/>
      <c r="X346" s="2407"/>
      <c r="Y346" s="2407"/>
      <c r="Z346" s="2407"/>
      <c r="AA346" s="2407"/>
      <c r="AB346" s="2407"/>
      <c r="AC346" s="2407"/>
      <c r="AD346" s="2408"/>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5"/>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7"/>
      <c r="AE347" s="550"/>
      <c r="AF347" s="550"/>
      <c r="AG347" s="550"/>
      <c r="AH347" s="550"/>
      <c r="AI347" s="550"/>
      <c r="AJ347" s="549"/>
      <c r="AK347" s="549"/>
      <c r="AL347" s="549"/>
      <c r="AM347" s="549"/>
      <c r="AN347" s="73"/>
      <c r="AO347" s="14"/>
    </row>
    <row r="348" spans="1:42" ht="15" hidden="1" customHeight="1">
      <c r="A348" s="549"/>
      <c r="B348" s="550"/>
      <c r="C348" s="550"/>
      <c r="D348" s="550"/>
      <c r="E348" s="550"/>
      <c r="F348" s="2435"/>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7"/>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76">
        <f>IF(NOT(OR(Application!M364="Yes",Application!M365="Yes")),0,AP308)</f>
        <v>10</v>
      </c>
      <c r="AL351" s="2477"/>
      <c r="AM351" s="247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8" t="s">
        <v>1307</v>
      </c>
      <c r="AF354" s="2418"/>
      <c r="AG354" s="2418"/>
      <c r="AH354" s="2418"/>
      <c r="AI354" s="2418"/>
      <c r="AJ354" s="2418"/>
      <c r="AK354" s="241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2" t="s">
        <v>1444</v>
      </c>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1"/>
      <c r="AL356" s="601"/>
      <c r="AM356" s="601"/>
      <c r="AN356" s="595"/>
    </row>
    <row r="357" spans="1:44" s="549" customFormat="1" ht="12.75" customHeight="1">
      <c r="A357" s="601"/>
      <c r="B357" s="609"/>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1"/>
      <c r="AL357" s="601"/>
      <c r="AM357" s="601"/>
      <c r="AN357" s="595"/>
    </row>
    <row r="358" spans="1:44" s="549" customFormat="1" ht="12.75" customHeight="1">
      <c r="A358" s="601"/>
      <c r="B358" s="609"/>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1"/>
      <c r="AL358" s="601"/>
      <c r="AM358" s="601"/>
      <c r="AN358" s="595"/>
      <c r="AQ358" s="568"/>
    </row>
    <row r="359" spans="1:44" s="549" customFormat="1" ht="12.75" customHeight="1">
      <c r="A359" s="601"/>
      <c r="B359" s="609"/>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1"/>
      <c r="AL359" s="601"/>
      <c r="AM359" s="601"/>
      <c r="AN359" s="595"/>
      <c r="AQ359" s="568"/>
    </row>
    <row r="360" spans="1:44" s="549" customFormat="1" ht="12.4" customHeight="1">
      <c r="A360" s="601"/>
      <c r="B360" s="609"/>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1"/>
      <c r="AL360" s="601"/>
      <c r="AM360" s="601"/>
      <c r="AN360" s="595"/>
      <c r="AQ360" s="568"/>
      <c r="AR360" s="568"/>
    </row>
    <row r="361" spans="1:44" s="549" customFormat="1" ht="45.75" customHeight="1">
      <c r="A361" s="601"/>
      <c r="B361" s="609"/>
      <c r="C361" s="2512" t="s">
        <v>2046</v>
      </c>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2" t="s">
        <v>2160</v>
      </c>
      <c r="D363" s="2512"/>
      <c r="E363" s="2512"/>
      <c r="F363" s="2512"/>
      <c r="G363" s="2512"/>
      <c r="H363" s="2512"/>
      <c r="I363" s="2512"/>
      <c r="J363" s="2512"/>
      <c r="K363" s="2512"/>
      <c r="L363" s="2512"/>
      <c r="M363" s="2512"/>
      <c r="N363" s="2512"/>
      <c r="O363" s="2512"/>
      <c r="P363" s="2512"/>
      <c r="Q363" s="2512"/>
      <c r="R363" s="2512"/>
      <c r="S363" s="2512"/>
      <c r="T363" s="2512"/>
      <c r="U363" s="2512"/>
      <c r="V363" s="2512"/>
      <c r="W363" s="2512"/>
      <c r="X363" s="2512"/>
      <c r="Y363" s="2512"/>
      <c r="Z363" s="2512"/>
      <c r="AA363" s="2512"/>
      <c r="AB363" s="2512"/>
      <c r="AC363" s="2512"/>
      <c r="AD363" s="2512"/>
      <c r="AE363" s="2512"/>
      <c r="AF363" s="2512"/>
      <c r="AG363" s="2512"/>
      <c r="AH363" s="2512"/>
      <c r="AI363" s="2512"/>
      <c r="AJ363" s="2512"/>
      <c r="AK363" s="601"/>
      <c r="AL363" s="601"/>
      <c r="AM363" s="601"/>
      <c r="AN363" s="595"/>
      <c r="AQ363" s="568"/>
      <c r="AR363" s="568"/>
    </row>
    <row r="364" spans="1:44" s="549" customFormat="1" ht="30" customHeight="1">
      <c r="A364" s="601"/>
      <c r="B364" s="609"/>
      <c r="C364" s="2512"/>
      <c r="D364" s="2512"/>
      <c r="E364" s="2512"/>
      <c r="F364" s="2512"/>
      <c r="G364" s="2512"/>
      <c r="H364" s="2512"/>
      <c r="I364" s="2512"/>
      <c r="J364" s="2512"/>
      <c r="K364" s="2512"/>
      <c r="L364" s="2512"/>
      <c r="M364" s="2512"/>
      <c r="N364" s="2512"/>
      <c r="O364" s="2512"/>
      <c r="P364" s="2512"/>
      <c r="Q364" s="2512"/>
      <c r="R364" s="2512"/>
      <c r="S364" s="2512"/>
      <c r="T364" s="2512"/>
      <c r="U364" s="2512"/>
      <c r="V364" s="2512"/>
      <c r="W364" s="2512"/>
      <c r="X364" s="2512"/>
      <c r="Y364" s="2512"/>
      <c r="Z364" s="2512"/>
      <c r="AA364" s="2512"/>
      <c r="AB364" s="2512"/>
      <c r="AC364" s="2512"/>
      <c r="AD364" s="2512"/>
      <c r="AE364" s="2512"/>
      <c r="AF364" s="2512"/>
      <c r="AG364" s="2512"/>
      <c r="AH364" s="2512"/>
      <c r="AI364" s="2512"/>
      <c r="AJ364" s="2512"/>
      <c r="AK364" s="601"/>
      <c r="AL364" s="601"/>
      <c r="AM364" s="601"/>
      <c r="AN364" s="595"/>
      <c r="AR364" s="568"/>
    </row>
    <row r="365" spans="1:44" s="549" customFormat="1" ht="12.75" customHeight="1">
      <c r="A365" s="601"/>
      <c r="B365" s="609"/>
      <c r="C365" s="2512"/>
      <c r="D365" s="2512"/>
      <c r="E365" s="2512"/>
      <c r="F365" s="2512"/>
      <c r="G365" s="2512"/>
      <c r="H365" s="2512"/>
      <c r="I365" s="2512"/>
      <c r="J365" s="2512"/>
      <c r="K365" s="2512"/>
      <c r="L365" s="2512"/>
      <c r="M365" s="2512"/>
      <c r="N365" s="2512"/>
      <c r="O365" s="2512"/>
      <c r="P365" s="2512"/>
      <c r="Q365" s="2512"/>
      <c r="R365" s="2512"/>
      <c r="S365" s="2512"/>
      <c r="T365" s="2512"/>
      <c r="U365" s="2512"/>
      <c r="V365" s="2512"/>
      <c r="W365" s="2512"/>
      <c r="X365" s="2512"/>
      <c r="Y365" s="2512"/>
      <c r="Z365" s="2512"/>
      <c r="AA365" s="2512"/>
      <c r="AB365" s="2512"/>
      <c r="AC365" s="2512"/>
      <c r="AD365" s="2512"/>
      <c r="AE365" s="2512"/>
      <c r="AF365" s="2512"/>
      <c r="AG365" s="2512"/>
      <c r="AH365" s="2512"/>
      <c r="AI365" s="2512"/>
      <c r="AJ365" s="2512"/>
      <c r="AK365" s="601"/>
      <c r="AL365" s="601"/>
      <c r="AM365" s="601"/>
      <c r="AN365" s="595"/>
      <c r="AR365" s="568"/>
    </row>
    <row r="366" spans="1:44" s="549" customFormat="1" ht="12.75" customHeight="1">
      <c r="A366" s="601"/>
      <c r="B366" s="609"/>
      <c r="C366" s="2512" t="s">
        <v>1445</v>
      </c>
      <c r="D366" s="2512"/>
      <c r="E366" s="2512"/>
      <c r="F366" s="2512"/>
      <c r="G366" s="2512"/>
      <c r="H366" s="2512"/>
      <c r="I366" s="2512"/>
      <c r="J366" s="2512"/>
      <c r="K366" s="2512"/>
      <c r="L366" s="2512"/>
      <c r="M366" s="2512"/>
      <c r="N366" s="2512"/>
      <c r="O366" s="2512"/>
      <c r="P366" s="2512"/>
      <c r="Q366" s="2512"/>
      <c r="R366" s="2512"/>
      <c r="S366" s="2512"/>
      <c r="T366" s="2512"/>
      <c r="U366" s="2512"/>
      <c r="V366" s="2512"/>
      <c r="W366" s="2512"/>
      <c r="X366" s="2512"/>
      <c r="Y366" s="2512"/>
      <c r="Z366" s="2512"/>
      <c r="AA366" s="2512"/>
      <c r="AB366" s="2512"/>
      <c r="AC366" s="2512"/>
      <c r="AD366" s="2512"/>
      <c r="AE366" s="2512"/>
      <c r="AF366" s="2512"/>
      <c r="AG366" s="2512"/>
      <c r="AH366" s="2512"/>
      <c r="AI366" s="2512"/>
      <c r="AJ366" s="2512"/>
      <c r="AK366" s="601"/>
      <c r="AL366" s="601"/>
      <c r="AM366" s="601"/>
      <c r="AN366" s="595"/>
      <c r="AQ366" s="568"/>
      <c r="AR366" s="568"/>
    </row>
    <row r="367" spans="1:44" s="549" customFormat="1" ht="12.75" customHeight="1">
      <c r="A367" s="601"/>
      <c r="B367" s="609"/>
      <c r="C367" s="2512"/>
      <c r="D367" s="2512"/>
      <c r="E367" s="2512"/>
      <c r="F367" s="2512"/>
      <c r="G367" s="2512"/>
      <c r="H367" s="2512"/>
      <c r="I367" s="2512"/>
      <c r="J367" s="2512"/>
      <c r="K367" s="2512"/>
      <c r="L367" s="2512"/>
      <c r="M367" s="2512"/>
      <c r="N367" s="2512"/>
      <c r="O367" s="2512"/>
      <c r="P367" s="2512"/>
      <c r="Q367" s="2512"/>
      <c r="R367" s="2512"/>
      <c r="S367" s="2512"/>
      <c r="T367" s="2512"/>
      <c r="U367" s="2512"/>
      <c r="V367" s="2512"/>
      <c r="W367" s="2512"/>
      <c r="X367" s="2512"/>
      <c r="Y367" s="2512"/>
      <c r="Z367" s="2512"/>
      <c r="AA367" s="2512"/>
      <c r="AB367" s="2512"/>
      <c r="AC367" s="2512"/>
      <c r="AD367" s="2512"/>
      <c r="AE367" s="2512"/>
      <c r="AF367" s="2512"/>
      <c r="AG367" s="2512"/>
      <c r="AH367" s="2512"/>
      <c r="AI367" s="2512"/>
      <c r="AJ367" s="2512"/>
      <c r="AK367" s="601"/>
      <c r="AL367" s="601"/>
      <c r="AM367" s="601"/>
      <c r="AN367" s="595"/>
      <c r="AQ367" s="568"/>
      <c r="AR367" s="568"/>
    </row>
    <row r="368" spans="1:44" s="549" customFormat="1" ht="13.15" customHeight="1">
      <c r="A368" s="601"/>
      <c r="B368" s="609"/>
      <c r="C368" s="2512"/>
      <c r="D368" s="2512"/>
      <c r="E368" s="2512"/>
      <c r="F368" s="2512"/>
      <c r="G368" s="2512"/>
      <c r="H368" s="2512"/>
      <c r="I368" s="2512"/>
      <c r="J368" s="2512"/>
      <c r="K368" s="2512"/>
      <c r="L368" s="2512"/>
      <c r="M368" s="2512"/>
      <c r="N368" s="2512"/>
      <c r="O368" s="2512"/>
      <c r="P368" s="2512"/>
      <c r="Q368" s="2512"/>
      <c r="R368" s="2512"/>
      <c r="S368" s="2512"/>
      <c r="T368" s="2512"/>
      <c r="U368" s="2512"/>
      <c r="V368" s="2512"/>
      <c r="W368" s="2512"/>
      <c r="X368" s="2512"/>
      <c r="Y368" s="2512"/>
      <c r="Z368" s="2512"/>
      <c r="AA368" s="2512"/>
      <c r="AB368" s="2512"/>
      <c r="AC368" s="2512"/>
      <c r="AD368" s="2512"/>
      <c r="AE368" s="2512"/>
      <c r="AF368" s="2512"/>
      <c r="AG368" s="2512"/>
      <c r="AH368" s="2512"/>
      <c r="AI368" s="2512"/>
      <c r="AJ368" s="2512"/>
      <c r="AK368" s="601"/>
      <c r="AL368" s="601"/>
      <c r="AM368" s="601"/>
      <c r="AN368" s="595"/>
      <c r="AQ368" s="568"/>
      <c r="AR368" s="568"/>
    </row>
    <row r="369" spans="1:46" s="549" customFormat="1" ht="12.75" customHeight="1">
      <c r="A369" s="601"/>
      <c r="B369" s="609"/>
      <c r="C369" s="2512"/>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1"/>
      <c r="AL369" s="601"/>
      <c r="AM369" s="601"/>
      <c r="AN369" s="595"/>
      <c r="AO369" s="690"/>
      <c r="AP369" s="690"/>
      <c r="AQ369" s="568"/>
    </row>
    <row r="370" spans="1:46" s="549" customFormat="1" ht="11.9" customHeight="1">
      <c r="A370" s="601"/>
      <c r="B370" s="609"/>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1"/>
      <c r="AL370" s="601"/>
      <c r="AM370" s="601"/>
      <c r="AN370" s="595"/>
      <c r="AO370" s="691" t="s">
        <v>112</v>
      </c>
      <c r="AP370" s="692">
        <f>IF(C394="Yes",5,0)</f>
        <v>0</v>
      </c>
      <c r="AS370" s="539" t="s">
        <v>1446</v>
      </c>
    </row>
    <row r="371" spans="1:46" s="549" customFormat="1" ht="12.75" customHeight="1">
      <c r="A371" s="601"/>
      <c r="B371" s="609"/>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1"/>
      <c r="AL371" s="601"/>
      <c r="AM371" s="601"/>
      <c r="AN371" s="595"/>
      <c r="AO371" s="691" t="s">
        <v>113</v>
      </c>
      <c r="AP371" s="692">
        <f>IF(C402="Yes",5,0)</f>
        <v>0</v>
      </c>
      <c r="AS371" s="2542">
        <f>IF(Application!D211="Non-Targeted",(SUM(AQ379+AQ388)),AS375)</f>
        <v>10</v>
      </c>
      <c r="AT371" s="2542"/>
    </row>
    <row r="372" spans="1:46" s="549" customFormat="1" ht="12.75" customHeight="1">
      <c r="A372" s="601"/>
      <c r="B372" s="609"/>
      <c r="C372" s="2512"/>
      <c r="D372" s="2512"/>
      <c r="E372" s="2512"/>
      <c r="F372" s="2512"/>
      <c r="G372" s="2512"/>
      <c r="H372" s="2512"/>
      <c r="I372" s="2512"/>
      <c r="J372" s="2512"/>
      <c r="K372" s="2512"/>
      <c r="L372" s="2512"/>
      <c r="M372" s="2512"/>
      <c r="N372" s="2512"/>
      <c r="O372" s="2512"/>
      <c r="P372" s="2512"/>
      <c r="Q372" s="2512"/>
      <c r="R372" s="2512"/>
      <c r="S372" s="2512"/>
      <c r="T372" s="2512"/>
      <c r="U372" s="2512"/>
      <c r="V372" s="2512"/>
      <c r="W372" s="2512"/>
      <c r="X372" s="2512"/>
      <c r="Y372" s="2512"/>
      <c r="Z372" s="2512"/>
      <c r="AA372" s="2512"/>
      <c r="AB372" s="2512"/>
      <c r="AC372" s="2512"/>
      <c r="AD372" s="2512"/>
      <c r="AE372" s="2512"/>
      <c r="AF372" s="2512"/>
      <c r="AG372" s="2512"/>
      <c r="AH372" s="2512"/>
      <c r="AI372" s="2512"/>
      <c r="AJ372" s="2512"/>
      <c r="AK372" s="601"/>
      <c r="AL372" s="601"/>
      <c r="AM372" s="601"/>
      <c r="AN372" s="595"/>
      <c r="AO372" s="691" t="s">
        <v>119</v>
      </c>
      <c r="AP372" s="692">
        <f>IF(C410="Yes",7,0)</f>
        <v>7</v>
      </c>
      <c r="AS372" s="539" t="s">
        <v>1447</v>
      </c>
    </row>
    <row r="373" spans="1:46" s="549" customFormat="1" ht="12.75" customHeight="1">
      <c r="B373" s="609"/>
      <c r="C373" s="2512"/>
      <c r="D373" s="2512"/>
      <c r="E373" s="2512"/>
      <c r="F373" s="2512"/>
      <c r="G373" s="2512"/>
      <c r="H373" s="2512"/>
      <c r="I373" s="2512"/>
      <c r="J373" s="2512"/>
      <c r="K373" s="2512"/>
      <c r="L373" s="2512"/>
      <c r="M373" s="2512"/>
      <c r="N373" s="2512"/>
      <c r="O373" s="2512"/>
      <c r="P373" s="2512"/>
      <c r="Q373" s="2512"/>
      <c r="R373" s="2512"/>
      <c r="S373" s="2512"/>
      <c r="T373" s="2512"/>
      <c r="U373" s="2512"/>
      <c r="V373" s="2512"/>
      <c r="W373" s="2512"/>
      <c r="X373" s="2512"/>
      <c r="Y373" s="2512"/>
      <c r="Z373" s="2512"/>
      <c r="AA373" s="2512"/>
      <c r="AB373" s="2512"/>
      <c r="AC373" s="2512"/>
      <c r="AD373" s="2512"/>
      <c r="AE373" s="2512"/>
      <c r="AF373" s="2512"/>
      <c r="AG373" s="2512"/>
      <c r="AH373" s="2512"/>
      <c r="AI373" s="2512"/>
      <c r="AJ373" s="2512"/>
      <c r="AK373" s="601"/>
      <c r="AL373" s="601"/>
      <c r="AM373" s="601"/>
      <c r="AN373" s="595"/>
      <c r="AO373" s="595"/>
      <c r="AP373" s="692">
        <f>IF(C412="Yes",5,0)</f>
        <v>0</v>
      </c>
      <c r="AS373" s="2542">
        <f>IF(AND(AQ379&gt;0,AQ388&gt;0),(AQ379+AQ388)/2,0)</f>
        <v>0</v>
      </c>
      <c r="AT373" s="2542"/>
    </row>
    <row r="374" spans="1:46" s="549" customFormat="1" ht="12.75" customHeight="1">
      <c r="A374" s="601"/>
      <c r="B374" s="609"/>
      <c r="C374" s="2512"/>
      <c r="D374" s="2512"/>
      <c r="E374" s="2512"/>
      <c r="F374" s="2512"/>
      <c r="G374" s="2512"/>
      <c r="H374" s="2512"/>
      <c r="I374" s="2512"/>
      <c r="J374" s="2512"/>
      <c r="K374" s="2512"/>
      <c r="L374" s="2512"/>
      <c r="M374" s="2512"/>
      <c r="N374" s="2512"/>
      <c r="O374" s="2512"/>
      <c r="P374" s="2512"/>
      <c r="Q374" s="2512"/>
      <c r="R374" s="2512"/>
      <c r="S374" s="2512"/>
      <c r="T374" s="2512"/>
      <c r="U374" s="2512"/>
      <c r="V374" s="2512"/>
      <c r="W374" s="2512"/>
      <c r="X374" s="2512"/>
      <c r="Y374" s="2512"/>
      <c r="Z374" s="2512"/>
      <c r="AA374" s="2512"/>
      <c r="AB374" s="2512"/>
      <c r="AC374" s="2512"/>
      <c r="AD374" s="2512"/>
      <c r="AE374" s="2512"/>
      <c r="AF374" s="2512"/>
      <c r="AG374" s="2512"/>
      <c r="AH374" s="2512"/>
      <c r="AI374" s="2512"/>
      <c r="AJ374" s="2512"/>
      <c r="AK374" s="601"/>
      <c r="AL374" s="601"/>
      <c r="AM374" s="601"/>
      <c r="AN374" s="595"/>
      <c r="AO374" s="691" t="s">
        <v>581</v>
      </c>
      <c r="AP374" s="692">
        <f>IF(C420="Yes",5,0)</f>
        <v>0</v>
      </c>
      <c r="AS374" s="539" t="s">
        <v>1851</v>
      </c>
    </row>
    <row r="375" spans="1:46" s="549" customFormat="1" ht="12.75" customHeight="1">
      <c r="A375" s="601"/>
      <c r="B375" s="609"/>
      <c r="C375" s="2543" t="s">
        <v>2184</v>
      </c>
      <c r="D375" s="2543"/>
      <c r="E375" s="2543"/>
      <c r="F375" s="2543"/>
      <c r="G375" s="2543"/>
      <c r="H375" s="2543"/>
      <c r="I375" s="2543"/>
      <c r="J375" s="2543"/>
      <c r="K375" s="2543"/>
      <c r="L375" s="2543"/>
      <c r="M375" s="2543"/>
      <c r="N375" s="2543"/>
      <c r="O375" s="2543"/>
      <c r="P375" s="2543"/>
      <c r="Q375" s="2543"/>
      <c r="R375" s="2543"/>
      <c r="S375" s="2543"/>
      <c r="T375" s="2543"/>
      <c r="U375" s="2543"/>
      <c r="V375" s="2543"/>
      <c r="W375" s="2543"/>
      <c r="X375" s="2543"/>
      <c r="Y375" s="2543"/>
      <c r="Z375" s="2543"/>
      <c r="AA375" s="2543"/>
      <c r="AB375" s="2543"/>
      <c r="AC375" s="2543"/>
      <c r="AD375" s="2543"/>
      <c r="AE375" s="2543"/>
      <c r="AF375" s="2543"/>
      <c r="AG375" s="2543"/>
      <c r="AH375" s="2543"/>
      <c r="AI375" s="2543"/>
      <c r="AJ375" s="2543"/>
      <c r="AK375" s="601"/>
      <c r="AL375" s="601"/>
      <c r="AM375" s="601"/>
      <c r="AN375" s="595"/>
      <c r="AO375" s="595"/>
      <c r="AP375" s="692">
        <f>IF(C422="Yes",3,0)</f>
        <v>3</v>
      </c>
      <c r="AS375" s="2542">
        <f>IF(AQ379=0,AQ388,AQ379)</f>
        <v>10</v>
      </c>
      <c r="AT375" s="2542"/>
    </row>
    <row r="376" spans="1:46" s="549" customFormat="1" ht="12.75" customHeight="1">
      <c r="A376" s="601"/>
      <c r="B376" s="609"/>
      <c r="C376" s="2543"/>
      <c r="D376" s="2543"/>
      <c r="E376" s="2543"/>
      <c r="F376" s="2543"/>
      <c r="G376" s="2543"/>
      <c r="H376" s="2543"/>
      <c r="I376" s="2543"/>
      <c r="J376" s="2543"/>
      <c r="K376" s="2543"/>
      <c r="L376" s="2543"/>
      <c r="M376" s="2543"/>
      <c r="N376" s="2543"/>
      <c r="O376" s="2543"/>
      <c r="P376" s="2543"/>
      <c r="Q376" s="2543"/>
      <c r="R376" s="2543"/>
      <c r="S376" s="2543"/>
      <c r="T376" s="2543"/>
      <c r="U376" s="2543"/>
      <c r="V376" s="2543"/>
      <c r="W376" s="2543"/>
      <c r="X376" s="2543"/>
      <c r="Y376" s="2543"/>
      <c r="Z376" s="2543"/>
      <c r="AA376" s="2543"/>
      <c r="AB376" s="2543"/>
      <c r="AC376" s="2543"/>
      <c r="AD376" s="2543"/>
      <c r="AE376" s="2543"/>
      <c r="AF376" s="2543"/>
      <c r="AG376" s="2543"/>
      <c r="AH376" s="2543"/>
      <c r="AI376" s="2543"/>
      <c r="AJ376" s="2543"/>
      <c r="AK376" s="601"/>
      <c r="AL376" s="601"/>
      <c r="AM376" s="601"/>
      <c r="AN376" s="595"/>
      <c r="AO376" s="691" t="s">
        <v>762</v>
      </c>
      <c r="AP376" s="692">
        <f>IF(C425="Yes",5,0)</f>
        <v>0</v>
      </c>
    </row>
    <row r="377" spans="1:46" s="549" customFormat="1" ht="12.75" customHeight="1">
      <c r="A377" s="601"/>
      <c r="B377" s="609"/>
      <c r="C377" s="2543"/>
      <c r="D377" s="2543"/>
      <c r="E377" s="2543"/>
      <c r="F377" s="2543"/>
      <c r="G377" s="2543"/>
      <c r="H377" s="2543"/>
      <c r="I377" s="2543"/>
      <c r="J377" s="2543"/>
      <c r="K377" s="2543"/>
      <c r="L377" s="2543"/>
      <c r="M377" s="2543"/>
      <c r="N377" s="2543"/>
      <c r="O377" s="2543"/>
      <c r="P377" s="2543"/>
      <c r="Q377" s="2543"/>
      <c r="R377" s="2543"/>
      <c r="S377" s="2543"/>
      <c r="T377" s="2543"/>
      <c r="U377" s="2543"/>
      <c r="V377" s="2543"/>
      <c r="W377" s="2543"/>
      <c r="X377" s="2543"/>
      <c r="Y377" s="2543"/>
      <c r="Z377" s="2543"/>
      <c r="AA377" s="2543"/>
      <c r="AB377" s="2543"/>
      <c r="AC377" s="2543"/>
      <c r="AD377" s="2543"/>
      <c r="AE377" s="2543"/>
      <c r="AF377" s="2543"/>
      <c r="AG377" s="2543"/>
      <c r="AH377" s="2543"/>
      <c r="AI377" s="2543"/>
      <c r="AJ377" s="2543"/>
      <c r="AK377" s="601"/>
      <c r="AL377" s="601"/>
      <c r="AM377" s="601"/>
      <c r="AN377" s="595"/>
      <c r="AO377" s="691" t="s">
        <v>584</v>
      </c>
      <c r="AP377" s="692">
        <f>IF(C434="Yes",5,0)</f>
        <v>0</v>
      </c>
    </row>
    <row r="378" spans="1:46" s="549" customFormat="1" ht="11.9" customHeight="1">
      <c r="A378" s="601"/>
      <c r="B378" s="609"/>
      <c r="C378" s="2543"/>
      <c r="D378" s="2543"/>
      <c r="E378" s="2543"/>
      <c r="F378" s="2543"/>
      <c r="G378" s="2543"/>
      <c r="H378" s="2543"/>
      <c r="I378" s="2543"/>
      <c r="J378" s="2543"/>
      <c r="K378" s="2543"/>
      <c r="L378" s="2543"/>
      <c r="M378" s="2543"/>
      <c r="N378" s="2543"/>
      <c r="O378" s="2543"/>
      <c r="P378" s="2543"/>
      <c r="Q378" s="2543"/>
      <c r="R378" s="2543"/>
      <c r="S378" s="2543"/>
      <c r="T378" s="2543"/>
      <c r="U378" s="2543"/>
      <c r="V378" s="2543"/>
      <c r="W378" s="2543"/>
      <c r="X378" s="2543"/>
      <c r="Y378" s="2543"/>
      <c r="Z378" s="2543"/>
      <c r="AA378" s="2543"/>
      <c r="AB378" s="2543"/>
      <c r="AC378" s="2543"/>
      <c r="AD378" s="2543"/>
      <c r="AE378" s="2543"/>
      <c r="AF378" s="2543"/>
      <c r="AG378" s="2543"/>
      <c r="AH378" s="2543"/>
      <c r="AI378" s="2543"/>
      <c r="AJ378" s="2543"/>
      <c r="AK378" s="601"/>
      <c r="AL378" s="601"/>
      <c r="AM378" s="601"/>
      <c r="AN378" s="595"/>
      <c r="AO378" s="693"/>
      <c r="AP378" s="694">
        <f>IF(C436="Yes",3,0)</f>
        <v>0</v>
      </c>
    </row>
    <row r="379" spans="1:46" s="549" customFormat="1" ht="12.4" customHeight="1">
      <c r="A379" s="601"/>
      <c r="B379" s="609"/>
      <c r="C379" s="2543"/>
      <c r="D379" s="2543"/>
      <c r="E379" s="2543"/>
      <c r="F379" s="2543"/>
      <c r="G379" s="2543"/>
      <c r="H379" s="2543"/>
      <c r="I379" s="2543"/>
      <c r="J379" s="2543"/>
      <c r="K379" s="2543"/>
      <c r="L379" s="2543"/>
      <c r="M379" s="2543"/>
      <c r="N379" s="2543"/>
      <c r="O379" s="2543"/>
      <c r="P379" s="2543"/>
      <c r="Q379" s="2543"/>
      <c r="R379" s="2543"/>
      <c r="S379" s="2543"/>
      <c r="T379" s="2543"/>
      <c r="U379" s="2543"/>
      <c r="V379" s="2543"/>
      <c r="W379" s="2543"/>
      <c r="X379" s="2543"/>
      <c r="Y379" s="2543"/>
      <c r="Z379" s="2543"/>
      <c r="AA379" s="2543"/>
      <c r="AB379" s="2543"/>
      <c r="AC379" s="2543"/>
      <c r="AD379" s="2543"/>
      <c r="AE379" s="2543"/>
      <c r="AF379" s="2543"/>
      <c r="AG379" s="2543"/>
      <c r="AH379" s="2543"/>
      <c r="AI379" s="2543"/>
      <c r="AJ379" s="2543"/>
      <c r="AK379" s="601"/>
      <c r="AL379" s="601"/>
      <c r="AM379" s="601"/>
      <c r="AN379" s="595"/>
      <c r="AO379" s="695" t="s">
        <v>227</v>
      </c>
      <c r="AP379" s="696">
        <f>SUM(AP370:AP378)</f>
        <v>10</v>
      </c>
      <c r="AQ379" s="2544">
        <f>IF(AP379&gt;0,AP379,0)</f>
        <v>10</v>
      </c>
      <c r="AR379" s="2544"/>
    </row>
    <row r="380" spans="1:46" s="549" customFormat="1" ht="12.75" customHeight="1">
      <c r="A380" s="601"/>
      <c r="B380" s="609"/>
      <c r="C380" s="2543"/>
      <c r="D380" s="2543"/>
      <c r="E380" s="2543"/>
      <c r="F380" s="2543"/>
      <c r="G380" s="2543"/>
      <c r="H380" s="2543"/>
      <c r="I380" s="2543"/>
      <c r="J380" s="2543"/>
      <c r="K380" s="2543"/>
      <c r="L380" s="2543"/>
      <c r="M380" s="2543"/>
      <c r="N380" s="2543"/>
      <c r="O380" s="2543"/>
      <c r="P380" s="2543"/>
      <c r="Q380" s="2543"/>
      <c r="R380" s="2543"/>
      <c r="S380" s="2543"/>
      <c r="T380" s="2543"/>
      <c r="U380" s="2543"/>
      <c r="V380" s="2543"/>
      <c r="W380" s="2543"/>
      <c r="X380" s="2543"/>
      <c r="Y380" s="2543"/>
      <c r="Z380" s="2543"/>
      <c r="AA380" s="2543"/>
      <c r="AB380" s="2543"/>
      <c r="AC380" s="2543"/>
      <c r="AD380" s="2543"/>
      <c r="AE380" s="2543"/>
      <c r="AF380" s="2543"/>
      <c r="AG380" s="2543"/>
      <c r="AH380" s="2543"/>
      <c r="AI380" s="2543"/>
      <c r="AJ380" s="2543"/>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2" t="s">
        <v>1448</v>
      </c>
      <c r="D382" s="2512"/>
      <c r="E382" s="2512"/>
      <c r="F382" s="2512"/>
      <c r="G382" s="2512"/>
      <c r="H382" s="2512"/>
      <c r="I382" s="2512"/>
      <c r="J382" s="2512"/>
      <c r="K382" s="2512"/>
      <c r="L382" s="2512"/>
      <c r="M382" s="2512"/>
      <c r="N382" s="2512"/>
      <c r="O382" s="2512"/>
      <c r="P382" s="2512"/>
      <c r="Q382" s="2512"/>
      <c r="R382" s="2512"/>
      <c r="S382" s="2512"/>
      <c r="T382" s="2512"/>
      <c r="U382" s="2512"/>
      <c r="V382" s="2512"/>
      <c r="W382" s="2512"/>
      <c r="X382" s="2512"/>
      <c r="Y382" s="2512"/>
      <c r="Z382" s="2512"/>
      <c r="AA382" s="2512"/>
      <c r="AB382" s="2512"/>
      <c r="AC382" s="2512"/>
      <c r="AD382" s="2512"/>
      <c r="AE382" s="2512"/>
      <c r="AF382" s="2512"/>
      <c r="AG382" s="2512"/>
      <c r="AH382" s="2512"/>
      <c r="AI382" s="2512"/>
      <c r="AJ382" s="2512"/>
      <c r="AK382" s="601"/>
      <c r="AL382" s="601"/>
      <c r="AM382" s="601"/>
      <c r="AN382" s="595"/>
      <c r="AO382" s="691" t="s">
        <v>456</v>
      </c>
      <c r="AP382" s="692">
        <f>IF(C455="Yes",5,0)</f>
        <v>0</v>
      </c>
    </row>
    <row r="383" spans="1:46" s="549" customFormat="1" ht="12.75" customHeight="1">
      <c r="A383" s="601"/>
      <c r="B383" s="609"/>
      <c r="C383" s="2512"/>
      <c r="D383" s="2512"/>
      <c r="E383" s="2512"/>
      <c r="F383" s="2512"/>
      <c r="G383" s="2512"/>
      <c r="H383" s="2512"/>
      <c r="I383" s="2512"/>
      <c r="J383" s="2512"/>
      <c r="K383" s="2512"/>
      <c r="L383" s="2512"/>
      <c r="M383" s="2512"/>
      <c r="N383" s="2512"/>
      <c r="O383" s="2512"/>
      <c r="P383" s="2512"/>
      <c r="Q383" s="2512"/>
      <c r="R383" s="2512"/>
      <c r="S383" s="2512"/>
      <c r="T383" s="2512"/>
      <c r="U383" s="2512"/>
      <c r="V383" s="2512"/>
      <c r="W383" s="2512"/>
      <c r="X383" s="2512"/>
      <c r="Y383" s="2512"/>
      <c r="Z383" s="2512"/>
      <c r="AA383" s="2512"/>
      <c r="AB383" s="2512"/>
      <c r="AC383" s="2512"/>
      <c r="AD383" s="2512"/>
      <c r="AE383" s="2512"/>
      <c r="AF383" s="2512"/>
      <c r="AG383" s="2512"/>
      <c r="AH383" s="2512"/>
      <c r="AI383" s="2512"/>
      <c r="AJ383" s="2512"/>
      <c r="AK383" s="601"/>
      <c r="AL383" s="601"/>
      <c r="AM383" s="601"/>
      <c r="AN383" s="595"/>
      <c r="AO383" s="691" t="s">
        <v>461</v>
      </c>
      <c r="AP383" s="692">
        <f>IF(C462="Yes",5,0)</f>
        <v>0</v>
      </c>
    </row>
    <row r="384" spans="1:46" s="549" customFormat="1" ht="68.150000000000006" customHeight="1">
      <c r="A384" s="601"/>
      <c r="B384" s="609"/>
      <c r="C384" s="2512"/>
      <c r="D384" s="2512"/>
      <c r="E384" s="2512"/>
      <c r="F384" s="2512"/>
      <c r="G384" s="2512"/>
      <c r="H384" s="2512"/>
      <c r="I384" s="2512"/>
      <c r="J384" s="2512"/>
      <c r="K384" s="2512"/>
      <c r="L384" s="2512"/>
      <c r="M384" s="2512"/>
      <c r="N384" s="2512"/>
      <c r="O384" s="2512"/>
      <c r="P384" s="2512"/>
      <c r="Q384" s="2512"/>
      <c r="R384" s="2512"/>
      <c r="S384" s="2512"/>
      <c r="T384" s="2512"/>
      <c r="U384" s="2512"/>
      <c r="V384" s="2512"/>
      <c r="W384" s="2512"/>
      <c r="X384" s="2512"/>
      <c r="Y384" s="2512"/>
      <c r="Z384" s="2512"/>
      <c r="AA384" s="2512"/>
      <c r="AB384" s="2512"/>
      <c r="AC384" s="2512"/>
      <c r="AD384" s="2512"/>
      <c r="AE384" s="2512"/>
      <c r="AF384" s="2512"/>
      <c r="AG384" s="2512"/>
      <c r="AH384" s="2512"/>
      <c r="AI384" s="2512"/>
      <c r="AJ384" s="2512"/>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08">
        <f>Application!DU810-U387</f>
        <v>251</v>
      </c>
      <c r="V386" s="2608"/>
      <c r="W386" s="260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09">
        <f>IF(Application!D211="SRO",Application!DU763,Application!AG764)</f>
        <v>0</v>
      </c>
      <c r="V387" s="2609"/>
      <c r="W387" s="260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4">
        <f>IF(AP388&gt;0,AP388,0)</f>
        <v>0</v>
      </c>
      <c r="AR388" s="2544"/>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6" t="s">
        <v>1450</v>
      </c>
      <c r="G390" s="2516"/>
      <c r="H390" s="2516"/>
      <c r="I390" s="2516"/>
      <c r="J390" s="2516"/>
      <c r="K390" s="2516"/>
      <c r="L390" s="2516"/>
      <c r="M390" s="2516"/>
      <c r="N390" s="2516"/>
      <c r="O390" s="2516"/>
      <c r="P390" s="2516"/>
      <c r="Q390" s="2516"/>
      <c r="R390" s="2516"/>
      <c r="S390" s="2516"/>
      <c r="T390" s="2516"/>
      <c r="U390" s="2516"/>
      <c r="V390" s="2516"/>
      <c r="W390" s="2516"/>
      <c r="X390" s="2516"/>
      <c r="Y390" s="2516"/>
      <c r="Z390" s="2516"/>
      <c r="AA390" s="2516"/>
      <c r="AB390" s="2516"/>
      <c r="AC390" s="2516"/>
      <c r="AD390" s="2516"/>
      <c r="AE390" s="2516"/>
      <c r="AF390" s="251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9"/>
      <c r="G391" s="2389"/>
      <c r="H391" s="2389"/>
      <c r="I391" s="2389"/>
      <c r="J391" s="2389"/>
      <c r="K391" s="2389"/>
      <c r="L391" s="2389"/>
      <c r="M391" s="2389"/>
      <c r="N391" s="2389"/>
      <c r="O391" s="2389"/>
      <c r="P391" s="2389"/>
      <c r="Q391" s="2389"/>
      <c r="R391" s="2389"/>
      <c r="S391" s="2389"/>
      <c r="T391" s="2389"/>
      <c r="U391" s="2389"/>
      <c r="V391" s="2389"/>
      <c r="W391" s="2389"/>
      <c r="X391" s="2389"/>
      <c r="Y391" s="2389"/>
      <c r="Z391" s="2389"/>
      <c r="AA391" s="2389"/>
      <c r="AB391" s="2389"/>
      <c r="AC391" s="2389"/>
      <c r="AD391" s="2389"/>
      <c r="AE391" s="2389"/>
      <c r="AF391" s="238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9"/>
      <c r="G392" s="2389"/>
      <c r="H392" s="2389"/>
      <c r="I392" s="2389"/>
      <c r="J392" s="2389"/>
      <c r="K392" s="2389"/>
      <c r="L392" s="2389"/>
      <c r="M392" s="2389"/>
      <c r="N392" s="2389"/>
      <c r="O392" s="2389"/>
      <c r="P392" s="2389"/>
      <c r="Q392" s="2389"/>
      <c r="R392" s="2389"/>
      <c r="S392" s="2389"/>
      <c r="T392" s="2389"/>
      <c r="U392" s="2389"/>
      <c r="V392" s="2389"/>
      <c r="W392" s="2389"/>
      <c r="X392" s="2389"/>
      <c r="Y392" s="2389"/>
      <c r="Z392" s="2389"/>
      <c r="AA392" s="2389"/>
      <c r="AB392" s="2389"/>
      <c r="AC392" s="2389"/>
      <c r="AD392" s="2389"/>
      <c r="AE392" s="2389"/>
      <c r="AF392" s="238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9"/>
      <c r="G393" s="2389"/>
      <c r="H393" s="2389"/>
      <c r="I393" s="2389"/>
      <c r="J393" s="2389"/>
      <c r="K393" s="2389"/>
      <c r="L393" s="2389"/>
      <c r="M393" s="2389"/>
      <c r="N393" s="2389"/>
      <c r="O393" s="2389"/>
      <c r="P393" s="2389"/>
      <c r="Q393" s="2389"/>
      <c r="R393" s="2389"/>
      <c r="S393" s="2389"/>
      <c r="T393" s="2389"/>
      <c r="U393" s="2389"/>
      <c r="V393" s="2389"/>
      <c r="W393" s="2389"/>
      <c r="X393" s="2389"/>
      <c r="Y393" s="2389"/>
      <c r="Z393" s="2389"/>
      <c r="AA393" s="2389"/>
      <c r="AB393" s="2389"/>
      <c r="AC393" s="2389"/>
      <c r="AD393" s="2389"/>
      <c r="AE393" s="2389"/>
      <c r="AF393" s="238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3" t="s">
        <v>591</v>
      </c>
      <c r="D394" s="2473"/>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4" t="s">
        <v>1452</v>
      </c>
      <c r="AG394" s="2514"/>
      <c r="AH394" s="2514"/>
      <c r="AI394" s="2514"/>
      <c r="AJ394" s="2514"/>
      <c r="AK394" s="2514"/>
      <c r="AL394" s="251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6" t="s">
        <v>1453</v>
      </c>
      <c r="G397" s="2516"/>
      <c r="H397" s="2516"/>
      <c r="I397" s="2516"/>
      <c r="J397" s="2516"/>
      <c r="K397" s="2516"/>
      <c r="L397" s="2516"/>
      <c r="M397" s="2516"/>
      <c r="N397" s="2516"/>
      <c r="O397" s="2516"/>
      <c r="P397" s="2516"/>
      <c r="Q397" s="2516"/>
      <c r="R397" s="2516"/>
      <c r="S397" s="2516"/>
      <c r="T397" s="2516"/>
      <c r="U397" s="2516"/>
      <c r="V397" s="2516"/>
      <c r="W397" s="2516"/>
      <c r="X397" s="2516"/>
      <c r="Y397" s="2516"/>
      <c r="Z397" s="2516"/>
      <c r="AA397" s="2516"/>
      <c r="AB397" s="2516"/>
      <c r="AC397" s="2516"/>
      <c r="AD397" s="2516"/>
      <c r="AE397" s="2516"/>
      <c r="AF397" s="251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9"/>
      <c r="G398" s="2389"/>
      <c r="H398" s="2389"/>
      <c r="I398" s="2389"/>
      <c r="J398" s="2389"/>
      <c r="K398" s="2389"/>
      <c r="L398" s="2389"/>
      <c r="M398" s="2389"/>
      <c r="N398" s="2389"/>
      <c r="O398" s="2389"/>
      <c r="P398" s="2389"/>
      <c r="Q398" s="2389"/>
      <c r="R398" s="2389"/>
      <c r="S398" s="2389"/>
      <c r="T398" s="2389"/>
      <c r="U398" s="2389"/>
      <c r="V398" s="2389"/>
      <c r="W398" s="2389"/>
      <c r="X398" s="2389"/>
      <c r="Y398" s="2389"/>
      <c r="Z398" s="2389"/>
      <c r="AA398" s="2389"/>
      <c r="AB398" s="2389"/>
      <c r="AC398" s="2389"/>
      <c r="AD398" s="2389"/>
      <c r="AE398" s="2389"/>
      <c r="AF398" s="238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9"/>
      <c r="G399" s="2389"/>
      <c r="H399" s="2389"/>
      <c r="I399" s="2389"/>
      <c r="J399" s="2389"/>
      <c r="K399" s="2389"/>
      <c r="L399" s="2389"/>
      <c r="M399" s="2389"/>
      <c r="N399" s="2389"/>
      <c r="O399" s="2389"/>
      <c r="P399" s="2389"/>
      <c r="Q399" s="2389"/>
      <c r="R399" s="2389"/>
      <c r="S399" s="2389"/>
      <c r="T399" s="2389"/>
      <c r="U399" s="2389"/>
      <c r="V399" s="2389"/>
      <c r="W399" s="2389"/>
      <c r="X399" s="2389"/>
      <c r="Y399" s="2389"/>
      <c r="Z399" s="2389"/>
      <c r="AA399" s="2389"/>
      <c r="AB399" s="2389"/>
      <c r="AC399" s="2389"/>
      <c r="AD399" s="2389"/>
      <c r="AE399" s="2389"/>
      <c r="AF399" s="238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9"/>
      <c r="G400" s="2389"/>
      <c r="H400" s="2389"/>
      <c r="I400" s="2389"/>
      <c r="J400" s="2389"/>
      <c r="K400" s="2389"/>
      <c r="L400" s="2389"/>
      <c r="M400" s="2389"/>
      <c r="N400" s="2389"/>
      <c r="O400" s="2389"/>
      <c r="P400" s="2389"/>
      <c r="Q400" s="2389"/>
      <c r="R400" s="2389"/>
      <c r="S400" s="2389"/>
      <c r="T400" s="2389"/>
      <c r="U400" s="2389"/>
      <c r="V400" s="2389"/>
      <c r="W400" s="2389"/>
      <c r="X400" s="2389"/>
      <c r="Y400" s="2389"/>
      <c r="Z400" s="2389"/>
      <c r="AA400" s="2389"/>
      <c r="AB400" s="2389"/>
      <c r="AC400" s="2389"/>
      <c r="AD400" s="2389"/>
      <c r="AE400" s="2389"/>
      <c r="AF400" s="238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9"/>
      <c r="G401" s="2389"/>
      <c r="H401" s="2389"/>
      <c r="I401" s="2389"/>
      <c r="J401" s="2389"/>
      <c r="K401" s="2389"/>
      <c r="L401" s="2389"/>
      <c r="M401" s="2389"/>
      <c r="N401" s="2389"/>
      <c r="O401" s="2389"/>
      <c r="P401" s="2389"/>
      <c r="Q401" s="2389"/>
      <c r="R401" s="2389"/>
      <c r="S401" s="2389"/>
      <c r="T401" s="2389"/>
      <c r="U401" s="2389"/>
      <c r="V401" s="2389"/>
      <c r="W401" s="2389"/>
      <c r="X401" s="2389"/>
      <c r="Y401" s="2389"/>
      <c r="Z401" s="2389"/>
      <c r="AA401" s="2389"/>
      <c r="AB401" s="2389"/>
      <c r="AC401" s="2389"/>
      <c r="AD401" s="2389"/>
      <c r="AE401" s="2389"/>
      <c r="AF401" s="2389"/>
      <c r="AL401" s="728"/>
      <c r="AN401" s="595"/>
      <c r="BS401" s="30"/>
      <c r="BT401" s="30"/>
      <c r="BU401" s="14"/>
      <c r="BV401" s="14"/>
      <c r="BW401" s="14"/>
      <c r="BX401" s="14"/>
      <c r="BY401" s="14"/>
      <c r="BZ401" s="14"/>
      <c r="CA401" s="14"/>
      <c r="CB401" s="14"/>
      <c r="CC401" s="14"/>
    </row>
    <row r="402" spans="1:81" s="549" customFormat="1" ht="12.75" customHeight="1">
      <c r="A402" s="536"/>
      <c r="B402" s="14"/>
      <c r="C402" s="2513" t="s">
        <v>591</v>
      </c>
      <c r="D402" s="2473"/>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4" t="s">
        <v>1452</v>
      </c>
      <c r="AG402" s="2514"/>
      <c r="AH402" s="2514"/>
      <c r="AI402" s="2514"/>
      <c r="AJ402" s="2514"/>
      <c r="AK402" s="2514"/>
      <c r="AL402" s="251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6" t="s">
        <v>1455</v>
      </c>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9"/>
      <c r="G406" s="2389"/>
      <c r="H406" s="2389"/>
      <c r="I406" s="2389"/>
      <c r="J406" s="2389"/>
      <c r="K406" s="2389"/>
      <c r="L406" s="2389"/>
      <c r="M406" s="2389"/>
      <c r="N406" s="2389"/>
      <c r="O406" s="2389"/>
      <c r="P406" s="2389"/>
      <c r="Q406" s="2389"/>
      <c r="R406" s="2389"/>
      <c r="S406" s="2389"/>
      <c r="T406" s="2389"/>
      <c r="U406" s="2389"/>
      <c r="V406" s="2389"/>
      <c r="W406" s="2389"/>
      <c r="X406" s="2389"/>
      <c r="Y406" s="2389"/>
      <c r="Z406" s="2389"/>
      <c r="AA406" s="2389"/>
      <c r="AB406" s="2389"/>
      <c r="AC406" s="2389"/>
      <c r="AD406" s="2389"/>
      <c r="AE406" s="2389"/>
      <c r="AF406" s="238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9"/>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9"/>
      <c r="G408" s="2389"/>
      <c r="H408" s="2389"/>
      <c r="I408" s="2389"/>
      <c r="J408" s="2389"/>
      <c r="K408" s="2389"/>
      <c r="L408" s="2389"/>
      <c r="M408" s="2389"/>
      <c r="N408" s="2389"/>
      <c r="O408" s="2389"/>
      <c r="P408" s="2389"/>
      <c r="Q408" s="2389"/>
      <c r="R408" s="2389"/>
      <c r="S408" s="2389"/>
      <c r="T408" s="2389"/>
      <c r="U408" s="2389"/>
      <c r="V408" s="2389"/>
      <c r="W408" s="2389"/>
      <c r="X408" s="2389"/>
      <c r="Y408" s="2389"/>
      <c r="Z408" s="2389"/>
      <c r="AA408" s="2389"/>
      <c r="AB408" s="2389"/>
      <c r="AC408" s="2389"/>
      <c r="AD408" s="2389"/>
      <c r="AE408" s="2389"/>
      <c r="AF408" s="238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9"/>
      <c r="G409" s="2389"/>
      <c r="H409" s="2389"/>
      <c r="I409" s="2389"/>
      <c r="J409" s="2389"/>
      <c r="K409" s="2389"/>
      <c r="L409" s="2389"/>
      <c r="M409" s="2389"/>
      <c r="N409" s="2389"/>
      <c r="O409" s="2389"/>
      <c r="P409" s="2389"/>
      <c r="Q409" s="2389"/>
      <c r="R409" s="2389"/>
      <c r="S409" s="2389"/>
      <c r="T409" s="2389"/>
      <c r="U409" s="2389"/>
      <c r="V409" s="2389"/>
      <c r="W409" s="2389"/>
      <c r="X409" s="2389"/>
      <c r="Y409" s="2389"/>
      <c r="Z409" s="2389"/>
      <c r="AA409" s="2389"/>
      <c r="AB409" s="2389"/>
      <c r="AC409" s="2389"/>
      <c r="AD409" s="2389"/>
      <c r="AE409" s="2389"/>
      <c r="AF409" s="238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3" t="s">
        <v>545</v>
      </c>
      <c r="D410" s="2473"/>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4" t="s">
        <v>1457</v>
      </c>
      <c r="AG410" s="2514"/>
      <c r="AH410" s="2514"/>
      <c r="AI410" s="2514"/>
      <c r="AJ410" s="2514"/>
      <c r="AK410" s="2514"/>
      <c r="AL410" s="251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3" t="s">
        <v>591</v>
      </c>
      <c r="D412" s="2473"/>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4" t="s">
        <v>1452</v>
      </c>
      <c r="AG412" s="2514"/>
      <c r="AH412" s="2514"/>
      <c r="AI412" s="2514"/>
      <c r="AJ412" s="2514"/>
      <c r="AK412" s="2514"/>
      <c r="AL412" s="251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6" t="s">
        <v>1461</v>
      </c>
      <c r="G416" s="2516"/>
      <c r="H416" s="2516"/>
      <c r="I416" s="2516"/>
      <c r="J416" s="2516"/>
      <c r="K416" s="2516"/>
      <c r="L416" s="2516"/>
      <c r="M416" s="2516"/>
      <c r="N416" s="2516"/>
      <c r="O416" s="2516"/>
      <c r="P416" s="2516"/>
      <c r="Q416" s="2516"/>
      <c r="R416" s="2516"/>
      <c r="S416" s="2516"/>
      <c r="T416" s="2516"/>
      <c r="U416" s="2516"/>
      <c r="V416" s="2516"/>
      <c r="W416" s="2516"/>
      <c r="X416" s="2516"/>
      <c r="Y416" s="2516"/>
      <c r="Z416" s="2516"/>
      <c r="AA416" s="2516"/>
      <c r="AB416" s="2516"/>
      <c r="AC416" s="2516"/>
      <c r="AD416" s="2516"/>
      <c r="AE416" s="2516"/>
      <c r="AF416" s="251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9"/>
      <c r="G417" s="2389"/>
      <c r="H417" s="2389"/>
      <c r="I417" s="2389"/>
      <c r="J417" s="2389"/>
      <c r="K417" s="2389"/>
      <c r="L417" s="2389"/>
      <c r="M417" s="2389"/>
      <c r="N417" s="2389"/>
      <c r="O417" s="2389"/>
      <c r="P417" s="2389"/>
      <c r="Q417" s="2389"/>
      <c r="R417" s="2389"/>
      <c r="S417" s="2389"/>
      <c r="T417" s="2389"/>
      <c r="U417" s="2389"/>
      <c r="V417" s="2389"/>
      <c r="W417" s="2389"/>
      <c r="X417" s="2389"/>
      <c r="Y417" s="2389"/>
      <c r="Z417" s="2389"/>
      <c r="AA417" s="2389"/>
      <c r="AB417" s="2389"/>
      <c r="AC417" s="2389"/>
      <c r="AD417" s="2389"/>
      <c r="AE417" s="2389"/>
      <c r="AF417" s="238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89"/>
      <c r="G418" s="2389"/>
      <c r="H418" s="2389"/>
      <c r="I418" s="2389"/>
      <c r="J418" s="2389"/>
      <c r="K418" s="2389"/>
      <c r="L418" s="2389"/>
      <c r="M418" s="2389"/>
      <c r="N418" s="2389"/>
      <c r="O418" s="2389"/>
      <c r="P418" s="2389"/>
      <c r="Q418" s="2389"/>
      <c r="R418" s="2389"/>
      <c r="S418" s="2389"/>
      <c r="T418" s="2389"/>
      <c r="U418" s="2389"/>
      <c r="V418" s="2389"/>
      <c r="W418" s="2389"/>
      <c r="X418" s="2389"/>
      <c r="Y418" s="2389"/>
      <c r="Z418" s="2389"/>
      <c r="AA418" s="2389"/>
      <c r="AB418" s="2389"/>
      <c r="AC418" s="2389"/>
      <c r="AD418" s="2389"/>
      <c r="AE418" s="2389"/>
      <c r="AF418" s="238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238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3" t="s">
        <v>591</v>
      </c>
      <c r="D420" s="2473"/>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4" t="s">
        <v>1452</v>
      </c>
      <c r="AG420" s="2514"/>
      <c r="AH420" s="2514"/>
      <c r="AI420" s="2514"/>
      <c r="AJ420" s="2514"/>
      <c r="AK420" s="2514"/>
      <c r="AL420" s="251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3" t="s">
        <v>545</v>
      </c>
      <c r="D422" s="2473"/>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4" t="s">
        <v>1464</v>
      </c>
      <c r="AG422" s="2514"/>
      <c r="AH422" s="2514"/>
      <c r="AI422" s="2514"/>
      <c r="AJ422" s="2514"/>
      <c r="AK422" s="2514"/>
      <c r="AL422" s="251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3" t="s">
        <v>591</v>
      </c>
      <c r="D425" s="2473"/>
      <c r="E425" s="711" t="s">
        <v>1465</v>
      </c>
      <c r="F425" s="2516" t="s">
        <v>1466</v>
      </c>
      <c r="G425" s="2516"/>
      <c r="H425" s="2516"/>
      <c r="I425" s="2516"/>
      <c r="J425" s="2516"/>
      <c r="K425" s="2516"/>
      <c r="L425" s="2516"/>
      <c r="M425" s="2516"/>
      <c r="N425" s="2516"/>
      <c r="O425" s="2516"/>
      <c r="P425" s="2516"/>
      <c r="Q425" s="2516"/>
      <c r="R425" s="2516"/>
      <c r="S425" s="2516"/>
      <c r="T425" s="2516"/>
      <c r="U425" s="2516"/>
      <c r="V425" s="2516"/>
      <c r="W425" s="2516"/>
      <c r="X425" s="2516"/>
      <c r="Y425" s="2516"/>
      <c r="Z425" s="2516"/>
      <c r="AA425" s="2516"/>
      <c r="AB425" s="2516"/>
      <c r="AC425" s="2516"/>
      <c r="AD425" s="2516"/>
      <c r="AE425" s="251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9"/>
      <c r="G426" s="2389"/>
      <c r="H426" s="2389"/>
      <c r="I426" s="2389"/>
      <c r="J426" s="2389"/>
      <c r="K426" s="2389"/>
      <c r="L426" s="2389"/>
      <c r="M426" s="2389"/>
      <c r="N426" s="2389"/>
      <c r="O426" s="2389"/>
      <c r="P426" s="2389"/>
      <c r="Q426" s="2389"/>
      <c r="R426" s="2389"/>
      <c r="S426" s="2389"/>
      <c r="T426" s="2389"/>
      <c r="U426" s="2389"/>
      <c r="V426" s="2389"/>
      <c r="W426" s="2389"/>
      <c r="X426" s="2389"/>
      <c r="Y426" s="2389"/>
      <c r="Z426" s="2389"/>
      <c r="AA426" s="2389"/>
      <c r="AB426" s="2389"/>
      <c r="AC426" s="2389"/>
      <c r="AD426" s="2389"/>
      <c r="AE426" s="2389"/>
      <c r="AF426" s="2451" t="s">
        <v>1452</v>
      </c>
      <c r="AG426" s="2451"/>
      <c r="AH426" s="2451"/>
      <c r="AI426" s="2451"/>
      <c r="AJ426" s="2451"/>
      <c r="AK426" s="2451"/>
      <c r="AL426" s="2517"/>
      <c r="AM426" s="568"/>
      <c r="AN426" s="595"/>
      <c r="BS426" s="568"/>
      <c r="BT426" s="568"/>
      <c r="BY426" s="568"/>
      <c r="BZ426" s="568"/>
      <c r="CA426" s="568"/>
      <c r="CB426" s="568"/>
      <c r="CC426" s="568"/>
    </row>
    <row r="427" spans="1:81" s="549" customFormat="1" ht="12.75" customHeight="1">
      <c r="A427" s="536"/>
      <c r="B427" s="14"/>
      <c r="C427" s="727"/>
      <c r="D427" s="14"/>
      <c r="E427" s="687"/>
      <c r="F427" s="2389"/>
      <c r="G427" s="2389"/>
      <c r="H427" s="2389"/>
      <c r="I427" s="2389"/>
      <c r="J427" s="2389"/>
      <c r="K427" s="2389"/>
      <c r="L427" s="2389"/>
      <c r="M427" s="2389"/>
      <c r="N427" s="2389"/>
      <c r="O427" s="2389"/>
      <c r="P427" s="2389"/>
      <c r="Q427" s="2389"/>
      <c r="R427" s="2389"/>
      <c r="S427" s="2389"/>
      <c r="T427" s="2389"/>
      <c r="U427" s="2389"/>
      <c r="V427" s="2389"/>
      <c r="W427" s="2389"/>
      <c r="X427" s="2389"/>
      <c r="Y427" s="2389"/>
      <c r="Z427" s="2389"/>
      <c r="AA427" s="2389"/>
      <c r="AB427" s="2389"/>
      <c r="AC427" s="2389"/>
      <c r="AD427" s="2389"/>
      <c r="AE427" s="238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5"/>
      <c r="G428" s="2545"/>
      <c r="H428" s="2545"/>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45"/>
      <c r="AD428" s="2545"/>
      <c r="AE428" s="2545"/>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6" t="s">
        <v>1468</v>
      </c>
      <c r="G430" s="2516"/>
      <c r="H430" s="2516"/>
      <c r="I430" s="2516"/>
      <c r="J430" s="2516"/>
      <c r="K430" s="2516"/>
      <c r="L430" s="2516"/>
      <c r="M430" s="2516"/>
      <c r="N430" s="2516"/>
      <c r="O430" s="2516"/>
      <c r="P430" s="2516"/>
      <c r="Q430" s="2516"/>
      <c r="R430" s="2516"/>
      <c r="S430" s="2516"/>
      <c r="T430" s="2516"/>
      <c r="U430" s="2516"/>
      <c r="V430" s="2516"/>
      <c r="W430" s="2516"/>
      <c r="X430" s="2516"/>
      <c r="Y430" s="2516"/>
      <c r="Z430" s="2516"/>
      <c r="AA430" s="2516"/>
      <c r="AB430" s="2516"/>
      <c r="AC430" s="2516"/>
      <c r="AD430" s="2516"/>
      <c r="AE430" s="2516"/>
      <c r="AF430" s="743"/>
      <c r="AG430" s="743"/>
      <c r="AH430" s="743"/>
      <c r="AI430" s="743"/>
      <c r="AJ430" s="743"/>
      <c r="AK430" s="743"/>
      <c r="AL430" s="744"/>
      <c r="AM430" s="568"/>
    </row>
    <row r="431" spans="1:81" ht="13">
      <c r="A431" s="536"/>
      <c r="C431" s="727"/>
      <c r="E431" s="687"/>
      <c r="F431" s="2389"/>
      <c r="G431" s="2389"/>
      <c r="H431" s="2389"/>
      <c r="I431" s="2389"/>
      <c r="J431" s="2389"/>
      <c r="K431" s="2389"/>
      <c r="L431" s="2389"/>
      <c r="M431" s="2389"/>
      <c r="N431" s="2389"/>
      <c r="O431" s="2389"/>
      <c r="P431" s="2389"/>
      <c r="Q431" s="2389"/>
      <c r="R431" s="2389"/>
      <c r="S431" s="2389"/>
      <c r="T431" s="2389"/>
      <c r="U431" s="2389"/>
      <c r="V431" s="2389"/>
      <c r="W431" s="2389"/>
      <c r="X431" s="2389"/>
      <c r="Y431" s="2389"/>
      <c r="Z431" s="2389"/>
      <c r="AA431" s="2389"/>
      <c r="AB431" s="2389"/>
      <c r="AC431" s="2389"/>
      <c r="AD431" s="2389"/>
      <c r="AE431" s="2389"/>
      <c r="AF431" s="539"/>
      <c r="AG431" s="536"/>
      <c r="AH431" s="549"/>
      <c r="AI431" s="549"/>
      <c r="AJ431" s="549"/>
      <c r="AK431" s="549"/>
      <c r="AL431" s="728"/>
      <c r="AM431" s="568"/>
    </row>
    <row r="432" spans="1:81" s="549" customFormat="1" ht="12.75" customHeight="1">
      <c r="A432" s="536"/>
      <c r="B432" s="14"/>
      <c r="C432" s="727"/>
      <c r="D432" s="14"/>
      <c r="E432" s="687"/>
      <c r="F432" s="2389"/>
      <c r="G432" s="2389"/>
      <c r="H432" s="2389"/>
      <c r="I432" s="2389"/>
      <c r="J432" s="2389"/>
      <c r="K432" s="2389"/>
      <c r="L432" s="2389"/>
      <c r="M432" s="2389"/>
      <c r="N432" s="2389"/>
      <c r="O432" s="2389"/>
      <c r="P432" s="2389"/>
      <c r="Q432" s="2389"/>
      <c r="R432" s="2389"/>
      <c r="S432" s="2389"/>
      <c r="T432" s="2389"/>
      <c r="U432" s="2389"/>
      <c r="V432" s="2389"/>
      <c r="W432" s="2389"/>
      <c r="X432" s="2389"/>
      <c r="Y432" s="2389"/>
      <c r="Z432" s="2389"/>
      <c r="AA432" s="2389"/>
      <c r="AB432" s="2389"/>
      <c r="AC432" s="2389"/>
      <c r="AD432" s="2389"/>
      <c r="AE432" s="2389"/>
      <c r="AL432" s="728"/>
      <c r="AM432" s="568"/>
      <c r="AN432" s="595"/>
    </row>
    <row r="433" spans="1:60" s="549" customFormat="1" ht="12.75" customHeight="1">
      <c r="A433" s="536"/>
      <c r="B433" s="14"/>
      <c r="C433" s="735"/>
      <c r="F433" s="2389"/>
      <c r="G433" s="2389"/>
      <c r="H433" s="2389"/>
      <c r="I433" s="2389"/>
      <c r="J433" s="2389"/>
      <c r="K433" s="2389"/>
      <c r="L433" s="2389"/>
      <c r="M433" s="2389"/>
      <c r="N433" s="2389"/>
      <c r="O433" s="2389"/>
      <c r="P433" s="2389"/>
      <c r="Q433" s="2389"/>
      <c r="R433" s="2389"/>
      <c r="S433" s="2389"/>
      <c r="T433" s="2389"/>
      <c r="U433" s="2389"/>
      <c r="V433" s="2389"/>
      <c r="W433" s="2389"/>
      <c r="X433" s="2389"/>
      <c r="Y433" s="2389"/>
      <c r="Z433" s="2389"/>
      <c r="AA433" s="2389"/>
      <c r="AB433" s="2389"/>
      <c r="AC433" s="2389"/>
      <c r="AD433" s="2389"/>
      <c r="AE433" s="2389"/>
      <c r="AL433" s="728"/>
      <c r="AM433" s="568"/>
      <c r="AN433" s="595"/>
    </row>
    <row r="434" spans="1:60" s="549" customFormat="1" ht="12.75" customHeight="1">
      <c r="A434" s="536"/>
      <c r="B434" s="14"/>
      <c r="C434" s="2513" t="s">
        <v>591</v>
      </c>
      <c r="D434" s="2473"/>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1" t="s">
        <v>1452</v>
      </c>
      <c r="AG434" s="2451"/>
      <c r="AH434" s="2451"/>
      <c r="AI434" s="2451"/>
      <c r="AJ434" s="2451"/>
      <c r="AK434" s="2451"/>
      <c r="AL434" s="2517"/>
      <c r="AM434" s="568"/>
      <c r="AN434" s="595"/>
    </row>
    <row r="435" spans="1:60" s="549" customFormat="1" ht="12.75" customHeight="1">
      <c r="A435" s="536"/>
      <c r="B435" s="14"/>
      <c r="C435" s="735"/>
      <c r="AL435" s="728"/>
      <c r="AM435" s="568"/>
      <c r="AN435" s="595"/>
    </row>
    <row r="436" spans="1:60" s="549" customFormat="1" ht="12.75" customHeight="1">
      <c r="A436" s="536"/>
      <c r="B436" s="14"/>
      <c r="C436" s="2513" t="s">
        <v>591</v>
      </c>
      <c r="D436" s="2473"/>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1" t="s">
        <v>1464</v>
      </c>
      <c r="AG436" s="2451"/>
      <c r="AH436" s="2451"/>
      <c r="AI436" s="2451"/>
      <c r="AJ436" s="2451"/>
      <c r="AK436" s="2451"/>
      <c r="AL436" s="251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6" t="s">
        <v>1472</v>
      </c>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710"/>
      <c r="AG440" s="710"/>
      <c r="AH440" s="710"/>
      <c r="AI440" s="710"/>
      <c r="AJ440" s="710"/>
      <c r="AK440" s="710"/>
      <c r="AL440" s="741"/>
      <c r="AM440" s="568"/>
      <c r="AN440" s="595"/>
    </row>
    <row r="441" spans="1:60" s="549" customFormat="1" ht="12.75" customHeight="1">
      <c r="A441" s="536"/>
      <c r="B441" s="14"/>
      <c r="C441" s="727"/>
      <c r="D441" s="14"/>
      <c r="E441" s="687"/>
      <c r="F441" s="2389"/>
      <c r="G441" s="2389"/>
      <c r="H441" s="2389"/>
      <c r="I441" s="2389"/>
      <c r="J441" s="2389"/>
      <c r="K441" s="2389"/>
      <c r="L441" s="2389"/>
      <c r="M441" s="2389"/>
      <c r="N441" s="2389"/>
      <c r="O441" s="2389"/>
      <c r="P441" s="2389"/>
      <c r="Q441" s="2389"/>
      <c r="R441" s="2389"/>
      <c r="S441" s="2389"/>
      <c r="T441" s="2389"/>
      <c r="U441" s="2389"/>
      <c r="V441" s="2389"/>
      <c r="W441" s="2389"/>
      <c r="X441" s="2389"/>
      <c r="Y441" s="2389"/>
      <c r="Z441" s="2389"/>
      <c r="AA441" s="2389"/>
      <c r="AB441" s="2389"/>
      <c r="AC441" s="2389"/>
      <c r="AD441" s="2389"/>
      <c r="AE441" s="2389"/>
      <c r="AF441" s="539"/>
      <c r="AG441" s="536"/>
      <c r="AL441" s="728"/>
      <c r="AM441" s="568"/>
      <c r="AN441" s="595"/>
    </row>
    <row r="442" spans="1:60" s="549" customFormat="1" ht="12.4" customHeight="1">
      <c r="A442" s="536"/>
      <c r="B442" s="14"/>
      <c r="C442" s="727"/>
      <c r="D442" s="14"/>
      <c r="E442" s="687"/>
      <c r="F442" s="2389"/>
      <c r="G442" s="2389"/>
      <c r="H442" s="2389"/>
      <c r="I442" s="2389"/>
      <c r="J442" s="2389"/>
      <c r="K442" s="2389"/>
      <c r="L442" s="2389"/>
      <c r="M442" s="2389"/>
      <c r="N442" s="2389"/>
      <c r="O442" s="2389"/>
      <c r="P442" s="2389"/>
      <c r="Q442" s="2389"/>
      <c r="R442" s="2389"/>
      <c r="S442" s="2389"/>
      <c r="T442" s="2389"/>
      <c r="U442" s="2389"/>
      <c r="V442" s="2389"/>
      <c r="W442" s="2389"/>
      <c r="X442" s="2389"/>
      <c r="Y442" s="2389"/>
      <c r="Z442" s="2389"/>
      <c r="AA442" s="2389"/>
      <c r="AB442" s="2389"/>
      <c r="AC442" s="2389"/>
      <c r="AD442" s="2389"/>
      <c r="AE442" s="2389"/>
      <c r="AL442" s="728"/>
      <c r="AM442" s="568"/>
      <c r="AN442" s="595"/>
    </row>
    <row r="443" spans="1:60" s="549" customFormat="1" ht="12.75" customHeight="1">
      <c r="A443" s="536"/>
      <c r="B443" s="14"/>
      <c r="C443" s="2513" t="s">
        <v>591</v>
      </c>
      <c r="D443" s="2473"/>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1" t="s">
        <v>1452</v>
      </c>
      <c r="AG443" s="2451"/>
      <c r="AH443" s="2451"/>
      <c r="AI443" s="2451"/>
      <c r="AJ443" s="2451"/>
      <c r="AK443" s="2451"/>
      <c r="AL443" s="251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16" t="s">
        <v>1475</v>
      </c>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89"/>
      <c r="G447" s="2389"/>
      <c r="H447" s="2389"/>
      <c r="I447" s="2389"/>
      <c r="J447" s="2389"/>
      <c r="K447" s="2389"/>
      <c r="L447" s="2389"/>
      <c r="M447" s="2389"/>
      <c r="N447" s="2389"/>
      <c r="O447" s="2389"/>
      <c r="P447" s="2389"/>
      <c r="Q447" s="2389"/>
      <c r="R447" s="2389"/>
      <c r="S447" s="2389"/>
      <c r="T447" s="2389"/>
      <c r="U447" s="2389"/>
      <c r="V447" s="2389"/>
      <c r="W447" s="2389"/>
      <c r="X447" s="2389"/>
      <c r="Y447" s="2389"/>
      <c r="Z447" s="2389"/>
      <c r="AA447" s="2389"/>
      <c r="AB447" s="2389"/>
      <c r="AC447" s="2389"/>
      <c r="AD447" s="2389"/>
      <c r="AE447" s="2389"/>
      <c r="AF447" s="592"/>
      <c r="AG447" s="592"/>
      <c r="AH447" s="592"/>
      <c r="AI447" s="592"/>
      <c r="AJ447" s="592"/>
      <c r="AK447" s="592"/>
      <c r="AL447" s="746"/>
      <c r="AM447" s="568"/>
      <c r="AO447" s="549"/>
      <c r="AP447" s="549"/>
    </row>
    <row r="448" spans="1:60" s="549" customFormat="1" ht="12.75" customHeight="1">
      <c r="A448" s="536"/>
      <c r="B448" s="14"/>
      <c r="C448" s="727"/>
      <c r="D448" s="14"/>
      <c r="E448" s="687"/>
      <c r="F448" s="2389"/>
      <c r="G448" s="2389"/>
      <c r="H448" s="2389"/>
      <c r="I448" s="2389"/>
      <c r="J448" s="2389"/>
      <c r="K448" s="2389"/>
      <c r="L448" s="2389"/>
      <c r="M448" s="2389"/>
      <c r="N448" s="2389"/>
      <c r="O448" s="2389"/>
      <c r="P448" s="2389"/>
      <c r="Q448" s="2389"/>
      <c r="R448" s="2389"/>
      <c r="S448" s="2389"/>
      <c r="T448" s="2389"/>
      <c r="U448" s="2389"/>
      <c r="V448" s="2389"/>
      <c r="W448" s="2389"/>
      <c r="X448" s="2389"/>
      <c r="Y448" s="2389"/>
      <c r="Z448" s="2389"/>
      <c r="AA448" s="2389"/>
      <c r="AB448" s="2389"/>
      <c r="AC448" s="2389"/>
      <c r="AD448" s="2389"/>
      <c r="AE448" s="2389"/>
      <c r="AF448" s="592"/>
      <c r="AG448" s="592"/>
      <c r="AH448" s="592"/>
      <c r="AI448" s="592"/>
      <c r="AJ448" s="592"/>
      <c r="AK448" s="592"/>
      <c r="AL448" s="746"/>
      <c r="AM448" s="568"/>
      <c r="AN448" s="595"/>
    </row>
    <row r="449" spans="1:42" s="549" customFormat="1" ht="12.75" customHeight="1">
      <c r="A449" s="536"/>
      <c r="B449" s="14"/>
      <c r="C449" s="747"/>
      <c r="D449" s="726"/>
      <c r="E449" s="715"/>
      <c r="F449" s="2389"/>
      <c r="G449" s="2389"/>
      <c r="H449" s="2389"/>
      <c r="I449" s="2389"/>
      <c r="J449" s="2389"/>
      <c r="K449" s="2389"/>
      <c r="L449" s="2389"/>
      <c r="M449" s="2389"/>
      <c r="N449" s="2389"/>
      <c r="O449" s="2389"/>
      <c r="P449" s="2389"/>
      <c r="Q449" s="2389"/>
      <c r="R449" s="2389"/>
      <c r="S449" s="2389"/>
      <c r="T449" s="2389"/>
      <c r="U449" s="2389"/>
      <c r="V449" s="2389"/>
      <c r="W449" s="2389"/>
      <c r="X449" s="2389"/>
      <c r="Y449" s="2389"/>
      <c r="Z449" s="2389"/>
      <c r="AA449" s="2389"/>
      <c r="AB449" s="2389"/>
      <c r="AC449" s="2389"/>
      <c r="AD449" s="2389"/>
      <c r="AE449" s="238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9"/>
      <c r="G450" s="2389"/>
      <c r="H450" s="2389"/>
      <c r="I450" s="2389"/>
      <c r="J450" s="2389"/>
      <c r="K450" s="2389"/>
      <c r="L450" s="2389"/>
      <c r="M450" s="2389"/>
      <c r="N450" s="2389"/>
      <c r="O450" s="2389"/>
      <c r="P450" s="2389"/>
      <c r="Q450" s="2389"/>
      <c r="R450" s="2389"/>
      <c r="S450" s="2389"/>
      <c r="T450" s="2389"/>
      <c r="U450" s="2389"/>
      <c r="V450" s="2389"/>
      <c r="W450" s="2389"/>
      <c r="X450" s="2389"/>
      <c r="Y450" s="2389"/>
      <c r="Z450" s="2389"/>
      <c r="AA450" s="2389"/>
      <c r="AB450" s="2389"/>
      <c r="AC450" s="2389"/>
      <c r="AD450" s="2389"/>
      <c r="AE450" s="2389"/>
      <c r="AF450" s="592"/>
      <c r="AG450" s="592"/>
      <c r="AH450" s="592"/>
      <c r="AI450" s="592"/>
      <c r="AJ450" s="592"/>
      <c r="AK450" s="592"/>
      <c r="AL450" s="746"/>
      <c r="AM450" s="568"/>
      <c r="AN450" s="595"/>
    </row>
    <row r="451" spans="1:42" s="549" customFormat="1" ht="12.75" customHeight="1">
      <c r="A451" s="536"/>
      <c r="B451" s="14"/>
      <c r="C451" s="747"/>
      <c r="D451" s="726"/>
      <c r="E451" s="715"/>
      <c r="F451" s="2389"/>
      <c r="G451" s="2389"/>
      <c r="H451" s="2389"/>
      <c r="I451" s="2389"/>
      <c r="J451" s="2389"/>
      <c r="K451" s="2389"/>
      <c r="L451" s="2389"/>
      <c r="M451" s="2389"/>
      <c r="N451" s="2389"/>
      <c r="O451" s="2389"/>
      <c r="P451" s="2389"/>
      <c r="Q451" s="2389"/>
      <c r="R451" s="2389"/>
      <c r="S451" s="2389"/>
      <c r="T451" s="2389"/>
      <c r="U451" s="2389"/>
      <c r="V451" s="2389"/>
      <c r="W451" s="2389"/>
      <c r="X451" s="2389"/>
      <c r="Y451" s="2389"/>
      <c r="Z451" s="2389"/>
      <c r="AA451" s="2389"/>
      <c r="AB451" s="2389"/>
      <c r="AC451" s="2389"/>
      <c r="AD451" s="2389"/>
      <c r="AE451" s="2389"/>
      <c r="AF451" s="592"/>
      <c r="AG451" s="592"/>
      <c r="AH451" s="592"/>
      <c r="AI451" s="592"/>
      <c r="AJ451" s="592"/>
      <c r="AK451" s="592"/>
      <c r="AL451" s="746"/>
      <c r="AM451" s="568"/>
      <c r="AN451" s="595"/>
    </row>
    <row r="452" spans="1:42" s="549" customFormat="1" ht="12.75" customHeight="1">
      <c r="A452" s="536"/>
      <c r="B452" s="14"/>
      <c r="C452" s="747"/>
      <c r="D452" s="726"/>
      <c r="E452" s="715"/>
      <c r="F452" s="2389"/>
      <c r="G452" s="2389"/>
      <c r="H452" s="2389"/>
      <c r="I452" s="2389"/>
      <c r="J452" s="2389"/>
      <c r="K452" s="2389"/>
      <c r="L452" s="2389"/>
      <c r="M452" s="2389"/>
      <c r="N452" s="2389"/>
      <c r="O452" s="2389"/>
      <c r="P452" s="2389"/>
      <c r="Q452" s="2389"/>
      <c r="R452" s="2389"/>
      <c r="S452" s="2389"/>
      <c r="T452" s="2389"/>
      <c r="U452" s="2389"/>
      <c r="V452" s="2389"/>
      <c r="W452" s="2389"/>
      <c r="X452" s="2389"/>
      <c r="Y452" s="2389"/>
      <c r="Z452" s="2389"/>
      <c r="AA452" s="2389"/>
      <c r="AB452" s="2389"/>
      <c r="AC452" s="2389"/>
      <c r="AD452" s="2389"/>
      <c r="AE452" s="2389"/>
      <c r="AF452" s="592"/>
      <c r="AG452" s="592"/>
      <c r="AH452" s="592"/>
      <c r="AI452" s="592"/>
      <c r="AJ452" s="592"/>
      <c r="AK452" s="592"/>
      <c r="AL452" s="746"/>
      <c r="AM452" s="568"/>
      <c r="AN452" s="595"/>
    </row>
    <row r="453" spans="1:42" s="549" customFormat="1" ht="12.75" customHeight="1">
      <c r="A453" s="536"/>
      <c r="B453" s="14"/>
      <c r="C453" s="747"/>
      <c r="D453" s="726"/>
      <c r="E453" s="715"/>
      <c r="F453" s="2389"/>
      <c r="G453" s="2389"/>
      <c r="H453" s="2389"/>
      <c r="I453" s="2389"/>
      <c r="J453" s="2389"/>
      <c r="K453" s="2389"/>
      <c r="L453" s="2389"/>
      <c r="M453" s="2389"/>
      <c r="N453" s="2389"/>
      <c r="O453" s="2389"/>
      <c r="P453" s="2389"/>
      <c r="Q453" s="2389"/>
      <c r="R453" s="2389"/>
      <c r="S453" s="2389"/>
      <c r="T453" s="2389"/>
      <c r="U453" s="2389"/>
      <c r="V453" s="2389"/>
      <c r="W453" s="2389"/>
      <c r="X453" s="2389"/>
      <c r="Y453" s="2389"/>
      <c r="Z453" s="2389"/>
      <c r="AA453" s="2389"/>
      <c r="AB453" s="2389"/>
      <c r="AC453" s="2389"/>
      <c r="AD453" s="2389"/>
      <c r="AE453" s="2389"/>
      <c r="AF453" s="592"/>
      <c r="AG453" s="592"/>
      <c r="AH453" s="592"/>
      <c r="AI453" s="592"/>
      <c r="AJ453" s="592"/>
      <c r="AK453" s="592"/>
      <c r="AL453" s="746"/>
      <c r="AM453" s="568"/>
      <c r="AN453" s="595"/>
    </row>
    <row r="454" spans="1:42" s="549" customFormat="1" ht="17.25" customHeight="1">
      <c r="A454" s="536"/>
      <c r="B454" s="14"/>
      <c r="C454" s="747"/>
      <c r="D454" s="726"/>
      <c r="E454" s="715"/>
      <c r="F454" s="2389"/>
      <c r="G454" s="2389"/>
      <c r="H454" s="2389"/>
      <c r="I454" s="2389"/>
      <c r="J454" s="2389"/>
      <c r="K454" s="2389"/>
      <c r="L454" s="2389"/>
      <c r="M454" s="2389"/>
      <c r="N454" s="2389"/>
      <c r="O454" s="2389"/>
      <c r="P454" s="2389"/>
      <c r="Q454" s="2389"/>
      <c r="R454" s="2389"/>
      <c r="S454" s="2389"/>
      <c r="T454" s="2389"/>
      <c r="U454" s="2389"/>
      <c r="V454" s="2389"/>
      <c r="W454" s="2389"/>
      <c r="X454" s="2389"/>
      <c r="Y454" s="2389"/>
      <c r="Z454" s="2389"/>
      <c r="AA454" s="2389"/>
      <c r="AB454" s="2389"/>
      <c r="AC454" s="2389"/>
      <c r="AD454" s="2389"/>
      <c r="AE454" s="2389"/>
      <c r="AL454" s="728"/>
      <c r="AM454" s="568"/>
      <c r="AN454" s="595"/>
    </row>
    <row r="455" spans="1:42" s="549" customFormat="1" ht="12.75" customHeight="1">
      <c r="A455" s="536"/>
      <c r="B455" s="14"/>
      <c r="C455" s="2513" t="s">
        <v>591</v>
      </c>
      <c r="D455" s="2473"/>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1" t="s">
        <v>1452</v>
      </c>
      <c r="AG455" s="2451"/>
      <c r="AH455" s="2451"/>
      <c r="AI455" s="2451"/>
      <c r="AJ455" s="2451"/>
      <c r="AK455" s="2451"/>
      <c r="AL455" s="251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6" t="s">
        <v>1478</v>
      </c>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710"/>
      <c r="AG458" s="710"/>
      <c r="AH458" s="710"/>
      <c r="AI458" s="710"/>
      <c r="AJ458" s="710"/>
      <c r="AK458" s="710"/>
      <c r="AL458" s="741"/>
      <c r="AM458" s="568"/>
      <c r="AN458" s="595"/>
    </row>
    <row r="459" spans="1:42" s="549" customFormat="1" ht="12.75" customHeight="1">
      <c r="A459" s="536"/>
      <c r="B459" s="14"/>
      <c r="C459" s="747"/>
      <c r="D459" s="726"/>
      <c r="E459" s="715"/>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589"/>
      <c r="AG459" s="589"/>
      <c r="AH459" s="589"/>
      <c r="AI459" s="589"/>
      <c r="AJ459" s="589"/>
      <c r="AK459" s="589"/>
      <c r="AL459" s="716"/>
      <c r="AM459" s="568"/>
      <c r="AN459" s="595"/>
    </row>
    <row r="460" spans="1:42" s="549" customFormat="1" ht="12.75" customHeight="1">
      <c r="A460" s="536"/>
      <c r="B460" s="14"/>
      <c r="C460" s="747"/>
      <c r="D460" s="726"/>
      <c r="E460" s="715"/>
      <c r="F460" s="2389"/>
      <c r="G460" s="2389"/>
      <c r="H460" s="2389"/>
      <c r="I460" s="2389"/>
      <c r="J460" s="2389"/>
      <c r="K460" s="2389"/>
      <c r="L460" s="2389"/>
      <c r="M460" s="2389"/>
      <c r="N460" s="2389"/>
      <c r="O460" s="2389"/>
      <c r="P460" s="2389"/>
      <c r="Q460" s="2389"/>
      <c r="R460" s="2389"/>
      <c r="S460" s="2389"/>
      <c r="T460" s="2389"/>
      <c r="U460" s="2389"/>
      <c r="V460" s="2389"/>
      <c r="W460" s="2389"/>
      <c r="X460" s="2389"/>
      <c r="Y460" s="2389"/>
      <c r="Z460" s="2389"/>
      <c r="AA460" s="2389"/>
      <c r="AB460" s="2389"/>
      <c r="AC460" s="2389"/>
      <c r="AD460" s="2389"/>
      <c r="AE460" s="2389"/>
      <c r="AF460" s="589"/>
      <c r="AG460" s="589"/>
      <c r="AH460" s="589"/>
      <c r="AI460" s="589"/>
      <c r="AJ460" s="589"/>
      <c r="AK460" s="589"/>
      <c r="AL460" s="716"/>
      <c r="AM460" s="568"/>
      <c r="AN460" s="595"/>
    </row>
    <row r="461" spans="1:42" s="549" customFormat="1" ht="12.75" customHeight="1">
      <c r="A461" s="536"/>
      <c r="B461" s="14"/>
      <c r="C461" s="747"/>
      <c r="D461" s="726"/>
      <c r="E461" s="715"/>
      <c r="F461" s="2389"/>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L461" s="728"/>
      <c r="AM461" s="568"/>
      <c r="AN461" s="595"/>
    </row>
    <row r="462" spans="1:42" s="549" customFormat="1" ht="12.75" customHeight="1">
      <c r="A462" s="536"/>
      <c r="B462" s="14"/>
      <c r="C462" s="2513" t="s">
        <v>591</v>
      </c>
      <c r="D462" s="2473"/>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1" t="s">
        <v>1452</v>
      </c>
      <c r="AG462" s="2451"/>
      <c r="AH462" s="2451"/>
      <c r="AI462" s="2451"/>
      <c r="AJ462" s="2451"/>
      <c r="AK462" s="2451"/>
      <c r="AL462" s="251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8" t="s">
        <v>591</v>
      </c>
      <c r="D466" s="2519"/>
      <c r="E466" s="711" t="s">
        <v>1487</v>
      </c>
      <c r="F466" s="2516" t="s">
        <v>1488</v>
      </c>
      <c r="G466" s="2516"/>
      <c r="H466" s="2516"/>
      <c r="I466" s="2516"/>
      <c r="J466" s="2516"/>
      <c r="K466" s="2516"/>
      <c r="L466" s="2516"/>
      <c r="M466" s="2516"/>
      <c r="N466" s="2516"/>
      <c r="O466" s="2516"/>
      <c r="P466" s="2516"/>
      <c r="Q466" s="2516"/>
      <c r="R466" s="2516"/>
      <c r="S466" s="2516"/>
      <c r="T466" s="2516"/>
      <c r="U466" s="2516"/>
      <c r="V466" s="2516"/>
      <c r="W466" s="2516"/>
      <c r="X466" s="2516"/>
      <c r="Y466" s="2516"/>
      <c r="Z466" s="2516"/>
      <c r="AA466" s="2516"/>
      <c r="AB466" s="2516"/>
      <c r="AC466" s="2516"/>
      <c r="AD466" s="2516"/>
      <c r="AE466" s="2516"/>
      <c r="AF466" s="2601" t="s">
        <v>1452</v>
      </c>
      <c r="AG466" s="2601"/>
      <c r="AH466" s="2601"/>
      <c r="AI466" s="2601"/>
      <c r="AJ466" s="2601"/>
      <c r="AK466" s="2601"/>
      <c r="AL466" s="2602"/>
      <c r="AM466" s="568"/>
      <c r="AN466" s="749"/>
    </row>
    <row r="467" spans="1:40" s="549" customFormat="1" ht="12.75" customHeight="1">
      <c r="A467" s="536"/>
      <c r="B467" s="14"/>
      <c r="C467" s="747"/>
      <c r="D467" s="726"/>
      <c r="E467" s="715"/>
      <c r="F467" s="2389"/>
      <c r="G467" s="2389"/>
      <c r="H467" s="2389"/>
      <c r="I467" s="2389"/>
      <c r="J467" s="2389"/>
      <c r="K467" s="2389"/>
      <c r="L467" s="2389"/>
      <c r="M467" s="2389"/>
      <c r="N467" s="2389"/>
      <c r="O467" s="2389"/>
      <c r="P467" s="2389"/>
      <c r="Q467" s="2389"/>
      <c r="R467" s="2389"/>
      <c r="S467" s="2389"/>
      <c r="T467" s="2389"/>
      <c r="U467" s="2389"/>
      <c r="V467" s="2389"/>
      <c r="W467" s="2389"/>
      <c r="X467" s="2389"/>
      <c r="Y467" s="2389"/>
      <c r="Z467" s="2389"/>
      <c r="AA467" s="2389"/>
      <c r="AB467" s="2389"/>
      <c r="AC467" s="2389"/>
      <c r="AD467" s="2389"/>
      <c r="AE467" s="2389"/>
      <c r="AF467" s="589"/>
      <c r="AG467" s="589"/>
      <c r="AH467" s="589"/>
      <c r="AI467" s="589"/>
      <c r="AJ467" s="589"/>
      <c r="AK467" s="589"/>
      <c r="AL467" s="716"/>
      <c r="AM467" s="568"/>
      <c r="AN467" s="750"/>
    </row>
    <row r="468" spans="1:40" s="549" customFormat="1" ht="17.649999999999999" customHeight="1">
      <c r="A468" s="536"/>
      <c r="B468" s="14"/>
      <c r="C468" s="752"/>
      <c r="D468" s="719"/>
      <c r="E468" s="720"/>
      <c r="F468" s="2545"/>
      <c r="G468" s="2545"/>
      <c r="H468" s="2545"/>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45"/>
      <c r="AD468" s="2545"/>
      <c r="AE468" s="2545"/>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3" t="s">
        <v>591</v>
      </c>
      <c r="D470" s="2473"/>
      <c r="E470" s="711" t="s">
        <v>1493</v>
      </c>
      <c r="F470" s="2516" t="s">
        <v>1494</v>
      </c>
      <c r="G470" s="2516"/>
      <c r="H470" s="2516"/>
      <c r="I470" s="2516"/>
      <c r="J470" s="2516"/>
      <c r="K470" s="2516"/>
      <c r="L470" s="2516"/>
      <c r="M470" s="2516"/>
      <c r="N470" s="2516"/>
      <c r="O470" s="2516"/>
      <c r="P470" s="2516"/>
      <c r="Q470" s="2516"/>
      <c r="R470" s="2516"/>
      <c r="S470" s="2516"/>
      <c r="T470" s="2516"/>
      <c r="U470" s="2516"/>
      <c r="V470" s="2516"/>
      <c r="W470" s="2516"/>
      <c r="X470" s="2516"/>
      <c r="Y470" s="2516"/>
      <c r="Z470" s="2516"/>
      <c r="AA470" s="2516"/>
      <c r="AB470" s="2516"/>
      <c r="AC470" s="2516"/>
      <c r="AD470" s="2516"/>
      <c r="AE470" s="2516"/>
      <c r="AF470" s="2601" t="s">
        <v>1452</v>
      </c>
      <c r="AG470" s="2601"/>
      <c r="AH470" s="2601"/>
      <c r="AI470" s="2601"/>
      <c r="AJ470" s="2601"/>
      <c r="AK470" s="2601"/>
      <c r="AL470" s="2602"/>
      <c r="AM470" s="568"/>
      <c r="AN470" s="535"/>
    </row>
    <row r="471" spans="1:40" s="549" customFormat="1" ht="12.75" customHeight="1">
      <c r="A471" s="536"/>
      <c r="B471" s="14"/>
      <c r="C471" s="727"/>
      <c r="D471" s="14"/>
      <c r="E471" s="687"/>
      <c r="F471" s="2389"/>
      <c r="G471" s="2389"/>
      <c r="H471" s="2389"/>
      <c r="I471" s="2389"/>
      <c r="J471" s="2389"/>
      <c r="K471" s="2389"/>
      <c r="L471" s="2389"/>
      <c r="M471" s="2389"/>
      <c r="N471" s="2389"/>
      <c r="O471" s="2389"/>
      <c r="P471" s="2389"/>
      <c r="Q471" s="2389"/>
      <c r="R471" s="2389"/>
      <c r="S471" s="2389"/>
      <c r="T471" s="2389"/>
      <c r="U471" s="2389"/>
      <c r="V471" s="2389"/>
      <c r="W471" s="2389"/>
      <c r="X471" s="2389"/>
      <c r="Y471" s="2389"/>
      <c r="Z471" s="2389"/>
      <c r="AA471" s="2389"/>
      <c r="AB471" s="2389"/>
      <c r="AC471" s="2389"/>
      <c r="AD471" s="2389"/>
      <c r="AE471" s="2389"/>
      <c r="AF471" s="539"/>
      <c r="AG471" s="536"/>
      <c r="AL471" s="728"/>
      <c r="AM471" s="568"/>
      <c r="AN471" s="535"/>
    </row>
    <row r="472" spans="1:40" s="549" customFormat="1" ht="12.75" customHeight="1">
      <c r="A472" s="536"/>
      <c r="B472" s="14"/>
      <c r="C472" s="727"/>
      <c r="D472" s="14"/>
      <c r="E472" s="687"/>
      <c r="F472" s="2389"/>
      <c r="G472" s="2389"/>
      <c r="H472" s="2389"/>
      <c r="I472" s="2389"/>
      <c r="J472" s="2389"/>
      <c r="K472" s="2389"/>
      <c r="L472" s="2389"/>
      <c r="M472" s="2389"/>
      <c r="N472" s="2389"/>
      <c r="O472" s="2389"/>
      <c r="P472" s="2389"/>
      <c r="Q472" s="2389"/>
      <c r="R472" s="2389"/>
      <c r="S472" s="2389"/>
      <c r="T472" s="2389"/>
      <c r="U472" s="2389"/>
      <c r="V472" s="2389"/>
      <c r="W472" s="2389"/>
      <c r="X472" s="2389"/>
      <c r="Y472" s="2389"/>
      <c r="Z472" s="2389"/>
      <c r="AA472" s="2389"/>
      <c r="AB472" s="2389"/>
      <c r="AC472" s="2389"/>
      <c r="AD472" s="2389"/>
      <c r="AE472" s="2389"/>
      <c r="AF472" s="539"/>
      <c r="AG472" s="536"/>
      <c r="AL472" s="728"/>
      <c r="AM472" s="568"/>
      <c r="AN472" s="535"/>
    </row>
    <row r="473" spans="1:40" s="549" customFormat="1" ht="12.75" customHeight="1">
      <c r="A473" s="536"/>
      <c r="B473" s="14"/>
      <c r="C473" s="752"/>
      <c r="D473" s="719"/>
      <c r="E473" s="720"/>
      <c r="F473" s="2545"/>
      <c r="G473" s="2545"/>
      <c r="H473" s="2545"/>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45"/>
      <c r="AD473" s="2545"/>
      <c r="AE473" s="2545"/>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6" t="s">
        <v>1497</v>
      </c>
      <c r="G475" s="2516"/>
      <c r="H475" s="2516"/>
      <c r="I475" s="2516"/>
      <c r="J475" s="2516"/>
      <c r="K475" s="2516"/>
      <c r="L475" s="2516"/>
      <c r="M475" s="2516"/>
      <c r="N475" s="2516"/>
      <c r="O475" s="2516"/>
      <c r="P475" s="2516"/>
      <c r="Q475" s="2516"/>
      <c r="R475" s="2516"/>
      <c r="S475" s="2516"/>
      <c r="T475" s="2516"/>
      <c r="U475" s="2516"/>
      <c r="V475" s="2516"/>
      <c r="W475" s="2516"/>
      <c r="X475" s="2516"/>
      <c r="Y475" s="2516"/>
      <c r="Z475" s="2516"/>
      <c r="AA475" s="2516"/>
      <c r="AB475" s="2516"/>
      <c r="AC475" s="2516"/>
      <c r="AD475" s="2516"/>
      <c r="AE475" s="2516"/>
      <c r="AF475" s="2516"/>
      <c r="AG475" s="740"/>
      <c r="AH475" s="710"/>
      <c r="AI475" s="710"/>
      <c r="AJ475" s="710"/>
      <c r="AK475" s="710"/>
      <c r="AL475" s="741"/>
      <c r="AM475" s="568"/>
      <c r="AN475" s="595"/>
    </row>
    <row r="476" spans="1:40" s="549" customFormat="1" ht="12.75" customHeight="1">
      <c r="A476" s="536"/>
      <c r="B476" s="14"/>
      <c r="C476" s="727"/>
      <c r="D476" s="14"/>
      <c r="E476" s="687"/>
      <c r="F476" s="2389"/>
      <c r="G476" s="2389"/>
      <c r="H476" s="2389"/>
      <c r="I476" s="2389"/>
      <c r="J476" s="2389"/>
      <c r="K476" s="2389"/>
      <c r="L476" s="2389"/>
      <c r="M476" s="2389"/>
      <c r="N476" s="2389"/>
      <c r="O476" s="2389"/>
      <c r="P476" s="2389"/>
      <c r="Q476" s="2389"/>
      <c r="R476" s="2389"/>
      <c r="S476" s="2389"/>
      <c r="T476" s="2389"/>
      <c r="U476" s="2389"/>
      <c r="V476" s="2389"/>
      <c r="W476" s="2389"/>
      <c r="X476" s="2389"/>
      <c r="Y476" s="2389"/>
      <c r="Z476" s="2389"/>
      <c r="AA476" s="2389"/>
      <c r="AB476" s="2389"/>
      <c r="AC476" s="2389"/>
      <c r="AD476" s="2389"/>
      <c r="AE476" s="2389"/>
      <c r="AF476" s="2389"/>
      <c r="AL476" s="728"/>
      <c r="AM476" s="568"/>
      <c r="AN476" s="595"/>
    </row>
    <row r="477" spans="1:40" s="549" customFormat="1" ht="12.75" customHeight="1">
      <c r="A477" s="536"/>
      <c r="B477" s="14"/>
      <c r="C477" s="735"/>
      <c r="F477" s="2389"/>
      <c r="G477" s="2389"/>
      <c r="H477" s="2389"/>
      <c r="I477" s="2389"/>
      <c r="J477" s="2389"/>
      <c r="K477" s="2389"/>
      <c r="L477" s="2389"/>
      <c r="M477" s="2389"/>
      <c r="N477" s="2389"/>
      <c r="O477" s="2389"/>
      <c r="P477" s="2389"/>
      <c r="Q477" s="2389"/>
      <c r="R477" s="2389"/>
      <c r="S477" s="2389"/>
      <c r="T477" s="2389"/>
      <c r="U477" s="2389"/>
      <c r="V477" s="2389"/>
      <c r="W477" s="2389"/>
      <c r="X477" s="2389"/>
      <c r="Y477" s="2389"/>
      <c r="Z477" s="2389"/>
      <c r="AA477" s="2389"/>
      <c r="AB477" s="2389"/>
      <c r="AC477" s="2389"/>
      <c r="AD477" s="2389"/>
      <c r="AE477" s="2389"/>
      <c r="AF477" s="2389"/>
      <c r="AL477" s="728"/>
      <c r="AM477" s="568"/>
      <c r="AN477" s="595"/>
    </row>
    <row r="478" spans="1:40" s="549" customFormat="1" ht="12.75" customHeight="1">
      <c r="A478" s="536"/>
      <c r="B478" s="14"/>
      <c r="C478" s="735"/>
      <c r="F478" s="2389"/>
      <c r="G478" s="2389"/>
      <c r="H478" s="2389"/>
      <c r="I478" s="2389"/>
      <c r="J478" s="2389"/>
      <c r="K478" s="2389"/>
      <c r="L478" s="2389"/>
      <c r="M478" s="2389"/>
      <c r="N478" s="2389"/>
      <c r="O478" s="2389"/>
      <c r="P478" s="2389"/>
      <c r="Q478" s="2389"/>
      <c r="R478" s="2389"/>
      <c r="S478" s="2389"/>
      <c r="T478" s="2389"/>
      <c r="U478" s="2389"/>
      <c r="V478" s="2389"/>
      <c r="W478" s="2389"/>
      <c r="X478" s="2389"/>
      <c r="Y478" s="2389"/>
      <c r="Z478" s="2389"/>
      <c r="AA478" s="2389"/>
      <c r="AB478" s="2389"/>
      <c r="AC478" s="2389"/>
      <c r="AD478" s="2389"/>
      <c r="AE478" s="2389"/>
      <c r="AF478" s="2389"/>
      <c r="AL478" s="728"/>
      <c r="AM478" s="568"/>
      <c r="AN478" s="595"/>
    </row>
    <row r="479" spans="1:40" s="549" customFormat="1" ht="12.75" customHeight="1">
      <c r="A479" s="536"/>
      <c r="B479" s="14"/>
      <c r="C479" s="2513" t="s">
        <v>591</v>
      </c>
      <c r="D479" s="2473"/>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4" t="s">
        <v>1452</v>
      </c>
      <c r="AG479" s="2514"/>
      <c r="AH479" s="2514"/>
      <c r="AI479" s="2514"/>
      <c r="AJ479" s="2514"/>
      <c r="AK479" s="2514"/>
      <c r="AL479" s="251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6">
        <f>IF(Application!D214="N/A",AS371,AS373)</f>
        <v>10</v>
      </c>
      <c r="AL482" s="2477"/>
      <c r="AM482" s="247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514" t="s">
        <v>1501</v>
      </c>
      <c r="AF485" s="2514"/>
      <c r="AG485" s="2514"/>
      <c r="AH485" s="2514"/>
      <c r="AI485" s="2514"/>
      <c r="AJ485" s="2514"/>
      <c r="AK485" s="251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0" t="s">
        <v>591</v>
      </c>
      <c r="D491" s="2521"/>
      <c r="E491" s="757" t="s">
        <v>507</v>
      </c>
      <c r="F491" s="2522" t="s">
        <v>1507</v>
      </c>
      <c r="G491" s="2522"/>
      <c r="H491" s="2522"/>
      <c r="I491" s="2522"/>
      <c r="J491" s="2522"/>
      <c r="K491" s="2522"/>
      <c r="L491" s="2522"/>
      <c r="M491" s="2522"/>
      <c r="N491" s="2522"/>
      <c r="O491" s="2522"/>
      <c r="P491" s="2522"/>
      <c r="Q491" s="2522"/>
      <c r="R491" s="2522"/>
      <c r="S491" s="2522"/>
      <c r="T491" s="2522"/>
      <c r="U491" s="2522"/>
      <c r="V491" s="2522"/>
      <c r="W491" s="2522"/>
      <c r="X491" s="2522"/>
      <c r="Y491" s="2522"/>
      <c r="Z491" s="2522"/>
      <c r="AA491" s="2522"/>
      <c r="AB491" s="2522"/>
      <c r="AC491" s="2522"/>
      <c r="AD491" s="2522"/>
      <c r="AE491" s="2522"/>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3"/>
      <c r="G492" s="2523"/>
      <c r="H492" s="2523"/>
      <c r="I492" s="2523"/>
      <c r="J492" s="2523"/>
      <c r="K492" s="2523"/>
      <c r="L492" s="2523"/>
      <c r="M492" s="2523"/>
      <c r="N492" s="2523"/>
      <c r="O492" s="2523"/>
      <c r="P492" s="2523"/>
      <c r="Q492" s="2523"/>
      <c r="R492" s="2523"/>
      <c r="S492" s="2523"/>
      <c r="T492" s="2523"/>
      <c r="U492" s="2523"/>
      <c r="V492" s="2523"/>
      <c r="W492" s="2523"/>
      <c r="X492" s="2523"/>
      <c r="Y492" s="2523"/>
      <c r="Z492" s="2523"/>
      <c r="AA492" s="2523"/>
      <c r="AB492" s="2523"/>
      <c r="AC492" s="2523"/>
      <c r="AD492" s="2523"/>
      <c r="AE492" s="2523"/>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8" t="s">
        <v>591</v>
      </c>
      <c r="G493" s="2618"/>
      <c r="H493" s="2618"/>
      <c r="I493" s="2618"/>
      <c r="J493" s="2618"/>
      <c r="K493" s="2618"/>
      <c r="L493" s="2618"/>
      <c r="M493" s="2618"/>
      <c r="N493" s="2618"/>
      <c r="O493" s="2618"/>
      <c r="P493" s="2618"/>
      <c r="Q493" s="2618"/>
      <c r="R493" s="2618"/>
      <c r="S493" s="2618"/>
      <c r="T493" s="2618"/>
      <c r="U493" s="2618"/>
      <c r="V493" s="2618"/>
      <c r="W493" s="2618"/>
      <c r="X493" s="2618"/>
      <c r="Y493" s="2618"/>
      <c r="Z493" s="2618"/>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9" t="s">
        <v>545</v>
      </c>
      <c r="D495" s="2640"/>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7" t="s">
        <v>591</v>
      </c>
      <c r="W498" s="2607"/>
      <c r="X498" s="2607"/>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7" t="s">
        <v>591</v>
      </c>
      <c r="W500" s="2607"/>
      <c r="X500" s="2607"/>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7" t="s">
        <v>591</v>
      </c>
      <c r="W505" s="2607"/>
      <c r="X505" s="2607"/>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3"/>
      <c r="E508" s="259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7" t="s">
        <v>591</v>
      </c>
      <c r="W509" s="2607"/>
      <c r="X509" s="2607"/>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7" t="s">
        <v>591</v>
      </c>
      <c r="W511" s="2607"/>
      <c r="X511" s="2607"/>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0" t="s">
        <v>591</v>
      </c>
      <c r="D514" s="2521"/>
      <c r="E514" s="757" t="s">
        <v>507</v>
      </c>
      <c r="F514" s="2522" t="s">
        <v>1507</v>
      </c>
      <c r="G514" s="2522"/>
      <c r="H514" s="2522"/>
      <c r="I514" s="2522"/>
      <c r="J514" s="2522"/>
      <c r="K514" s="2522"/>
      <c r="L514" s="2522"/>
      <c r="M514" s="2522"/>
      <c r="N514" s="2522"/>
      <c r="O514" s="2522"/>
      <c r="P514" s="2522"/>
      <c r="Q514" s="2522"/>
      <c r="R514" s="2522"/>
      <c r="S514" s="2522"/>
      <c r="T514" s="2522"/>
      <c r="U514" s="2522"/>
      <c r="V514" s="2522"/>
      <c r="W514" s="2522"/>
      <c r="X514" s="2522"/>
      <c r="Y514" s="2522"/>
      <c r="Z514" s="2522"/>
      <c r="AA514" s="2522"/>
      <c r="AB514" s="2522"/>
      <c r="AC514" s="2522"/>
      <c r="AD514" s="2522"/>
      <c r="AE514" s="252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3"/>
      <c r="G515" s="2523"/>
      <c r="H515" s="2523"/>
      <c r="I515" s="2523"/>
      <c r="J515" s="2523"/>
      <c r="K515" s="2523"/>
      <c r="L515" s="2523"/>
      <c r="M515" s="2523"/>
      <c r="N515" s="2523"/>
      <c r="O515" s="2523"/>
      <c r="P515" s="2523"/>
      <c r="Q515" s="2523"/>
      <c r="R515" s="2523"/>
      <c r="S515" s="2523"/>
      <c r="T515" s="2523"/>
      <c r="U515" s="2523"/>
      <c r="V515" s="2523"/>
      <c r="W515" s="2523"/>
      <c r="X515" s="2523"/>
      <c r="Y515" s="2523"/>
      <c r="Z515" s="2523"/>
      <c r="AA515" s="2523"/>
      <c r="AB515" s="2523"/>
      <c r="AC515" s="2523"/>
      <c r="AD515" s="2523"/>
      <c r="AE515" s="252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4" t="s">
        <v>591</v>
      </c>
      <c r="G516" s="2614"/>
      <c r="H516" s="2614"/>
      <c r="I516" s="2614"/>
      <c r="J516" s="2614"/>
      <c r="K516" s="2614"/>
      <c r="L516" s="2614"/>
      <c r="M516" s="2614"/>
      <c r="N516" s="2614"/>
      <c r="O516" s="2614"/>
      <c r="P516" s="2614"/>
      <c r="Q516" s="2614"/>
      <c r="R516" s="2614"/>
      <c r="S516" s="2614"/>
      <c r="T516" s="2614"/>
      <c r="U516" s="2614"/>
      <c r="V516" s="2614"/>
      <c r="W516" s="2614"/>
      <c r="X516" s="2614"/>
      <c r="Y516" s="2614"/>
      <c r="Z516" s="2614"/>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0" t="s">
        <v>591</v>
      </c>
      <c r="D518" s="2521"/>
      <c r="E518" s="757" t="s">
        <v>756</v>
      </c>
      <c r="F518" s="2615" t="s">
        <v>1529</v>
      </c>
      <c r="G518" s="2615"/>
      <c r="H518" s="2615"/>
      <c r="I518" s="2615"/>
      <c r="J518" s="2615"/>
      <c r="K518" s="2615"/>
      <c r="L518" s="2615"/>
      <c r="M518" s="2615"/>
      <c r="N518" s="2615"/>
      <c r="O518" s="2615"/>
      <c r="P518" s="2615"/>
      <c r="Q518" s="2615"/>
      <c r="R518" s="2615"/>
      <c r="S518" s="2615"/>
      <c r="T518" s="2615"/>
      <c r="U518" s="2615"/>
      <c r="V518" s="2615"/>
      <c r="W518" s="2615"/>
      <c r="X518" s="2615"/>
      <c r="Y518" s="2615"/>
      <c r="Z518" s="2615"/>
      <c r="AA518" s="2615"/>
      <c r="AB518" s="2615"/>
      <c r="AC518" s="2615"/>
      <c r="AD518" s="2615"/>
      <c r="AE518" s="261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6"/>
      <c r="G519" s="2616"/>
      <c r="H519" s="2616"/>
      <c r="I519" s="2616"/>
      <c r="J519" s="2616"/>
      <c r="K519" s="2616"/>
      <c r="L519" s="2616"/>
      <c r="M519" s="2616"/>
      <c r="N519" s="2616"/>
      <c r="O519" s="2616"/>
      <c r="P519" s="2616"/>
      <c r="Q519" s="2616"/>
      <c r="R519" s="2616"/>
      <c r="S519" s="2616"/>
      <c r="T519" s="2616"/>
      <c r="U519" s="2616"/>
      <c r="V519" s="2616"/>
      <c r="W519" s="2616"/>
      <c r="X519" s="2616"/>
      <c r="Y519" s="2616"/>
      <c r="Z519" s="2616"/>
      <c r="AA519" s="2616"/>
      <c r="AB519" s="2616"/>
      <c r="AC519" s="2616"/>
      <c r="AD519" s="2616"/>
      <c r="AE519" s="261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7" t="s">
        <v>591</v>
      </c>
      <c r="G521" s="2617"/>
      <c r="H521" s="261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20" t="s">
        <v>591</v>
      </c>
      <c r="D523" s="2521"/>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2"/>
      <c r="D525" s="259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4" t="s">
        <v>591</v>
      </c>
      <c r="H526" s="2594"/>
      <c r="I526" s="2594"/>
      <c r="J526" s="2594"/>
      <c r="K526" s="2594"/>
      <c r="L526" s="2594"/>
      <c r="M526" s="2594"/>
      <c r="N526" s="2594"/>
      <c r="O526" s="2594"/>
      <c r="P526" s="2594"/>
      <c r="Q526" s="2594"/>
      <c r="R526" s="2594"/>
      <c r="S526" s="2594"/>
      <c r="T526" s="2594"/>
      <c r="U526" s="2594"/>
      <c r="V526" s="2594"/>
      <c r="W526" s="2594"/>
      <c r="X526" s="2594"/>
      <c r="Y526" s="2594"/>
      <c r="Z526" s="2594"/>
      <c r="AA526" s="2594"/>
      <c r="AB526" s="2594"/>
      <c r="AC526" s="2594"/>
      <c r="AD526" s="2594"/>
      <c r="AE526" s="2594"/>
      <c r="AF526" s="259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5" t="s">
        <v>591</v>
      </c>
      <c r="D528" s="2596"/>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5" t="s">
        <v>591</v>
      </c>
      <c r="D532" s="2596"/>
      <c r="F532" s="791" t="s">
        <v>1537</v>
      </c>
      <c r="G532" s="2389" t="s">
        <v>1538</v>
      </c>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5"/>
      <c r="H533" s="2545"/>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45"/>
      <c r="AD533" s="2545"/>
      <c r="AE533" s="2545"/>
      <c r="AF533" s="2545"/>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7" t="s">
        <v>591</v>
      </c>
      <c r="D536" s="2598"/>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9" t="s">
        <v>591</v>
      </c>
      <c r="G537" s="2599"/>
      <c r="H537" s="2599"/>
      <c r="I537" s="2599"/>
      <c r="J537" s="2599"/>
      <c r="K537" s="2599"/>
      <c r="L537" s="2599"/>
      <c r="M537" s="2599"/>
      <c r="N537" s="2599"/>
      <c r="O537" s="2599"/>
      <c r="P537" s="2599"/>
      <c r="Q537" s="2599"/>
      <c r="R537" s="2599"/>
      <c r="S537" s="2599"/>
      <c r="T537" s="2599"/>
      <c r="U537" s="2599"/>
      <c r="V537" s="2599"/>
      <c r="W537" s="2599"/>
      <c r="X537" s="2599"/>
      <c r="Y537" s="2599"/>
      <c r="Z537" s="2599"/>
      <c r="AA537" s="2599"/>
      <c r="AB537" s="2599"/>
      <c r="AC537" s="2599"/>
      <c r="AD537" s="2599"/>
      <c r="AE537" s="2599"/>
      <c r="AF537" s="259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0"/>
      <c r="G538" s="2600"/>
      <c r="H538" s="2600"/>
      <c r="I538" s="2600"/>
      <c r="J538" s="2600"/>
      <c r="K538" s="2600"/>
      <c r="L538" s="2600"/>
      <c r="M538" s="2600"/>
      <c r="N538" s="2600"/>
      <c r="O538" s="2600"/>
      <c r="P538" s="2600"/>
      <c r="Q538" s="2600"/>
      <c r="R538" s="2600"/>
      <c r="S538" s="2600"/>
      <c r="T538" s="2600"/>
      <c r="U538" s="2600"/>
      <c r="V538" s="2600"/>
      <c r="W538" s="2600"/>
      <c r="X538" s="2600"/>
      <c r="Y538" s="2600"/>
      <c r="Z538" s="2600"/>
      <c r="AA538" s="2600"/>
      <c r="AB538" s="2600"/>
      <c r="AC538" s="2600"/>
      <c r="AD538" s="2600"/>
      <c r="AE538" s="2600"/>
      <c r="AF538" s="260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6">
        <f>SUM(AG492:AG537)</f>
        <v>0</v>
      </c>
      <c r="AL548" s="2477"/>
      <c r="AM548" s="247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8" t="s">
        <v>1550</v>
      </c>
      <c r="AF551" s="2418"/>
      <c r="AG551" s="2418"/>
      <c r="AH551" s="2418"/>
      <c r="AI551" s="2418"/>
      <c r="AJ551" s="2418"/>
      <c r="AK551" s="241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3" t="s">
        <v>591</v>
      </c>
      <c r="D554" s="2473"/>
      <c r="E554" s="550"/>
      <c r="F554" s="2524" t="s">
        <v>1551</v>
      </c>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525"/>
      <c r="AI554" s="2525"/>
      <c r="AJ554" s="2525"/>
      <c r="AK554" s="2525"/>
      <c r="AL554" s="2526"/>
      <c r="AM554" s="593"/>
      <c r="AN554" s="595"/>
    </row>
    <row r="555" spans="1:81" s="549" customFormat="1" ht="12.75" customHeight="1">
      <c r="B555" s="539"/>
      <c r="C555" s="550"/>
      <c r="D555" s="550"/>
      <c r="E555" s="550"/>
      <c r="F555" s="2527"/>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2528"/>
      <c r="AH555" s="2528"/>
      <c r="AI555" s="2528"/>
      <c r="AJ555" s="2528"/>
      <c r="AK555" s="2528"/>
      <c r="AL555" s="252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3" t="s">
        <v>545</v>
      </c>
      <c r="D557" s="2473"/>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7" t="s">
        <v>2622</v>
      </c>
      <c r="G558" s="2468"/>
      <c r="H558" s="2468"/>
      <c r="I558" s="2468"/>
      <c r="J558" s="2468"/>
      <c r="K558" s="2468"/>
      <c r="L558" s="2468"/>
      <c r="M558" s="2468"/>
      <c r="N558" s="2468"/>
      <c r="O558" s="2468"/>
      <c r="P558" s="2468"/>
      <c r="Q558" s="2468"/>
      <c r="R558" s="2468"/>
      <c r="S558" s="2468"/>
      <c r="T558" s="2468"/>
      <c r="U558" s="2468"/>
      <c r="V558" s="2468"/>
      <c r="W558" s="2468"/>
      <c r="X558" s="2468"/>
      <c r="Y558" s="2468"/>
      <c r="Z558" s="2468"/>
      <c r="AA558" s="2468"/>
      <c r="AB558" s="2468"/>
      <c r="AC558" s="2468"/>
      <c r="AD558" s="2468"/>
      <c r="AE558" s="2468"/>
      <c r="AF558" s="2468"/>
      <c r="AG558" s="2468"/>
      <c r="AH558" s="2468"/>
      <c r="AI558" s="2468"/>
      <c r="AJ558" s="2468"/>
      <c r="AK558" s="2468"/>
      <c r="AL558" s="2469"/>
      <c r="AM558" s="593"/>
      <c r="AN558" s="595"/>
      <c r="AS558" s="866"/>
      <c r="AT558" s="866"/>
      <c r="AU558" s="866"/>
      <c r="AV558" s="866"/>
      <c r="AW558" s="866"/>
    </row>
    <row r="559" spans="1:81" s="549" customFormat="1" ht="12.75" customHeight="1">
      <c r="B559" s="802"/>
      <c r="C559" s="802"/>
      <c r="D559" s="802"/>
      <c r="E559" s="802"/>
      <c r="F559" s="2467"/>
      <c r="G559" s="2468"/>
      <c r="H559" s="2468"/>
      <c r="I559" s="2468"/>
      <c r="J559" s="2468"/>
      <c r="K559" s="2468"/>
      <c r="L559" s="2468"/>
      <c r="M559" s="2468"/>
      <c r="N559" s="2468"/>
      <c r="O559" s="2468"/>
      <c r="P559" s="2468"/>
      <c r="Q559" s="2468"/>
      <c r="R559" s="2468"/>
      <c r="S559" s="2468"/>
      <c r="T559" s="2468"/>
      <c r="U559" s="2468"/>
      <c r="V559" s="2468"/>
      <c r="W559" s="2468"/>
      <c r="X559" s="2468"/>
      <c r="Y559" s="2468"/>
      <c r="Z559" s="2468"/>
      <c r="AA559" s="2468"/>
      <c r="AB559" s="2468"/>
      <c r="AC559" s="2468"/>
      <c r="AD559" s="2468"/>
      <c r="AE559" s="2468"/>
      <c r="AF559" s="2468"/>
      <c r="AG559" s="2468"/>
      <c r="AH559" s="2468"/>
      <c r="AI559" s="2468"/>
      <c r="AJ559" s="2468"/>
      <c r="AK559" s="2468"/>
      <c r="AL559" s="2469"/>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7" t="s">
        <v>1553</v>
      </c>
      <c r="G561" s="2468"/>
      <c r="H561" s="2468"/>
      <c r="I561" s="2468"/>
      <c r="J561" s="2468"/>
      <c r="K561" s="2468"/>
      <c r="L561" s="2468"/>
      <c r="M561" s="2468"/>
      <c r="N561" s="2468"/>
      <c r="O561" s="2468"/>
      <c r="P561" s="2468"/>
      <c r="Q561" s="2468"/>
      <c r="R561" s="2468"/>
      <c r="S561" s="2468"/>
      <c r="T561" s="2468"/>
      <c r="U561" s="2468"/>
      <c r="V561" s="2468"/>
      <c r="W561" s="2468"/>
      <c r="X561" s="2468"/>
      <c r="Y561" s="2468"/>
      <c r="Z561" s="2468"/>
      <c r="AA561" s="2468"/>
      <c r="AB561" s="2468"/>
      <c r="AC561" s="2468"/>
      <c r="AD561" s="2468"/>
      <c r="AE561" s="2468"/>
      <c r="AF561" s="2468"/>
      <c r="AG561" s="2468"/>
      <c r="AH561" s="2468"/>
      <c r="AI561" s="2468"/>
      <c r="AJ561" s="2468"/>
      <c r="AK561" s="2468"/>
      <c r="AL561" s="809"/>
      <c r="AM561" s="593"/>
      <c r="AN561" s="595"/>
    </row>
    <row r="562" spans="1:45" s="549" customFormat="1" ht="12.75" customHeight="1">
      <c r="B562" s="802"/>
      <c r="C562" s="802"/>
      <c r="D562" s="802"/>
      <c r="E562" s="802"/>
      <c r="F562" s="2470"/>
      <c r="G562" s="2471"/>
      <c r="H562" s="2471"/>
      <c r="I562" s="2471"/>
      <c r="J562" s="2471"/>
      <c r="K562" s="2471"/>
      <c r="L562" s="2471"/>
      <c r="M562" s="2471"/>
      <c r="N562" s="2471"/>
      <c r="O562" s="2471"/>
      <c r="P562" s="2471"/>
      <c r="Q562" s="2471"/>
      <c r="R562" s="2471"/>
      <c r="S562" s="2471"/>
      <c r="T562" s="2471"/>
      <c r="U562" s="2471"/>
      <c r="V562" s="2471"/>
      <c r="W562" s="2471"/>
      <c r="X562" s="2471"/>
      <c r="Y562" s="2471"/>
      <c r="Z562" s="2471"/>
      <c r="AA562" s="2471"/>
      <c r="AB562" s="2471"/>
      <c r="AC562" s="2471"/>
      <c r="AD562" s="2471"/>
      <c r="AE562" s="2471"/>
      <c r="AF562" s="2471"/>
      <c r="AG562" s="2471"/>
      <c r="AH562" s="2471"/>
      <c r="AI562" s="2471"/>
      <c r="AJ562" s="2471"/>
      <c r="AK562" s="247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6">
        <f>Application!AJ1001</f>
        <v>69829760</v>
      </c>
      <c r="AQ563" s="2606"/>
      <c r="AR563" s="2606"/>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9">
        <f>'Sources and Uses Budget'!S107+'Sources and Uses Budget'!T107</f>
        <v>67893061</v>
      </c>
      <c r="AG564" s="2479"/>
      <c r="AH564" s="2479"/>
      <c r="AI564" s="2479"/>
      <c r="AJ564" s="2479"/>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0">
        <f>IFERROR(AP572,0)</f>
        <v>120805484.8</v>
      </c>
      <c r="AG565" s="2610"/>
      <c r="AH565" s="2610"/>
      <c r="AI565" s="2610"/>
      <c r="AJ565" s="2610"/>
      <c r="AK565" s="593"/>
      <c r="AL565" s="593"/>
      <c r="AM565" s="593"/>
      <c r="AN565" s="595"/>
      <c r="AP565" s="2606">
        <f>Application!AJ1054</f>
        <v>7681273.5999999996</v>
      </c>
      <c r="AQ565" s="2606"/>
      <c r="AR565" s="2606"/>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1">
        <f>IFERROR(ROUNDDOWN(IF(C557="YES",((1-(AF564/AF565))*2),(1-(AF564/AF565))),2),0)</f>
        <v>0.87</v>
      </c>
      <c r="AG566" s="2611"/>
      <c r="AH566" s="2611"/>
      <c r="AI566" s="2611"/>
      <c r="AJ566" s="2611"/>
      <c r="AK566" s="593"/>
      <c r="AL566" s="593"/>
      <c r="AM566" s="593"/>
      <c r="AN566" s="595"/>
      <c r="AP566" s="2626">
        <f>Application!AJ1058</f>
        <v>15362547.199999999</v>
      </c>
      <c r="AQ566" s="2626"/>
      <c r="AR566" s="2626"/>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5">
        <f>IF(((AP565+AP566)/AP563)&gt;0.8,0.8,((AP565+AP566)/AP563))</f>
        <v>0.32999999999999996</v>
      </c>
      <c r="AQ567" s="2605"/>
      <c r="AR567" s="2605"/>
      <c r="AS567" s="549" t="s">
        <v>2124</v>
      </c>
    </row>
    <row r="568" spans="1:45" s="549" customFormat="1" ht="12.75" customHeight="1">
      <c r="A568" s="622"/>
      <c r="B568" s="2552" t="s">
        <v>1991</v>
      </c>
      <c r="C568" s="2553"/>
      <c r="D568" s="2553"/>
      <c r="E568" s="2553"/>
      <c r="F568" s="2553"/>
      <c r="G568" s="2553"/>
      <c r="H568" s="2553"/>
      <c r="I568" s="2553"/>
      <c r="J568" s="2553"/>
      <c r="K568" s="2553"/>
      <c r="L568" s="2553"/>
      <c r="M568" s="2553"/>
      <c r="N568" s="2553"/>
      <c r="O568" s="2553"/>
      <c r="P568" s="2553"/>
      <c r="Q568" s="2553"/>
      <c r="R568" s="2553"/>
      <c r="S568" s="2553"/>
      <c r="T568" s="2553"/>
      <c r="U568" s="2553"/>
      <c r="V568" s="2553"/>
      <c r="W568" s="2553"/>
      <c r="X568" s="2553"/>
      <c r="Y568" s="2553"/>
      <c r="Z568" s="2553"/>
      <c r="AA568" s="2553"/>
      <c r="AB568" s="2553"/>
      <c r="AC568" s="2553"/>
      <c r="AD568" s="2553"/>
      <c r="AE568" s="2553"/>
      <c r="AF568" s="2553"/>
      <c r="AG568" s="2553"/>
      <c r="AH568" s="2553"/>
      <c r="AI568" s="2553"/>
      <c r="AJ568" s="2554"/>
      <c r="AK568" s="593"/>
      <c r="AL568" s="593"/>
      <c r="AM568" s="593"/>
      <c r="AN568" s="595"/>
    </row>
    <row r="569" spans="1:45" s="549" customFormat="1" ht="12.75" customHeight="1">
      <c r="A569" s="622"/>
      <c r="B569" s="2555"/>
      <c r="C569" s="2556"/>
      <c r="D569" s="2556"/>
      <c r="E569" s="2556"/>
      <c r="F569" s="2556"/>
      <c r="G569" s="2556"/>
      <c r="H569" s="2556"/>
      <c r="I569" s="2556"/>
      <c r="J569" s="2556"/>
      <c r="K569" s="2556"/>
      <c r="L569" s="2556"/>
      <c r="M569" s="2556"/>
      <c r="N569" s="2556"/>
      <c r="O569" s="2556"/>
      <c r="P569" s="2556"/>
      <c r="Q569" s="2556"/>
      <c r="R569" s="2556"/>
      <c r="S569" s="2556"/>
      <c r="T569" s="2556"/>
      <c r="U569" s="2556"/>
      <c r="V569" s="2556"/>
      <c r="W569" s="2556"/>
      <c r="X569" s="2556"/>
      <c r="Y569" s="2556"/>
      <c r="Z569" s="2556"/>
      <c r="AA569" s="2556"/>
      <c r="AB569" s="2556"/>
      <c r="AC569" s="2556"/>
      <c r="AD569" s="2556"/>
      <c r="AE569" s="2556"/>
      <c r="AF569" s="2556"/>
      <c r="AG569" s="2556"/>
      <c r="AH569" s="2556"/>
      <c r="AI569" s="2556"/>
      <c r="AJ569" s="2557"/>
      <c r="AK569" s="593"/>
      <c r="AL569" s="593"/>
      <c r="AM569" s="593"/>
      <c r="AN569" s="595"/>
      <c r="AP569" s="2606">
        <f>AP570-AP565-AP566</f>
        <v>97761664</v>
      </c>
      <c r="AQ569" s="2537"/>
      <c r="AR569" s="2537"/>
      <c r="AS569" s="549" t="s">
        <v>2126</v>
      </c>
    </row>
    <row r="570" spans="1:45" s="549" customFormat="1" ht="12.75" customHeight="1">
      <c r="A570" s="622"/>
      <c r="B570" s="2558"/>
      <c r="C570" s="2559"/>
      <c r="D570" s="2559"/>
      <c r="E570" s="2559"/>
      <c r="F570" s="2559"/>
      <c r="G570" s="2559"/>
      <c r="H570" s="2559"/>
      <c r="I570" s="2559"/>
      <c r="J570" s="2559"/>
      <c r="K570" s="2559"/>
      <c r="L570" s="2559"/>
      <c r="M570" s="2559"/>
      <c r="N570" s="2559"/>
      <c r="O570" s="2559"/>
      <c r="P570" s="2559"/>
      <c r="Q570" s="2559"/>
      <c r="R570" s="2559"/>
      <c r="S570" s="2559"/>
      <c r="T570" s="2559"/>
      <c r="U570" s="2559"/>
      <c r="V570" s="2559"/>
      <c r="W570" s="2559"/>
      <c r="X570" s="2559"/>
      <c r="Y570" s="2559"/>
      <c r="Z570" s="2559"/>
      <c r="AA570" s="2559"/>
      <c r="AB570" s="2559"/>
      <c r="AC570" s="2559"/>
      <c r="AD570" s="2559"/>
      <c r="AE570" s="2559"/>
      <c r="AF570" s="2559"/>
      <c r="AG570" s="2559"/>
      <c r="AH570" s="2559"/>
      <c r="AI570" s="2559"/>
      <c r="AJ570" s="2560"/>
      <c r="AK570" s="593"/>
      <c r="AL570" s="593"/>
      <c r="AM570" s="593"/>
      <c r="AN570" s="595"/>
      <c r="AP570" s="2606">
        <f>Application!AJ1062</f>
        <v>120805484.8</v>
      </c>
      <c r="AQ570" s="2606"/>
      <c r="AR570" s="2606"/>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1">
        <f>IFERROR(IF(AND(C554="N/A",C557="N/A"),0,IF(AF566=0,0,IF((AF566*100)&gt;12,12,(AF566*100)))),0)</f>
        <v>12</v>
      </c>
      <c r="AL572" s="2561"/>
      <c r="AM572" s="2562"/>
      <c r="AN572" s="595"/>
      <c r="AP572" s="2619">
        <f>AP569+(AP563*AP567)</f>
        <v>120805484.8</v>
      </c>
      <c r="AQ572" s="2620"/>
      <c r="AR572" s="26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8" t="s">
        <v>1307</v>
      </c>
      <c r="AF575" s="2418"/>
      <c r="AG575" s="2418"/>
      <c r="AH575" s="2418"/>
      <c r="AI575" s="2418"/>
      <c r="AJ575" s="2418"/>
      <c r="AK575" s="241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8" t="s">
        <v>1983</v>
      </c>
      <c r="C577" s="2468"/>
      <c r="D577" s="2468"/>
      <c r="E577" s="2468"/>
      <c r="F577" s="2468"/>
      <c r="G577" s="2468"/>
      <c r="H577" s="2468"/>
      <c r="I577" s="2468"/>
      <c r="J577" s="2468"/>
      <c r="K577" s="2468"/>
      <c r="L577" s="2468"/>
      <c r="M577" s="2468"/>
      <c r="N577" s="2468"/>
      <c r="O577" s="2468"/>
      <c r="P577" s="2468"/>
      <c r="Q577" s="2468"/>
      <c r="R577" s="2468"/>
      <c r="S577" s="2468"/>
      <c r="T577" s="2468"/>
      <c r="U577" s="2468"/>
      <c r="V577" s="2468"/>
      <c r="W577" s="2468"/>
      <c r="X577" s="2468"/>
      <c r="Y577" s="2468"/>
      <c r="Z577" s="2468"/>
      <c r="AA577" s="2468"/>
      <c r="AB577" s="2468"/>
      <c r="AC577" s="2468"/>
      <c r="AD577" s="2468"/>
      <c r="AE577" s="2468"/>
      <c r="AF577" s="2468"/>
      <c r="AG577" s="2468"/>
      <c r="AH577" s="2468"/>
      <c r="AI577" s="2468"/>
      <c r="AJ577" s="2468"/>
      <c r="AK577" s="640"/>
      <c r="AL577" s="571"/>
      <c r="AM577" s="601"/>
      <c r="AN577" s="595"/>
    </row>
    <row r="578" spans="1:42" s="549" customFormat="1" ht="12.75" customHeight="1">
      <c r="A578" s="601"/>
      <c r="B578" s="2468"/>
      <c r="C578" s="2468"/>
      <c r="D578" s="2468"/>
      <c r="E578" s="2468"/>
      <c r="F578" s="2468"/>
      <c r="G578" s="2468"/>
      <c r="H578" s="2468"/>
      <c r="I578" s="2468"/>
      <c r="J578" s="2468"/>
      <c r="K578" s="2468"/>
      <c r="L578" s="2468"/>
      <c r="M578" s="2468"/>
      <c r="N578" s="2468"/>
      <c r="O578" s="2468"/>
      <c r="P578" s="2468"/>
      <c r="Q578" s="2468"/>
      <c r="R578" s="2468"/>
      <c r="S578" s="2468"/>
      <c r="T578" s="2468"/>
      <c r="U578" s="2468"/>
      <c r="V578" s="2468"/>
      <c r="W578" s="2468"/>
      <c r="X578" s="2468"/>
      <c r="Y578" s="2468"/>
      <c r="Z578" s="2468"/>
      <c r="AA578" s="2468"/>
      <c r="AB578" s="2468"/>
      <c r="AC578" s="2468"/>
      <c r="AD578" s="2468"/>
      <c r="AE578" s="2468"/>
      <c r="AF578" s="2468"/>
      <c r="AG578" s="2468"/>
      <c r="AH578" s="2468"/>
      <c r="AI578" s="2468"/>
      <c r="AJ578" s="2468"/>
      <c r="AK578" s="640"/>
      <c r="AL578" s="571"/>
      <c r="AM578" s="601"/>
      <c r="AN578" s="595"/>
    </row>
    <row r="579" spans="1:42" s="549" customFormat="1" ht="12.75" customHeight="1">
      <c r="A579" s="601"/>
      <c r="B579" s="2468"/>
      <c r="C579" s="2468"/>
      <c r="D579" s="2468"/>
      <c r="E579" s="2468"/>
      <c r="F579" s="2468"/>
      <c r="G579" s="2468"/>
      <c r="H579" s="2468"/>
      <c r="I579" s="2468"/>
      <c r="J579" s="2468"/>
      <c r="K579" s="2468"/>
      <c r="L579" s="2468"/>
      <c r="M579" s="2468"/>
      <c r="N579" s="2468"/>
      <c r="O579" s="2468"/>
      <c r="P579" s="2468"/>
      <c r="Q579" s="2468"/>
      <c r="R579" s="2468"/>
      <c r="S579" s="2468"/>
      <c r="T579" s="2468"/>
      <c r="U579" s="2468"/>
      <c r="V579" s="2468"/>
      <c r="W579" s="2468"/>
      <c r="X579" s="2468"/>
      <c r="Y579" s="2468"/>
      <c r="Z579" s="2468"/>
      <c r="AA579" s="2468"/>
      <c r="AB579" s="2468"/>
      <c r="AC579" s="2468"/>
      <c r="AD579" s="2468"/>
      <c r="AE579" s="2468"/>
      <c r="AF579" s="2468"/>
      <c r="AG579" s="2468"/>
      <c r="AH579" s="2468"/>
      <c r="AI579" s="2468"/>
      <c r="AJ579" s="2468"/>
      <c r="AK579" s="640"/>
      <c r="AL579" s="571"/>
      <c r="AM579" s="601"/>
      <c r="AN579" s="595"/>
    </row>
    <row r="580" spans="1:42" s="549" customFormat="1" ht="12.75" customHeight="1">
      <c r="A580" s="601"/>
      <c r="B580" s="2468"/>
      <c r="C580" s="2468"/>
      <c r="D580" s="2468"/>
      <c r="E580" s="2468"/>
      <c r="F580" s="2468"/>
      <c r="G580" s="2468"/>
      <c r="H580" s="2468"/>
      <c r="I580" s="2468"/>
      <c r="J580" s="2468"/>
      <c r="K580" s="2468"/>
      <c r="L580" s="2468"/>
      <c r="M580" s="2468"/>
      <c r="N580" s="2468"/>
      <c r="O580" s="2468"/>
      <c r="P580" s="2468"/>
      <c r="Q580" s="2468"/>
      <c r="R580" s="2468"/>
      <c r="S580" s="2468"/>
      <c r="T580" s="2468"/>
      <c r="U580" s="2468"/>
      <c r="V580" s="2468"/>
      <c r="W580" s="2468"/>
      <c r="X580" s="2468"/>
      <c r="Y580" s="2468"/>
      <c r="Z580" s="2468"/>
      <c r="AA580" s="2468"/>
      <c r="AB580" s="2468"/>
      <c r="AC580" s="2468"/>
      <c r="AD580" s="2468"/>
      <c r="AE580" s="2468"/>
      <c r="AF580" s="2468"/>
      <c r="AG580" s="2468"/>
      <c r="AH580" s="2468"/>
      <c r="AI580" s="2468"/>
      <c r="AJ580" s="2468"/>
      <c r="AK580" s="640"/>
      <c r="AL580" s="571"/>
      <c r="AM580" s="601"/>
      <c r="AN580" s="595"/>
    </row>
    <row r="581" spans="1:42" s="549" customFormat="1" ht="12.75" customHeight="1">
      <c r="A581" s="601"/>
      <c r="B581" s="2468"/>
      <c r="C581" s="2468"/>
      <c r="D581" s="2468"/>
      <c r="E581" s="2468"/>
      <c r="F581" s="2468"/>
      <c r="G581" s="2468"/>
      <c r="H581" s="2468"/>
      <c r="I581" s="2468"/>
      <c r="J581" s="2468"/>
      <c r="K581" s="2468"/>
      <c r="L581" s="2468"/>
      <c r="M581" s="2468"/>
      <c r="N581" s="2468"/>
      <c r="O581" s="2468"/>
      <c r="P581" s="2468"/>
      <c r="Q581" s="2468"/>
      <c r="R581" s="2468"/>
      <c r="S581" s="2468"/>
      <c r="T581" s="2468"/>
      <c r="U581" s="2468"/>
      <c r="V581" s="2468"/>
      <c r="W581" s="2468"/>
      <c r="X581" s="2468"/>
      <c r="Y581" s="2468"/>
      <c r="Z581" s="2468"/>
      <c r="AA581" s="2468"/>
      <c r="AB581" s="2468"/>
      <c r="AC581" s="2468"/>
      <c r="AD581" s="2468"/>
      <c r="AE581" s="2468"/>
      <c r="AF581" s="2468"/>
      <c r="AG581" s="2468"/>
      <c r="AH581" s="2468"/>
      <c r="AI581" s="2468"/>
      <c r="AJ581" s="2468"/>
      <c r="AK581" s="640"/>
      <c r="AL581" s="571"/>
      <c r="AM581" s="601"/>
      <c r="AN581" s="595"/>
    </row>
    <row r="582" spans="1:42" s="549" customFormat="1" ht="12.75" customHeight="1">
      <c r="A582" s="601"/>
      <c r="B582" s="2468"/>
      <c r="C582" s="2468"/>
      <c r="D582" s="2468"/>
      <c r="E582" s="2468"/>
      <c r="F582" s="2468"/>
      <c r="G582" s="2468"/>
      <c r="H582" s="2468"/>
      <c r="I582" s="2468"/>
      <c r="J582" s="2468"/>
      <c r="K582" s="2468"/>
      <c r="L582" s="2468"/>
      <c r="M582" s="2468"/>
      <c r="N582" s="2468"/>
      <c r="O582" s="2468"/>
      <c r="P582" s="2468"/>
      <c r="Q582" s="2468"/>
      <c r="R582" s="2468"/>
      <c r="S582" s="2468"/>
      <c r="T582" s="2468"/>
      <c r="U582" s="2468"/>
      <c r="V582" s="2468"/>
      <c r="W582" s="2468"/>
      <c r="X582" s="2468"/>
      <c r="Y582" s="2468"/>
      <c r="Z582" s="2468"/>
      <c r="AA582" s="2468"/>
      <c r="AB582" s="2468"/>
      <c r="AC582" s="2468"/>
      <c r="AD582" s="2468"/>
      <c r="AE582" s="2468"/>
      <c r="AF582" s="2468"/>
      <c r="AG582" s="2468"/>
      <c r="AH582" s="2468"/>
      <c r="AI582" s="2468"/>
      <c r="AJ582" s="2468"/>
      <c r="AK582" s="640"/>
      <c r="AL582" s="571"/>
      <c r="AM582" s="601"/>
      <c r="AN582" s="595"/>
    </row>
    <row r="583" spans="1:42" s="549" customFormat="1" ht="12.75" customHeight="1">
      <c r="A583" s="601"/>
      <c r="B583" s="2468"/>
      <c r="C583" s="2468"/>
      <c r="D583" s="2468"/>
      <c r="E583" s="2468"/>
      <c r="F583" s="2468"/>
      <c r="G583" s="2468"/>
      <c r="H583" s="2468"/>
      <c r="I583" s="2468"/>
      <c r="J583" s="2468"/>
      <c r="K583" s="2468"/>
      <c r="L583" s="2468"/>
      <c r="M583" s="2468"/>
      <c r="N583" s="2468"/>
      <c r="O583" s="2468"/>
      <c r="P583" s="2468"/>
      <c r="Q583" s="2468"/>
      <c r="R583" s="2468"/>
      <c r="S583" s="2468"/>
      <c r="T583" s="2468"/>
      <c r="U583" s="2468"/>
      <c r="V583" s="2468"/>
      <c r="W583" s="2468"/>
      <c r="X583" s="2468"/>
      <c r="Y583" s="2468"/>
      <c r="Z583" s="2468"/>
      <c r="AA583" s="2468"/>
      <c r="AB583" s="2468"/>
      <c r="AC583" s="2468"/>
      <c r="AD583" s="2468"/>
      <c r="AE583" s="2468"/>
      <c r="AF583" s="2468"/>
      <c r="AG583" s="2468"/>
      <c r="AH583" s="2468"/>
      <c r="AI583" s="2468"/>
      <c r="AJ583" s="2468"/>
      <c r="AK583" s="640"/>
      <c r="AL583" s="571"/>
      <c r="AM583" s="601"/>
      <c r="AN583" s="595"/>
    </row>
    <row r="584" spans="1:42" ht="12.75" customHeight="1">
      <c r="A584" s="601"/>
      <c r="B584" s="2468"/>
      <c r="C584" s="2468"/>
      <c r="D584" s="2468"/>
      <c r="E584" s="2468"/>
      <c r="F584" s="2468"/>
      <c r="G584" s="2468"/>
      <c r="H584" s="2468"/>
      <c r="I584" s="2468"/>
      <c r="J584" s="2468"/>
      <c r="K584" s="2468"/>
      <c r="L584" s="2468"/>
      <c r="M584" s="2468"/>
      <c r="N584" s="2468"/>
      <c r="O584" s="2468"/>
      <c r="P584" s="2468"/>
      <c r="Q584" s="2468"/>
      <c r="R584" s="2468"/>
      <c r="S584" s="2468"/>
      <c r="T584" s="2468"/>
      <c r="U584" s="2468"/>
      <c r="V584" s="2468"/>
      <c r="W584" s="2468"/>
      <c r="X584" s="2468"/>
      <c r="Y584" s="2468"/>
      <c r="Z584" s="2468"/>
      <c r="AA584" s="2468"/>
      <c r="AB584" s="2468"/>
      <c r="AC584" s="2468"/>
      <c r="AD584" s="2468"/>
      <c r="AE584" s="2468"/>
      <c r="AF584" s="2468"/>
      <c r="AG584" s="2468"/>
      <c r="AH584" s="2468"/>
      <c r="AI584" s="2468"/>
      <c r="AJ584" s="2468"/>
      <c r="AK584" s="640"/>
      <c r="AL584" s="571"/>
      <c r="AM584" s="601"/>
    </row>
    <row r="585" spans="1:42" s="549" customFormat="1" ht="12.75" customHeight="1">
      <c r="B585" s="2468"/>
      <c r="C585" s="2468"/>
      <c r="D585" s="2468"/>
      <c r="E585" s="2468"/>
      <c r="F585" s="2468"/>
      <c r="G585" s="2468"/>
      <c r="H585" s="2468"/>
      <c r="I585" s="2468"/>
      <c r="J585" s="2468"/>
      <c r="K585" s="2468"/>
      <c r="L585" s="2468"/>
      <c r="M585" s="2468"/>
      <c r="N585" s="2468"/>
      <c r="O585" s="2468"/>
      <c r="P585" s="2468"/>
      <c r="Q585" s="2468"/>
      <c r="R585" s="2468"/>
      <c r="S585" s="2468"/>
      <c r="T585" s="2468"/>
      <c r="U585" s="2468"/>
      <c r="V585" s="2468"/>
      <c r="W585" s="2468"/>
      <c r="X585" s="2468"/>
      <c r="Y585" s="2468"/>
      <c r="Z585" s="2468"/>
      <c r="AA585" s="2468"/>
      <c r="AB585" s="2468"/>
      <c r="AC585" s="2468"/>
      <c r="AD585" s="2468"/>
      <c r="AE585" s="2468"/>
      <c r="AF585" s="2468"/>
      <c r="AG585" s="2468"/>
      <c r="AH585" s="2468"/>
      <c r="AI585" s="2468"/>
      <c r="AJ585" s="246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1" t="s">
        <v>1331</v>
      </c>
      <c r="AG591" s="2451"/>
      <c r="AH591" s="2451"/>
      <c r="AI591" s="2451"/>
      <c r="AJ591" s="2451"/>
      <c r="AK591" s="2451"/>
      <c r="AL591" s="2451"/>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1" t="s">
        <v>1387</v>
      </c>
      <c r="AG598" s="2451"/>
      <c r="AH598" s="2451"/>
      <c r="AI598" s="2451"/>
      <c r="AJ598" s="2451"/>
      <c r="AK598" s="2451"/>
      <c r="AL598" s="2451"/>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1" t="s">
        <v>1370</v>
      </c>
      <c r="AG604" s="2451"/>
      <c r="AH604" s="2451"/>
      <c r="AI604" s="2451"/>
      <c r="AJ604" s="2451"/>
      <c r="AK604" s="2451"/>
      <c r="AL604" s="2451"/>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1" t="s">
        <v>1390</v>
      </c>
      <c r="AG610" s="2451"/>
      <c r="AH610" s="2451"/>
      <c r="AI610" s="2451"/>
      <c r="AJ610" s="2451"/>
      <c r="AK610" s="2451"/>
      <c r="AL610" s="2451"/>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3" t="s">
        <v>1183</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1" t="s">
        <v>1345</v>
      </c>
      <c r="AG616" s="2451"/>
      <c r="AH616" s="2451"/>
      <c r="AI616" s="2451"/>
      <c r="AJ616" s="2451"/>
      <c r="AK616" s="2451"/>
      <c r="AL616" s="2451"/>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531" t="s">
        <v>1388</v>
      </c>
      <c r="I619" s="2531"/>
      <c r="J619" s="932"/>
      <c r="K619" s="932"/>
      <c r="L619" s="932"/>
      <c r="N619" s="22"/>
      <c r="O619" s="22"/>
      <c r="P619" s="22"/>
      <c r="Q619" s="1145" t="s">
        <v>2129</v>
      </c>
      <c r="R619" s="2534" t="s">
        <v>2130</v>
      </c>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2" t="s">
        <v>591</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3" t="s">
        <v>591</v>
      </c>
      <c r="C629" s="2463"/>
      <c r="D629" s="640"/>
      <c r="E629" s="2468" t="s">
        <v>1394</v>
      </c>
      <c r="F629" s="2468"/>
      <c r="G629" s="2468"/>
      <c r="H629" s="2468"/>
      <c r="I629" s="2468"/>
      <c r="J629" s="2468"/>
      <c r="K629" s="2468"/>
      <c r="L629" s="2468"/>
      <c r="M629" s="2468"/>
      <c r="N629" s="2468"/>
      <c r="O629" s="2468"/>
      <c r="P629" s="2468"/>
      <c r="Q629" s="2468"/>
      <c r="R629" s="2468"/>
      <c r="S629" s="2468"/>
      <c r="T629" s="2468"/>
      <c r="U629" s="2468"/>
      <c r="V629" s="2468"/>
      <c r="W629" s="2468"/>
      <c r="X629" s="2468"/>
      <c r="Y629" s="2468"/>
      <c r="Z629" s="2468"/>
      <c r="AA629" s="2468"/>
      <c r="AB629" s="2468"/>
      <c r="AC629" s="2468"/>
      <c r="AD629" s="2468"/>
      <c r="AE629" s="2468"/>
      <c r="AF629" s="2468"/>
      <c r="AG629" s="2468"/>
      <c r="AH629" s="640"/>
      <c r="AI629" s="640"/>
      <c r="AJ629" s="640"/>
      <c r="AK629" s="640"/>
      <c r="AL629" s="640"/>
      <c r="AN629" s="595"/>
    </row>
    <row r="630" spans="1:42" s="549" customFormat="1" ht="12.75" customHeight="1">
      <c r="B630" s="536"/>
      <c r="C630" s="929"/>
      <c r="D630" s="640"/>
      <c r="E630" s="2468"/>
      <c r="F630" s="2468"/>
      <c r="G630" s="2468"/>
      <c r="H630" s="2468"/>
      <c r="I630" s="2468"/>
      <c r="J630" s="2468"/>
      <c r="K630" s="2468"/>
      <c r="L630" s="2468"/>
      <c r="M630" s="2468"/>
      <c r="N630" s="2468"/>
      <c r="O630" s="2468"/>
      <c r="P630" s="2468"/>
      <c r="Q630" s="2468"/>
      <c r="R630" s="2468"/>
      <c r="S630" s="2468"/>
      <c r="T630" s="2468"/>
      <c r="U630" s="2468"/>
      <c r="V630" s="2468"/>
      <c r="W630" s="2468"/>
      <c r="X630" s="2468"/>
      <c r="Y630" s="2468"/>
      <c r="Z630" s="2468"/>
      <c r="AA630" s="2468"/>
      <c r="AB630" s="2468"/>
      <c r="AC630" s="2468"/>
      <c r="AD630" s="2468"/>
      <c r="AE630" s="2468"/>
      <c r="AF630" s="2468"/>
      <c r="AG630" s="2468"/>
      <c r="AH630" s="640"/>
      <c r="AI630" s="640"/>
      <c r="AJ630" s="640"/>
      <c r="AK630" s="640"/>
      <c r="AL630" s="640"/>
      <c r="AN630" s="595"/>
    </row>
    <row r="631" spans="1:42" s="549" customFormat="1" ht="12.75" customHeight="1">
      <c r="B631" s="536"/>
      <c r="C631" s="929"/>
      <c r="D631" s="640"/>
      <c r="E631" s="2468"/>
      <c r="F631" s="2468"/>
      <c r="G631" s="2468"/>
      <c r="H631" s="2468"/>
      <c r="I631" s="2468"/>
      <c r="J631" s="2468"/>
      <c r="K631" s="2468"/>
      <c r="L631" s="2468"/>
      <c r="M631" s="2468"/>
      <c r="N631" s="2468"/>
      <c r="O631" s="2468"/>
      <c r="P631" s="2468"/>
      <c r="Q631" s="2468"/>
      <c r="R631" s="2468"/>
      <c r="S631" s="2468"/>
      <c r="T631" s="2468"/>
      <c r="U631" s="2468"/>
      <c r="V631" s="2468"/>
      <c r="W631" s="2468"/>
      <c r="X631" s="2468"/>
      <c r="Y631" s="2468"/>
      <c r="Z631" s="2468"/>
      <c r="AA631" s="2468"/>
      <c r="AB631" s="2468"/>
      <c r="AC631" s="2468"/>
      <c r="AD631" s="2468"/>
      <c r="AE631" s="2468"/>
      <c r="AF631" s="2468"/>
      <c r="AG631" s="2468"/>
      <c r="AH631" s="640"/>
      <c r="AI631" s="640"/>
      <c r="AJ631" s="640"/>
      <c r="AK631" s="640"/>
      <c r="AL631" s="640"/>
      <c r="AN631" s="595"/>
    </row>
    <row r="632" spans="1:42" s="549" customFormat="1" ht="12.75" customHeight="1">
      <c r="B632" s="536"/>
      <c r="C632" s="929"/>
      <c r="D632" s="640"/>
      <c r="E632" s="2468"/>
      <c r="F632" s="2468"/>
      <c r="G632" s="2468"/>
      <c r="H632" s="2468"/>
      <c r="I632" s="2468"/>
      <c r="J632" s="2468"/>
      <c r="K632" s="2468"/>
      <c r="L632" s="2468"/>
      <c r="M632" s="2468"/>
      <c r="N632" s="2468"/>
      <c r="O632" s="2468"/>
      <c r="P632" s="2468"/>
      <c r="Q632" s="2468"/>
      <c r="R632" s="2468"/>
      <c r="S632" s="2468"/>
      <c r="T632" s="2468"/>
      <c r="U632" s="2468"/>
      <c r="V632" s="2468"/>
      <c r="W632" s="2468"/>
      <c r="X632" s="2468"/>
      <c r="Y632" s="2468"/>
      <c r="Z632" s="2468"/>
      <c r="AA632" s="2468"/>
      <c r="AB632" s="2468"/>
      <c r="AC632" s="2468"/>
      <c r="AD632" s="2468"/>
      <c r="AE632" s="2468"/>
      <c r="AF632" s="2468"/>
      <c r="AG632" s="246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6">
        <f>VLOOKUP($H$619,$AO$599:$AP$604,2,FALSE)+IF(R619=AO607,0,VLOOKUP($I$627,$AO$626:$AP$628,2,FALSE))</f>
        <v>4</v>
      </c>
      <c r="AK634" s="247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451" t="s">
        <v>1345</v>
      </c>
      <c r="AG638" s="2451"/>
      <c r="AH638" s="2451"/>
      <c r="AI638" s="2451"/>
      <c r="AJ638" s="2451"/>
      <c r="AK638" s="2451"/>
      <c r="AL638" s="2451"/>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3" t="s">
        <v>591</v>
      </c>
      <c r="Y647" s="2463"/>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1" t="s">
        <v>1399</v>
      </c>
      <c r="AG649" s="2451"/>
      <c r="AH649" s="2451"/>
      <c r="AI649" s="2451"/>
      <c r="AJ649" s="2451"/>
      <c r="AK649" s="2451"/>
      <c r="AL649" s="245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1" t="s">
        <v>686</v>
      </c>
      <c r="I651" s="253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6">
        <f>VLOOKUP($H$651,$AO$618:$AP$620,2,FALSE)</f>
        <v>3</v>
      </c>
      <c r="AK653" s="2478"/>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8" t="s">
        <v>2051</v>
      </c>
      <c r="F657" s="2468"/>
      <c r="G657" s="2468"/>
      <c r="H657" s="2468"/>
      <c r="I657" s="2468"/>
      <c r="J657" s="2468"/>
      <c r="K657" s="2468"/>
      <c r="L657" s="2468"/>
      <c r="M657" s="2468"/>
      <c r="N657" s="2468"/>
      <c r="O657" s="2468"/>
      <c r="P657" s="2468"/>
      <c r="Q657" s="2468"/>
      <c r="R657" s="2468"/>
      <c r="S657" s="2468"/>
      <c r="T657" s="2468"/>
      <c r="U657" s="2468"/>
      <c r="V657" s="2468"/>
      <c r="W657" s="2468"/>
      <c r="X657" s="2468"/>
      <c r="Y657" s="2468"/>
      <c r="Z657" s="2468"/>
      <c r="AA657" s="2468"/>
      <c r="AB657" s="2468"/>
      <c r="AC657" s="2468"/>
      <c r="AD657" s="2468"/>
      <c r="AE657" s="536"/>
      <c r="AF657" s="2451" t="s">
        <v>1345</v>
      </c>
      <c r="AG657" s="2451"/>
      <c r="AH657" s="2451"/>
      <c r="AI657" s="2451"/>
      <c r="AJ657" s="2451"/>
      <c r="AK657" s="2451"/>
      <c r="AL657" s="2451"/>
      <c r="AN657" s="595"/>
    </row>
    <row r="658" spans="1:42" s="549" customFormat="1" ht="12.75" customHeight="1">
      <c r="B658" s="536"/>
      <c r="C658" s="536"/>
      <c r="D658" s="659"/>
      <c r="E658" s="2468"/>
      <c r="F658" s="2468"/>
      <c r="G658" s="2468"/>
      <c r="H658" s="2468"/>
      <c r="I658" s="2468"/>
      <c r="J658" s="2468"/>
      <c r="K658" s="2468"/>
      <c r="L658" s="2468"/>
      <c r="M658" s="2468"/>
      <c r="N658" s="2468"/>
      <c r="O658" s="2468"/>
      <c r="P658" s="2468"/>
      <c r="Q658" s="2468"/>
      <c r="R658" s="2468"/>
      <c r="S658" s="2468"/>
      <c r="T658" s="2468"/>
      <c r="U658" s="2468"/>
      <c r="V658" s="2468"/>
      <c r="W658" s="2468"/>
      <c r="X658" s="2468"/>
      <c r="Y658" s="2468"/>
      <c r="Z658" s="2468"/>
      <c r="AA658" s="2468"/>
      <c r="AB658" s="2468"/>
      <c r="AC658" s="2468"/>
      <c r="AD658" s="246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1" t="s">
        <v>1399</v>
      </c>
      <c r="AG660" s="2451"/>
      <c r="AH660" s="2451"/>
      <c r="AI660" s="2451"/>
      <c r="AJ660" s="2451"/>
      <c r="AK660" s="2451"/>
      <c r="AL660" s="2451"/>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1" t="s">
        <v>591</v>
      </c>
      <c r="I663" s="253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6">
        <f>VLOOKUP(H663,AT618:AU620,2,FALSE)</f>
        <v>0</v>
      </c>
      <c r="AK665" s="247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8" t="s">
        <v>1409</v>
      </c>
      <c r="F670" s="2468"/>
      <c r="G670" s="2468"/>
      <c r="H670" s="2468"/>
      <c r="I670" s="2468"/>
      <c r="J670" s="2468"/>
      <c r="K670" s="2468"/>
      <c r="L670" s="2468"/>
      <c r="M670" s="2468"/>
      <c r="N670" s="2468"/>
      <c r="O670" s="2468"/>
      <c r="P670" s="2468"/>
      <c r="Q670" s="2468"/>
      <c r="R670" s="2468"/>
      <c r="S670" s="2468"/>
      <c r="T670" s="2468"/>
      <c r="U670" s="2468"/>
      <c r="V670" s="2468"/>
      <c r="W670" s="2468"/>
      <c r="X670" s="2468"/>
      <c r="Y670" s="2468"/>
      <c r="Z670" s="2468"/>
      <c r="AA670" s="2468"/>
      <c r="AB670" s="2468"/>
      <c r="AC670" s="2468"/>
      <c r="AD670" s="536"/>
      <c r="AE670" s="536"/>
      <c r="AF670" s="2451" t="s">
        <v>1370</v>
      </c>
      <c r="AG670" s="2451"/>
      <c r="AH670" s="2451"/>
      <c r="AI670" s="2451"/>
      <c r="AJ670" s="2451"/>
      <c r="AK670" s="2451"/>
      <c r="AL670" s="2451"/>
      <c r="AN670" s="595"/>
    </row>
    <row r="671" spans="1:42" s="549" customFormat="1" ht="12.75" customHeight="1">
      <c r="B671" s="536"/>
      <c r="C671" s="539"/>
      <c r="D671" s="536"/>
      <c r="E671" s="2468"/>
      <c r="F671" s="2468"/>
      <c r="G671" s="2468"/>
      <c r="H671" s="2468"/>
      <c r="I671" s="2468"/>
      <c r="J671" s="2468"/>
      <c r="K671" s="2468"/>
      <c r="L671" s="2468"/>
      <c r="M671" s="2468"/>
      <c r="N671" s="2468"/>
      <c r="O671" s="2468"/>
      <c r="P671" s="2468"/>
      <c r="Q671" s="2468"/>
      <c r="R671" s="2468"/>
      <c r="S671" s="2468"/>
      <c r="T671" s="2468"/>
      <c r="U671" s="2468"/>
      <c r="V671" s="2468"/>
      <c r="W671" s="2468"/>
      <c r="X671" s="2468"/>
      <c r="Y671" s="2468"/>
      <c r="Z671" s="2468"/>
      <c r="AA671" s="2468"/>
      <c r="AB671" s="2468"/>
      <c r="AC671" s="2468"/>
      <c r="AD671" s="536"/>
      <c r="AE671" s="536"/>
      <c r="AF671" s="536"/>
      <c r="AG671" s="536"/>
      <c r="AH671" s="536"/>
      <c r="AI671" s="536"/>
      <c r="AJ671" s="536"/>
      <c r="AK671" s="536"/>
      <c r="AL671" s="536"/>
      <c r="AN671" s="595"/>
    </row>
    <row r="672" spans="1:42" s="549" customFormat="1" ht="12.75" customHeight="1">
      <c r="B672" s="536"/>
      <c r="C672" s="539"/>
      <c r="D672" s="659"/>
      <c r="E672" s="2468"/>
      <c r="F672" s="2468"/>
      <c r="G672" s="2468"/>
      <c r="H672" s="2468"/>
      <c r="I672" s="2468"/>
      <c r="J672" s="2468"/>
      <c r="K672" s="2468"/>
      <c r="L672" s="2468"/>
      <c r="M672" s="2468"/>
      <c r="N672" s="2468"/>
      <c r="O672" s="2468"/>
      <c r="P672" s="2468"/>
      <c r="Q672" s="2468"/>
      <c r="R672" s="2468"/>
      <c r="S672" s="2468"/>
      <c r="T672" s="2468"/>
      <c r="U672" s="2468"/>
      <c r="V672" s="2468"/>
      <c r="W672" s="2468"/>
      <c r="X672" s="2468"/>
      <c r="Y672" s="2468"/>
      <c r="Z672" s="2468"/>
      <c r="AA672" s="2468"/>
      <c r="AB672" s="2468"/>
      <c r="AC672" s="246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8" t="s">
        <v>1410</v>
      </c>
      <c r="F674" s="2468"/>
      <c r="G674" s="2468"/>
      <c r="H674" s="2468"/>
      <c r="I674" s="2468"/>
      <c r="J674" s="2468"/>
      <c r="K674" s="2468"/>
      <c r="L674" s="2468"/>
      <c r="M674" s="2468"/>
      <c r="N674" s="2468"/>
      <c r="O674" s="2468"/>
      <c r="P674" s="2468"/>
      <c r="Q674" s="2468"/>
      <c r="R674" s="2468"/>
      <c r="S674" s="2468"/>
      <c r="T674" s="2468"/>
      <c r="U674" s="2468"/>
      <c r="V674" s="2468"/>
      <c r="W674" s="2468"/>
      <c r="X674" s="2468"/>
      <c r="Y674" s="2468"/>
      <c r="Z674" s="2468"/>
      <c r="AA674" s="2468"/>
      <c r="AB674" s="2468"/>
      <c r="AC674" s="2468"/>
      <c r="AD674" s="536"/>
      <c r="AE674" s="536"/>
      <c r="AF674" s="2451" t="s">
        <v>1390</v>
      </c>
      <c r="AG674" s="2451"/>
      <c r="AH674" s="2451"/>
      <c r="AI674" s="2451"/>
      <c r="AJ674" s="2451"/>
      <c r="AK674" s="2451"/>
      <c r="AL674" s="2451"/>
      <c r="AN674" s="595"/>
    </row>
    <row r="675" spans="1:42" s="549" customFormat="1" ht="12.75" customHeight="1">
      <c r="B675" s="536"/>
      <c r="C675" s="539"/>
      <c r="D675" s="536"/>
      <c r="E675" s="2468"/>
      <c r="F675" s="2468"/>
      <c r="G675" s="2468"/>
      <c r="H675" s="2468"/>
      <c r="I675" s="2468"/>
      <c r="J675" s="2468"/>
      <c r="K675" s="2468"/>
      <c r="L675" s="2468"/>
      <c r="M675" s="2468"/>
      <c r="N675" s="2468"/>
      <c r="O675" s="2468"/>
      <c r="P675" s="2468"/>
      <c r="Q675" s="2468"/>
      <c r="R675" s="2468"/>
      <c r="S675" s="2468"/>
      <c r="T675" s="2468"/>
      <c r="U675" s="2468"/>
      <c r="V675" s="2468"/>
      <c r="W675" s="2468"/>
      <c r="X675" s="2468"/>
      <c r="Y675" s="2468"/>
      <c r="Z675" s="2468"/>
      <c r="AA675" s="2468"/>
      <c r="AB675" s="2468"/>
      <c r="AC675" s="2468"/>
      <c r="AD675" s="536"/>
      <c r="AE675" s="536"/>
      <c r="AF675" s="536"/>
      <c r="AG675" s="536"/>
      <c r="AH675" s="536"/>
      <c r="AI675" s="536"/>
      <c r="AJ675" s="536"/>
      <c r="AK675" s="536"/>
      <c r="AL675" s="536"/>
      <c r="AN675" s="595"/>
    </row>
    <row r="676" spans="1:42" s="549" customFormat="1" ht="15" customHeight="1">
      <c r="B676" s="536"/>
      <c r="C676" s="539"/>
      <c r="D676" s="659"/>
      <c r="E676" s="2468"/>
      <c r="F676" s="2468"/>
      <c r="G676" s="2468"/>
      <c r="H676" s="2468"/>
      <c r="I676" s="2468"/>
      <c r="J676" s="2468"/>
      <c r="K676" s="2468"/>
      <c r="L676" s="2468"/>
      <c r="M676" s="2468"/>
      <c r="N676" s="2468"/>
      <c r="O676" s="2468"/>
      <c r="P676" s="2468"/>
      <c r="Q676" s="2468"/>
      <c r="R676" s="2468"/>
      <c r="S676" s="2468"/>
      <c r="T676" s="2468"/>
      <c r="U676" s="2468"/>
      <c r="V676" s="2468"/>
      <c r="W676" s="2468"/>
      <c r="X676" s="2468"/>
      <c r="Y676" s="2468"/>
      <c r="Z676" s="2468"/>
      <c r="AA676" s="2468"/>
      <c r="AB676" s="2468"/>
      <c r="AC676" s="246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8" t="s">
        <v>1411</v>
      </c>
      <c r="F678" s="2468"/>
      <c r="G678" s="2468"/>
      <c r="H678" s="2468"/>
      <c r="I678" s="2468"/>
      <c r="J678" s="2468"/>
      <c r="K678" s="2468"/>
      <c r="L678" s="2468"/>
      <c r="M678" s="2468"/>
      <c r="N678" s="2468"/>
      <c r="O678" s="2468"/>
      <c r="P678" s="2468"/>
      <c r="Q678" s="2468"/>
      <c r="R678" s="2468"/>
      <c r="S678" s="2468"/>
      <c r="T678" s="2468"/>
      <c r="U678" s="2468"/>
      <c r="V678" s="2468"/>
      <c r="W678" s="2468"/>
      <c r="X678" s="2468"/>
      <c r="Y678" s="2468"/>
      <c r="Z678" s="2468"/>
      <c r="AA678" s="2468"/>
      <c r="AB678" s="2468"/>
      <c r="AC678" s="2468"/>
      <c r="AD678" s="536"/>
      <c r="AE678" s="536"/>
      <c r="AF678" s="2451" t="s">
        <v>1345</v>
      </c>
      <c r="AG678" s="2451"/>
      <c r="AH678" s="2451"/>
      <c r="AI678" s="2451"/>
      <c r="AJ678" s="2451"/>
      <c r="AK678" s="2451"/>
      <c r="AL678" s="2451"/>
      <c r="AN678" s="595"/>
    </row>
    <row r="679" spans="1:42" s="549" customFormat="1" ht="12.75" customHeight="1">
      <c r="B679" s="536"/>
      <c r="C679" s="927"/>
      <c r="D679" s="536"/>
      <c r="E679" s="2468"/>
      <c r="F679" s="2468"/>
      <c r="G679" s="2468"/>
      <c r="H679" s="2468"/>
      <c r="I679" s="2468"/>
      <c r="J679" s="2468"/>
      <c r="K679" s="2468"/>
      <c r="L679" s="2468"/>
      <c r="M679" s="2468"/>
      <c r="N679" s="2468"/>
      <c r="O679" s="2468"/>
      <c r="P679" s="2468"/>
      <c r="Q679" s="2468"/>
      <c r="R679" s="2468"/>
      <c r="S679" s="2468"/>
      <c r="T679" s="2468"/>
      <c r="U679" s="2468"/>
      <c r="V679" s="2468"/>
      <c r="W679" s="2468"/>
      <c r="X679" s="2468"/>
      <c r="Y679" s="2468"/>
      <c r="Z679" s="2468"/>
      <c r="AA679" s="2468"/>
      <c r="AB679" s="2468"/>
      <c r="AC679" s="2468"/>
      <c r="AD679" s="536"/>
      <c r="AE679" s="2451"/>
      <c r="AF679" s="2451"/>
      <c r="AG679" s="2451"/>
      <c r="AH679" s="2451"/>
      <c r="AI679" s="2451"/>
      <c r="AJ679" s="2451"/>
      <c r="AK679" s="2451"/>
      <c r="AL679" s="592"/>
      <c r="AN679" s="595"/>
      <c r="AO679" s="549" t="s">
        <v>591</v>
      </c>
      <c r="AP679" s="669">
        <v>0</v>
      </c>
    </row>
    <row r="680" spans="1:42" s="549" customFormat="1" ht="12.75" customHeight="1">
      <c r="A680" s="675"/>
      <c r="B680" s="536"/>
      <c r="C680" s="536"/>
      <c r="D680" s="659"/>
      <c r="E680" s="2468"/>
      <c r="F680" s="2468"/>
      <c r="G680" s="2468"/>
      <c r="H680" s="2468"/>
      <c r="I680" s="2468"/>
      <c r="J680" s="2468"/>
      <c r="K680" s="2468"/>
      <c r="L680" s="2468"/>
      <c r="M680" s="2468"/>
      <c r="N680" s="2468"/>
      <c r="O680" s="2468"/>
      <c r="P680" s="2468"/>
      <c r="Q680" s="2468"/>
      <c r="R680" s="2468"/>
      <c r="S680" s="2468"/>
      <c r="T680" s="2468"/>
      <c r="U680" s="2468"/>
      <c r="V680" s="2468"/>
      <c r="W680" s="2468"/>
      <c r="X680" s="2468"/>
      <c r="Y680" s="2468"/>
      <c r="Z680" s="2468"/>
      <c r="AA680" s="2468"/>
      <c r="AB680" s="2468"/>
      <c r="AC680" s="246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468" t="s">
        <v>1412</v>
      </c>
      <c r="F682" s="2468"/>
      <c r="G682" s="2468"/>
      <c r="H682" s="2468"/>
      <c r="I682" s="2468"/>
      <c r="J682" s="2468"/>
      <c r="K682" s="2468"/>
      <c r="L682" s="2468"/>
      <c r="M682" s="2468"/>
      <c r="N682" s="2468"/>
      <c r="O682" s="2468"/>
      <c r="P682" s="2468"/>
      <c r="Q682" s="2468"/>
      <c r="R682" s="2468"/>
      <c r="S682" s="2468"/>
      <c r="T682" s="2468"/>
      <c r="U682" s="2468"/>
      <c r="V682" s="2468"/>
      <c r="W682" s="2468"/>
      <c r="X682" s="2468"/>
      <c r="Y682" s="2468"/>
      <c r="Z682" s="2468"/>
      <c r="AA682" s="2468"/>
      <c r="AB682" s="2468"/>
      <c r="AC682" s="2468"/>
      <c r="AD682" s="536"/>
      <c r="AE682" s="536"/>
      <c r="AF682" s="2451" t="s">
        <v>1390</v>
      </c>
      <c r="AG682" s="2451"/>
      <c r="AH682" s="2451"/>
      <c r="AI682" s="2451"/>
      <c r="AJ682" s="2451"/>
      <c r="AK682" s="2451"/>
      <c r="AL682" s="2451"/>
      <c r="AN682" s="595"/>
    </row>
    <row r="683" spans="1:42" s="549" customFormat="1" ht="12.75" customHeight="1">
      <c r="A683" s="666"/>
      <c r="B683" s="536"/>
      <c r="C683" s="943"/>
      <c r="D683" s="659"/>
      <c r="E683" s="2468"/>
      <c r="F683" s="2468"/>
      <c r="G683" s="2468"/>
      <c r="H683" s="2468"/>
      <c r="I683" s="2468"/>
      <c r="J683" s="2468"/>
      <c r="K683" s="2468"/>
      <c r="L683" s="2468"/>
      <c r="M683" s="2468"/>
      <c r="N683" s="2468"/>
      <c r="O683" s="2468"/>
      <c r="P683" s="2468"/>
      <c r="Q683" s="2468"/>
      <c r="R683" s="2468"/>
      <c r="S683" s="2468"/>
      <c r="T683" s="2468"/>
      <c r="U683" s="2468"/>
      <c r="V683" s="2468"/>
      <c r="W683" s="2468"/>
      <c r="X683" s="2468"/>
      <c r="Y683" s="2468"/>
      <c r="Z683" s="2468"/>
      <c r="AA683" s="2468"/>
      <c r="AB683" s="2468"/>
      <c r="AC683" s="246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8"/>
      <c r="F684" s="2468"/>
      <c r="G684" s="2468"/>
      <c r="H684" s="2468"/>
      <c r="I684" s="2468"/>
      <c r="J684" s="2468"/>
      <c r="K684" s="2468"/>
      <c r="L684" s="2468"/>
      <c r="M684" s="2468"/>
      <c r="N684" s="2468"/>
      <c r="O684" s="2468"/>
      <c r="P684" s="2468"/>
      <c r="Q684" s="2468"/>
      <c r="R684" s="2468"/>
      <c r="S684" s="2468"/>
      <c r="T684" s="2468"/>
      <c r="U684" s="2468"/>
      <c r="V684" s="2468"/>
      <c r="W684" s="2468"/>
      <c r="X684" s="2468"/>
      <c r="Y684" s="2468"/>
      <c r="Z684" s="2468"/>
      <c r="AA684" s="2468"/>
      <c r="AB684" s="2468"/>
      <c r="AC684" s="246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8" t="s">
        <v>1413</v>
      </c>
      <c r="F686" s="2468"/>
      <c r="G686" s="2468"/>
      <c r="H686" s="2468"/>
      <c r="I686" s="2468"/>
      <c r="J686" s="2468"/>
      <c r="K686" s="2468"/>
      <c r="L686" s="2468"/>
      <c r="M686" s="2468"/>
      <c r="N686" s="2468"/>
      <c r="O686" s="2468"/>
      <c r="P686" s="2468"/>
      <c r="Q686" s="2468"/>
      <c r="R686" s="2468"/>
      <c r="S686" s="2468"/>
      <c r="T686" s="2468"/>
      <c r="U686" s="2468"/>
      <c r="V686" s="2468"/>
      <c r="W686" s="2468"/>
      <c r="X686" s="2468"/>
      <c r="Y686" s="2468"/>
      <c r="Z686" s="2468"/>
      <c r="AA686" s="2468"/>
      <c r="AB686" s="2468"/>
      <c r="AC686" s="2468"/>
      <c r="AD686" s="536"/>
      <c r="AE686" s="536"/>
      <c r="AF686" s="2451" t="s">
        <v>1345</v>
      </c>
      <c r="AG686" s="2451"/>
      <c r="AH686" s="2451"/>
      <c r="AI686" s="2451"/>
      <c r="AJ686" s="2451"/>
      <c r="AK686" s="2451"/>
      <c r="AL686" s="2451"/>
      <c r="AM686" s="594"/>
      <c r="AN686" s="595"/>
    </row>
    <row r="687" spans="1:42" s="549" customFormat="1" ht="12.75" customHeight="1">
      <c r="B687" s="536"/>
      <c r="C687" s="927"/>
      <c r="D687" s="659"/>
      <c r="E687" s="2468"/>
      <c r="F687" s="2468"/>
      <c r="G687" s="2468"/>
      <c r="H687" s="2468"/>
      <c r="I687" s="2468"/>
      <c r="J687" s="2468"/>
      <c r="K687" s="2468"/>
      <c r="L687" s="2468"/>
      <c r="M687" s="2468"/>
      <c r="N687" s="2468"/>
      <c r="O687" s="2468"/>
      <c r="P687" s="2468"/>
      <c r="Q687" s="2468"/>
      <c r="R687" s="2468"/>
      <c r="S687" s="2468"/>
      <c r="T687" s="2468"/>
      <c r="U687" s="2468"/>
      <c r="V687" s="2468"/>
      <c r="W687" s="2468"/>
      <c r="X687" s="2468"/>
      <c r="Y687" s="2468"/>
      <c r="Z687" s="2468"/>
      <c r="AA687" s="2468"/>
      <c r="AB687" s="2468"/>
      <c r="AC687" s="2468"/>
      <c r="AD687" s="536"/>
      <c r="AE687" s="536"/>
      <c r="AF687" s="536"/>
      <c r="AG687" s="536"/>
      <c r="AH687" s="536"/>
      <c r="AI687" s="536"/>
      <c r="AJ687" s="536"/>
      <c r="AK687" s="536"/>
      <c r="AL687" s="536"/>
      <c r="AM687" s="594"/>
      <c r="AN687" s="595"/>
    </row>
    <row r="688" spans="1:42" s="549" customFormat="1" ht="12.75" customHeight="1">
      <c r="B688" s="536"/>
      <c r="C688" s="927"/>
      <c r="D688" s="659"/>
      <c r="E688" s="2468"/>
      <c r="F688" s="2468"/>
      <c r="G688" s="2468"/>
      <c r="H688" s="2468"/>
      <c r="I688" s="2468"/>
      <c r="J688" s="2468"/>
      <c r="K688" s="2468"/>
      <c r="L688" s="2468"/>
      <c r="M688" s="2468"/>
      <c r="N688" s="2468"/>
      <c r="O688" s="2468"/>
      <c r="P688" s="2468"/>
      <c r="Q688" s="2468"/>
      <c r="R688" s="2468"/>
      <c r="S688" s="2468"/>
      <c r="T688" s="2468"/>
      <c r="U688" s="2468"/>
      <c r="V688" s="2468"/>
      <c r="W688" s="2468"/>
      <c r="X688" s="2468"/>
      <c r="Y688" s="2468"/>
      <c r="Z688" s="2468"/>
      <c r="AA688" s="2468"/>
      <c r="AB688" s="2468"/>
      <c r="AC688" s="246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8" t="s">
        <v>1414</v>
      </c>
      <c r="F690" s="2468"/>
      <c r="G690" s="2468"/>
      <c r="H690" s="2468"/>
      <c r="I690" s="2468"/>
      <c r="J690" s="2468"/>
      <c r="K690" s="2468"/>
      <c r="L690" s="2468"/>
      <c r="M690" s="2468"/>
      <c r="N690" s="2468"/>
      <c r="O690" s="2468"/>
      <c r="P690" s="2468"/>
      <c r="Q690" s="2468"/>
      <c r="R690" s="2468"/>
      <c r="S690" s="2468"/>
      <c r="T690" s="2468"/>
      <c r="U690" s="2468"/>
      <c r="V690" s="2468"/>
      <c r="W690" s="2468"/>
      <c r="X690" s="2468"/>
      <c r="Y690" s="2468"/>
      <c r="Z690" s="2468"/>
      <c r="AA690" s="2468"/>
      <c r="AB690" s="2468"/>
      <c r="AC690" s="2468"/>
      <c r="AD690" s="536"/>
      <c r="AE690" s="536"/>
      <c r="AF690" s="2451" t="s">
        <v>1399</v>
      </c>
      <c r="AG690" s="2451"/>
      <c r="AH690" s="2451"/>
      <c r="AI690" s="2451"/>
      <c r="AJ690" s="2451"/>
      <c r="AK690" s="2451"/>
      <c r="AL690" s="2451"/>
      <c r="AM690" s="594"/>
      <c r="AN690" s="595"/>
    </row>
    <row r="691" spans="1:50" s="549" customFormat="1" ht="12.75" customHeight="1">
      <c r="A691" s="675"/>
      <c r="B691" s="536"/>
      <c r="C691" s="927"/>
      <c r="D691" s="659"/>
      <c r="E691" s="2468"/>
      <c r="F691" s="2468"/>
      <c r="G691" s="2468"/>
      <c r="H691" s="2468"/>
      <c r="I691" s="2468"/>
      <c r="J691" s="2468"/>
      <c r="K691" s="2468"/>
      <c r="L691" s="2468"/>
      <c r="M691" s="2468"/>
      <c r="N691" s="2468"/>
      <c r="O691" s="2468"/>
      <c r="P691" s="2468"/>
      <c r="Q691" s="2468"/>
      <c r="R691" s="2468"/>
      <c r="S691" s="2468"/>
      <c r="T691" s="2468"/>
      <c r="U691" s="2468"/>
      <c r="V691" s="2468"/>
      <c r="W691" s="2468"/>
      <c r="X691" s="2468"/>
      <c r="Y691" s="2468"/>
      <c r="Z691" s="2468"/>
      <c r="AA691" s="2468"/>
      <c r="AB691" s="2468"/>
      <c r="AC691" s="246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8"/>
      <c r="F692" s="2468"/>
      <c r="G692" s="2468"/>
      <c r="H692" s="2468"/>
      <c r="I692" s="2468"/>
      <c r="J692" s="2468"/>
      <c r="K692" s="2468"/>
      <c r="L692" s="2468"/>
      <c r="M692" s="2468"/>
      <c r="N692" s="2468"/>
      <c r="O692" s="2468"/>
      <c r="P692" s="2468"/>
      <c r="Q692" s="2468"/>
      <c r="R692" s="2468"/>
      <c r="S692" s="2468"/>
      <c r="T692" s="2468"/>
      <c r="U692" s="2468"/>
      <c r="V692" s="2468"/>
      <c r="W692" s="2468"/>
      <c r="X692" s="2468"/>
      <c r="Y692" s="2468"/>
      <c r="Z692" s="2468"/>
      <c r="AA692" s="2468"/>
      <c r="AB692" s="2468"/>
      <c r="AC692" s="246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468" t="s">
        <v>1415</v>
      </c>
      <c r="F694" s="2468"/>
      <c r="G694" s="2468"/>
      <c r="H694" s="2468"/>
      <c r="I694" s="2468"/>
      <c r="J694" s="2468"/>
      <c r="K694" s="2468"/>
      <c r="L694" s="2468"/>
      <c r="M694" s="2468"/>
      <c r="N694" s="2468"/>
      <c r="O694" s="2468"/>
      <c r="P694" s="2468"/>
      <c r="Q694" s="2468"/>
      <c r="R694" s="2468"/>
      <c r="S694" s="2468"/>
      <c r="T694" s="2468"/>
      <c r="U694" s="2468"/>
      <c r="V694" s="2468"/>
      <c r="W694" s="2468"/>
      <c r="X694" s="2468"/>
      <c r="Y694" s="2468"/>
      <c r="Z694" s="2468"/>
      <c r="AA694" s="2468"/>
      <c r="AB694" s="2468"/>
      <c r="AC694" s="2468"/>
      <c r="AD694" s="536"/>
      <c r="AE694" s="536"/>
      <c r="AF694" s="2451" t="s">
        <v>1416</v>
      </c>
      <c r="AG694" s="2451"/>
      <c r="AH694" s="2451"/>
      <c r="AI694" s="2451"/>
      <c r="AJ694" s="2451"/>
      <c r="AK694" s="2451"/>
      <c r="AL694" s="2451"/>
      <c r="AM694" s="594"/>
      <c r="AN694" s="595"/>
      <c r="AO694" s="609" t="s">
        <v>686</v>
      </c>
      <c r="AP694" s="549">
        <v>3</v>
      </c>
    </row>
    <row r="695" spans="1:50" s="549" customFormat="1" ht="12.75" customHeight="1">
      <c r="A695" s="675"/>
      <c r="B695" s="536"/>
      <c r="C695" s="927"/>
      <c r="D695" s="659"/>
      <c r="E695" s="2468"/>
      <c r="F695" s="2468"/>
      <c r="G695" s="2468"/>
      <c r="H695" s="2468"/>
      <c r="I695" s="2468"/>
      <c r="J695" s="2468"/>
      <c r="K695" s="2468"/>
      <c r="L695" s="2468"/>
      <c r="M695" s="2468"/>
      <c r="N695" s="2468"/>
      <c r="O695" s="2468"/>
      <c r="P695" s="2468"/>
      <c r="Q695" s="2468"/>
      <c r="R695" s="2468"/>
      <c r="S695" s="2468"/>
      <c r="T695" s="2468"/>
      <c r="U695" s="2468"/>
      <c r="V695" s="2468"/>
      <c r="W695" s="2468"/>
      <c r="X695" s="2468"/>
      <c r="Y695" s="2468"/>
      <c r="Z695" s="2468"/>
      <c r="AA695" s="2468"/>
      <c r="AB695" s="2468"/>
      <c r="AC695" s="246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8"/>
      <c r="F696" s="2468"/>
      <c r="G696" s="2468"/>
      <c r="H696" s="2468"/>
      <c r="I696" s="2468"/>
      <c r="J696" s="2468"/>
      <c r="K696" s="2468"/>
      <c r="L696" s="2468"/>
      <c r="M696" s="2468"/>
      <c r="N696" s="2468"/>
      <c r="O696" s="2468"/>
      <c r="P696" s="2468"/>
      <c r="Q696" s="2468"/>
      <c r="R696" s="2468"/>
      <c r="S696" s="2468"/>
      <c r="T696" s="2468"/>
      <c r="U696" s="2468"/>
      <c r="V696" s="2468"/>
      <c r="W696" s="2468"/>
      <c r="X696" s="2468"/>
      <c r="Y696" s="2468"/>
      <c r="Z696" s="2468"/>
      <c r="AA696" s="2468"/>
      <c r="AB696" s="2468"/>
      <c r="AC696" s="246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1" t="s">
        <v>1389</v>
      </c>
      <c r="I698" s="253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6">
        <f>VLOOKUP($H$698,$AO$646:$AP$653,2,FALSE)</f>
        <v>3</v>
      </c>
      <c r="AK700" s="247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95</v>
      </c>
    </row>
    <row r="704" spans="1:50" s="549" customFormat="1" ht="12.75" customHeight="1">
      <c r="A704" s="675"/>
      <c r="B704" s="536"/>
      <c r="C704" s="944"/>
      <c r="D704" s="659" t="s">
        <v>686</v>
      </c>
      <c r="E704" s="2538" t="s">
        <v>2142</v>
      </c>
      <c r="F704" s="2538"/>
      <c r="G704" s="2538"/>
      <c r="H704" s="2538"/>
      <c r="I704" s="2538"/>
      <c r="J704" s="2538"/>
      <c r="K704" s="2538"/>
      <c r="L704" s="2538"/>
      <c r="M704" s="2538"/>
      <c r="N704" s="2538"/>
      <c r="O704" s="2538"/>
      <c r="P704" s="2538"/>
      <c r="Q704" s="2538"/>
      <c r="R704" s="2538"/>
      <c r="S704" s="2538"/>
      <c r="T704" s="2538"/>
      <c r="U704" s="2538"/>
      <c r="V704" s="2538"/>
      <c r="W704" s="2538"/>
      <c r="X704" s="2538"/>
      <c r="Y704" s="2538"/>
      <c r="Z704" s="2538"/>
      <c r="AA704" s="2538"/>
      <c r="AB704" s="2538"/>
      <c r="AC704" s="536"/>
      <c r="AD704" s="536"/>
      <c r="AE704" s="536"/>
      <c r="AF704" s="2451" t="s">
        <v>1345</v>
      </c>
      <c r="AG704" s="2451"/>
      <c r="AH704" s="2451"/>
      <c r="AI704" s="2451"/>
      <c r="AJ704" s="2451"/>
      <c r="AK704" s="2451"/>
      <c r="AL704" s="2451"/>
      <c r="AN704" s="595"/>
      <c r="AW704" s="22" t="s">
        <v>2137</v>
      </c>
      <c r="AX704" s="549">
        <f>Application!DE761</f>
        <v>61</v>
      </c>
    </row>
    <row r="705" spans="1:51" s="549" customFormat="1" ht="12.75" customHeight="1">
      <c r="A705" s="675"/>
      <c r="B705" s="536"/>
      <c r="C705" s="944"/>
      <c r="D705" s="659"/>
      <c r="E705" s="2538"/>
      <c r="F705" s="2538"/>
      <c r="G705" s="2538"/>
      <c r="H705" s="2538"/>
      <c r="I705" s="2538"/>
      <c r="J705" s="2538"/>
      <c r="K705" s="2538"/>
      <c r="L705" s="2538"/>
      <c r="M705" s="2538"/>
      <c r="N705" s="2538"/>
      <c r="O705" s="2538"/>
      <c r="P705" s="2538"/>
      <c r="Q705" s="2538"/>
      <c r="R705" s="2538"/>
      <c r="S705" s="2538"/>
      <c r="T705" s="2538"/>
      <c r="U705" s="2538"/>
      <c r="V705" s="2538"/>
      <c r="W705" s="2538"/>
      <c r="X705" s="2538"/>
      <c r="Y705" s="2538"/>
      <c r="Z705" s="2538"/>
      <c r="AA705" s="2538"/>
      <c r="AB705" s="2538"/>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2468" t="s">
        <v>2087</v>
      </c>
      <c r="F707" s="2468"/>
      <c r="G707" s="2468"/>
      <c r="H707" s="2468"/>
      <c r="I707" s="2468"/>
      <c r="J707" s="2468"/>
      <c r="K707" s="2468"/>
      <c r="L707" s="2468"/>
      <c r="M707" s="2468"/>
      <c r="N707" s="2468"/>
      <c r="O707" s="2468"/>
      <c r="P707" s="2468"/>
      <c r="Q707" s="2468"/>
      <c r="R707" s="2468"/>
      <c r="S707" s="2468"/>
      <c r="T707" s="2468"/>
      <c r="U707" s="2468"/>
      <c r="V707" s="2468"/>
      <c r="W707" s="2468"/>
      <c r="X707" s="2468"/>
      <c r="Y707" s="2468"/>
      <c r="Z707" s="2468"/>
      <c r="AA707" s="2468"/>
      <c r="AB707" s="2468"/>
      <c r="AC707" s="536"/>
      <c r="AD707" s="536"/>
      <c r="AE707" s="536"/>
      <c r="AF707" s="2451" t="s">
        <v>1345</v>
      </c>
      <c r="AG707" s="2451"/>
      <c r="AH707" s="2451"/>
      <c r="AI707" s="2451"/>
      <c r="AJ707" s="2451"/>
      <c r="AK707" s="2451"/>
      <c r="AL707" s="2451"/>
      <c r="AN707" s="595"/>
      <c r="AW707" s="22" t="s">
        <v>2140</v>
      </c>
      <c r="AX707" s="549">
        <f>AX704+AX705+AX706</f>
        <v>61</v>
      </c>
    </row>
    <row r="708" spans="1:51" s="549" customFormat="1" ht="12.75" customHeight="1">
      <c r="B708" s="536"/>
      <c r="C708" s="936"/>
      <c r="D708" s="659"/>
      <c r="E708" s="2468"/>
      <c r="F708" s="2468"/>
      <c r="G708" s="2468"/>
      <c r="H708" s="2468"/>
      <c r="I708" s="2468"/>
      <c r="J708" s="2468"/>
      <c r="K708" s="2468"/>
      <c r="L708" s="2468"/>
      <c r="M708" s="2468"/>
      <c r="N708" s="2468"/>
      <c r="O708" s="2468"/>
      <c r="P708" s="2468"/>
      <c r="Q708" s="2468"/>
      <c r="R708" s="2468"/>
      <c r="S708" s="2468"/>
      <c r="T708" s="2468"/>
      <c r="U708" s="2468"/>
      <c r="V708" s="2468"/>
      <c r="W708" s="2468"/>
      <c r="X708" s="2468"/>
      <c r="Y708" s="2468"/>
      <c r="Z708" s="2468"/>
      <c r="AA708" s="2468"/>
      <c r="AB708" s="2468"/>
      <c r="AC708" s="536"/>
      <c r="AD708" s="536"/>
      <c r="AE708" s="614"/>
      <c r="AF708" s="536"/>
      <c r="AG708" s="536"/>
      <c r="AH708" s="536"/>
      <c r="AI708" s="536"/>
      <c r="AJ708" s="536"/>
      <c r="AK708" s="536"/>
      <c r="AL708" s="536"/>
      <c r="AN708" s="595"/>
      <c r="AO708" s="2537" t="b">
        <f>IF(Application!D211="Special Needs",IF(AY708&gt;=0.25,TRUE,FALSE),IF(AX708&gt;=0.25,TRUE,FALSE))</f>
        <v>1</v>
      </c>
      <c r="AP708" s="2537"/>
      <c r="AW708" s="22" t="s">
        <v>2141</v>
      </c>
      <c r="AX708" s="549">
        <f>IFERROR(AX707/AX703,0)</f>
        <v>0.64210526315789473</v>
      </c>
      <c r="AY708" s="549">
        <f>IFERROR(AX707/(AX703-AX702),0)</f>
        <v>0.64210526315789473</v>
      </c>
    </row>
    <row r="709" spans="1:51" s="549" customFormat="1" ht="12.75" customHeight="1">
      <c r="B709" s="536"/>
      <c r="C709" s="936"/>
      <c r="E709" s="2468"/>
      <c r="F709" s="2468"/>
      <c r="G709" s="2468"/>
      <c r="H709" s="2468"/>
      <c r="I709" s="2468"/>
      <c r="J709" s="2468"/>
      <c r="K709" s="2468"/>
      <c r="L709" s="2468"/>
      <c r="M709" s="2468"/>
      <c r="N709" s="2468"/>
      <c r="O709" s="2468"/>
      <c r="P709" s="2468"/>
      <c r="Q709" s="2468"/>
      <c r="R709" s="2468"/>
      <c r="S709" s="2468"/>
      <c r="T709" s="2468"/>
      <c r="U709" s="2468"/>
      <c r="V709" s="2468"/>
      <c r="W709" s="2468"/>
      <c r="X709" s="2468"/>
      <c r="Y709" s="2468"/>
      <c r="Z709" s="2468"/>
      <c r="AA709" s="2468"/>
      <c r="AB709" s="2468"/>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8"/>
      <c r="F710" s="2468"/>
      <c r="G710" s="2468"/>
      <c r="H710" s="2468"/>
      <c r="I710" s="2468"/>
      <c r="J710" s="2468"/>
      <c r="K710" s="2468"/>
      <c r="L710" s="2468"/>
      <c r="M710" s="2468"/>
      <c r="N710" s="2468"/>
      <c r="O710" s="2468"/>
      <c r="P710" s="2468"/>
      <c r="Q710" s="2468"/>
      <c r="R710" s="2468"/>
      <c r="S710" s="2468"/>
      <c r="T710" s="2468"/>
      <c r="U710" s="2468"/>
      <c r="V710" s="2468"/>
      <c r="W710" s="2468"/>
      <c r="X710" s="2468"/>
      <c r="Y710" s="2468"/>
      <c r="Z710" s="2468"/>
      <c r="AA710" s="2468"/>
      <c r="AB710" s="246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68" t="s">
        <v>2088</v>
      </c>
      <c r="F712" s="2468"/>
      <c r="G712" s="2468"/>
      <c r="H712" s="2468"/>
      <c r="I712" s="2468"/>
      <c r="J712" s="2468"/>
      <c r="K712" s="2468"/>
      <c r="L712" s="2468"/>
      <c r="M712" s="2468"/>
      <c r="N712" s="2468"/>
      <c r="O712" s="2468"/>
      <c r="P712" s="2468"/>
      <c r="Q712" s="2468"/>
      <c r="R712" s="2468"/>
      <c r="S712" s="2468"/>
      <c r="T712" s="2468"/>
      <c r="U712" s="2468"/>
      <c r="V712" s="2468"/>
      <c r="W712" s="2468"/>
      <c r="X712" s="2468"/>
      <c r="Y712" s="2468"/>
      <c r="Z712" s="2468"/>
      <c r="AA712" s="2468"/>
      <c r="AB712" s="2468"/>
      <c r="AC712" s="536"/>
      <c r="AD712" s="536"/>
      <c r="AE712" s="536"/>
      <c r="AF712" s="2451" t="s">
        <v>1399</v>
      </c>
      <c r="AG712" s="2451"/>
      <c r="AH712" s="2451"/>
      <c r="AI712" s="2451"/>
      <c r="AJ712" s="2451"/>
      <c r="AK712" s="2451"/>
      <c r="AL712" s="2451"/>
      <c r="AN712" s="595"/>
      <c r="AO712" s="609" t="s">
        <v>509</v>
      </c>
      <c r="AP712" s="549">
        <v>1</v>
      </c>
    </row>
    <row r="713" spans="1:51" s="549" customFormat="1" ht="12" customHeight="1">
      <c r="B713" s="536"/>
      <c r="C713" s="927"/>
      <c r="E713" s="2468"/>
      <c r="F713" s="2468"/>
      <c r="G713" s="2468"/>
      <c r="H713" s="2468"/>
      <c r="I713" s="2468"/>
      <c r="J713" s="2468"/>
      <c r="K713" s="2468"/>
      <c r="L713" s="2468"/>
      <c r="M713" s="2468"/>
      <c r="N713" s="2468"/>
      <c r="O713" s="2468"/>
      <c r="P713" s="2468"/>
      <c r="Q713" s="2468"/>
      <c r="R713" s="2468"/>
      <c r="S713" s="2468"/>
      <c r="T713" s="2468"/>
      <c r="U713" s="2468"/>
      <c r="V713" s="2468"/>
      <c r="W713" s="2468"/>
      <c r="X713" s="2468"/>
      <c r="Y713" s="2468"/>
      <c r="Z713" s="2468"/>
      <c r="AA713" s="2468"/>
      <c r="AB713" s="2468"/>
      <c r="AC713" s="536"/>
      <c r="AD713" s="536"/>
      <c r="AE713" s="614"/>
      <c r="AF713" s="536"/>
      <c r="AG713" s="536"/>
      <c r="AH713" s="536"/>
      <c r="AI713" s="536"/>
      <c r="AJ713" s="536"/>
      <c r="AK713" s="536"/>
      <c r="AL713" s="536"/>
      <c r="AN713" s="595"/>
    </row>
    <row r="714" spans="1:51" s="549" customFormat="1" ht="12" customHeight="1">
      <c r="B714" s="536"/>
      <c r="C714" s="927"/>
      <c r="D714" s="536"/>
      <c r="E714" s="2468"/>
      <c r="F714" s="2468"/>
      <c r="G714" s="2468"/>
      <c r="H714" s="2468"/>
      <c r="I714" s="2468"/>
      <c r="J714" s="2468"/>
      <c r="K714" s="2468"/>
      <c r="L714" s="2468"/>
      <c r="M714" s="2468"/>
      <c r="N714" s="2468"/>
      <c r="O714" s="2468"/>
      <c r="P714" s="2468"/>
      <c r="Q714" s="2468"/>
      <c r="R714" s="2468"/>
      <c r="S714" s="2468"/>
      <c r="T714" s="2468"/>
      <c r="U714" s="2468"/>
      <c r="V714" s="2468"/>
      <c r="W714" s="2468"/>
      <c r="X714" s="2468"/>
      <c r="Y714" s="2468"/>
      <c r="Z714" s="2468"/>
      <c r="AA714" s="2468"/>
      <c r="AB714" s="2468"/>
      <c r="AC714" s="536"/>
      <c r="AD714" s="536"/>
      <c r="AE714" s="614"/>
      <c r="AF714" s="536"/>
      <c r="AG714" s="536"/>
      <c r="AH714" s="536"/>
      <c r="AI714" s="536"/>
      <c r="AJ714" s="536"/>
      <c r="AK714" s="536"/>
      <c r="AL714" s="536"/>
      <c r="AN714" s="595"/>
    </row>
    <row r="715" spans="1:51" s="549" customFormat="1" ht="12" customHeight="1">
      <c r="B715" s="536"/>
      <c r="C715" s="927"/>
      <c r="D715" s="536"/>
      <c r="E715" s="2468"/>
      <c r="F715" s="2468"/>
      <c r="G715" s="2468"/>
      <c r="H715" s="2468"/>
      <c r="I715" s="2468"/>
      <c r="J715" s="2468"/>
      <c r="K715" s="2468"/>
      <c r="L715" s="2468"/>
      <c r="M715" s="2468"/>
      <c r="N715" s="2468"/>
      <c r="O715" s="2468"/>
      <c r="P715" s="2468"/>
      <c r="Q715" s="2468"/>
      <c r="R715" s="2468"/>
      <c r="S715" s="2468"/>
      <c r="T715" s="2468"/>
      <c r="U715" s="2468"/>
      <c r="V715" s="2468"/>
      <c r="W715" s="2468"/>
      <c r="X715" s="2468"/>
      <c r="Y715" s="2468"/>
      <c r="Z715" s="2468"/>
      <c r="AA715" s="2468"/>
      <c r="AB715" s="2468"/>
      <c r="AC715" s="536"/>
      <c r="AD715" s="536"/>
      <c r="AE715" s="614"/>
      <c r="AF715" s="536"/>
      <c r="AG715" s="536"/>
      <c r="AH715" s="536"/>
      <c r="AI715" s="536"/>
      <c r="AJ715" s="536"/>
      <c r="AK715" s="536"/>
      <c r="AL715" s="536"/>
      <c r="AN715" s="595"/>
    </row>
    <row r="716" spans="1:51" s="568" customFormat="1" ht="13" customHeight="1">
      <c r="A716" s="549"/>
      <c r="B716" s="536"/>
      <c r="C716" s="927"/>
      <c r="D716" s="536"/>
      <c r="E716" s="2468"/>
      <c r="F716" s="2468"/>
      <c r="G716" s="2468"/>
      <c r="H716" s="2468"/>
      <c r="I716" s="2468"/>
      <c r="J716" s="2468"/>
      <c r="K716" s="2468"/>
      <c r="L716" s="2468"/>
      <c r="M716" s="2468"/>
      <c r="N716" s="2468"/>
      <c r="O716" s="2468"/>
      <c r="P716" s="2468"/>
      <c r="Q716" s="2468"/>
      <c r="R716" s="2468"/>
      <c r="S716" s="2468"/>
      <c r="T716" s="2468"/>
      <c r="U716" s="2468"/>
      <c r="V716" s="2468"/>
      <c r="W716" s="2468"/>
      <c r="X716" s="2468"/>
      <c r="Y716" s="2468"/>
      <c r="Z716" s="2468"/>
      <c r="AA716" s="2468"/>
      <c r="AB716" s="246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8" t="s">
        <v>1681</v>
      </c>
      <c r="F718" s="2468"/>
      <c r="G718" s="2468"/>
      <c r="H718" s="2468"/>
      <c r="I718" s="2468"/>
      <c r="J718" s="2468"/>
      <c r="K718" s="2468"/>
      <c r="L718" s="2468"/>
      <c r="M718" s="2468"/>
      <c r="N718" s="2468"/>
      <c r="O718" s="2468"/>
      <c r="P718" s="2468"/>
      <c r="Q718" s="2468"/>
      <c r="R718" s="2468"/>
      <c r="S718" s="2468"/>
      <c r="T718" s="2468"/>
      <c r="U718" s="2468"/>
      <c r="V718" s="2468"/>
      <c r="W718" s="2468"/>
      <c r="X718" s="2468"/>
      <c r="Y718" s="2468"/>
      <c r="Z718" s="2468"/>
      <c r="AA718" s="2468"/>
      <c r="AB718" s="2468"/>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8"/>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1" t="s">
        <v>509</v>
      </c>
      <c r="I722" s="253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6">
        <f>VLOOKUP($H$722,$AO$716:$AP$719,2,FALSE)</f>
        <v>3</v>
      </c>
      <c r="AK724" s="2478"/>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9" t="s">
        <v>1683</v>
      </c>
      <c r="F728" s="2539"/>
      <c r="G728" s="2539"/>
      <c r="H728" s="2539"/>
      <c r="I728" s="2539"/>
      <c r="J728" s="2539"/>
      <c r="K728" s="2539"/>
      <c r="L728" s="2539"/>
      <c r="M728" s="2539"/>
      <c r="N728" s="2539"/>
      <c r="O728" s="2539"/>
      <c r="P728" s="2539"/>
      <c r="Q728" s="2539"/>
      <c r="R728" s="2539"/>
      <c r="S728" s="2539"/>
      <c r="T728" s="2539"/>
      <c r="U728" s="2539"/>
      <c r="V728" s="2539"/>
      <c r="W728" s="2539"/>
      <c r="X728" s="2539"/>
      <c r="Y728" s="2539"/>
      <c r="Z728" s="2539"/>
      <c r="AA728" s="2539"/>
      <c r="AB728" s="2539"/>
      <c r="AC728" s="536"/>
      <c r="AD728" s="536"/>
      <c r="AE728" s="536"/>
      <c r="AF728" s="2451" t="s">
        <v>1345</v>
      </c>
      <c r="AG728" s="2451"/>
      <c r="AH728" s="2451"/>
      <c r="AI728" s="2451"/>
      <c r="AJ728" s="2451"/>
      <c r="AK728" s="2451"/>
      <c r="AL728" s="2451"/>
      <c r="AM728" s="549"/>
      <c r="AN728" s="680"/>
      <c r="AP728" s="568" t="s">
        <v>1423</v>
      </c>
    </row>
    <row r="729" spans="1:43" s="568" customFormat="1" ht="11.9" customHeight="1">
      <c r="A729" s="549"/>
      <c r="B729" s="536"/>
      <c r="C729" s="929"/>
      <c r="D729" s="659"/>
      <c r="E729" s="2539"/>
      <c r="F729" s="2539"/>
      <c r="G729" s="2539"/>
      <c r="H729" s="2539"/>
      <c r="I729" s="2539"/>
      <c r="J729" s="2539"/>
      <c r="K729" s="2539"/>
      <c r="L729" s="2539"/>
      <c r="M729" s="2539"/>
      <c r="N729" s="2539"/>
      <c r="O729" s="2539"/>
      <c r="P729" s="2539"/>
      <c r="Q729" s="2539"/>
      <c r="R729" s="2539"/>
      <c r="S729" s="2539"/>
      <c r="T729" s="2539"/>
      <c r="U729" s="2539"/>
      <c r="V729" s="2539"/>
      <c r="W729" s="2539"/>
      <c r="X729" s="2539"/>
      <c r="Y729" s="2539"/>
      <c r="Z729" s="2539"/>
      <c r="AA729" s="2539"/>
      <c r="AB729" s="2539"/>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9"/>
      <c r="F730" s="2539"/>
      <c r="G730" s="2539"/>
      <c r="H730" s="2539"/>
      <c r="I730" s="2539"/>
      <c r="J730" s="2539"/>
      <c r="K730" s="2539"/>
      <c r="L730" s="2539"/>
      <c r="M730" s="2539"/>
      <c r="N730" s="2539"/>
      <c r="O730" s="2539"/>
      <c r="P730" s="2539"/>
      <c r="Q730" s="2539"/>
      <c r="R730" s="2539"/>
      <c r="S730" s="2539"/>
      <c r="T730" s="2539"/>
      <c r="U730" s="2539"/>
      <c r="V730" s="2539"/>
      <c r="W730" s="2539"/>
      <c r="X730" s="2539"/>
      <c r="Y730" s="2539"/>
      <c r="Z730" s="2539"/>
      <c r="AA730" s="2539"/>
      <c r="AB730" s="2539"/>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509</v>
      </c>
      <c r="E732" s="2540" t="s">
        <v>1426</v>
      </c>
      <c r="F732" s="2540"/>
      <c r="G732" s="2540"/>
      <c r="H732" s="2540"/>
      <c r="I732" s="2540"/>
      <c r="J732" s="2540"/>
      <c r="K732" s="2540"/>
      <c r="L732" s="2540"/>
      <c r="M732" s="2540"/>
      <c r="N732" s="2540"/>
      <c r="O732" s="2540"/>
      <c r="P732" s="2540"/>
      <c r="Q732" s="2540"/>
      <c r="R732" s="2540"/>
      <c r="S732" s="2540"/>
      <c r="T732" s="2540"/>
      <c r="U732" s="2540"/>
      <c r="V732" s="2540"/>
      <c r="W732" s="2540"/>
      <c r="X732" s="2540"/>
      <c r="Y732" s="2540"/>
      <c r="Z732" s="2540"/>
      <c r="AA732" s="2540"/>
      <c r="AB732" s="2540"/>
      <c r="AC732" s="536"/>
      <c r="AD732" s="536"/>
      <c r="AE732" s="536"/>
      <c r="AF732" s="2451" t="s">
        <v>1399</v>
      </c>
      <c r="AG732" s="2451"/>
      <c r="AH732" s="2451"/>
      <c r="AI732" s="2451"/>
      <c r="AJ732" s="2451"/>
      <c r="AK732" s="2451"/>
      <c r="AL732" s="2451"/>
      <c r="AM732" s="549"/>
      <c r="AN732" s="681"/>
    </row>
    <row r="733" spans="1:43" s="568" customFormat="1" ht="12.75" customHeight="1">
      <c r="A733" s="549"/>
      <c r="B733" s="536"/>
      <c r="C733" s="929"/>
      <c r="D733" s="536"/>
      <c r="E733" s="2540"/>
      <c r="F733" s="2540"/>
      <c r="G733" s="2540"/>
      <c r="H733" s="2540"/>
      <c r="I733" s="2540"/>
      <c r="J733" s="2540"/>
      <c r="K733" s="2540"/>
      <c r="L733" s="2540"/>
      <c r="M733" s="2540"/>
      <c r="N733" s="2540"/>
      <c r="O733" s="2540"/>
      <c r="P733" s="2540"/>
      <c r="Q733" s="2540"/>
      <c r="R733" s="2540"/>
      <c r="S733" s="2540"/>
      <c r="T733" s="2540"/>
      <c r="U733" s="2540"/>
      <c r="V733" s="2540"/>
      <c r="W733" s="2540"/>
      <c r="X733" s="2540"/>
      <c r="Y733" s="2540"/>
      <c r="Z733" s="2540"/>
      <c r="AA733" s="2540"/>
      <c r="AB733" s="2540"/>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0"/>
      <c r="F734" s="2540"/>
      <c r="G734" s="2540"/>
      <c r="H734" s="2540"/>
      <c r="I734" s="2540"/>
      <c r="J734" s="2540"/>
      <c r="K734" s="2540"/>
      <c r="L734" s="2540"/>
      <c r="M734" s="2540"/>
      <c r="N734" s="2540"/>
      <c r="O734" s="2540"/>
      <c r="P734" s="2540"/>
      <c r="Q734" s="2540"/>
      <c r="R734" s="2540"/>
      <c r="S734" s="2540"/>
      <c r="T734" s="2540"/>
      <c r="U734" s="2540"/>
      <c r="V734" s="2540"/>
      <c r="W734" s="2540"/>
      <c r="X734" s="2540"/>
      <c r="Y734" s="2540"/>
      <c r="Z734" s="2540"/>
      <c r="AA734" s="2540"/>
      <c r="AB734" s="2540"/>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1391</v>
      </c>
      <c r="E736" s="932"/>
      <c r="F736" s="932"/>
      <c r="G736" s="932"/>
      <c r="H736" s="2531" t="s">
        <v>591</v>
      </c>
      <c r="I736" s="253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6">
        <f>VLOOKUP($H$736,$AP$733:$AQ$735,2,FALSE)</f>
        <v>0</v>
      </c>
      <c r="AK738" s="2478"/>
      <c r="AL738" s="593"/>
      <c r="AM738" s="549"/>
      <c r="AN738" s="680"/>
      <c r="AP738" s="2476"/>
      <c r="AQ738" s="247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468" t="s">
        <v>1684</v>
      </c>
      <c r="F742" s="2468"/>
      <c r="G742" s="2468"/>
      <c r="H742" s="2468"/>
      <c r="I742" s="2468"/>
      <c r="J742" s="2468"/>
      <c r="K742" s="2468"/>
      <c r="L742" s="2468"/>
      <c r="M742" s="2468"/>
      <c r="N742" s="2468"/>
      <c r="O742" s="2468"/>
      <c r="P742" s="2468"/>
      <c r="Q742" s="2468"/>
      <c r="R742" s="2468"/>
      <c r="S742" s="2468"/>
      <c r="T742" s="2468"/>
      <c r="U742" s="2468"/>
      <c r="V742" s="2468"/>
      <c r="W742" s="2468"/>
      <c r="X742" s="2468"/>
      <c r="Y742" s="2468"/>
      <c r="Z742" s="2468"/>
      <c r="AA742" s="2468"/>
      <c r="AB742" s="2468"/>
      <c r="AC742" s="536"/>
      <c r="AD742" s="536"/>
      <c r="AE742" s="536"/>
      <c r="AF742" s="2451" t="s">
        <v>1345</v>
      </c>
      <c r="AG742" s="2451"/>
      <c r="AH742" s="2451"/>
      <c r="AI742" s="2451"/>
      <c r="AJ742" s="2451"/>
      <c r="AK742" s="2451"/>
      <c r="AL742" s="2451"/>
      <c r="AM742" s="549"/>
      <c r="AN742" s="680"/>
      <c r="AT742" s="14"/>
      <c r="AU742" s="14"/>
      <c r="AV742" s="14"/>
      <c r="AW742" s="14"/>
      <c r="AX742" s="14"/>
      <c r="AY742" s="14"/>
      <c r="AZ742" s="14"/>
    </row>
    <row r="743" spans="1:81" s="568" customFormat="1" ht="13">
      <c r="A743" s="549"/>
      <c r="B743" s="536"/>
      <c r="C743" s="929"/>
      <c r="D743" s="659"/>
      <c r="E743" s="2468"/>
      <c r="F743" s="2468"/>
      <c r="G743" s="2468"/>
      <c r="H743" s="2468"/>
      <c r="I743" s="2468"/>
      <c r="J743" s="2468"/>
      <c r="K743" s="2468"/>
      <c r="L743" s="2468"/>
      <c r="M743" s="2468"/>
      <c r="N743" s="2468"/>
      <c r="O743" s="2468"/>
      <c r="P743" s="2468"/>
      <c r="Q743" s="2468"/>
      <c r="R743" s="2468"/>
      <c r="S743" s="2468"/>
      <c r="T743" s="2468"/>
      <c r="U743" s="2468"/>
      <c r="V743" s="2468"/>
      <c r="W743" s="2468"/>
      <c r="X743" s="2468"/>
      <c r="Y743" s="2468"/>
      <c r="Z743" s="2468"/>
      <c r="AA743" s="2468"/>
      <c r="AB743" s="246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8" t="s">
        <v>1430</v>
      </c>
      <c r="F745" s="2468"/>
      <c r="G745" s="2468"/>
      <c r="H745" s="2468"/>
      <c r="I745" s="2468"/>
      <c r="J745" s="2468"/>
      <c r="K745" s="2468"/>
      <c r="L745" s="2468"/>
      <c r="M745" s="2468"/>
      <c r="N745" s="2468"/>
      <c r="O745" s="2468"/>
      <c r="P745" s="2468"/>
      <c r="Q745" s="2468"/>
      <c r="R745" s="2468"/>
      <c r="S745" s="2468"/>
      <c r="T745" s="2468"/>
      <c r="U745" s="2468"/>
      <c r="V745" s="2468"/>
      <c r="W745" s="2468"/>
      <c r="X745" s="2468"/>
      <c r="Y745" s="2468"/>
      <c r="Z745" s="2468"/>
      <c r="AA745" s="2468"/>
      <c r="AB745" s="2468"/>
      <c r="AC745" s="536"/>
      <c r="AD745" s="536"/>
      <c r="AE745" s="536"/>
      <c r="AF745" s="2451" t="s">
        <v>1399</v>
      </c>
      <c r="AG745" s="2451"/>
      <c r="AH745" s="2451"/>
      <c r="AI745" s="2451"/>
      <c r="AJ745" s="2451"/>
      <c r="AK745" s="2451"/>
      <c r="AL745" s="2451"/>
      <c r="AM745" s="549"/>
      <c r="AN745" s="680"/>
      <c r="AT745" s="14"/>
      <c r="AU745" s="14"/>
      <c r="AV745" s="14"/>
      <c r="AW745" s="14"/>
      <c r="AX745" s="14"/>
      <c r="AY745" s="14"/>
      <c r="AZ745" s="14"/>
    </row>
    <row r="746" spans="1:81" s="568" customFormat="1" ht="13">
      <c r="A746" s="549"/>
      <c r="B746" s="536"/>
      <c r="C746" s="929"/>
      <c r="D746" s="536"/>
      <c r="E746" s="2468"/>
      <c r="F746" s="2468"/>
      <c r="G746" s="2468"/>
      <c r="H746" s="2468"/>
      <c r="I746" s="2468"/>
      <c r="J746" s="2468"/>
      <c r="K746" s="2468"/>
      <c r="L746" s="2468"/>
      <c r="M746" s="2468"/>
      <c r="N746" s="2468"/>
      <c r="O746" s="2468"/>
      <c r="P746" s="2468"/>
      <c r="Q746" s="2468"/>
      <c r="R746" s="2468"/>
      <c r="S746" s="2468"/>
      <c r="T746" s="2468"/>
      <c r="U746" s="2468"/>
      <c r="V746" s="2468"/>
      <c r="W746" s="2468"/>
      <c r="X746" s="2468"/>
      <c r="Y746" s="2468"/>
      <c r="Z746" s="2468"/>
      <c r="AA746" s="2468"/>
      <c r="AB746" s="246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1" t="s">
        <v>591</v>
      </c>
      <c r="I748" s="253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6">
        <f>VLOOKUP($H$748,$AO$679:$AP$681,2,FALSE)</f>
        <v>0</v>
      </c>
      <c r="AK750" s="247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468" t="s">
        <v>1433</v>
      </c>
      <c r="F754" s="2468"/>
      <c r="G754" s="2468"/>
      <c r="H754" s="2468"/>
      <c r="I754" s="2468"/>
      <c r="J754" s="2468"/>
      <c r="K754" s="2468"/>
      <c r="L754" s="2468"/>
      <c r="M754" s="2468"/>
      <c r="N754" s="2468"/>
      <c r="O754" s="2468"/>
      <c r="P754" s="2468"/>
      <c r="Q754" s="2468"/>
      <c r="R754" s="2468"/>
      <c r="S754" s="2468"/>
      <c r="T754" s="2468"/>
      <c r="U754" s="2468"/>
      <c r="V754" s="2468"/>
      <c r="W754" s="2468"/>
      <c r="X754" s="2468"/>
      <c r="Y754" s="2468"/>
      <c r="Z754" s="2468"/>
      <c r="AA754" s="2468"/>
      <c r="AB754" s="2468"/>
      <c r="AC754" s="536"/>
      <c r="AD754" s="536"/>
      <c r="AE754" s="536"/>
      <c r="AF754" s="2451" t="s">
        <v>1345</v>
      </c>
      <c r="AG754" s="2451"/>
      <c r="AH754" s="2451"/>
      <c r="AI754" s="2451"/>
      <c r="AJ754" s="2451"/>
      <c r="AK754" s="2451"/>
      <c r="AL754" s="2451"/>
      <c r="AM754" s="549"/>
      <c r="AN754" s="680"/>
      <c r="AT754" s="14"/>
      <c r="AU754" s="14"/>
      <c r="AV754" s="14"/>
      <c r="AW754" s="14"/>
      <c r="AX754" s="14"/>
      <c r="AY754" s="14"/>
      <c r="AZ754" s="14"/>
    </row>
    <row r="755" spans="1:81" s="568" customFormat="1" ht="13">
      <c r="A755" s="549"/>
      <c r="B755" s="536"/>
      <c r="C755" s="927"/>
      <c r="D755" s="659"/>
      <c r="E755" s="2468"/>
      <c r="F755" s="2468"/>
      <c r="G755" s="2468"/>
      <c r="H755" s="2468"/>
      <c r="I755" s="2468"/>
      <c r="J755" s="2468"/>
      <c r="K755" s="2468"/>
      <c r="L755" s="2468"/>
      <c r="M755" s="2468"/>
      <c r="N755" s="2468"/>
      <c r="O755" s="2468"/>
      <c r="P755" s="2468"/>
      <c r="Q755" s="2468"/>
      <c r="R755" s="2468"/>
      <c r="S755" s="2468"/>
      <c r="T755" s="2468"/>
      <c r="U755" s="2468"/>
      <c r="V755" s="2468"/>
      <c r="W755" s="2468"/>
      <c r="X755" s="2468"/>
      <c r="Y755" s="2468"/>
      <c r="Z755" s="2468"/>
      <c r="AA755" s="2468"/>
      <c r="AB755" s="246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8"/>
      <c r="F756" s="2468"/>
      <c r="G756" s="2468"/>
      <c r="H756" s="2468"/>
      <c r="I756" s="2468"/>
      <c r="J756" s="2468"/>
      <c r="K756" s="2468"/>
      <c r="L756" s="2468"/>
      <c r="M756" s="2468"/>
      <c r="N756" s="2468"/>
      <c r="O756" s="2468"/>
      <c r="P756" s="2468"/>
      <c r="Q756" s="2468"/>
      <c r="R756" s="2468"/>
      <c r="S756" s="2468"/>
      <c r="T756" s="2468"/>
      <c r="U756" s="2468"/>
      <c r="V756" s="2468"/>
      <c r="W756" s="2468"/>
      <c r="X756" s="2468"/>
      <c r="Y756" s="2468"/>
      <c r="Z756" s="2468"/>
      <c r="AA756" s="2468"/>
      <c r="AB756" s="246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8"/>
      <c r="F757" s="2468"/>
      <c r="G757" s="2468"/>
      <c r="H757" s="2468"/>
      <c r="I757" s="2468"/>
      <c r="J757" s="2468"/>
      <c r="K757" s="2468"/>
      <c r="L757" s="2468"/>
      <c r="M757" s="2468"/>
      <c r="N757" s="2468"/>
      <c r="O757" s="2468"/>
      <c r="P757" s="2468"/>
      <c r="Q757" s="2468"/>
      <c r="R757" s="2468"/>
      <c r="S757" s="2468"/>
      <c r="T757" s="2468"/>
      <c r="U757" s="2468"/>
      <c r="V757" s="2468"/>
      <c r="W757" s="2468"/>
      <c r="X757" s="2468"/>
      <c r="Y757" s="2468"/>
      <c r="Z757" s="2468"/>
      <c r="AA757" s="2468"/>
      <c r="AB757" s="246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468" t="s">
        <v>1434</v>
      </c>
      <c r="F759" s="2468"/>
      <c r="G759" s="2468"/>
      <c r="H759" s="2468"/>
      <c r="I759" s="2468"/>
      <c r="J759" s="2468"/>
      <c r="K759" s="2468"/>
      <c r="L759" s="2468"/>
      <c r="M759" s="2468"/>
      <c r="N759" s="2468"/>
      <c r="O759" s="2468"/>
      <c r="P759" s="2468"/>
      <c r="Q759" s="2468"/>
      <c r="R759" s="2468"/>
      <c r="S759" s="2468"/>
      <c r="T759" s="2468"/>
      <c r="U759" s="2468"/>
      <c r="V759" s="2468"/>
      <c r="W759" s="2468"/>
      <c r="X759" s="2468"/>
      <c r="Y759" s="2468"/>
      <c r="Z759" s="2468"/>
      <c r="AA759" s="2468"/>
      <c r="AB759" s="573"/>
      <c r="AC759" s="536"/>
      <c r="AD759" s="536"/>
      <c r="AE759" s="536"/>
      <c r="AF759" s="2451" t="s">
        <v>1399</v>
      </c>
      <c r="AG759" s="2451"/>
      <c r="AH759" s="2451"/>
      <c r="AI759" s="2451"/>
      <c r="AJ759" s="2451"/>
      <c r="AK759" s="2451"/>
      <c r="AL759" s="2451"/>
      <c r="AM759" s="549"/>
      <c r="AN759" s="680"/>
      <c r="AO759" s="30"/>
      <c r="AP759" s="14"/>
    </row>
    <row r="760" spans="1:81" s="568" customFormat="1" ht="13">
      <c r="A760" s="549"/>
      <c r="B760" s="536"/>
      <c r="C760" s="927"/>
      <c r="D760" s="659"/>
      <c r="E760" s="2468"/>
      <c r="F760" s="2468"/>
      <c r="G760" s="2468"/>
      <c r="H760" s="2468"/>
      <c r="I760" s="2468"/>
      <c r="J760" s="2468"/>
      <c r="K760" s="2468"/>
      <c r="L760" s="2468"/>
      <c r="M760" s="2468"/>
      <c r="N760" s="2468"/>
      <c r="O760" s="2468"/>
      <c r="P760" s="2468"/>
      <c r="Q760" s="2468"/>
      <c r="R760" s="2468"/>
      <c r="S760" s="2468"/>
      <c r="T760" s="2468"/>
      <c r="U760" s="2468"/>
      <c r="V760" s="2468"/>
      <c r="W760" s="2468"/>
      <c r="X760" s="2468"/>
      <c r="Y760" s="2468"/>
      <c r="Z760" s="2468"/>
      <c r="AA760" s="2468"/>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8"/>
      <c r="F761" s="2468"/>
      <c r="G761" s="2468"/>
      <c r="H761" s="2468"/>
      <c r="I761" s="2468"/>
      <c r="J761" s="2468"/>
      <c r="K761" s="2468"/>
      <c r="L761" s="2468"/>
      <c r="M761" s="2468"/>
      <c r="N761" s="2468"/>
      <c r="O761" s="2468"/>
      <c r="P761" s="2468"/>
      <c r="Q761" s="2468"/>
      <c r="R761" s="2468"/>
      <c r="S761" s="2468"/>
      <c r="T761" s="2468"/>
      <c r="U761" s="2468"/>
      <c r="V761" s="2468"/>
      <c r="W761" s="2468"/>
      <c r="X761" s="2468"/>
      <c r="Y761" s="2468"/>
      <c r="Z761" s="2468"/>
      <c r="AA761" s="2468"/>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8"/>
      <c r="F762" s="2468"/>
      <c r="G762" s="2468"/>
      <c r="H762" s="2468"/>
      <c r="I762" s="2468"/>
      <c r="J762" s="2468"/>
      <c r="K762" s="2468"/>
      <c r="L762" s="2468"/>
      <c r="M762" s="2468"/>
      <c r="N762" s="2468"/>
      <c r="O762" s="2468"/>
      <c r="P762" s="2468"/>
      <c r="Q762" s="2468"/>
      <c r="R762" s="2468"/>
      <c r="S762" s="2468"/>
      <c r="T762" s="2468"/>
      <c r="U762" s="2468"/>
      <c r="V762" s="2468"/>
      <c r="W762" s="2468"/>
      <c r="X762" s="2468"/>
      <c r="Y762" s="2468"/>
      <c r="Z762" s="2468"/>
      <c r="AA762" s="2468"/>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1" t="s">
        <v>686</v>
      </c>
      <c r="I764" s="253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6">
        <f>VLOOKUP($H$764,$AO$693:$AP$695,2,FALSE)</f>
        <v>3</v>
      </c>
      <c r="AK766" s="247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468" t="s">
        <v>1436</v>
      </c>
      <c r="F770" s="2468"/>
      <c r="G770" s="2468"/>
      <c r="H770" s="2468"/>
      <c r="I770" s="2468"/>
      <c r="J770" s="2468"/>
      <c r="K770" s="2468"/>
      <c r="L770" s="2468"/>
      <c r="M770" s="2468"/>
      <c r="N770" s="2468"/>
      <c r="O770" s="2468"/>
      <c r="P770" s="2468"/>
      <c r="Q770" s="2468"/>
      <c r="R770" s="2468"/>
      <c r="S770" s="2468"/>
      <c r="T770" s="2468"/>
      <c r="U770" s="2468"/>
      <c r="V770" s="2468"/>
      <c r="W770" s="2468"/>
      <c r="X770" s="2468"/>
      <c r="Y770" s="2468"/>
      <c r="Z770" s="2468"/>
      <c r="AA770" s="2468"/>
      <c r="AB770" s="2468"/>
      <c r="AC770" s="536"/>
      <c r="AD770" s="536"/>
      <c r="AE770" s="536"/>
      <c r="AF770" s="2451" t="s">
        <v>1399</v>
      </c>
      <c r="AG770" s="2451"/>
      <c r="AH770" s="2451"/>
      <c r="AI770" s="2451"/>
      <c r="AJ770" s="2451"/>
      <c r="AK770" s="2451"/>
      <c r="AL770" s="245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8"/>
      <c r="F771" s="2468"/>
      <c r="G771" s="2468"/>
      <c r="H771" s="2468"/>
      <c r="I771" s="2468"/>
      <c r="J771" s="2468"/>
      <c r="K771" s="2468"/>
      <c r="L771" s="2468"/>
      <c r="M771" s="2468"/>
      <c r="N771" s="2468"/>
      <c r="O771" s="2468"/>
      <c r="P771" s="2468"/>
      <c r="Q771" s="2468"/>
      <c r="R771" s="2468"/>
      <c r="S771" s="2468"/>
      <c r="T771" s="2468"/>
      <c r="U771" s="2468"/>
      <c r="V771" s="2468"/>
      <c r="W771" s="2468"/>
      <c r="X771" s="2468"/>
      <c r="Y771" s="2468"/>
      <c r="Z771" s="2468"/>
      <c r="AA771" s="2468"/>
      <c r="AB771" s="246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468" t="s">
        <v>1437</v>
      </c>
      <c r="F773" s="2468"/>
      <c r="G773" s="2468"/>
      <c r="H773" s="2468"/>
      <c r="I773" s="2468"/>
      <c r="J773" s="2468"/>
      <c r="K773" s="2468"/>
      <c r="L773" s="2468"/>
      <c r="M773" s="2468"/>
      <c r="N773" s="2468"/>
      <c r="O773" s="2468"/>
      <c r="P773" s="2468"/>
      <c r="Q773" s="2468"/>
      <c r="R773" s="2468"/>
      <c r="S773" s="2468"/>
      <c r="T773" s="2468"/>
      <c r="U773" s="2468"/>
      <c r="V773" s="2468"/>
      <c r="W773" s="2468"/>
      <c r="X773" s="2468"/>
      <c r="Y773" s="2468"/>
      <c r="Z773" s="2468"/>
      <c r="AA773" s="2468"/>
      <c r="AB773" s="2468"/>
      <c r="AC773" s="536"/>
      <c r="AD773" s="536"/>
      <c r="AE773" s="536"/>
      <c r="AF773" s="2451" t="s">
        <v>1416</v>
      </c>
      <c r="AG773" s="2451"/>
      <c r="AH773" s="2451"/>
      <c r="AI773" s="2451"/>
      <c r="AJ773" s="2451"/>
      <c r="AK773" s="2451"/>
      <c r="AL773" s="245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8"/>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1" t="s">
        <v>686</v>
      </c>
      <c r="I776" s="253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6">
        <f>VLOOKUP($H$776,$AO$710:$AP$712,2,FALSE)</f>
        <v>2</v>
      </c>
      <c r="AK778" s="247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468" t="s">
        <v>1680</v>
      </c>
      <c r="F782" s="2468"/>
      <c r="G782" s="2468"/>
      <c r="H782" s="2468"/>
      <c r="I782" s="2468"/>
      <c r="J782" s="2468"/>
      <c r="K782" s="2468"/>
      <c r="L782" s="2468"/>
      <c r="M782" s="2468"/>
      <c r="N782" s="2468"/>
      <c r="O782" s="2468"/>
      <c r="P782" s="2468"/>
      <c r="Q782" s="2468"/>
      <c r="R782" s="2468"/>
      <c r="S782" s="2468"/>
      <c r="T782" s="2468"/>
      <c r="U782" s="2468"/>
      <c r="V782" s="2468"/>
      <c r="W782" s="2468"/>
      <c r="X782" s="2468"/>
      <c r="Y782" s="2468"/>
      <c r="Z782" s="2468"/>
      <c r="AA782" s="2468"/>
      <c r="AB782" s="2468"/>
      <c r="AC782" s="2468"/>
      <c r="AD782" s="2468"/>
      <c r="AE782" s="536"/>
      <c r="AF782" s="2451" t="s">
        <v>1399</v>
      </c>
      <c r="AG782" s="2451"/>
      <c r="AH782" s="2451"/>
      <c r="AI782" s="2451"/>
      <c r="AJ782" s="2451"/>
      <c r="AK782" s="2451"/>
      <c r="AL782" s="2451"/>
      <c r="AM782" s="611"/>
      <c r="AN782" s="680"/>
      <c r="AO782" s="549" t="s">
        <v>591</v>
      </c>
      <c r="AP782" s="669">
        <v>0</v>
      </c>
    </row>
    <row r="783" spans="1:74" s="568" customFormat="1" ht="13.75" customHeight="1">
      <c r="A783" s="549"/>
      <c r="B783" s="614"/>
      <c r="C783" s="936"/>
      <c r="D783" s="659"/>
      <c r="E783" s="2468"/>
      <c r="F783" s="2468"/>
      <c r="G783" s="2468"/>
      <c r="H783" s="2468"/>
      <c r="I783" s="2468"/>
      <c r="J783" s="2468"/>
      <c r="K783" s="2468"/>
      <c r="L783" s="2468"/>
      <c r="M783" s="2468"/>
      <c r="N783" s="2468"/>
      <c r="O783" s="2468"/>
      <c r="P783" s="2468"/>
      <c r="Q783" s="2468"/>
      <c r="R783" s="2468"/>
      <c r="S783" s="2468"/>
      <c r="T783" s="2468"/>
      <c r="U783" s="2468"/>
      <c r="V783" s="2468"/>
      <c r="W783" s="2468"/>
      <c r="X783" s="2468"/>
      <c r="Y783" s="2468"/>
      <c r="Z783" s="2468"/>
      <c r="AA783" s="2468"/>
      <c r="AB783" s="2468"/>
      <c r="AC783" s="2468"/>
      <c r="AD783" s="2468"/>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468"/>
      <c r="F784" s="2468"/>
      <c r="G784" s="2468"/>
      <c r="H784" s="2468"/>
      <c r="I784" s="2468"/>
      <c r="J784" s="2468"/>
      <c r="K784" s="2468"/>
      <c r="L784" s="2468"/>
      <c r="M784" s="2468"/>
      <c r="N784" s="2468"/>
      <c r="O784" s="2468"/>
      <c r="P784" s="2468"/>
      <c r="Q784" s="2468"/>
      <c r="R784" s="2468"/>
      <c r="S784" s="2468"/>
      <c r="T784" s="2468"/>
      <c r="U784" s="2468"/>
      <c r="V784" s="2468"/>
      <c r="W784" s="2468"/>
      <c r="X784" s="2468"/>
      <c r="Y784" s="2468"/>
      <c r="Z784" s="2468"/>
      <c r="AA784" s="2468"/>
      <c r="AB784" s="2468"/>
      <c r="AC784" s="2468"/>
      <c r="AD784" s="246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8"/>
      <c r="F785" s="2468"/>
      <c r="G785" s="2468"/>
      <c r="H785" s="2468"/>
      <c r="I785" s="2468"/>
      <c r="J785" s="2468"/>
      <c r="K785" s="2468"/>
      <c r="L785" s="2468"/>
      <c r="M785" s="2468"/>
      <c r="N785" s="2468"/>
      <c r="O785" s="2468"/>
      <c r="P785" s="2468"/>
      <c r="Q785" s="2468"/>
      <c r="R785" s="2468"/>
      <c r="S785" s="2468"/>
      <c r="T785" s="2468"/>
      <c r="U785" s="2468"/>
      <c r="V785" s="2468"/>
      <c r="W785" s="2468"/>
      <c r="X785" s="2468"/>
      <c r="Y785" s="2468"/>
      <c r="Z785" s="2468"/>
      <c r="AA785" s="2468"/>
      <c r="AB785" s="2468"/>
      <c r="AC785" s="2468"/>
      <c r="AD785" s="246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1" t="s">
        <v>1685</v>
      </c>
      <c r="F787" s="2541"/>
      <c r="G787" s="2541"/>
      <c r="H787" s="2541"/>
      <c r="I787" s="2541"/>
      <c r="J787" s="2541"/>
      <c r="K787" s="2541"/>
      <c r="L787" s="2541"/>
      <c r="M787" s="2541"/>
      <c r="N787" s="2541"/>
      <c r="O787" s="2541"/>
      <c r="P787" s="2541"/>
      <c r="Q787" s="2541"/>
      <c r="R787" s="2541"/>
      <c r="S787" s="2541"/>
      <c r="T787" s="2541"/>
      <c r="U787" s="2541"/>
      <c r="V787" s="2541"/>
      <c r="W787" s="2541"/>
      <c r="X787" s="2541"/>
      <c r="Y787" s="2541"/>
      <c r="Z787" s="2541"/>
      <c r="AA787" s="2541"/>
      <c r="AB787" s="2541"/>
      <c r="AC787" s="2541"/>
      <c r="AD787" s="2541"/>
      <c r="AE787" s="536"/>
      <c r="AF787" s="2451" t="s">
        <v>1345</v>
      </c>
      <c r="AG787" s="2451"/>
      <c r="AH787" s="2451"/>
      <c r="AI787" s="2451"/>
      <c r="AJ787" s="2451"/>
      <c r="AK787" s="2451"/>
      <c r="AL787" s="2451"/>
      <c r="AM787" s="611"/>
      <c r="AN787" s="595"/>
    </row>
    <row r="788" spans="1:81" s="549" customFormat="1" ht="12.75" customHeight="1">
      <c r="B788" s="614"/>
      <c r="C788" s="936"/>
      <c r="D788" s="659"/>
      <c r="E788" s="2541"/>
      <c r="F788" s="2541"/>
      <c r="G788" s="2541"/>
      <c r="H788" s="2541"/>
      <c r="I788" s="2541"/>
      <c r="J788" s="2541"/>
      <c r="K788" s="2541"/>
      <c r="L788" s="2541"/>
      <c r="M788" s="2541"/>
      <c r="N788" s="2541"/>
      <c r="O788" s="2541"/>
      <c r="P788" s="2541"/>
      <c r="Q788" s="2541"/>
      <c r="R788" s="2541"/>
      <c r="S788" s="2541"/>
      <c r="T788" s="2541"/>
      <c r="U788" s="2541"/>
      <c r="V788" s="2541"/>
      <c r="W788" s="2541"/>
      <c r="X788" s="2541"/>
      <c r="Y788" s="2541"/>
      <c r="Z788" s="2541"/>
      <c r="AA788" s="2541"/>
      <c r="AB788" s="2541"/>
      <c r="AC788" s="2541"/>
      <c r="AD788" s="2541"/>
      <c r="AE788" s="592"/>
      <c r="AF788" s="592"/>
      <c r="AG788" s="592"/>
      <c r="AH788" s="592"/>
      <c r="AI788" s="592"/>
      <c r="AJ788" s="592"/>
      <c r="AK788" s="592"/>
      <c r="AL788" s="592"/>
      <c r="AM788" s="611"/>
      <c r="AN788" s="595"/>
    </row>
    <row r="789" spans="1:81" s="549" customFormat="1" ht="12.75" customHeight="1">
      <c r="B789" s="614"/>
      <c r="C789" s="936"/>
      <c r="D789" s="659"/>
      <c r="E789" s="2541"/>
      <c r="F789" s="2541"/>
      <c r="G789" s="2541"/>
      <c r="H789" s="2541"/>
      <c r="I789" s="2541"/>
      <c r="J789" s="2541"/>
      <c r="K789" s="2541"/>
      <c r="L789" s="2541"/>
      <c r="M789" s="2541"/>
      <c r="N789" s="2541"/>
      <c r="O789" s="2541"/>
      <c r="P789" s="2541"/>
      <c r="Q789" s="2541"/>
      <c r="R789" s="2541"/>
      <c r="S789" s="2541"/>
      <c r="T789" s="2541"/>
      <c r="U789" s="2541"/>
      <c r="V789" s="2541"/>
      <c r="W789" s="2541"/>
      <c r="X789" s="2541"/>
      <c r="Y789" s="2541"/>
      <c r="Z789" s="2541"/>
      <c r="AA789" s="2541"/>
      <c r="AB789" s="2541"/>
      <c r="AC789" s="2541"/>
      <c r="AD789" s="2541"/>
      <c r="AE789" s="592"/>
      <c r="AF789" s="592"/>
      <c r="AG789" s="592"/>
      <c r="AH789" s="592"/>
      <c r="AI789" s="592"/>
      <c r="AJ789" s="592"/>
      <c r="AK789" s="592"/>
      <c r="AL789" s="592"/>
      <c r="AM789" s="611"/>
      <c r="AN789" s="595"/>
    </row>
    <row r="790" spans="1:81" s="549" customFormat="1" ht="12.75" customHeight="1">
      <c r="B790" s="614"/>
      <c r="C790" s="936"/>
      <c r="D790" s="659"/>
      <c r="E790" s="2541"/>
      <c r="F790" s="2541"/>
      <c r="G790" s="2541"/>
      <c r="H790" s="2541"/>
      <c r="I790" s="2541"/>
      <c r="J790" s="2541"/>
      <c r="K790" s="2541"/>
      <c r="L790" s="2541"/>
      <c r="M790" s="2541"/>
      <c r="N790" s="2541"/>
      <c r="O790" s="2541"/>
      <c r="P790" s="2541"/>
      <c r="Q790" s="2541"/>
      <c r="R790" s="2541"/>
      <c r="S790" s="2541"/>
      <c r="T790" s="2541"/>
      <c r="U790" s="2541"/>
      <c r="V790" s="2541"/>
      <c r="W790" s="2541"/>
      <c r="X790" s="2541"/>
      <c r="Y790" s="2541"/>
      <c r="Z790" s="2541"/>
      <c r="AA790" s="2541"/>
      <c r="AB790" s="2541"/>
      <c r="AC790" s="2541"/>
      <c r="AD790" s="254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1" t="s">
        <v>591</v>
      </c>
      <c r="I792" s="253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6">
        <f>VLOOKUP($H$792,$AO$782:$AP$784,2,FALSE)</f>
        <v>0</v>
      </c>
      <c r="AK794" s="2478"/>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468" t="s">
        <v>2632</v>
      </c>
      <c r="F798" s="2468"/>
      <c r="G798" s="2468"/>
      <c r="H798" s="2468"/>
      <c r="I798" s="2468"/>
      <c r="J798" s="2468"/>
      <c r="K798" s="2468"/>
      <c r="L798" s="2468"/>
      <c r="M798" s="2468"/>
      <c r="N798" s="2468"/>
      <c r="O798" s="2468"/>
      <c r="P798" s="2468"/>
      <c r="Q798" s="2468"/>
      <c r="R798" s="2468"/>
      <c r="S798" s="2468"/>
      <c r="T798" s="2468"/>
      <c r="U798" s="2468"/>
      <c r="V798" s="2468"/>
      <c r="W798" s="2468"/>
      <c r="X798" s="2468"/>
      <c r="Y798" s="2468"/>
      <c r="Z798" s="2468"/>
      <c r="AA798" s="2468"/>
      <c r="AB798" s="2468"/>
      <c r="AC798" s="2468"/>
      <c r="AD798" s="2468"/>
      <c r="AE798" s="536"/>
      <c r="AF798" s="2451" t="s">
        <v>1345</v>
      </c>
      <c r="AG798" s="2451"/>
      <c r="AH798" s="2451"/>
      <c r="AI798" s="2451"/>
      <c r="AJ798" s="2451"/>
      <c r="AK798" s="2451"/>
      <c r="AL798" s="2451"/>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68"/>
      <c r="F799" s="2468"/>
      <c r="G799" s="2468"/>
      <c r="H799" s="2468"/>
      <c r="I799" s="2468"/>
      <c r="J799" s="2468"/>
      <c r="K799" s="2468"/>
      <c r="L799" s="2468"/>
      <c r="M799" s="2468"/>
      <c r="N799" s="2468"/>
      <c r="O799" s="2468"/>
      <c r="P799" s="2468"/>
      <c r="Q799" s="2468"/>
      <c r="R799" s="2468"/>
      <c r="S799" s="2468"/>
      <c r="T799" s="2468"/>
      <c r="U799" s="2468"/>
      <c r="V799" s="2468"/>
      <c r="W799" s="2468"/>
      <c r="X799" s="2468"/>
      <c r="Y799" s="2468"/>
      <c r="Z799" s="2468"/>
      <c r="AA799" s="2468"/>
      <c r="AB799" s="2468"/>
      <c r="AC799" s="2468"/>
      <c r="AD799" s="246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8"/>
      <c r="F800" s="2468"/>
      <c r="G800" s="2468"/>
      <c r="H800" s="2468"/>
      <c r="I800" s="2468"/>
      <c r="J800" s="2468"/>
      <c r="K800" s="2468"/>
      <c r="L800" s="2468"/>
      <c r="M800" s="2468"/>
      <c r="N800" s="2468"/>
      <c r="O800" s="2468"/>
      <c r="P800" s="2468"/>
      <c r="Q800" s="2468"/>
      <c r="R800" s="2468"/>
      <c r="S800" s="2468"/>
      <c r="T800" s="2468"/>
      <c r="U800" s="2468"/>
      <c r="V800" s="2468"/>
      <c r="W800" s="2468"/>
      <c r="X800" s="2468"/>
      <c r="Y800" s="2468"/>
      <c r="Z800" s="2468"/>
      <c r="AA800" s="2468"/>
      <c r="AB800" s="2468"/>
      <c r="AC800" s="2468"/>
      <c r="AD800" s="246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8"/>
      <c r="F801" s="2468"/>
      <c r="G801" s="2468"/>
      <c r="H801" s="2468"/>
      <c r="I801" s="2468"/>
      <c r="J801" s="2468"/>
      <c r="K801" s="2468"/>
      <c r="L801" s="2468"/>
      <c r="M801" s="2468"/>
      <c r="N801" s="2468"/>
      <c r="O801" s="2468"/>
      <c r="P801" s="2468"/>
      <c r="Q801" s="2468"/>
      <c r="R801" s="2468"/>
      <c r="S801" s="2468"/>
      <c r="T801" s="2468"/>
      <c r="U801" s="2468"/>
      <c r="V801" s="2468"/>
      <c r="W801" s="2468"/>
      <c r="X801" s="2468"/>
      <c r="Y801" s="2468"/>
      <c r="Z801" s="2468"/>
      <c r="AA801" s="2468"/>
      <c r="AB801" s="2468"/>
      <c r="AC801" s="2468"/>
      <c r="AD801" s="246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2531" t="s">
        <v>545</v>
      </c>
      <c r="I803" s="253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6">
        <f>VLOOKUP($H$803,$AO$797:$AP$798,2,FALSE)</f>
        <v>3</v>
      </c>
      <c r="AK805" s="247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8" t="s">
        <v>2594</v>
      </c>
      <c r="F809" s="2468"/>
      <c r="G809" s="2468"/>
      <c r="H809" s="2468"/>
      <c r="I809" s="2468"/>
      <c r="J809" s="2468"/>
      <c r="K809" s="2468"/>
      <c r="L809" s="2468"/>
      <c r="M809" s="2468"/>
      <c r="N809" s="2468"/>
      <c r="O809" s="2468"/>
      <c r="P809" s="2468"/>
      <c r="Q809" s="2468"/>
      <c r="R809" s="2468"/>
      <c r="S809" s="2468"/>
      <c r="T809" s="2468"/>
      <c r="U809" s="2468"/>
      <c r="V809" s="2468"/>
      <c r="W809" s="2468"/>
      <c r="X809" s="2468"/>
      <c r="Y809" s="2468"/>
      <c r="Z809" s="2468"/>
      <c r="AA809" s="2468"/>
      <c r="AB809" s="2468"/>
      <c r="AC809" s="2468"/>
      <c r="AD809" s="2468"/>
      <c r="AE809" s="550"/>
      <c r="AF809" s="2451" t="s">
        <v>1370</v>
      </c>
      <c r="AG809" s="2451"/>
      <c r="AH809" s="2451"/>
      <c r="AI809" s="2451"/>
      <c r="AJ809" s="2451"/>
      <c r="AK809" s="2451"/>
      <c r="AL809" s="2451"/>
      <c r="AN809" s="595"/>
    </row>
    <row r="810" spans="1:81" s="549" customFormat="1" ht="12.75" customHeight="1">
      <c r="B810" s="614"/>
      <c r="C810" s="684"/>
      <c r="D810" s="659"/>
      <c r="E810" s="2468"/>
      <c r="F810" s="2468"/>
      <c r="G810" s="2468"/>
      <c r="H810" s="2468"/>
      <c r="I810" s="2468"/>
      <c r="J810" s="2468"/>
      <c r="K810" s="2468"/>
      <c r="L810" s="2468"/>
      <c r="M810" s="2468"/>
      <c r="N810" s="2468"/>
      <c r="O810" s="2468"/>
      <c r="P810" s="2468"/>
      <c r="Q810" s="2468"/>
      <c r="R810" s="2468"/>
      <c r="S810" s="2468"/>
      <c r="T810" s="2468"/>
      <c r="U810" s="2468"/>
      <c r="V810" s="2468"/>
      <c r="W810" s="2468"/>
      <c r="X810" s="2468"/>
      <c r="Y810" s="2468"/>
      <c r="Z810" s="2468"/>
      <c r="AA810" s="2468"/>
      <c r="AB810" s="2468"/>
      <c r="AC810" s="2468"/>
      <c r="AD810" s="246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2531" t="s">
        <v>591</v>
      </c>
      <c r="I812" s="253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76">
        <f>IF(H812="Yes",5,0)</f>
        <v>0</v>
      </c>
      <c r="AK814" s="247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6">
        <f>IF(($AJ$634+$AJ$653+$AJ$665+$AJ$700+$AJ$724+$AJ$738+$AJ$750+$AJ$766+$AJ$778+$AJ$794+AJ805+AJ814)&gt;10,10,($AJ$634+$AJ$653+$AJ$665+$AJ$700+$AJ$724+$AJ$738+$AJ$750+$AJ$766+$AJ$778+$AJ$794+AJ805+AJ814))</f>
        <v>10</v>
      </c>
      <c r="AL816" s="2477"/>
      <c r="AM816" s="247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3" t="s">
        <v>1557</v>
      </c>
      <c r="B819" s="2564"/>
      <c r="C819" s="2564"/>
      <c r="D819" s="2564"/>
      <c r="E819" s="2564"/>
      <c r="F819" s="2564"/>
      <c r="G819" s="2564"/>
      <c r="H819" s="2564"/>
      <c r="I819" s="2564"/>
      <c r="J819" s="2564"/>
      <c r="K819" s="2564"/>
      <c r="L819" s="2564"/>
      <c r="M819" s="2564"/>
      <c r="N819" s="2564"/>
      <c r="O819" s="2564"/>
      <c r="P819" s="2564"/>
      <c r="Q819" s="2564"/>
      <c r="R819" s="2564"/>
      <c r="S819" s="2564"/>
      <c r="T819" s="2564"/>
      <c r="U819" s="2564"/>
      <c r="V819" s="2564"/>
      <c r="W819" s="2564"/>
      <c r="X819" s="2564"/>
      <c r="Y819" s="2564"/>
      <c r="Z819" s="2564"/>
      <c r="AA819" s="2564"/>
      <c r="AB819" s="2564"/>
      <c r="AC819" s="2564"/>
      <c r="AD819" s="2564"/>
      <c r="AE819" s="2564"/>
      <c r="AF819" s="2564"/>
      <c r="AG819" s="2564"/>
      <c r="AH819" s="2564"/>
      <c r="AI819" s="2564"/>
      <c r="AJ819" s="2564"/>
      <c r="AK819" s="2564"/>
      <c r="AL819" s="2564"/>
      <c r="AM819" s="2564"/>
    </row>
    <row r="820" spans="1:43">
      <c r="A820" s="2565"/>
      <c r="B820" s="2565"/>
      <c r="C820" s="2565"/>
      <c r="D820" s="2565"/>
      <c r="E820" s="2565"/>
      <c r="F820" s="2565"/>
      <c r="G820" s="2565"/>
      <c r="H820" s="2565"/>
      <c r="I820" s="2565"/>
      <c r="J820" s="2565"/>
      <c r="K820" s="2565"/>
      <c r="L820" s="2565"/>
      <c r="M820" s="2565"/>
      <c r="N820" s="2565"/>
      <c r="O820" s="2565"/>
      <c r="P820" s="2565"/>
      <c r="Q820" s="2565"/>
      <c r="R820" s="2565"/>
      <c r="S820" s="2565"/>
      <c r="T820" s="2565"/>
      <c r="U820" s="2565"/>
      <c r="V820" s="2565"/>
      <c r="W820" s="2565"/>
      <c r="X820" s="2565"/>
      <c r="Y820" s="2565"/>
      <c r="Z820" s="2565"/>
      <c r="AA820" s="2565"/>
      <c r="AB820" s="2565"/>
      <c r="AC820" s="2565"/>
      <c r="AD820" s="2565"/>
      <c r="AE820" s="2565"/>
      <c r="AF820" s="2565"/>
      <c r="AG820" s="2565"/>
      <c r="AH820" s="2565"/>
      <c r="AI820" s="2565"/>
      <c r="AJ820" s="2565"/>
      <c r="AK820" s="2565"/>
      <c r="AL820" s="2565"/>
      <c r="AM820" s="2565"/>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4"/>
      <c r="B822" s="2514"/>
      <c r="C822" s="2514"/>
      <c r="D822" s="2514"/>
      <c r="E822" s="2514"/>
      <c r="F822" s="2514"/>
      <c r="G822" s="2514"/>
      <c r="H822" s="2514"/>
      <c r="I822" s="2514"/>
      <c r="J822" s="2514"/>
      <c r="K822" s="2514"/>
      <c r="L822" s="2514"/>
      <c r="M822" s="2514"/>
      <c r="N822" s="2514"/>
      <c r="O822" s="2514"/>
      <c r="P822" s="2514"/>
      <c r="Q822" s="2514"/>
      <c r="R822" s="2514"/>
      <c r="S822" s="2514"/>
      <c r="T822" s="2514"/>
      <c r="U822" s="2514"/>
      <c r="V822" s="2514"/>
      <c r="W822" s="2514"/>
      <c r="X822" s="2514"/>
      <c r="Y822" s="2514"/>
      <c r="Z822" s="2514"/>
      <c r="AA822" s="2514"/>
      <c r="AB822" s="2514"/>
      <c r="AC822" s="2514"/>
      <c r="AD822" s="2514"/>
      <c r="AE822" s="2514"/>
      <c r="AF822" s="2514"/>
      <c r="AG822" s="2514"/>
      <c r="AH822" s="2514"/>
      <c r="AI822" s="2514"/>
      <c r="AJ822" s="2514"/>
      <c r="AK822" s="2514"/>
      <c r="AL822" s="2514"/>
      <c r="AM822" s="2514"/>
      <c r="AP822" s="812"/>
      <c r="AQ822" s="812"/>
    </row>
    <row r="823" spans="1:43" ht="13">
      <c r="A823" s="2514"/>
      <c r="B823" s="2514"/>
      <c r="C823" s="2514"/>
      <c r="D823" s="2514"/>
      <c r="E823" s="2514"/>
      <c r="F823" s="2514"/>
      <c r="G823" s="2514"/>
      <c r="H823" s="2514"/>
      <c r="I823" s="2514"/>
      <c r="J823" s="2514"/>
      <c r="K823" s="2514"/>
      <c r="L823" s="2514"/>
      <c r="M823" s="2514"/>
      <c r="N823" s="2514"/>
      <c r="O823" s="2514"/>
      <c r="P823" s="2514"/>
      <c r="Q823" s="2514"/>
      <c r="R823" s="2514"/>
      <c r="S823" s="2514"/>
      <c r="T823" s="2514"/>
      <c r="U823" s="2514"/>
      <c r="V823" s="2514"/>
      <c r="W823" s="2514"/>
      <c r="X823" s="2514"/>
      <c r="Y823" s="2514"/>
      <c r="Z823" s="2514"/>
      <c r="AA823" s="2514"/>
      <c r="AB823" s="2514"/>
      <c r="AC823" s="2514"/>
      <c r="AD823" s="2514"/>
      <c r="AE823" s="2514"/>
      <c r="AF823" s="2514"/>
      <c r="AG823" s="2514"/>
      <c r="AH823" s="2514"/>
      <c r="AI823" s="2514"/>
      <c r="AJ823" s="2514"/>
      <c r="AK823" s="2514"/>
      <c r="AL823" s="2514"/>
      <c r="AM823" s="2514"/>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6" t="s">
        <v>1558</v>
      </c>
      <c r="U824" s="2567"/>
      <c r="V824" s="2567"/>
      <c r="W824" s="2567"/>
      <c r="X824" s="2567"/>
      <c r="Y824" s="2568"/>
      <c r="Z824" s="2566" t="s">
        <v>1559</v>
      </c>
      <c r="AA824" s="2567"/>
      <c r="AB824" s="2567"/>
      <c r="AC824" s="2567"/>
      <c r="AD824" s="2567"/>
      <c r="AE824" s="2568"/>
      <c r="AF824" s="2566" t="s">
        <v>1560</v>
      </c>
      <c r="AG824" s="2567"/>
      <c r="AH824" s="2567"/>
      <c r="AI824" s="2567"/>
      <c r="AJ824" s="2567"/>
      <c r="AK824" s="2568"/>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69"/>
      <c r="U825" s="2570"/>
      <c r="V825" s="2570"/>
      <c r="W825" s="2570"/>
      <c r="X825" s="2570"/>
      <c r="Y825" s="2571"/>
      <c r="Z825" s="2569"/>
      <c r="AA825" s="2570"/>
      <c r="AB825" s="2570"/>
      <c r="AC825" s="2570"/>
      <c r="AD825" s="2570"/>
      <c r="AE825" s="2571"/>
      <c r="AF825" s="2569"/>
      <c r="AG825" s="2570"/>
      <c r="AH825" s="2570"/>
      <c r="AI825" s="2570"/>
      <c r="AJ825" s="2570"/>
      <c r="AK825" s="2571"/>
      <c r="AL825" s="814"/>
      <c r="AM825" s="594"/>
      <c r="AO825" s="812"/>
      <c r="AP825" s="812"/>
      <c r="AQ825" s="812"/>
    </row>
    <row r="826" spans="1:43" ht="13">
      <c r="A826" s="815" t="s">
        <v>756</v>
      </c>
      <c r="B826" s="2546" t="str">
        <f>B7</f>
        <v xml:space="preserve">Acquisition/Rehabilitation Project Priorities </v>
      </c>
      <c r="C826" s="2546"/>
      <c r="D826" s="2546"/>
      <c r="E826" s="2546"/>
      <c r="F826" s="2546"/>
      <c r="G826" s="2546"/>
      <c r="H826" s="2546"/>
      <c r="I826" s="2546"/>
      <c r="J826" s="2546"/>
      <c r="K826" s="2546"/>
      <c r="L826" s="2546"/>
      <c r="M826" s="2546"/>
      <c r="N826" s="2546"/>
      <c r="O826" s="2546"/>
      <c r="P826" s="2546"/>
      <c r="Q826" s="2546"/>
      <c r="R826" s="2546"/>
      <c r="S826" s="2547"/>
      <c r="T826" s="2548">
        <f>AK61</f>
        <v>0</v>
      </c>
      <c r="U826" s="2549"/>
      <c r="V826" s="2549"/>
      <c r="W826" s="2549"/>
      <c r="X826" s="2549"/>
      <c r="Y826" s="2550"/>
      <c r="Z826" s="2551">
        <v>20</v>
      </c>
      <c r="AA826" s="2549"/>
      <c r="AB826" s="2549"/>
      <c r="AC826" s="2549"/>
      <c r="AD826" s="2549"/>
      <c r="AE826" s="2550"/>
      <c r="AF826" s="2544">
        <f>IF(T826&gt;Z826,Z826,T826)</f>
        <v>0</v>
      </c>
      <c r="AG826" s="2544"/>
      <c r="AH826" s="2544"/>
      <c r="AI826" s="2544"/>
      <c r="AJ826" s="2544"/>
      <c r="AK826" s="2544"/>
      <c r="AL826" s="814"/>
      <c r="AM826" s="594"/>
      <c r="AO826" s="812"/>
      <c r="AP826" s="812"/>
      <c r="AQ826" s="812"/>
    </row>
    <row r="827" spans="1:43" ht="13">
      <c r="A827" s="815" t="s">
        <v>1531</v>
      </c>
      <c r="B827" s="2546" t="s">
        <v>1306</v>
      </c>
      <c r="C827" s="2546"/>
      <c r="D827" s="2546"/>
      <c r="E827" s="2546"/>
      <c r="F827" s="2546"/>
      <c r="G827" s="2546"/>
      <c r="H827" s="2546"/>
      <c r="I827" s="2546"/>
      <c r="J827" s="2546"/>
      <c r="K827" s="2546"/>
      <c r="L827" s="2546"/>
      <c r="M827" s="2546"/>
      <c r="N827" s="2546"/>
      <c r="O827" s="2546"/>
      <c r="P827" s="2546"/>
      <c r="Q827" s="2546"/>
      <c r="R827" s="2546"/>
      <c r="S827" s="2547"/>
      <c r="T827" s="2548">
        <f>AK83</f>
        <v>10</v>
      </c>
      <c r="U827" s="2549"/>
      <c r="V827" s="2549"/>
      <c r="W827" s="2549"/>
      <c r="X827" s="2549"/>
      <c r="Y827" s="2550"/>
      <c r="Z827" s="2551">
        <v>10</v>
      </c>
      <c r="AA827" s="2549"/>
      <c r="AB827" s="2549"/>
      <c r="AC827" s="2549"/>
      <c r="AD827" s="2549"/>
      <c r="AE827" s="2550"/>
      <c r="AF827" s="2544">
        <f>IF(T827&gt;Z827,Z827,T827)</f>
        <v>10</v>
      </c>
      <c r="AG827" s="2544"/>
      <c r="AH827" s="2544"/>
      <c r="AI827" s="2544"/>
      <c r="AJ827" s="2544"/>
      <c r="AK827" s="2544"/>
      <c r="AL827" s="814"/>
      <c r="AM827" s="594"/>
      <c r="AO827" s="812"/>
      <c r="AP827" s="812"/>
      <c r="AQ827" s="812"/>
    </row>
    <row r="828" spans="1:43" ht="13">
      <c r="A828" s="815" t="s">
        <v>1540</v>
      </c>
      <c r="B828" s="2546" t="s">
        <v>1316</v>
      </c>
      <c r="C828" s="2546"/>
      <c r="D828" s="2546"/>
      <c r="E828" s="2546"/>
      <c r="F828" s="2546"/>
      <c r="G828" s="2546"/>
      <c r="H828" s="2546"/>
      <c r="I828" s="2546"/>
      <c r="J828" s="2546"/>
      <c r="K828" s="2546"/>
      <c r="L828" s="2546"/>
      <c r="M828" s="2546"/>
      <c r="N828" s="2546"/>
      <c r="O828" s="2546"/>
      <c r="P828" s="2546"/>
      <c r="Q828" s="2546"/>
      <c r="R828" s="2546"/>
      <c r="S828" s="2547"/>
      <c r="T828" s="2548">
        <f ca="1">AK108</f>
        <v>20</v>
      </c>
      <c r="U828" s="2549"/>
      <c r="V828" s="2549"/>
      <c r="W828" s="2549"/>
      <c r="X828" s="2549"/>
      <c r="Y828" s="2550"/>
      <c r="Z828" s="2551">
        <v>20</v>
      </c>
      <c r="AA828" s="2549"/>
      <c r="AB828" s="2549"/>
      <c r="AC828" s="2549"/>
      <c r="AD828" s="2549"/>
      <c r="AE828" s="2550"/>
      <c r="AF828" s="2544">
        <f ca="1">IF(T828&gt;Z828,Z828,T828)</f>
        <v>20</v>
      </c>
      <c r="AG828" s="2544"/>
      <c r="AH828" s="2544"/>
      <c r="AI828" s="2544"/>
      <c r="AJ828" s="2544"/>
      <c r="AK828" s="2544"/>
      <c r="AL828" s="814"/>
      <c r="AM828" s="594"/>
      <c r="AO828" s="812"/>
      <c r="AP828" s="812"/>
      <c r="AQ828" s="812"/>
    </row>
    <row r="829" spans="1:43" ht="13">
      <c r="A829" s="815" t="s">
        <v>1561</v>
      </c>
      <c r="B829" s="2546" t="s">
        <v>1326</v>
      </c>
      <c r="C829" s="2546"/>
      <c r="D829" s="2546"/>
      <c r="E829" s="2546"/>
      <c r="F829" s="2546"/>
      <c r="G829" s="2546"/>
      <c r="H829" s="2546"/>
      <c r="I829" s="2546"/>
      <c r="J829" s="2546"/>
      <c r="K829" s="2546"/>
      <c r="L829" s="2546"/>
      <c r="M829" s="2546"/>
      <c r="N829" s="2546"/>
      <c r="O829" s="2546"/>
      <c r="P829" s="2546"/>
      <c r="Q829" s="2546"/>
      <c r="R829" s="2546"/>
      <c r="S829" s="2547"/>
      <c r="T829" s="2548">
        <f>AK142</f>
        <v>10</v>
      </c>
      <c r="U829" s="2549"/>
      <c r="V829" s="2549"/>
      <c r="W829" s="2549"/>
      <c r="X829" s="2549"/>
      <c r="Y829" s="2550"/>
      <c r="Z829" s="2551">
        <v>10</v>
      </c>
      <c r="AA829" s="2549"/>
      <c r="AB829" s="2549"/>
      <c r="AC829" s="2549"/>
      <c r="AD829" s="2549"/>
      <c r="AE829" s="2550"/>
      <c r="AF829" s="2544">
        <f>IF(T829&gt;Z829,Z829,T829)</f>
        <v>10</v>
      </c>
      <c r="AG829" s="2544"/>
      <c r="AH829" s="2544"/>
      <c r="AI829" s="2544"/>
      <c r="AJ829" s="2544"/>
      <c r="AK829" s="2544"/>
      <c r="AL829" s="814"/>
      <c r="AM829" s="594"/>
      <c r="AO829" s="812"/>
      <c r="AP829" s="812"/>
      <c r="AQ829" s="812"/>
    </row>
    <row r="830" spans="1:43" ht="13">
      <c r="A830" s="816" t="s">
        <v>1562</v>
      </c>
      <c r="B830" s="2546" t="s">
        <v>1563</v>
      </c>
      <c r="C830" s="2546"/>
      <c r="D830" s="2546"/>
      <c r="E830" s="2546"/>
      <c r="F830" s="2546"/>
      <c r="G830" s="2546"/>
      <c r="H830" s="2546"/>
      <c r="I830" s="2546"/>
      <c r="J830" s="2546"/>
      <c r="K830" s="2546"/>
      <c r="L830" s="2546"/>
      <c r="M830" s="2546"/>
      <c r="N830" s="2546"/>
      <c r="O830" s="2546"/>
      <c r="P830" s="2546"/>
      <c r="Q830" s="2546"/>
      <c r="R830" s="2546"/>
      <c r="S830" s="2547"/>
      <c r="T830" s="2572">
        <f>SUM(T831:Y832)</f>
        <v>10</v>
      </c>
      <c r="U830" s="2572"/>
      <c r="V830" s="2572"/>
      <c r="W830" s="2572"/>
      <c r="X830" s="2572"/>
      <c r="Y830" s="2572"/>
      <c r="Z830" s="2544">
        <v>10</v>
      </c>
      <c r="AA830" s="2544"/>
      <c r="AB830" s="2544"/>
      <c r="AC830" s="2544"/>
      <c r="AD830" s="2544"/>
      <c r="AE830" s="2544"/>
      <c r="AF830" s="2544">
        <f>IF(T830&gt;Z830,Z830,T830)</f>
        <v>10</v>
      </c>
      <c r="AG830" s="2544"/>
      <c r="AH830" s="2544"/>
      <c r="AI830" s="2544"/>
      <c r="AJ830" s="2544"/>
      <c r="AK830" s="2544"/>
      <c r="AL830" s="814"/>
      <c r="AM830" s="594"/>
    </row>
    <row r="831" spans="1:43" ht="13">
      <c r="A831" s="535"/>
      <c r="B831" s="599"/>
      <c r="C831" s="2573" t="s">
        <v>1564</v>
      </c>
      <c r="D831" s="2573"/>
      <c r="E831" s="2573"/>
      <c r="F831" s="2573"/>
      <c r="G831" s="2573"/>
      <c r="H831" s="2573"/>
      <c r="I831" s="2573"/>
      <c r="J831" s="2573"/>
      <c r="K831" s="2573"/>
      <c r="L831" s="2573"/>
      <c r="M831" s="2573"/>
      <c r="N831" s="2573"/>
      <c r="O831" s="2573"/>
      <c r="P831" s="2573"/>
      <c r="Q831" s="2573"/>
      <c r="R831" s="2573"/>
      <c r="S831" s="2574"/>
      <c r="T831" s="2465">
        <f>AJ165</f>
        <v>7</v>
      </c>
      <c r="U831" s="2465"/>
      <c r="V831" s="2465"/>
      <c r="W831" s="2465"/>
      <c r="X831" s="2465"/>
      <c r="Y831" s="2465"/>
      <c r="Z831" s="2466">
        <v>7</v>
      </c>
      <c r="AA831" s="2466"/>
      <c r="AB831" s="2466"/>
      <c r="AC831" s="2466"/>
      <c r="AD831" s="2466"/>
      <c r="AE831" s="2466"/>
      <c r="AF831" s="2575"/>
      <c r="AG831" s="2575"/>
      <c r="AH831" s="2575"/>
      <c r="AI831" s="2575"/>
      <c r="AJ831" s="2575"/>
      <c r="AK831" s="2575"/>
      <c r="AL831" s="814"/>
      <c r="AM831" s="594"/>
    </row>
    <row r="832" spans="1:43" ht="13">
      <c r="A832" s="598"/>
      <c r="B832" s="599"/>
      <c r="C832" s="2573" t="s">
        <v>1565</v>
      </c>
      <c r="D832" s="2573"/>
      <c r="E832" s="2573"/>
      <c r="F832" s="2573"/>
      <c r="G832" s="2573"/>
      <c r="H832" s="2573"/>
      <c r="I832" s="2573"/>
      <c r="J832" s="2573"/>
      <c r="K832" s="2573"/>
      <c r="L832" s="2573"/>
      <c r="M832" s="2573"/>
      <c r="N832" s="2573"/>
      <c r="O832" s="2573"/>
      <c r="P832" s="2573"/>
      <c r="Q832" s="2573"/>
      <c r="R832" s="2573"/>
      <c r="S832" s="2574"/>
      <c r="T832" s="2465">
        <f>AJ179</f>
        <v>3</v>
      </c>
      <c r="U832" s="2465"/>
      <c r="V832" s="2465"/>
      <c r="W832" s="2465"/>
      <c r="X832" s="2465"/>
      <c r="Y832" s="2465"/>
      <c r="Z832" s="2466">
        <v>3</v>
      </c>
      <c r="AA832" s="2466"/>
      <c r="AB832" s="2466"/>
      <c r="AC832" s="2466"/>
      <c r="AD832" s="2466"/>
      <c r="AE832" s="2466"/>
      <c r="AF832" s="2575"/>
      <c r="AG832" s="2575"/>
      <c r="AH832" s="2575"/>
      <c r="AI832" s="2575"/>
      <c r="AJ832" s="2575"/>
      <c r="AK832" s="2575"/>
      <c r="AL832" s="814"/>
      <c r="AM832" s="594"/>
      <c r="AO832" s="549"/>
    </row>
    <row r="833" spans="1:81" ht="13">
      <c r="A833" s="816" t="s">
        <v>1354</v>
      </c>
      <c r="B833" s="2546" t="s">
        <v>1566</v>
      </c>
      <c r="C833" s="2546"/>
      <c r="D833" s="2546"/>
      <c r="E833" s="2546"/>
      <c r="F833" s="2546"/>
      <c r="G833" s="2546"/>
      <c r="H833" s="2546"/>
      <c r="I833" s="2546"/>
      <c r="J833" s="2546"/>
      <c r="K833" s="2546"/>
      <c r="L833" s="2546"/>
      <c r="M833" s="2546"/>
      <c r="N833" s="2546"/>
      <c r="O833" s="2546"/>
      <c r="P833" s="2546"/>
      <c r="Q833" s="2546"/>
      <c r="R833" s="2546"/>
      <c r="S833" s="2547"/>
      <c r="T833" s="2572">
        <f>AK190</f>
        <v>10</v>
      </c>
      <c r="U833" s="2572"/>
      <c r="V833" s="2572"/>
      <c r="W833" s="2572"/>
      <c r="X833" s="2572"/>
      <c r="Y833" s="2572"/>
      <c r="Z833" s="2544">
        <v>10</v>
      </c>
      <c r="AA833" s="2544"/>
      <c r="AB833" s="2544"/>
      <c r="AC833" s="2544"/>
      <c r="AD833" s="2544"/>
      <c r="AE833" s="2544"/>
      <c r="AF833" s="2544">
        <f>IF(T833&gt;Z833,Z833,T833)</f>
        <v>10</v>
      </c>
      <c r="AG833" s="2544"/>
      <c r="AH833" s="2544"/>
      <c r="AI833" s="2544"/>
      <c r="AJ833" s="2544"/>
      <c r="AK833" s="2544"/>
      <c r="AL833" s="814"/>
      <c r="AM833" s="594"/>
    </row>
    <row r="834" spans="1:81" ht="13" hidden="1">
      <c r="A834" s="815" t="s">
        <v>1362</v>
      </c>
      <c r="B834" s="2546" t="s">
        <v>1363</v>
      </c>
      <c r="C834" s="2546"/>
      <c r="D834" s="2546"/>
      <c r="E834" s="2546"/>
      <c r="F834" s="2546"/>
      <c r="G834" s="2546"/>
      <c r="H834" s="2546"/>
      <c r="I834" s="2546"/>
      <c r="J834" s="2546"/>
      <c r="K834" s="2546"/>
      <c r="L834" s="2546"/>
      <c r="M834" s="2546"/>
      <c r="N834" s="2546"/>
      <c r="O834" s="2546"/>
      <c r="P834" s="2546"/>
      <c r="Q834" s="2546"/>
      <c r="R834" s="2546"/>
      <c r="S834" s="2547"/>
      <c r="T834" s="2572">
        <f>AK272</f>
        <v>0</v>
      </c>
      <c r="U834" s="2572"/>
      <c r="V834" s="2572"/>
      <c r="W834" s="2572"/>
      <c r="X834" s="2572"/>
      <c r="Y834" s="2572"/>
      <c r="Z834" s="2551">
        <v>8</v>
      </c>
      <c r="AA834" s="2549"/>
      <c r="AB834" s="2549"/>
      <c r="AC834" s="2549"/>
      <c r="AD834" s="2549"/>
      <c r="AE834" s="2550"/>
      <c r="AF834" s="2544"/>
      <c r="AG834" s="2544"/>
      <c r="AH834" s="2544"/>
      <c r="AI834" s="2544"/>
      <c r="AJ834" s="2544"/>
      <c r="AK834" s="2544"/>
      <c r="AL834" s="814"/>
      <c r="AM834" s="594"/>
    </row>
    <row r="835" spans="1:81" s="534" customFormat="1" ht="13" hidden="1">
      <c r="A835" s="816" t="s">
        <v>589</v>
      </c>
      <c r="B835" s="2546" t="s">
        <v>1567</v>
      </c>
      <c r="C835" s="2546"/>
      <c r="D835" s="2546"/>
      <c r="E835" s="2546"/>
      <c r="F835" s="2546"/>
      <c r="G835" s="2546"/>
      <c r="H835" s="2546"/>
      <c r="I835" s="2546"/>
      <c r="J835" s="2546"/>
      <c r="K835" s="2546"/>
      <c r="L835" s="2546"/>
      <c r="M835" s="2546"/>
      <c r="N835" s="2546"/>
      <c r="O835" s="2546"/>
      <c r="P835" s="2546"/>
      <c r="Q835" s="2546"/>
      <c r="R835" s="2546"/>
      <c r="S835" s="2547"/>
      <c r="T835" s="2572">
        <f>IF(AK548&gt;5,5,AK548)</f>
        <v>0</v>
      </c>
      <c r="U835" s="2572"/>
      <c r="V835" s="2572"/>
      <c r="W835" s="2572"/>
      <c r="X835" s="2572"/>
      <c r="Y835" s="2572"/>
      <c r="Z835" s="2544">
        <v>5</v>
      </c>
      <c r="AA835" s="2544"/>
      <c r="AB835" s="2544"/>
      <c r="AC835" s="2544"/>
      <c r="AD835" s="2544"/>
      <c r="AE835" s="2544"/>
      <c r="AF835" s="2544"/>
      <c r="AG835" s="2544"/>
      <c r="AH835" s="2544"/>
      <c r="AI835" s="2544"/>
      <c r="AJ835" s="2544"/>
      <c r="AK835" s="254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6" t="str">
        <f>B275</f>
        <v>Readiness to Proceed</v>
      </c>
      <c r="C836" s="2546"/>
      <c r="D836" s="2546"/>
      <c r="E836" s="2546"/>
      <c r="F836" s="2546"/>
      <c r="G836" s="2546"/>
      <c r="H836" s="2546"/>
      <c r="I836" s="2546"/>
      <c r="J836" s="2546"/>
      <c r="K836" s="2546"/>
      <c r="L836" s="2546"/>
      <c r="M836" s="2546"/>
      <c r="N836" s="2546"/>
      <c r="O836" s="2546"/>
      <c r="P836" s="2546"/>
      <c r="Q836" s="2546"/>
      <c r="R836" s="2546"/>
      <c r="S836" s="2547"/>
      <c r="T836" s="2572">
        <f>AK298</f>
        <v>10</v>
      </c>
      <c r="U836" s="2572"/>
      <c r="V836" s="2572"/>
      <c r="W836" s="2572"/>
      <c r="X836" s="2572"/>
      <c r="Y836" s="2572"/>
      <c r="Z836" s="2544">
        <v>10</v>
      </c>
      <c r="AA836" s="2544"/>
      <c r="AB836" s="2544"/>
      <c r="AC836" s="2544"/>
      <c r="AD836" s="2544"/>
      <c r="AE836" s="2544"/>
      <c r="AF836" s="2577">
        <f>IF(T836&gt;Z836,Z836,T836)</f>
        <v>10</v>
      </c>
      <c r="AG836" s="2578"/>
      <c r="AH836" s="2578"/>
      <c r="AI836" s="2578"/>
      <c r="AJ836" s="2578"/>
      <c r="AK836" s="257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6" t="str">
        <f>B301</f>
        <v>Access to Opportunity</v>
      </c>
      <c r="C837" s="2546"/>
      <c r="D837" s="2546"/>
      <c r="E837" s="2546"/>
      <c r="F837" s="2546"/>
      <c r="G837" s="2546"/>
      <c r="H837" s="2546"/>
      <c r="I837" s="2546"/>
      <c r="J837" s="2546"/>
      <c r="K837" s="2546"/>
      <c r="L837" s="2546"/>
      <c r="M837" s="2546"/>
      <c r="N837" s="2546"/>
      <c r="O837" s="2546"/>
      <c r="P837" s="2546"/>
      <c r="Q837" s="2546"/>
      <c r="R837" s="2546"/>
      <c r="S837" s="2547"/>
      <c r="T837" s="2572">
        <f>AK351</f>
        <v>10</v>
      </c>
      <c r="U837" s="2572"/>
      <c r="V837" s="2572"/>
      <c r="W837" s="2572"/>
      <c r="X837" s="2572"/>
      <c r="Y837" s="2572"/>
      <c r="Z837" s="2577">
        <v>10</v>
      </c>
      <c r="AA837" s="2578"/>
      <c r="AB837" s="2578"/>
      <c r="AC837" s="2578"/>
      <c r="AD837" s="2578"/>
      <c r="AE837" s="2579"/>
      <c r="AF837" s="2577">
        <f>IF(T837&gt;Z837,Z837,T837)</f>
        <v>10</v>
      </c>
      <c r="AG837" s="2578"/>
      <c r="AH837" s="2578"/>
      <c r="AI837" s="2578"/>
      <c r="AJ837" s="2578"/>
      <c r="AK837" s="257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5">
        <f>AK351</f>
        <v>10</v>
      </c>
      <c r="U838" s="2465"/>
      <c r="V838" s="2465"/>
      <c r="W838" s="2465"/>
      <c r="X838" s="2465"/>
      <c r="Y838" s="2465"/>
      <c r="Z838" s="2476">
        <v>20</v>
      </c>
      <c r="AA838" s="2477"/>
      <c r="AB838" s="2477"/>
      <c r="AC838" s="2477"/>
      <c r="AD838" s="2477"/>
      <c r="AE838" s="2478"/>
      <c r="AF838" s="2575"/>
      <c r="AG838" s="2575"/>
      <c r="AH838" s="2575"/>
      <c r="AI838" s="2575"/>
      <c r="AJ838" s="2575"/>
      <c r="AK838" s="257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6" t="s">
        <v>844</v>
      </c>
      <c r="C839" s="2546"/>
      <c r="D839" s="2546"/>
      <c r="E839" s="2546"/>
      <c r="F839" s="2546"/>
      <c r="G839" s="2546"/>
      <c r="H839" s="2546"/>
      <c r="I839" s="2546"/>
      <c r="J839" s="2546"/>
      <c r="K839" s="2546"/>
      <c r="L839" s="2546"/>
      <c r="M839" s="2546"/>
      <c r="N839" s="2546"/>
      <c r="O839" s="2546"/>
      <c r="P839" s="2546"/>
      <c r="Q839" s="2546"/>
      <c r="R839" s="2546"/>
      <c r="S839" s="2547"/>
      <c r="T839" s="2572">
        <f>AK482</f>
        <v>10</v>
      </c>
      <c r="U839" s="2572"/>
      <c r="V839" s="2572"/>
      <c r="W839" s="2572"/>
      <c r="X839" s="2572"/>
      <c r="Y839" s="2572"/>
      <c r="Z839" s="2577">
        <v>10</v>
      </c>
      <c r="AA839" s="2578"/>
      <c r="AB839" s="2578"/>
      <c r="AC839" s="2578"/>
      <c r="AD839" s="2578"/>
      <c r="AE839" s="2579"/>
      <c r="AF839" s="2544">
        <f>IF(T839&gt;Z839,Z839,T839)</f>
        <v>10</v>
      </c>
      <c r="AG839" s="2544"/>
      <c r="AH839" s="2544"/>
      <c r="AI839" s="2544"/>
      <c r="AJ839" s="2544"/>
      <c r="AK839" s="254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6" t="s">
        <v>1549</v>
      </c>
      <c r="C840" s="2546"/>
      <c r="D840" s="2546"/>
      <c r="E840" s="2546"/>
      <c r="F840" s="2546"/>
      <c r="G840" s="2546"/>
      <c r="H840" s="2546"/>
      <c r="I840" s="2546"/>
      <c r="J840" s="2546"/>
      <c r="K840" s="2546"/>
      <c r="L840" s="2546"/>
      <c r="M840" s="2546"/>
      <c r="N840" s="2546"/>
      <c r="O840" s="2546"/>
      <c r="P840" s="2546"/>
      <c r="Q840" s="2546"/>
      <c r="R840" s="2546"/>
      <c r="S840" s="2547"/>
      <c r="T840" s="2572">
        <f>AK572</f>
        <v>12</v>
      </c>
      <c r="U840" s="2572"/>
      <c r="V840" s="2572"/>
      <c r="W840" s="2572"/>
      <c r="X840" s="2572"/>
      <c r="Y840" s="2572"/>
      <c r="Z840" s="2577">
        <v>12</v>
      </c>
      <c r="AA840" s="2578"/>
      <c r="AB840" s="2578"/>
      <c r="AC840" s="2578"/>
      <c r="AD840" s="2578"/>
      <c r="AE840" s="2579"/>
      <c r="AF840" s="2544">
        <f>IF(T840&gt;Z840,Z840,T840)</f>
        <v>12</v>
      </c>
      <c r="AG840" s="2544"/>
      <c r="AH840" s="2544"/>
      <c r="AI840" s="2544"/>
      <c r="AJ840" s="2544"/>
      <c r="AK840" s="254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6" t="s">
        <v>1569</v>
      </c>
      <c r="C841" s="2546"/>
      <c r="D841" s="2546"/>
      <c r="E841" s="2546"/>
      <c r="F841" s="2546"/>
      <c r="G841" s="2546"/>
      <c r="H841" s="2546"/>
      <c r="I841" s="2546"/>
      <c r="J841" s="2546"/>
      <c r="K841" s="2546"/>
      <c r="L841" s="2546"/>
      <c r="M841" s="2546"/>
      <c r="N841" s="2546"/>
      <c r="O841" s="2546"/>
      <c r="P841" s="2546"/>
      <c r="Q841" s="2546"/>
      <c r="R841" s="2546"/>
      <c r="S841" s="2547"/>
      <c r="T841" s="2572">
        <f>AK816</f>
        <v>10</v>
      </c>
      <c r="U841" s="2572"/>
      <c r="V841" s="2572"/>
      <c r="W841" s="2572"/>
      <c r="X841" s="2572"/>
      <c r="Y841" s="2572"/>
      <c r="Z841" s="2577">
        <v>10</v>
      </c>
      <c r="AA841" s="2578"/>
      <c r="AB841" s="2578"/>
      <c r="AC841" s="2578"/>
      <c r="AD841" s="2578"/>
      <c r="AE841" s="2579"/>
      <c r="AF841" s="2544">
        <f>IF(T841&gt;Z841,Z841,T841)</f>
        <v>10</v>
      </c>
      <c r="AG841" s="2544"/>
      <c r="AH841" s="2544"/>
      <c r="AI841" s="2544"/>
      <c r="AJ841" s="2544"/>
      <c r="AK841" s="254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76"/>
      <c r="U842" s="2576"/>
      <c r="V842" s="2576"/>
      <c r="W842" s="2576"/>
      <c r="X842" s="2576"/>
      <c r="Y842" s="2576"/>
      <c r="Z842" s="2466" t="s">
        <v>1571</v>
      </c>
      <c r="AA842" s="2466"/>
      <c r="AB842" s="2466"/>
      <c r="AC842" s="2466"/>
      <c r="AD842" s="2466"/>
      <c r="AE842" s="2466"/>
      <c r="AF842" s="2577">
        <f>ABS(T842)</f>
        <v>0</v>
      </c>
      <c r="AG842" s="2578"/>
      <c r="AH842" s="2578"/>
      <c r="AI842" s="2578"/>
      <c r="AJ842" s="2578"/>
      <c r="AK842" s="257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80" t="s">
        <v>1572</v>
      </c>
      <c r="B843" s="2581"/>
      <c r="C843" s="2581"/>
      <c r="D843" s="2581"/>
      <c r="E843" s="2581"/>
      <c r="F843" s="2581"/>
      <c r="G843" s="2581"/>
      <c r="H843" s="2581"/>
      <c r="I843" s="2581"/>
      <c r="J843" s="2581"/>
      <c r="K843" s="2581"/>
      <c r="L843" s="2581"/>
      <c r="M843" s="2581"/>
      <c r="N843" s="2581"/>
      <c r="O843" s="2581"/>
      <c r="P843" s="2581"/>
      <c r="Q843" s="2581"/>
      <c r="R843" s="2581"/>
      <c r="S843" s="2581"/>
      <c r="T843" s="2581"/>
      <c r="U843" s="2581"/>
      <c r="V843" s="2581"/>
      <c r="W843" s="2581"/>
      <c r="X843" s="2581"/>
      <c r="Y843" s="2581"/>
      <c r="Z843" s="2581"/>
      <c r="AA843" s="2581"/>
      <c r="AB843" s="2581"/>
      <c r="AC843" s="2581"/>
      <c r="AD843" s="2581"/>
      <c r="AE843" s="2582"/>
      <c r="AF843" s="2586">
        <f ca="1">SUM(AF826:AK841)-AF842</f>
        <v>112</v>
      </c>
      <c r="AG843" s="2587"/>
      <c r="AH843" s="2587"/>
      <c r="AI843" s="2587"/>
      <c r="AJ843" s="2587"/>
      <c r="AK843" s="258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3"/>
      <c r="B844" s="2584"/>
      <c r="C844" s="2584"/>
      <c r="D844" s="2584"/>
      <c r="E844" s="2584"/>
      <c r="F844" s="2584"/>
      <c r="G844" s="2584"/>
      <c r="H844" s="2584"/>
      <c r="I844" s="2584"/>
      <c r="J844" s="2584"/>
      <c r="K844" s="2584"/>
      <c r="L844" s="2584"/>
      <c r="M844" s="2584"/>
      <c r="N844" s="2584"/>
      <c r="O844" s="2584"/>
      <c r="P844" s="2584"/>
      <c r="Q844" s="2584"/>
      <c r="R844" s="2584"/>
      <c r="S844" s="2584"/>
      <c r="T844" s="2584"/>
      <c r="U844" s="2584"/>
      <c r="V844" s="2584"/>
      <c r="W844" s="2584"/>
      <c r="X844" s="2584"/>
      <c r="Y844" s="2584"/>
      <c r="Z844" s="2584"/>
      <c r="AA844" s="2584"/>
      <c r="AB844" s="2584"/>
      <c r="AC844" s="2584"/>
      <c r="AD844" s="2584"/>
      <c r="AE844" s="2585"/>
      <c r="AF844" s="2589"/>
      <c r="AG844" s="2590"/>
      <c r="AH844" s="2590"/>
      <c r="AI844" s="2590"/>
      <c r="AJ844" s="2590"/>
      <c r="AK844" s="259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Marc Welk</cp:lastModifiedBy>
  <cp:lastPrinted>2026-05-14T19:09:53Z</cp:lastPrinted>
  <dcterms:created xsi:type="dcterms:W3CDTF">2007-12-27T18:26:28Z</dcterms:created>
  <dcterms:modified xsi:type="dcterms:W3CDTF">2026-05-18T21:11:13Z</dcterms:modified>
</cp:coreProperties>
</file>